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an 9o12 Teilnehmer\"/>
    </mc:Choice>
  </mc:AlternateContent>
  <xr:revisionPtr revIDLastSave="0" documentId="13_ncr:1_{F2FD0716-8F87-437B-A061-D71A0282E478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ning" sheetId="7" r:id="rId1"/>
    <sheet name="proof" sheetId="17" state="hidden" r:id="rId2"/>
    <sheet name="Results" sheetId="6" r:id="rId3"/>
    <sheet name="Fair-Play und Los" sheetId="8" r:id="rId4"/>
    <sheet name="DirComparisons" sheetId="10" r:id="rId5"/>
    <sheet name="Kick-off times" sheetId="12" r:id="rId6"/>
    <sheet name="Language" sheetId="9" r:id="rId7"/>
    <sheet name="Settings" sheetId="14" r:id="rId8"/>
    <sheet name="Spielpaarungen" sheetId="13" state="hidden" r:id="rId9"/>
    <sheet name="Info" sheetId="16" r:id="rId10"/>
    <sheet name="Calc" sheetId="3" state="hidden" r:id="rId11"/>
  </sheets>
  <externalReferences>
    <externalReference r:id="rId12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C3" i="9" l="1"/>
  <c r="E25" i="9"/>
  <c r="F43" i="10"/>
  <c r="F31" i="10"/>
  <c r="F19" i="10"/>
  <c r="F7" i="10"/>
  <c r="Q71" i="3"/>
  <c r="F11" i="3"/>
  <c r="Q72" i="3"/>
  <c r="F12" i="3"/>
  <c r="F13" i="3"/>
  <c r="S18" i="7"/>
  <c r="T22" i="7"/>
  <c r="E27" i="9"/>
  <c r="V9" i="6"/>
  <c r="V33" i="6"/>
  <c r="V57" i="6"/>
  <c r="E26" i="9"/>
  <c r="U9" i="6"/>
  <c r="U33" i="6"/>
  <c r="U57" i="6"/>
  <c r="R9" i="6"/>
  <c r="R33" i="6"/>
  <c r="R57" i="6"/>
  <c r="E24" i="9"/>
  <c r="Q9" i="6"/>
  <c r="Q33" i="6"/>
  <c r="Q57" i="6"/>
  <c r="E23" i="9"/>
  <c r="P9" i="6"/>
  <c r="P33" i="6"/>
  <c r="P57" i="6"/>
  <c r="E22" i="9"/>
  <c r="O9" i="6"/>
  <c r="O33" i="6"/>
  <c r="O57" i="6"/>
  <c r="E21" i="9"/>
  <c r="N9" i="6"/>
  <c r="N33" i="6"/>
  <c r="N57" i="6"/>
  <c r="K7" i="7" a="1"/>
  <c r="K7" i="7"/>
  <c r="N7" i="7"/>
  <c r="V64" i="3"/>
  <c r="K8" i="7"/>
  <c r="N8" i="7"/>
  <c r="V65" i="3"/>
  <c r="K9" i="7"/>
  <c r="N9" i="7"/>
  <c r="V66" i="3"/>
  <c r="K10" i="7"/>
  <c r="N10" i="7"/>
  <c r="V67" i="3"/>
  <c r="E10" i="6"/>
  <c r="M7" i="7" a="1"/>
  <c r="M7" i="7"/>
  <c r="P7" i="7"/>
  <c r="G10" i="6"/>
  <c r="W64" i="3"/>
  <c r="X64" i="3"/>
  <c r="E11" i="6"/>
  <c r="M8" i="7"/>
  <c r="P8" i="7"/>
  <c r="G11" i="6"/>
  <c r="W65" i="3"/>
  <c r="X65" i="3"/>
  <c r="E12" i="6"/>
  <c r="M9" i="7"/>
  <c r="P9" i="7"/>
  <c r="G12" i="6"/>
  <c r="W66" i="3"/>
  <c r="X66" i="3"/>
  <c r="E13" i="6"/>
  <c r="M10" i="7"/>
  <c r="P10" i="7"/>
  <c r="G13" i="6"/>
  <c r="W67" i="3"/>
  <c r="X67" i="3"/>
  <c r="K11" i="7"/>
  <c r="N11" i="7"/>
  <c r="E14" i="6"/>
  <c r="M11" i="7"/>
  <c r="P11" i="7"/>
  <c r="G14" i="6"/>
  <c r="V68" i="3"/>
  <c r="W68" i="3"/>
  <c r="X68" i="3"/>
  <c r="K12" i="7"/>
  <c r="N12" i="7"/>
  <c r="E15" i="6"/>
  <c r="M12" i="7"/>
  <c r="P12" i="7"/>
  <c r="G15" i="6"/>
  <c r="V69" i="3"/>
  <c r="W69" i="3"/>
  <c r="X69" i="3"/>
  <c r="K13" i="7"/>
  <c r="N13" i="7"/>
  <c r="E16" i="6"/>
  <c r="M13" i="7"/>
  <c r="P13" i="7"/>
  <c r="G16" i="6"/>
  <c r="V70" i="3"/>
  <c r="W70" i="3"/>
  <c r="X70" i="3"/>
  <c r="K14" i="7"/>
  <c r="N14" i="7"/>
  <c r="E17" i="6"/>
  <c r="M14" i="7"/>
  <c r="P14" i="7"/>
  <c r="G17" i="6"/>
  <c r="V71" i="3"/>
  <c r="W71" i="3"/>
  <c r="X71" i="3"/>
  <c r="K15" i="7"/>
  <c r="N15" i="7"/>
  <c r="E18" i="6"/>
  <c r="M15" i="7"/>
  <c r="P15" i="7"/>
  <c r="G18" i="6"/>
  <c r="V72" i="3"/>
  <c r="W72" i="3"/>
  <c r="X72" i="3"/>
  <c r="K16" i="7"/>
  <c r="N16" i="7"/>
  <c r="E19" i="6"/>
  <c r="M16" i="7"/>
  <c r="P16" i="7"/>
  <c r="G19" i="6"/>
  <c r="V73" i="3"/>
  <c r="W73" i="3"/>
  <c r="X73" i="3"/>
  <c r="K17" i="7"/>
  <c r="N17" i="7"/>
  <c r="E20" i="6"/>
  <c r="M17" i="7"/>
  <c r="P17" i="7"/>
  <c r="G20" i="6"/>
  <c r="V74" i="3"/>
  <c r="W74" i="3"/>
  <c r="X74" i="3"/>
  <c r="K18" i="7"/>
  <c r="N18" i="7"/>
  <c r="E21" i="6"/>
  <c r="M18" i="7"/>
  <c r="P18" i="7"/>
  <c r="G21" i="6"/>
  <c r="V75" i="3"/>
  <c r="W75" i="3"/>
  <c r="X75" i="3"/>
  <c r="K19" i="7"/>
  <c r="N19" i="7"/>
  <c r="E22" i="6"/>
  <c r="M19" i="7"/>
  <c r="P19" i="7"/>
  <c r="G22" i="6"/>
  <c r="V76" i="3"/>
  <c r="W76" i="3"/>
  <c r="X76" i="3"/>
  <c r="K20" i="7"/>
  <c r="N20" i="7"/>
  <c r="E23" i="6"/>
  <c r="M20" i="7"/>
  <c r="P20" i="7"/>
  <c r="G23" i="6"/>
  <c r="V77" i="3"/>
  <c r="W77" i="3"/>
  <c r="X77" i="3"/>
  <c r="K21" i="7"/>
  <c r="N21" i="7"/>
  <c r="E24" i="6"/>
  <c r="M21" i="7"/>
  <c r="P21" i="7"/>
  <c r="G24" i="6"/>
  <c r="V78" i="3"/>
  <c r="W78" i="3"/>
  <c r="X78" i="3"/>
  <c r="K22" i="7"/>
  <c r="N22" i="7"/>
  <c r="E25" i="6"/>
  <c r="M22" i="7"/>
  <c r="P22" i="7"/>
  <c r="G25" i="6"/>
  <c r="V79" i="3"/>
  <c r="W79" i="3"/>
  <c r="X79" i="3"/>
  <c r="K23" i="7"/>
  <c r="N23" i="7"/>
  <c r="E26" i="6"/>
  <c r="M23" i="7"/>
  <c r="P23" i="7"/>
  <c r="G26" i="6"/>
  <c r="V80" i="3"/>
  <c r="W80" i="3"/>
  <c r="X80" i="3"/>
  <c r="K24" i="7"/>
  <c r="N24" i="7"/>
  <c r="E27" i="6"/>
  <c r="M24" i="7"/>
  <c r="P24" i="7"/>
  <c r="G27" i="6"/>
  <c r="V81" i="3"/>
  <c r="W81" i="3"/>
  <c r="X81" i="3"/>
  <c r="K25" i="7"/>
  <c r="N25" i="7"/>
  <c r="E28" i="6"/>
  <c r="M25" i="7"/>
  <c r="P25" i="7"/>
  <c r="G28" i="6"/>
  <c r="V82" i="3"/>
  <c r="W82" i="3"/>
  <c r="X82" i="3"/>
  <c r="K26" i="7"/>
  <c r="N26" i="7"/>
  <c r="E29" i="6"/>
  <c r="M26" i="7"/>
  <c r="P26" i="7"/>
  <c r="G29" i="6"/>
  <c r="V83" i="3"/>
  <c r="W83" i="3"/>
  <c r="X83" i="3"/>
  <c r="K27" i="7"/>
  <c r="N27" i="7"/>
  <c r="E30" i="6"/>
  <c r="M27" i="7"/>
  <c r="P27" i="7"/>
  <c r="G30" i="6"/>
  <c r="V84" i="3"/>
  <c r="W84" i="3"/>
  <c r="X84" i="3"/>
  <c r="K28" i="7"/>
  <c r="N28" i="7"/>
  <c r="E31" i="6"/>
  <c r="M28" i="7"/>
  <c r="P28" i="7"/>
  <c r="G31" i="6"/>
  <c r="V85" i="3"/>
  <c r="W85" i="3"/>
  <c r="X85" i="3"/>
  <c r="K29" i="7"/>
  <c r="N29" i="7"/>
  <c r="E32" i="6"/>
  <c r="M29" i="7"/>
  <c r="P29" i="7"/>
  <c r="G32" i="6"/>
  <c r="V86" i="3"/>
  <c r="W86" i="3"/>
  <c r="X86" i="3"/>
  <c r="K30" i="7"/>
  <c r="N30" i="7"/>
  <c r="E33" i="6"/>
  <c r="M30" i="7"/>
  <c r="P30" i="7"/>
  <c r="G33" i="6"/>
  <c r="V87" i="3"/>
  <c r="W87" i="3"/>
  <c r="X87" i="3"/>
  <c r="K31" i="7"/>
  <c r="N31" i="7"/>
  <c r="E34" i="6"/>
  <c r="M31" i="7"/>
  <c r="P31" i="7"/>
  <c r="G34" i="6"/>
  <c r="V88" i="3"/>
  <c r="W88" i="3"/>
  <c r="X88" i="3"/>
  <c r="K32" i="7"/>
  <c r="N32" i="7"/>
  <c r="E35" i="6"/>
  <c r="M32" i="7"/>
  <c r="P32" i="7"/>
  <c r="G35" i="6"/>
  <c r="V89" i="3"/>
  <c r="W89" i="3"/>
  <c r="X89" i="3"/>
  <c r="K33" i="7"/>
  <c r="N33" i="7"/>
  <c r="E36" i="6"/>
  <c r="M33" i="7"/>
  <c r="P33" i="7"/>
  <c r="G36" i="6"/>
  <c r="V90" i="3"/>
  <c r="W90" i="3"/>
  <c r="X90" i="3"/>
  <c r="K34" i="7"/>
  <c r="N34" i="7"/>
  <c r="E37" i="6"/>
  <c r="M34" i="7"/>
  <c r="P34" i="7"/>
  <c r="G37" i="6"/>
  <c r="V91" i="3"/>
  <c r="W91" i="3"/>
  <c r="X91" i="3"/>
  <c r="K35" i="7"/>
  <c r="N35" i="7"/>
  <c r="E38" i="6"/>
  <c r="M35" i="7"/>
  <c r="P35" i="7"/>
  <c r="G38" i="6"/>
  <c r="V92" i="3"/>
  <c r="W92" i="3"/>
  <c r="X92" i="3"/>
  <c r="K36" i="7"/>
  <c r="N36" i="7"/>
  <c r="E39" i="6"/>
  <c r="M36" i="7"/>
  <c r="P36" i="7"/>
  <c r="G39" i="6"/>
  <c r="V93" i="3"/>
  <c r="W93" i="3"/>
  <c r="X93" i="3"/>
  <c r="K37" i="7"/>
  <c r="N37" i="7"/>
  <c r="E40" i="6"/>
  <c r="M37" i="7"/>
  <c r="P37" i="7"/>
  <c r="G40" i="6"/>
  <c r="V94" i="3"/>
  <c r="W94" i="3"/>
  <c r="X94" i="3"/>
  <c r="K38" i="7"/>
  <c r="N38" i="7"/>
  <c r="E41" i="6"/>
  <c r="M38" i="7"/>
  <c r="P38" i="7"/>
  <c r="G41" i="6"/>
  <c r="V95" i="3"/>
  <c r="W95" i="3"/>
  <c r="X95" i="3"/>
  <c r="K39" i="7"/>
  <c r="N39" i="7"/>
  <c r="E42" i="6"/>
  <c r="M39" i="7"/>
  <c r="P39" i="7"/>
  <c r="G42" i="6"/>
  <c r="V96" i="3"/>
  <c r="W96" i="3"/>
  <c r="X96" i="3"/>
  <c r="K40" i="7"/>
  <c r="N40" i="7"/>
  <c r="E43" i="6"/>
  <c r="M40" i="7"/>
  <c r="P40" i="7"/>
  <c r="G43" i="6"/>
  <c r="V97" i="3"/>
  <c r="W97" i="3"/>
  <c r="X97" i="3"/>
  <c r="K41" i="7"/>
  <c r="N41" i="7"/>
  <c r="E44" i="6"/>
  <c r="M41" i="7"/>
  <c r="P41" i="7"/>
  <c r="G44" i="6"/>
  <c r="V98" i="3"/>
  <c r="W98" i="3"/>
  <c r="X98" i="3"/>
  <c r="K42" i="7"/>
  <c r="N42" i="7"/>
  <c r="E45" i="6"/>
  <c r="M42" i="7"/>
  <c r="P42" i="7"/>
  <c r="G45" i="6"/>
  <c r="V99" i="3"/>
  <c r="W99" i="3"/>
  <c r="X99" i="3"/>
  <c r="K43" i="7"/>
  <c r="N43" i="7"/>
  <c r="E46" i="6"/>
  <c r="M43" i="7"/>
  <c r="P43" i="7"/>
  <c r="G46" i="6"/>
  <c r="V100" i="3"/>
  <c r="W100" i="3"/>
  <c r="X100" i="3"/>
  <c r="K44" i="7"/>
  <c r="N44" i="7"/>
  <c r="E47" i="6"/>
  <c r="M44" i="7"/>
  <c r="P44" i="7"/>
  <c r="G47" i="6"/>
  <c r="V101" i="3"/>
  <c r="W101" i="3"/>
  <c r="X101" i="3"/>
  <c r="K45" i="7"/>
  <c r="N45" i="7"/>
  <c r="E48" i="6"/>
  <c r="M45" i="7"/>
  <c r="P45" i="7"/>
  <c r="G48" i="6"/>
  <c r="V102" i="3"/>
  <c r="W102" i="3"/>
  <c r="X102" i="3"/>
  <c r="K46" i="7"/>
  <c r="N46" i="7"/>
  <c r="E49" i="6"/>
  <c r="M46" i="7"/>
  <c r="P46" i="7"/>
  <c r="G49" i="6"/>
  <c r="V103" i="3"/>
  <c r="W103" i="3"/>
  <c r="X103" i="3"/>
  <c r="K47" i="7"/>
  <c r="N47" i="7"/>
  <c r="E50" i="6"/>
  <c r="M47" i="7"/>
  <c r="P47" i="7"/>
  <c r="G50" i="6"/>
  <c r="V104" i="3"/>
  <c r="W104" i="3"/>
  <c r="X104" i="3"/>
  <c r="K48" i="7"/>
  <c r="N48" i="7"/>
  <c r="E51" i="6"/>
  <c r="M48" i="7"/>
  <c r="P48" i="7"/>
  <c r="G51" i="6"/>
  <c r="V105" i="3"/>
  <c r="W105" i="3"/>
  <c r="X105" i="3"/>
  <c r="K49" i="7"/>
  <c r="N49" i="7"/>
  <c r="E52" i="6"/>
  <c r="M49" i="7"/>
  <c r="P49" i="7"/>
  <c r="G52" i="6"/>
  <c r="V106" i="3"/>
  <c r="W106" i="3"/>
  <c r="X106" i="3"/>
  <c r="K50" i="7"/>
  <c r="N50" i="7"/>
  <c r="E53" i="6"/>
  <c r="M50" i="7"/>
  <c r="P50" i="7"/>
  <c r="G53" i="6"/>
  <c r="V107" i="3"/>
  <c r="W107" i="3"/>
  <c r="X107" i="3"/>
  <c r="K51" i="7"/>
  <c r="N51" i="7"/>
  <c r="E54" i="6"/>
  <c r="M51" i="7"/>
  <c r="P51" i="7"/>
  <c r="G54" i="6"/>
  <c r="V108" i="3"/>
  <c r="W108" i="3"/>
  <c r="X108" i="3"/>
  <c r="K52" i="7"/>
  <c r="N52" i="7"/>
  <c r="E55" i="6"/>
  <c r="M52" i="7"/>
  <c r="P52" i="7"/>
  <c r="G55" i="6"/>
  <c r="V109" i="3"/>
  <c r="W109" i="3"/>
  <c r="X109" i="3"/>
  <c r="K53" i="7"/>
  <c r="N53" i="7"/>
  <c r="E56" i="6"/>
  <c r="M53" i="7"/>
  <c r="P53" i="7"/>
  <c r="G56" i="6"/>
  <c r="V110" i="3"/>
  <c r="W110" i="3"/>
  <c r="X110" i="3"/>
  <c r="K54" i="7"/>
  <c r="N54" i="7"/>
  <c r="E57" i="6"/>
  <c r="M54" i="7"/>
  <c r="P54" i="7"/>
  <c r="G57" i="6"/>
  <c r="V111" i="3"/>
  <c r="W111" i="3"/>
  <c r="X111" i="3"/>
  <c r="K55" i="7"/>
  <c r="N55" i="7"/>
  <c r="E58" i="6"/>
  <c r="M55" i="7"/>
  <c r="P55" i="7"/>
  <c r="G58" i="6"/>
  <c r="V112" i="3"/>
  <c r="W112" i="3"/>
  <c r="X112" i="3"/>
  <c r="K56" i="7"/>
  <c r="N56" i="7"/>
  <c r="E59" i="6"/>
  <c r="M56" i="7"/>
  <c r="P56" i="7"/>
  <c r="G59" i="6"/>
  <c r="V113" i="3"/>
  <c r="W113" i="3"/>
  <c r="X113" i="3"/>
  <c r="K57" i="7"/>
  <c r="N57" i="7"/>
  <c r="E60" i="6"/>
  <c r="M57" i="7"/>
  <c r="P57" i="7"/>
  <c r="G60" i="6"/>
  <c r="V114" i="3"/>
  <c r="W114" i="3"/>
  <c r="X114" i="3"/>
  <c r="K58" i="7"/>
  <c r="N58" i="7"/>
  <c r="E61" i="6"/>
  <c r="M58" i="7"/>
  <c r="P58" i="7"/>
  <c r="G61" i="6"/>
  <c r="V115" i="3"/>
  <c r="W115" i="3"/>
  <c r="X115" i="3"/>
  <c r="K59" i="7"/>
  <c r="N59" i="7"/>
  <c r="E62" i="6"/>
  <c r="M59" i="7"/>
  <c r="P59" i="7"/>
  <c r="G62" i="6"/>
  <c r="V116" i="3"/>
  <c r="W116" i="3"/>
  <c r="X116" i="3"/>
  <c r="K60" i="7"/>
  <c r="N60" i="7"/>
  <c r="E63" i="6"/>
  <c r="M60" i="7"/>
  <c r="P60" i="7"/>
  <c r="G63" i="6"/>
  <c r="V117" i="3"/>
  <c r="W117" i="3"/>
  <c r="X117" i="3"/>
  <c r="K61" i="7"/>
  <c r="N61" i="7"/>
  <c r="E64" i="6"/>
  <c r="M61" i="7"/>
  <c r="P61" i="7"/>
  <c r="G64" i="6"/>
  <c r="V118" i="3"/>
  <c r="W118" i="3"/>
  <c r="X118" i="3"/>
  <c r="K62" i="7"/>
  <c r="N62" i="7"/>
  <c r="E65" i="6"/>
  <c r="M62" i="7"/>
  <c r="P62" i="7"/>
  <c r="G65" i="6"/>
  <c r="V119" i="3"/>
  <c r="W119" i="3"/>
  <c r="X119" i="3"/>
  <c r="K63" i="7"/>
  <c r="N63" i="7"/>
  <c r="E66" i="6"/>
  <c r="M63" i="7"/>
  <c r="P63" i="7"/>
  <c r="G66" i="6"/>
  <c r="V120" i="3"/>
  <c r="W120" i="3"/>
  <c r="X120" i="3"/>
  <c r="K64" i="7"/>
  <c r="N64" i="7"/>
  <c r="E67" i="6"/>
  <c r="M64" i="7"/>
  <c r="P64" i="7"/>
  <c r="G67" i="6"/>
  <c r="V121" i="3"/>
  <c r="W121" i="3"/>
  <c r="X121" i="3"/>
  <c r="K65" i="7"/>
  <c r="N65" i="7"/>
  <c r="E68" i="6"/>
  <c r="M65" i="7"/>
  <c r="P65" i="7"/>
  <c r="G68" i="6"/>
  <c r="V122" i="3"/>
  <c r="W122" i="3"/>
  <c r="X122" i="3"/>
  <c r="K66" i="7"/>
  <c r="N66" i="7"/>
  <c r="E69" i="6"/>
  <c r="M66" i="7"/>
  <c r="P66" i="7"/>
  <c r="G69" i="6"/>
  <c r="V123" i="3"/>
  <c r="W123" i="3"/>
  <c r="X123" i="3"/>
  <c r="K67" i="7"/>
  <c r="N67" i="7"/>
  <c r="E70" i="6"/>
  <c r="M67" i="7"/>
  <c r="P67" i="7"/>
  <c r="G70" i="6"/>
  <c r="V124" i="3"/>
  <c r="W124" i="3"/>
  <c r="X124" i="3"/>
  <c r="K68" i="7"/>
  <c r="N68" i="7"/>
  <c r="E71" i="6"/>
  <c r="M68" i="7"/>
  <c r="P68" i="7"/>
  <c r="G71" i="6"/>
  <c r="V125" i="3"/>
  <c r="W125" i="3"/>
  <c r="X125" i="3"/>
  <c r="K69" i="7"/>
  <c r="N69" i="7"/>
  <c r="E72" i="6"/>
  <c r="M69" i="7"/>
  <c r="P69" i="7"/>
  <c r="G72" i="6"/>
  <c r="V126" i="3"/>
  <c r="W126" i="3"/>
  <c r="X126" i="3"/>
  <c r="K70" i="7"/>
  <c r="N70" i="7"/>
  <c r="E73" i="6"/>
  <c r="M70" i="7"/>
  <c r="P70" i="7"/>
  <c r="G73" i="6"/>
  <c r="V127" i="3"/>
  <c r="W127" i="3"/>
  <c r="X127" i="3"/>
  <c r="K71" i="7"/>
  <c r="N71" i="7"/>
  <c r="E74" i="6"/>
  <c r="M71" i="7"/>
  <c r="P71" i="7"/>
  <c r="G74" i="6"/>
  <c r="V128" i="3"/>
  <c r="W128" i="3"/>
  <c r="X128" i="3"/>
  <c r="K72" i="7"/>
  <c r="N72" i="7"/>
  <c r="E75" i="6"/>
  <c r="M72" i="7"/>
  <c r="P72" i="7"/>
  <c r="G75" i="6"/>
  <c r="V129" i="3"/>
  <c r="W129" i="3"/>
  <c r="X129" i="3"/>
  <c r="K73" i="7"/>
  <c r="N73" i="7"/>
  <c r="E76" i="6"/>
  <c r="M73" i="7"/>
  <c r="P73" i="7"/>
  <c r="G76" i="6"/>
  <c r="V130" i="3"/>
  <c r="W130" i="3"/>
  <c r="X130" i="3"/>
  <c r="K74" i="7"/>
  <c r="N74" i="7"/>
  <c r="E77" i="6"/>
  <c r="M74" i="7"/>
  <c r="P74" i="7"/>
  <c r="G77" i="6"/>
  <c r="V131" i="3"/>
  <c r="W131" i="3"/>
  <c r="X131" i="3"/>
  <c r="K75" i="7"/>
  <c r="N75" i="7"/>
  <c r="E78" i="6"/>
  <c r="M75" i="7"/>
  <c r="P75" i="7"/>
  <c r="G78" i="6"/>
  <c r="V132" i="3"/>
  <c r="W132" i="3"/>
  <c r="X132" i="3"/>
  <c r="K76" i="7"/>
  <c r="N76" i="7"/>
  <c r="E79" i="6"/>
  <c r="M76" i="7"/>
  <c r="P76" i="7"/>
  <c r="G79" i="6"/>
  <c r="V133" i="3"/>
  <c r="W133" i="3"/>
  <c r="X133" i="3"/>
  <c r="K77" i="7"/>
  <c r="N77" i="7"/>
  <c r="E80" i="6"/>
  <c r="M77" i="7"/>
  <c r="P77" i="7"/>
  <c r="G80" i="6"/>
  <c r="V134" i="3"/>
  <c r="W134" i="3"/>
  <c r="X134" i="3"/>
  <c r="K78" i="7"/>
  <c r="N78" i="7"/>
  <c r="E81" i="6"/>
  <c r="M78" i="7"/>
  <c r="P78" i="7"/>
  <c r="G81" i="6"/>
  <c r="V135" i="3"/>
  <c r="W135" i="3"/>
  <c r="X135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G12" i="3"/>
  <c r="H12" i="3"/>
  <c r="I12" i="3"/>
  <c r="J25" i="3"/>
  <c r="H25" i="3"/>
  <c r="AE25" i="3"/>
  <c r="M12" i="3"/>
  <c r="M4" i="3"/>
  <c r="G4" i="3"/>
  <c r="H4" i="3"/>
  <c r="I4" i="3"/>
  <c r="J17" i="3"/>
  <c r="H17" i="3"/>
  <c r="M5" i="3"/>
  <c r="G5" i="3"/>
  <c r="H5" i="3"/>
  <c r="I5" i="3"/>
  <c r="J18" i="3"/>
  <c r="H18" i="3"/>
  <c r="M6" i="3"/>
  <c r="G6" i="3"/>
  <c r="H6" i="3"/>
  <c r="I6" i="3"/>
  <c r="J19" i="3"/>
  <c r="H19" i="3"/>
  <c r="M7" i="3"/>
  <c r="G7" i="3"/>
  <c r="H7" i="3"/>
  <c r="I7" i="3"/>
  <c r="J20" i="3"/>
  <c r="H20" i="3"/>
  <c r="M8" i="3"/>
  <c r="G8" i="3"/>
  <c r="H8" i="3"/>
  <c r="I8" i="3"/>
  <c r="J21" i="3"/>
  <c r="H21" i="3"/>
  <c r="M9" i="3"/>
  <c r="G9" i="3"/>
  <c r="H9" i="3"/>
  <c r="I9" i="3"/>
  <c r="J22" i="3"/>
  <c r="H22" i="3"/>
  <c r="M10" i="3"/>
  <c r="G10" i="3"/>
  <c r="H10" i="3"/>
  <c r="I10" i="3"/>
  <c r="J23" i="3"/>
  <c r="H23" i="3"/>
  <c r="M11" i="3"/>
  <c r="G11" i="3"/>
  <c r="H11" i="3"/>
  <c r="I11" i="3"/>
  <c r="J24" i="3"/>
  <c r="H24" i="3"/>
  <c r="E71" i="9"/>
  <c r="AI15" i="3"/>
  <c r="AA82" i="3"/>
  <c r="AE82" i="3"/>
  <c r="AA103" i="3"/>
  <c r="AF103" i="3"/>
  <c r="AA88" i="3"/>
  <c r="AE88" i="3"/>
  <c r="AA116" i="3"/>
  <c r="AF116" i="3"/>
  <c r="AA96" i="3"/>
  <c r="AE96" i="3"/>
  <c r="AA132" i="3"/>
  <c r="AF132" i="3"/>
  <c r="BT52" i="3"/>
  <c r="AA100" i="3"/>
  <c r="AE100" i="3"/>
  <c r="AA79" i="3"/>
  <c r="AF79" i="3"/>
  <c r="AA112" i="3"/>
  <c r="AE112" i="3"/>
  <c r="AA84" i="3"/>
  <c r="AF84" i="3"/>
  <c r="AA128" i="3"/>
  <c r="AE128" i="3"/>
  <c r="AA92" i="3"/>
  <c r="AF92" i="3"/>
  <c r="BU52" i="3"/>
  <c r="AA76" i="3"/>
  <c r="AE76" i="3"/>
  <c r="AA97" i="3"/>
  <c r="AF97" i="3"/>
  <c r="AA80" i="3"/>
  <c r="AE80" i="3"/>
  <c r="AA108" i="3"/>
  <c r="AF108" i="3"/>
  <c r="AA124" i="3"/>
  <c r="AF124" i="3"/>
  <c r="BV52" i="3"/>
  <c r="AA94" i="3"/>
  <c r="AE94" i="3"/>
  <c r="AA73" i="3"/>
  <c r="AF73" i="3"/>
  <c r="AA104" i="3"/>
  <c r="AE104" i="3"/>
  <c r="AF76" i="3"/>
  <c r="AA120" i="3"/>
  <c r="AE120" i="3"/>
  <c r="BW52" i="3"/>
  <c r="AA70" i="3"/>
  <c r="AE70" i="3"/>
  <c r="AA91" i="3"/>
  <c r="AF91" i="3"/>
  <c r="AA72" i="3"/>
  <c r="AE72" i="3"/>
  <c r="AF100" i="3"/>
  <c r="BX52" i="3"/>
  <c r="AA67" i="3"/>
  <c r="AF67" i="3"/>
  <c r="AA68" i="3"/>
  <c r="AF68" i="3"/>
  <c r="BY52" i="3"/>
  <c r="BZ51" i="3"/>
  <c r="AA64" i="3"/>
  <c r="AE64" i="3"/>
  <c r="BZ52" i="3"/>
  <c r="CA51" i="3"/>
  <c r="CA52" i="3"/>
  <c r="AE103" i="3"/>
  <c r="AF82" i="3"/>
  <c r="AE116" i="3"/>
  <c r="AF88" i="3"/>
  <c r="AE132" i="3"/>
  <c r="AF96" i="3"/>
  <c r="BS53" i="3"/>
  <c r="AA93" i="3"/>
  <c r="AE93" i="3"/>
  <c r="AF72" i="3"/>
  <c r="AA75" i="3"/>
  <c r="AF75" i="3"/>
  <c r="AE79" i="3"/>
  <c r="AA115" i="3"/>
  <c r="AF115" i="3"/>
  <c r="BU53" i="3"/>
  <c r="AA101" i="3"/>
  <c r="AF101" i="3"/>
  <c r="AA85" i="3"/>
  <c r="AE85" i="3"/>
  <c r="AA113" i="3"/>
  <c r="AF113" i="3"/>
  <c r="AA129" i="3"/>
  <c r="AF129" i="3"/>
  <c r="BV53" i="3"/>
  <c r="AE68" i="3"/>
  <c r="AA89" i="3"/>
  <c r="AF89" i="3"/>
  <c r="AA98" i="3"/>
  <c r="AF98" i="3"/>
  <c r="AA110" i="3"/>
  <c r="AE110" i="3"/>
  <c r="AA74" i="3"/>
  <c r="AF74" i="3"/>
  <c r="BW53" i="3"/>
  <c r="AA99" i="3"/>
  <c r="AE99" i="3"/>
  <c r="AA78" i="3"/>
  <c r="AF78" i="3"/>
  <c r="AA126" i="3"/>
  <c r="AE126" i="3"/>
  <c r="AA90" i="3"/>
  <c r="AF90" i="3"/>
  <c r="BX53" i="3"/>
  <c r="AF64" i="3"/>
  <c r="AA65" i="3"/>
  <c r="AF65" i="3"/>
  <c r="AA69" i="3"/>
  <c r="AE69" i="3"/>
  <c r="AA105" i="3"/>
  <c r="AF105" i="3"/>
  <c r="BY53" i="3"/>
  <c r="AA107" i="3"/>
  <c r="AF107" i="3"/>
  <c r="AA87" i="3"/>
  <c r="AE87" i="3"/>
  <c r="AA123" i="3"/>
  <c r="AF123" i="3"/>
  <c r="BZ53" i="3"/>
  <c r="CA53" i="3"/>
  <c r="AE84" i="3"/>
  <c r="AF112" i="3"/>
  <c r="AE92" i="3"/>
  <c r="AF128" i="3"/>
  <c r="BS54" i="3"/>
  <c r="AF93" i="3"/>
  <c r="AE75" i="3"/>
  <c r="AE115" i="3"/>
  <c r="BT54" i="3"/>
  <c r="AE90" i="3"/>
  <c r="AF69" i="3"/>
  <c r="AA71" i="3"/>
  <c r="AF71" i="3"/>
  <c r="AA111" i="3"/>
  <c r="AF111" i="3"/>
  <c r="BV54" i="3"/>
  <c r="AA77" i="3"/>
  <c r="AE77" i="3"/>
  <c r="AA81" i="3"/>
  <c r="AE81" i="3"/>
  <c r="AA109" i="3"/>
  <c r="AF109" i="3"/>
  <c r="AE89" i="3"/>
  <c r="AA125" i="3"/>
  <c r="AF125" i="3"/>
  <c r="BW54" i="3"/>
  <c r="AE65" i="3"/>
  <c r="AA86" i="3"/>
  <c r="AF86" i="3"/>
  <c r="AA66" i="3"/>
  <c r="AE66" i="3"/>
  <c r="AF94" i="3"/>
  <c r="AA106" i="3"/>
  <c r="AE106" i="3"/>
  <c r="AF70" i="3"/>
  <c r="BX54" i="3"/>
  <c r="AA122" i="3"/>
  <c r="AE122" i="3"/>
  <c r="BY54" i="3"/>
  <c r="AA117" i="3"/>
  <c r="AE117" i="3"/>
  <c r="BZ54" i="3"/>
  <c r="AA83" i="3"/>
  <c r="AE83" i="3"/>
  <c r="AA119" i="3"/>
  <c r="AF119" i="3"/>
  <c r="CA54" i="3"/>
  <c r="AE97" i="3"/>
  <c r="AE108" i="3"/>
  <c r="AF80" i="3"/>
  <c r="AE124" i="3"/>
  <c r="BS55" i="3"/>
  <c r="AE101" i="3"/>
  <c r="AE113" i="3"/>
  <c r="AF85" i="3"/>
  <c r="AE129" i="3"/>
  <c r="BT55" i="3"/>
  <c r="AE71" i="3"/>
  <c r="AF99" i="3"/>
  <c r="AE111" i="3"/>
  <c r="BU55" i="3"/>
  <c r="AF66" i="3"/>
  <c r="AA95" i="3"/>
  <c r="AE95" i="3"/>
  <c r="BW55" i="3"/>
  <c r="AE74" i="3"/>
  <c r="AF95" i="3"/>
  <c r="AA121" i="3"/>
  <c r="AF121" i="3"/>
  <c r="BX55" i="3"/>
  <c r="AF104" i="3"/>
  <c r="AA118" i="3"/>
  <c r="AF118" i="3"/>
  <c r="AA102" i="3"/>
  <c r="AE102" i="3"/>
  <c r="BY55" i="3"/>
  <c r="AE118" i="3"/>
  <c r="BZ55" i="3"/>
  <c r="AA133" i="3"/>
  <c r="AF133" i="3"/>
  <c r="CA55" i="3"/>
  <c r="AE73" i="3"/>
  <c r="AF120" i="3"/>
  <c r="BS56" i="3"/>
  <c r="AE98" i="3"/>
  <c r="AF110" i="3"/>
  <c r="BT56" i="3"/>
  <c r="AF77" i="3"/>
  <c r="AE109" i="3"/>
  <c r="AF81" i="3"/>
  <c r="AE125" i="3"/>
  <c r="BU56" i="3"/>
  <c r="AF87" i="3"/>
  <c r="AE67" i="3"/>
  <c r="AE107" i="3"/>
  <c r="BV56" i="3"/>
  <c r="AE105" i="3"/>
  <c r="AE119" i="3"/>
  <c r="BX56" i="3"/>
  <c r="AF117" i="3"/>
  <c r="BY56" i="3"/>
  <c r="AE86" i="3"/>
  <c r="AA114" i="3"/>
  <c r="AF114" i="3"/>
  <c r="AA134" i="3"/>
  <c r="AE134" i="3"/>
  <c r="BZ56" i="3"/>
  <c r="AE114" i="3"/>
  <c r="CA56" i="3"/>
  <c r="AE91" i="3"/>
  <c r="BS57" i="3"/>
  <c r="AE78" i="3"/>
  <c r="AF126" i="3"/>
  <c r="BT57" i="3"/>
  <c r="AF106" i="3"/>
  <c r="BU57" i="3"/>
  <c r="AE121" i="3"/>
  <c r="BV57" i="3"/>
  <c r="BW57" i="3"/>
  <c r="AA135" i="3"/>
  <c r="AF135" i="3"/>
  <c r="BY57" i="3"/>
  <c r="BZ57" i="3"/>
  <c r="AA130" i="3"/>
  <c r="AE130" i="3"/>
  <c r="CA57" i="3"/>
  <c r="BS58" i="3"/>
  <c r="BT58" i="3"/>
  <c r="AF122" i="3"/>
  <c r="BU58" i="3"/>
  <c r="AF83" i="3"/>
  <c r="AF102" i="3"/>
  <c r="BV58" i="3"/>
  <c r="BW58" i="3"/>
  <c r="AE135" i="3"/>
  <c r="BX58" i="3"/>
  <c r="AA131" i="3"/>
  <c r="AF131" i="3"/>
  <c r="BZ58" i="3"/>
  <c r="CA58" i="3"/>
  <c r="BR59" i="3"/>
  <c r="BS59" i="3"/>
  <c r="AE123" i="3"/>
  <c r="BT59" i="3"/>
  <c r="BU59" i="3"/>
  <c r="BV59" i="3"/>
  <c r="AF134" i="3"/>
  <c r="BW59" i="3"/>
  <c r="BX59" i="3"/>
  <c r="AE131" i="3"/>
  <c r="BY59" i="3"/>
  <c r="AA127" i="3"/>
  <c r="AE127" i="3"/>
  <c r="AE133" i="3"/>
  <c r="AF127" i="3"/>
  <c r="AF130" i="3"/>
  <c r="CA59" i="3"/>
  <c r="BR60" i="3"/>
  <c r="BS60" i="3"/>
  <c r="BT60" i="3"/>
  <c r="BU60" i="3"/>
  <c r="BV60" i="3"/>
  <c r="BW60" i="3"/>
  <c r="BX60" i="3"/>
  <c r="BY60" i="3"/>
  <c r="BZ60" i="3"/>
  <c r="BT30" i="3"/>
  <c r="BS31" i="3"/>
  <c r="BT41" i="3"/>
  <c r="BU30" i="3"/>
  <c r="BS32" i="3"/>
  <c r="BU41" i="3"/>
  <c r="BV30" i="3"/>
  <c r="BS33" i="3"/>
  <c r="BV41" i="3"/>
  <c r="BW30" i="3"/>
  <c r="BS34" i="3"/>
  <c r="BW41" i="3"/>
  <c r="BX30" i="3"/>
  <c r="BS35" i="3"/>
  <c r="BX41" i="3"/>
  <c r="BY30" i="3"/>
  <c r="BS36" i="3"/>
  <c r="BY41" i="3"/>
  <c r="BZ29" i="3"/>
  <c r="BZ30" i="3"/>
  <c r="BR37" i="3"/>
  <c r="BS37" i="3"/>
  <c r="BZ41" i="3"/>
  <c r="CA29" i="3"/>
  <c r="CA30" i="3"/>
  <c r="BR38" i="3"/>
  <c r="BS38" i="3"/>
  <c r="CA41" i="3"/>
  <c r="BS42" i="3"/>
  <c r="BU31" i="3"/>
  <c r="BT32" i="3"/>
  <c r="BU42" i="3"/>
  <c r="BV31" i="3"/>
  <c r="BT33" i="3"/>
  <c r="BV42" i="3"/>
  <c r="BW31" i="3"/>
  <c r="BT34" i="3"/>
  <c r="BW42" i="3"/>
  <c r="BX31" i="3"/>
  <c r="BT35" i="3"/>
  <c r="BX42" i="3"/>
  <c r="BY31" i="3"/>
  <c r="BT36" i="3"/>
  <c r="BY42" i="3"/>
  <c r="BZ31" i="3"/>
  <c r="BT37" i="3"/>
  <c r="BZ42" i="3"/>
  <c r="CA31" i="3"/>
  <c r="BT38" i="3"/>
  <c r="CA42" i="3"/>
  <c r="BS43" i="3"/>
  <c r="BT43" i="3"/>
  <c r="BV32" i="3"/>
  <c r="BU33" i="3"/>
  <c r="BV43" i="3"/>
  <c r="BW32" i="3"/>
  <c r="BU34" i="3"/>
  <c r="BW43" i="3"/>
  <c r="BX32" i="3"/>
  <c r="BU35" i="3"/>
  <c r="BX43" i="3"/>
  <c r="BY32" i="3"/>
  <c r="BU36" i="3"/>
  <c r="BY43" i="3"/>
  <c r="BZ32" i="3"/>
  <c r="BU37" i="3"/>
  <c r="BZ43" i="3"/>
  <c r="CA32" i="3"/>
  <c r="BU38" i="3"/>
  <c r="CA43" i="3"/>
  <c r="BS44" i="3"/>
  <c r="BT44" i="3"/>
  <c r="BU44" i="3"/>
  <c r="BW33" i="3"/>
  <c r="BV34" i="3"/>
  <c r="BW44" i="3"/>
  <c r="BX33" i="3"/>
  <c r="BV35" i="3"/>
  <c r="BX44" i="3"/>
  <c r="BY33" i="3"/>
  <c r="BV36" i="3"/>
  <c r="BY44" i="3"/>
  <c r="BZ33" i="3"/>
  <c r="BV37" i="3"/>
  <c r="BZ44" i="3"/>
  <c r="CA33" i="3"/>
  <c r="BV38" i="3"/>
  <c r="CA44" i="3"/>
  <c r="BS45" i="3"/>
  <c r="BT45" i="3"/>
  <c r="BU45" i="3"/>
  <c r="BV45" i="3"/>
  <c r="BX34" i="3"/>
  <c r="BW35" i="3"/>
  <c r="BX45" i="3"/>
  <c r="BY34" i="3"/>
  <c r="BW36" i="3"/>
  <c r="BY45" i="3"/>
  <c r="BZ34" i="3"/>
  <c r="BW37" i="3"/>
  <c r="BZ45" i="3"/>
  <c r="CA34" i="3"/>
  <c r="BW38" i="3"/>
  <c r="CA45" i="3"/>
  <c r="BS46" i="3"/>
  <c r="BT46" i="3"/>
  <c r="BU46" i="3"/>
  <c r="BV46" i="3"/>
  <c r="BW46" i="3"/>
  <c r="BY35" i="3"/>
  <c r="BX36" i="3"/>
  <c r="BY46" i="3"/>
  <c r="BZ35" i="3"/>
  <c r="BX37" i="3"/>
  <c r="BZ46" i="3"/>
  <c r="CA35" i="3"/>
  <c r="BX38" i="3"/>
  <c r="CA46" i="3"/>
  <c r="BS47" i="3"/>
  <c r="BT47" i="3"/>
  <c r="BU47" i="3"/>
  <c r="BV47" i="3"/>
  <c r="BW47" i="3"/>
  <c r="BX47" i="3"/>
  <c r="BZ36" i="3"/>
  <c r="BY37" i="3"/>
  <c r="BZ47" i="3"/>
  <c r="CA36" i="3"/>
  <c r="BY38" i="3"/>
  <c r="CA47" i="3"/>
  <c r="BS48" i="3"/>
  <c r="BT48" i="3"/>
  <c r="BU48" i="3"/>
  <c r="BV48" i="3"/>
  <c r="BW48" i="3"/>
  <c r="BX48" i="3"/>
  <c r="BY48" i="3"/>
  <c r="CA37" i="3"/>
  <c r="BZ38" i="3"/>
  <c r="CA48" i="3"/>
  <c r="BS49" i="3"/>
  <c r="BT49" i="3"/>
  <c r="BU49" i="3"/>
  <c r="BV49" i="3"/>
  <c r="BW49" i="3"/>
  <c r="BX49" i="3"/>
  <c r="BY49" i="3"/>
  <c r="BZ49" i="3"/>
  <c r="AE24" i="3"/>
  <c r="AE23" i="3"/>
  <c r="AE22" i="3"/>
  <c r="AE21" i="3"/>
  <c r="AE20" i="3"/>
  <c r="AE19" i="3"/>
  <c r="AE18" i="3"/>
  <c r="AE17" i="3"/>
  <c r="Q67" i="3"/>
  <c r="F7" i="3"/>
  <c r="Q68" i="3"/>
  <c r="F8" i="3"/>
  <c r="Q69" i="3"/>
  <c r="F9" i="3"/>
  <c r="Q70" i="3"/>
  <c r="F10" i="3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6" i="7"/>
  <c r="X3" i="7"/>
  <c r="C4" i="9"/>
  <c r="E75" i="9"/>
  <c r="E77" i="9"/>
  <c r="S16" i="7"/>
  <c r="Q66" i="3"/>
  <c r="F6" i="3"/>
  <c r="Q65" i="3"/>
  <c r="F5" i="3"/>
  <c r="Q64" i="3"/>
  <c r="F4" i="3"/>
  <c r="E66" i="9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B13" i="3"/>
  <c r="I48" i="7"/>
  <c r="I18" i="7"/>
  <c r="I12" i="7"/>
  <c r="I14" i="7"/>
  <c r="I9" i="7"/>
  <c r="I62" i="7"/>
  <c r="I78" i="7"/>
  <c r="I34" i="7"/>
  <c r="I27" i="7"/>
  <c r="T14" i="7"/>
  <c r="E80" i="9"/>
  <c r="U12" i="7"/>
  <c r="E76" i="9"/>
  <c r="I7" i="7"/>
  <c r="C3" i="17"/>
  <c r="I8" i="7"/>
  <c r="C4" i="17"/>
  <c r="C5" i="17"/>
  <c r="I10" i="7"/>
  <c r="C6" i="17"/>
  <c r="I11" i="7"/>
  <c r="C7" i="17"/>
  <c r="C8" i="17"/>
  <c r="I13" i="7"/>
  <c r="C9" i="17"/>
  <c r="C10" i="17"/>
  <c r="I15" i="7"/>
  <c r="C11" i="17"/>
  <c r="I16" i="7"/>
  <c r="C12" i="17"/>
  <c r="I17" i="7"/>
  <c r="C13" i="17"/>
  <c r="C14" i="17"/>
  <c r="I19" i="7"/>
  <c r="C15" i="17"/>
  <c r="I20" i="7"/>
  <c r="C16" i="17"/>
  <c r="I21" i="7"/>
  <c r="C17" i="17"/>
  <c r="I22" i="7"/>
  <c r="C18" i="17"/>
  <c r="I23" i="7"/>
  <c r="C19" i="17"/>
  <c r="I24" i="7"/>
  <c r="C20" i="17"/>
  <c r="I25" i="7"/>
  <c r="C21" i="17"/>
  <c r="I26" i="7"/>
  <c r="C22" i="17"/>
  <c r="C23" i="17"/>
  <c r="I28" i="7"/>
  <c r="C24" i="17"/>
  <c r="I29" i="7"/>
  <c r="C25" i="17"/>
  <c r="I30" i="7"/>
  <c r="C26" i="17"/>
  <c r="I31" i="7"/>
  <c r="C27" i="17"/>
  <c r="I32" i="7"/>
  <c r="C28" i="17"/>
  <c r="I33" i="7"/>
  <c r="C29" i="17"/>
  <c r="C30" i="17"/>
  <c r="I35" i="7"/>
  <c r="C31" i="17"/>
  <c r="I36" i="7"/>
  <c r="C32" i="17"/>
  <c r="I37" i="7"/>
  <c r="C33" i="17"/>
  <c r="I38" i="7"/>
  <c r="C34" i="17"/>
  <c r="I39" i="7"/>
  <c r="C35" i="17"/>
  <c r="I40" i="7"/>
  <c r="C36" i="17"/>
  <c r="I41" i="7"/>
  <c r="C37" i="17"/>
  <c r="I42" i="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E2" i="17"/>
  <c r="CL7" i="7"/>
  <c r="CK7" i="7"/>
  <c r="CL8" i="7"/>
  <c r="CK8" i="7"/>
  <c r="CL9" i="7"/>
  <c r="CK9" i="7"/>
  <c r="CL10" i="7"/>
  <c r="CK10" i="7"/>
  <c r="CL11" i="7"/>
  <c r="CK11" i="7"/>
  <c r="CL12" i="7"/>
  <c r="CK12" i="7"/>
  <c r="CL13" i="7"/>
  <c r="CK13" i="7"/>
  <c r="CL14" i="7"/>
  <c r="CK14" i="7"/>
  <c r="CL15" i="7"/>
  <c r="CK15" i="7"/>
  <c r="CL16" i="7"/>
  <c r="CK16" i="7"/>
  <c r="CL17" i="7"/>
  <c r="CK17" i="7"/>
  <c r="CL18" i="7"/>
  <c r="CK18" i="7"/>
  <c r="CL19" i="7"/>
  <c r="CK19" i="7"/>
  <c r="CL20" i="7"/>
  <c r="CK20" i="7"/>
  <c r="CL21" i="7"/>
  <c r="CK21" i="7"/>
  <c r="CL22" i="7"/>
  <c r="CK22" i="7"/>
  <c r="CL23" i="7"/>
  <c r="CK23" i="7"/>
  <c r="CL24" i="7"/>
  <c r="CK24" i="7"/>
  <c r="CL25" i="7"/>
  <c r="CK25" i="7"/>
  <c r="CL26" i="7"/>
  <c r="CK26" i="7"/>
  <c r="CL27" i="7"/>
  <c r="CK27" i="7"/>
  <c r="CL28" i="7"/>
  <c r="CK28" i="7"/>
  <c r="CL29" i="7"/>
  <c r="CK29" i="7"/>
  <c r="CL30" i="7"/>
  <c r="CK30" i="7"/>
  <c r="CL31" i="7"/>
  <c r="CK31" i="7"/>
  <c r="CL32" i="7"/>
  <c r="CK32" i="7"/>
  <c r="CL33" i="7"/>
  <c r="CK33" i="7"/>
  <c r="CL34" i="7"/>
  <c r="CK34" i="7"/>
  <c r="CL35" i="7"/>
  <c r="CK35" i="7"/>
  <c r="CL36" i="7"/>
  <c r="CK36" i="7"/>
  <c r="CL37" i="7"/>
  <c r="CK37" i="7"/>
  <c r="CL38" i="7"/>
  <c r="CK38" i="7"/>
  <c r="CL39" i="7"/>
  <c r="CK39" i="7"/>
  <c r="CL40" i="7"/>
  <c r="CK40" i="7"/>
  <c r="CL41" i="7"/>
  <c r="CK41" i="7"/>
  <c r="CL42" i="7"/>
  <c r="CK42" i="7"/>
  <c r="CL43" i="7"/>
  <c r="I43" i="7"/>
  <c r="CK43" i="7"/>
  <c r="CL44" i="7"/>
  <c r="CK44" i="7"/>
  <c r="CL45" i="7"/>
  <c r="CK45" i="7"/>
  <c r="CL46" i="7"/>
  <c r="CK46" i="7"/>
  <c r="CL47" i="7"/>
  <c r="I47" i="7"/>
  <c r="CK47" i="7"/>
  <c r="CL48" i="7"/>
  <c r="CK48" i="7"/>
  <c r="CL49" i="7"/>
  <c r="CK49" i="7"/>
  <c r="CL50" i="7"/>
  <c r="CK50" i="7"/>
  <c r="CL51" i="7"/>
  <c r="CK51" i="7"/>
  <c r="CL52" i="7"/>
  <c r="I52" i="7"/>
  <c r="CK52" i="7"/>
  <c r="CL53" i="7"/>
  <c r="CK53" i="7"/>
  <c r="CL54" i="7"/>
  <c r="CK54" i="7"/>
  <c r="CL55" i="7"/>
  <c r="CK55" i="7"/>
  <c r="CL56" i="7"/>
  <c r="CK56" i="7"/>
  <c r="CL57" i="7"/>
  <c r="I57" i="7"/>
  <c r="CK57" i="7"/>
  <c r="CL58" i="7"/>
  <c r="CK58" i="7"/>
  <c r="CL59" i="7"/>
  <c r="CK59" i="7"/>
  <c r="CL60" i="7"/>
  <c r="CK60" i="7"/>
  <c r="CL61" i="7"/>
  <c r="CK61" i="7"/>
  <c r="CL62" i="7"/>
  <c r="CK62" i="7"/>
  <c r="CL63" i="7"/>
  <c r="CK63" i="7"/>
  <c r="CL64" i="7"/>
  <c r="CK64" i="7"/>
  <c r="CL65" i="7"/>
  <c r="CK65" i="7"/>
  <c r="CL66" i="7"/>
  <c r="CK66" i="7"/>
  <c r="CL67" i="7"/>
  <c r="CK67" i="7"/>
  <c r="CL68" i="7"/>
  <c r="CK68" i="7"/>
  <c r="CL69" i="7"/>
  <c r="CK69" i="7"/>
  <c r="CL70" i="7"/>
  <c r="I70" i="7"/>
  <c r="CK70" i="7"/>
  <c r="CL71" i="7"/>
  <c r="CK71" i="7"/>
  <c r="CL72" i="7"/>
  <c r="CK72" i="7"/>
  <c r="CL73" i="7"/>
  <c r="I73" i="7"/>
  <c r="CK73" i="7"/>
  <c r="CL74" i="7"/>
  <c r="CK74" i="7"/>
  <c r="CL75" i="7"/>
  <c r="CK75" i="7"/>
  <c r="CL76" i="7"/>
  <c r="I76" i="7"/>
  <c r="CK76" i="7"/>
  <c r="CL77" i="7"/>
  <c r="CK77" i="7"/>
  <c r="CL78" i="7"/>
  <c r="CK78" i="7"/>
  <c r="CN78" i="7"/>
  <c r="CP78" i="7"/>
  <c r="J7" i="7"/>
  <c r="CM7" i="7"/>
  <c r="CM8" i="7"/>
  <c r="CO78" i="7"/>
  <c r="CD7" i="7"/>
  <c r="CC7" i="7"/>
  <c r="CD8" i="7"/>
  <c r="CC8" i="7"/>
  <c r="CD9" i="7"/>
  <c r="CC9" i="7"/>
  <c r="CD10" i="7"/>
  <c r="CC10" i="7"/>
  <c r="CD11" i="7"/>
  <c r="CC11" i="7"/>
  <c r="CD12" i="7"/>
  <c r="CC12" i="7"/>
  <c r="CD13" i="7"/>
  <c r="CC13" i="7"/>
  <c r="CD14" i="7"/>
  <c r="CC14" i="7"/>
  <c r="CD15" i="7"/>
  <c r="CC15" i="7"/>
  <c r="CD16" i="7"/>
  <c r="CC16" i="7"/>
  <c r="CD17" i="7"/>
  <c r="CC17" i="7"/>
  <c r="CD18" i="7"/>
  <c r="CC18" i="7"/>
  <c r="CD19" i="7"/>
  <c r="CC19" i="7"/>
  <c r="CD20" i="7"/>
  <c r="CC20" i="7"/>
  <c r="CD21" i="7"/>
  <c r="CC21" i="7"/>
  <c r="CD22" i="7"/>
  <c r="CC22" i="7"/>
  <c r="CD23" i="7"/>
  <c r="CC23" i="7"/>
  <c r="CD24" i="7"/>
  <c r="CC24" i="7"/>
  <c r="CD25" i="7"/>
  <c r="CC25" i="7"/>
  <c r="CD26" i="7"/>
  <c r="CC26" i="7"/>
  <c r="CD27" i="7"/>
  <c r="CC27" i="7"/>
  <c r="CD28" i="7"/>
  <c r="CC28" i="7"/>
  <c r="CD29" i="7"/>
  <c r="CC29" i="7"/>
  <c r="CD30" i="7"/>
  <c r="CC30" i="7"/>
  <c r="CD31" i="7"/>
  <c r="CC31" i="7"/>
  <c r="CD32" i="7"/>
  <c r="CC32" i="7"/>
  <c r="CD33" i="7"/>
  <c r="CC33" i="7"/>
  <c r="CD34" i="7"/>
  <c r="CC34" i="7"/>
  <c r="CD35" i="7"/>
  <c r="CC35" i="7"/>
  <c r="CD36" i="7"/>
  <c r="CC36" i="7"/>
  <c r="CD37" i="7"/>
  <c r="CC37" i="7"/>
  <c r="CD38" i="7"/>
  <c r="CC38" i="7"/>
  <c r="CD39" i="7"/>
  <c r="CC39" i="7"/>
  <c r="CD40" i="7"/>
  <c r="CC40" i="7"/>
  <c r="CD41" i="7"/>
  <c r="CC41" i="7"/>
  <c r="CD42" i="7"/>
  <c r="CC42" i="7"/>
  <c r="CD43" i="7"/>
  <c r="CC43" i="7"/>
  <c r="CD44" i="7"/>
  <c r="I44" i="7"/>
  <c r="CC44" i="7"/>
  <c r="CD45" i="7"/>
  <c r="I45" i="7"/>
  <c r="CC45" i="7"/>
  <c r="CD46" i="7"/>
  <c r="CC46" i="7"/>
  <c r="CD47" i="7"/>
  <c r="CC47" i="7"/>
  <c r="CD48" i="7"/>
  <c r="CC48" i="7"/>
  <c r="CD49" i="7"/>
  <c r="CC49" i="7"/>
  <c r="CD50" i="7"/>
  <c r="I50" i="7"/>
  <c r="CC50" i="7"/>
  <c r="CD51" i="7"/>
  <c r="I51" i="7"/>
  <c r="CC51" i="7"/>
  <c r="CD52" i="7"/>
  <c r="CC52" i="7"/>
  <c r="CD53" i="7"/>
  <c r="CC53" i="7"/>
  <c r="CD54" i="7"/>
  <c r="I54" i="7"/>
  <c r="CC54" i="7"/>
  <c r="CD55" i="7"/>
  <c r="CC55" i="7"/>
  <c r="CD56" i="7"/>
  <c r="I56" i="7"/>
  <c r="CC56" i="7"/>
  <c r="CD57" i="7"/>
  <c r="CC57" i="7"/>
  <c r="CD58" i="7"/>
  <c r="CC58" i="7"/>
  <c r="CD59" i="7"/>
  <c r="CC59" i="7"/>
  <c r="CD60" i="7"/>
  <c r="I60" i="7"/>
  <c r="CC60" i="7"/>
  <c r="CD61" i="7"/>
  <c r="I61" i="7"/>
  <c r="CC61" i="7"/>
  <c r="CD62" i="7"/>
  <c r="CC62" i="7"/>
  <c r="CD63" i="7"/>
  <c r="CC63" i="7"/>
  <c r="CD64" i="7"/>
  <c r="CC64" i="7"/>
  <c r="CD65" i="7"/>
  <c r="CC65" i="7"/>
  <c r="CD66" i="7"/>
  <c r="I66" i="7"/>
  <c r="CC66" i="7"/>
  <c r="CD67" i="7"/>
  <c r="CC67" i="7"/>
  <c r="CD68" i="7"/>
  <c r="CC68" i="7"/>
  <c r="CD69" i="7"/>
  <c r="CC69" i="7"/>
  <c r="CD70" i="7"/>
  <c r="CC70" i="7"/>
  <c r="CD71" i="7"/>
  <c r="CC71" i="7"/>
  <c r="CD72" i="7"/>
  <c r="CC72" i="7"/>
  <c r="CD73" i="7"/>
  <c r="CC73" i="7"/>
  <c r="CD74" i="7"/>
  <c r="I74" i="7"/>
  <c r="CC74" i="7"/>
  <c r="CD75" i="7"/>
  <c r="CC75" i="7"/>
  <c r="CD76" i="7"/>
  <c r="CC76" i="7"/>
  <c r="CD77" i="7"/>
  <c r="I77" i="7"/>
  <c r="CC77" i="7"/>
  <c r="CD78" i="7"/>
  <c r="CC78" i="7"/>
  <c r="CF78" i="7"/>
  <c r="CH78" i="7"/>
  <c r="CE7" i="7"/>
  <c r="J8" i="7"/>
  <c r="CE8" i="7"/>
  <c r="CG78" i="7"/>
  <c r="BV7" i="7"/>
  <c r="BU7" i="7"/>
  <c r="BV8" i="7"/>
  <c r="BU8" i="7"/>
  <c r="BV9" i="7"/>
  <c r="BU9" i="7"/>
  <c r="BV10" i="7"/>
  <c r="BU10" i="7"/>
  <c r="BV11" i="7"/>
  <c r="BU11" i="7"/>
  <c r="BV12" i="7"/>
  <c r="BU12" i="7"/>
  <c r="BV13" i="7"/>
  <c r="BU13" i="7"/>
  <c r="BV14" i="7"/>
  <c r="BU14" i="7"/>
  <c r="BV15" i="7"/>
  <c r="BU15" i="7"/>
  <c r="BV16" i="7"/>
  <c r="BU16" i="7"/>
  <c r="BV17" i="7"/>
  <c r="BU17" i="7"/>
  <c r="BV18" i="7"/>
  <c r="BU18" i="7"/>
  <c r="BV19" i="7"/>
  <c r="BU19" i="7"/>
  <c r="BV20" i="7"/>
  <c r="BU20" i="7"/>
  <c r="BV21" i="7"/>
  <c r="BU21" i="7"/>
  <c r="BV22" i="7"/>
  <c r="BU22" i="7"/>
  <c r="BV23" i="7"/>
  <c r="BU23" i="7"/>
  <c r="BV24" i="7"/>
  <c r="BU24" i="7"/>
  <c r="BV25" i="7"/>
  <c r="BU25" i="7"/>
  <c r="BV26" i="7"/>
  <c r="BU26" i="7"/>
  <c r="BV27" i="7"/>
  <c r="BU27" i="7"/>
  <c r="BV28" i="7"/>
  <c r="BU28" i="7"/>
  <c r="BV29" i="7"/>
  <c r="BU29" i="7"/>
  <c r="BV30" i="7"/>
  <c r="BU30" i="7"/>
  <c r="BV31" i="7"/>
  <c r="BU31" i="7"/>
  <c r="BV32" i="7"/>
  <c r="BU32" i="7"/>
  <c r="BV33" i="7"/>
  <c r="BU33" i="7"/>
  <c r="BV34" i="7"/>
  <c r="BU34" i="7"/>
  <c r="BV35" i="7"/>
  <c r="BU35" i="7"/>
  <c r="BV36" i="7"/>
  <c r="BU36" i="7"/>
  <c r="BV37" i="7"/>
  <c r="BU37" i="7"/>
  <c r="BV38" i="7"/>
  <c r="BU38" i="7"/>
  <c r="BV39" i="7"/>
  <c r="BU39" i="7"/>
  <c r="BV40" i="7"/>
  <c r="BU40" i="7"/>
  <c r="BV41" i="7"/>
  <c r="BU41" i="7"/>
  <c r="BV42" i="7"/>
  <c r="BU42" i="7"/>
  <c r="BV43" i="7"/>
  <c r="BU43" i="7"/>
  <c r="BV44" i="7"/>
  <c r="BU44" i="7"/>
  <c r="BV45" i="7"/>
  <c r="BU45" i="7"/>
  <c r="BV46" i="7"/>
  <c r="BU46" i="7"/>
  <c r="BV47" i="7"/>
  <c r="BU47" i="7"/>
  <c r="BV48" i="7"/>
  <c r="BU48" i="7"/>
  <c r="BV49" i="7"/>
  <c r="I49" i="7"/>
  <c r="BU49" i="7"/>
  <c r="BV50" i="7"/>
  <c r="BU50" i="7"/>
  <c r="BV51" i="7"/>
  <c r="BU51" i="7"/>
  <c r="BV52" i="7"/>
  <c r="BU52" i="7"/>
  <c r="BV53" i="7"/>
  <c r="BU53" i="7"/>
  <c r="BV54" i="7"/>
  <c r="BU54" i="7"/>
  <c r="BV55" i="7"/>
  <c r="I55" i="7"/>
  <c r="BU55" i="7"/>
  <c r="BV56" i="7"/>
  <c r="BU56" i="7"/>
  <c r="BV57" i="7"/>
  <c r="BU57" i="7"/>
  <c r="BV58" i="7"/>
  <c r="I58" i="7"/>
  <c r="BU58" i="7"/>
  <c r="BV59" i="7"/>
  <c r="BU59" i="7"/>
  <c r="BV60" i="7"/>
  <c r="BU60" i="7"/>
  <c r="BV61" i="7"/>
  <c r="BU61" i="7"/>
  <c r="BV62" i="7"/>
  <c r="BU62" i="7"/>
  <c r="BV63" i="7"/>
  <c r="BU63" i="7"/>
  <c r="BV64" i="7"/>
  <c r="BU64" i="7"/>
  <c r="BV65" i="7"/>
  <c r="I65" i="7"/>
  <c r="BU65" i="7"/>
  <c r="BV66" i="7"/>
  <c r="BU66" i="7"/>
  <c r="BV67" i="7"/>
  <c r="BU67" i="7"/>
  <c r="BV68" i="7"/>
  <c r="BU68" i="7"/>
  <c r="BV69" i="7"/>
  <c r="BU69" i="7"/>
  <c r="BV70" i="7"/>
  <c r="BU70" i="7"/>
  <c r="BV71" i="7"/>
  <c r="BU71" i="7"/>
  <c r="BV72" i="7"/>
  <c r="BU72" i="7"/>
  <c r="BV73" i="7"/>
  <c r="BU73" i="7"/>
  <c r="BV74" i="7"/>
  <c r="BU74" i="7"/>
  <c r="BV75" i="7"/>
  <c r="BU75" i="7"/>
  <c r="BV76" i="7"/>
  <c r="BU76" i="7"/>
  <c r="BV77" i="7"/>
  <c r="BU77" i="7"/>
  <c r="BV78" i="7"/>
  <c r="BU78" i="7"/>
  <c r="BX78" i="7"/>
  <c r="BZ78" i="7"/>
  <c r="BW8" i="7"/>
  <c r="BW7" i="7"/>
  <c r="BY78" i="7"/>
  <c r="BN7" i="7"/>
  <c r="BM7" i="7"/>
  <c r="BN8" i="7"/>
  <c r="BM8" i="7"/>
  <c r="BN9" i="7"/>
  <c r="BM9" i="7"/>
  <c r="BN10" i="7"/>
  <c r="BM10" i="7"/>
  <c r="BN11" i="7"/>
  <c r="BM11" i="7"/>
  <c r="BN12" i="7"/>
  <c r="BM12" i="7"/>
  <c r="BN13" i="7"/>
  <c r="BM13" i="7"/>
  <c r="BN14" i="7"/>
  <c r="BM14" i="7"/>
  <c r="BN15" i="7"/>
  <c r="BM15" i="7"/>
  <c r="BN16" i="7"/>
  <c r="BM16" i="7"/>
  <c r="BN17" i="7"/>
  <c r="BM17" i="7"/>
  <c r="BN18" i="7"/>
  <c r="BM18" i="7"/>
  <c r="BN19" i="7"/>
  <c r="BM19" i="7"/>
  <c r="BN20" i="7"/>
  <c r="BM20" i="7"/>
  <c r="BN21" i="7"/>
  <c r="BM21" i="7"/>
  <c r="BN22" i="7"/>
  <c r="BM22" i="7"/>
  <c r="BN23" i="7"/>
  <c r="BM23" i="7"/>
  <c r="BN24" i="7"/>
  <c r="BM24" i="7"/>
  <c r="BN25" i="7"/>
  <c r="BM25" i="7"/>
  <c r="BN26" i="7"/>
  <c r="BM26" i="7"/>
  <c r="BN27" i="7"/>
  <c r="BM27" i="7"/>
  <c r="BN28" i="7"/>
  <c r="BM28" i="7"/>
  <c r="BN29" i="7"/>
  <c r="BM29" i="7"/>
  <c r="BN30" i="7"/>
  <c r="BM30" i="7"/>
  <c r="BN31" i="7"/>
  <c r="BM31" i="7"/>
  <c r="BN32" i="7"/>
  <c r="BM32" i="7"/>
  <c r="BN33" i="7"/>
  <c r="BM33" i="7"/>
  <c r="BN34" i="7"/>
  <c r="BM34" i="7"/>
  <c r="BN35" i="7"/>
  <c r="BM35" i="7"/>
  <c r="BN36" i="7"/>
  <c r="BM36" i="7"/>
  <c r="BN37" i="7"/>
  <c r="BM37" i="7"/>
  <c r="BN38" i="7"/>
  <c r="BM38" i="7"/>
  <c r="BN39" i="7"/>
  <c r="BM39" i="7"/>
  <c r="BN40" i="7"/>
  <c r="BM40" i="7"/>
  <c r="BN41" i="7"/>
  <c r="BM41" i="7"/>
  <c r="BN42" i="7"/>
  <c r="BM42" i="7"/>
  <c r="BN43" i="7"/>
  <c r="BM43" i="7"/>
  <c r="BN44" i="7"/>
  <c r="BM44" i="7"/>
  <c r="BN45" i="7"/>
  <c r="BM45" i="7"/>
  <c r="BN46" i="7"/>
  <c r="I46" i="7"/>
  <c r="BM46" i="7"/>
  <c r="BN47" i="7"/>
  <c r="BM47" i="7"/>
  <c r="BN48" i="7"/>
  <c r="BM48" i="7"/>
  <c r="BN49" i="7"/>
  <c r="BM49" i="7"/>
  <c r="BN50" i="7"/>
  <c r="BM50" i="7"/>
  <c r="BN51" i="7"/>
  <c r="BM51" i="7"/>
  <c r="BN52" i="7"/>
  <c r="BM52" i="7"/>
  <c r="BN53" i="7"/>
  <c r="I53" i="7"/>
  <c r="BM53" i="7"/>
  <c r="BN54" i="7"/>
  <c r="BM54" i="7"/>
  <c r="BN55" i="7"/>
  <c r="BM55" i="7"/>
  <c r="BN56" i="7"/>
  <c r="BM56" i="7"/>
  <c r="BN57" i="7"/>
  <c r="BM57" i="7"/>
  <c r="BN58" i="7"/>
  <c r="BM58" i="7"/>
  <c r="BN59" i="7"/>
  <c r="I59" i="7"/>
  <c r="BM59" i="7"/>
  <c r="BN60" i="7"/>
  <c r="BM60" i="7"/>
  <c r="BN61" i="7"/>
  <c r="BM61" i="7"/>
  <c r="BN62" i="7"/>
  <c r="BM62" i="7"/>
  <c r="BN63" i="7"/>
  <c r="BM63" i="7"/>
  <c r="BN64" i="7"/>
  <c r="I64" i="7"/>
  <c r="BM64" i="7"/>
  <c r="BN65" i="7"/>
  <c r="BM65" i="7"/>
  <c r="BN66" i="7"/>
  <c r="BM66" i="7"/>
  <c r="BN67" i="7"/>
  <c r="BM67" i="7"/>
  <c r="BN68" i="7"/>
  <c r="BM68" i="7"/>
  <c r="BN69" i="7"/>
  <c r="I69" i="7"/>
  <c r="BM69" i="7"/>
  <c r="BN70" i="7"/>
  <c r="BM70" i="7"/>
  <c r="BN71" i="7"/>
  <c r="BM71" i="7"/>
  <c r="BN72" i="7"/>
  <c r="BM72" i="7"/>
  <c r="BN73" i="7"/>
  <c r="BM73" i="7"/>
  <c r="BN74" i="7"/>
  <c r="BM74" i="7"/>
  <c r="BN75" i="7"/>
  <c r="BM75" i="7"/>
  <c r="BN76" i="7"/>
  <c r="BM76" i="7"/>
  <c r="BN77" i="7"/>
  <c r="BM77" i="7"/>
  <c r="BN78" i="7"/>
  <c r="BM78" i="7"/>
  <c r="BP78" i="7"/>
  <c r="BR78" i="7"/>
  <c r="BO7" i="7"/>
  <c r="BQ78" i="7"/>
  <c r="BF7" i="7"/>
  <c r="BE7" i="7"/>
  <c r="BF8" i="7"/>
  <c r="BE8" i="7"/>
  <c r="BF9" i="7"/>
  <c r="BE9" i="7"/>
  <c r="BF10" i="7"/>
  <c r="BE10" i="7"/>
  <c r="BF11" i="7"/>
  <c r="BE11" i="7"/>
  <c r="BF12" i="7"/>
  <c r="BE12" i="7"/>
  <c r="BF13" i="7"/>
  <c r="BE13" i="7"/>
  <c r="BF14" i="7"/>
  <c r="BE14" i="7"/>
  <c r="BF15" i="7"/>
  <c r="BE15" i="7"/>
  <c r="BF16" i="7"/>
  <c r="BE16" i="7"/>
  <c r="BF17" i="7"/>
  <c r="BE17" i="7"/>
  <c r="BF18" i="7"/>
  <c r="BE18" i="7"/>
  <c r="BF19" i="7"/>
  <c r="BE19" i="7"/>
  <c r="BF20" i="7"/>
  <c r="BE20" i="7"/>
  <c r="BF21" i="7"/>
  <c r="BE21" i="7"/>
  <c r="BF22" i="7"/>
  <c r="BE22" i="7"/>
  <c r="BF23" i="7"/>
  <c r="BE23" i="7"/>
  <c r="BF24" i="7"/>
  <c r="BE24" i="7"/>
  <c r="BF25" i="7"/>
  <c r="BE25" i="7"/>
  <c r="BF26" i="7"/>
  <c r="BE26" i="7"/>
  <c r="BF27" i="7"/>
  <c r="BE27" i="7"/>
  <c r="BF28" i="7"/>
  <c r="BE28" i="7"/>
  <c r="BF29" i="7"/>
  <c r="BE29" i="7"/>
  <c r="BF30" i="7"/>
  <c r="BE30" i="7"/>
  <c r="BF31" i="7"/>
  <c r="BE31" i="7"/>
  <c r="BF32" i="7"/>
  <c r="BE32" i="7"/>
  <c r="BF33" i="7"/>
  <c r="BE33" i="7"/>
  <c r="BF34" i="7"/>
  <c r="BE34" i="7"/>
  <c r="BF35" i="7"/>
  <c r="BE35" i="7"/>
  <c r="BF36" i="7"/>
  <c r="BE36" i="7"/>
  <c r="BF37" i="7"/>
  <c r="BE37" i="7"/>
  <c r="BF38" i="7"/>
  <c r="BE38" i="7"/>
  <c r="BF39" i="7"/>
  <c r="BE39" i="7"/>
  <c r="BF40" i="7"/>
  <c r="BE40" i="7"/>
  <c r="BF41" i="7"/>
  <c r="BE41" i="7"/>
  <c r="BF42" i="7"/>
  <c r="BE42" i="7"/>
  <c r="BF43" i="7"/>
  <c r="BE43" i="7"/>
  <c r="BF44" i="7"/>
  <c r="BE44" i="7"/>
  <c r="BF45" i="7"/>
  <c r="BE45" i="7"/>
  <c r="BF46" i="7"/>
  <c r="BE46" i="7"/>
  <c r="BF47" i="7"/>
  <c r="BE47" i="7"/>
  <c r="BF48" i="7"/>
  <c r="BE48" i="7"/>
  <c r="BF49" i="7"/>
  <c r="BE49" i="7"/>
  <c r="BF50" i="7"/>
  <c r="BE50" i="7"/>
  <c r="BF51" i="7"/>
  <c r="BE51" i="7"/>
  <c r="BF52" i="7"/>
  <c r="BE52" i="7"/>
  <c r="BF53" i="7"/>
  <c r="BE53" i="7"/>
  <c r="BF54" i="7"/>
  <c r="BE54" i="7"/>
  <c r="BF55" i="7"/>
  <c r="BE55" i="7"/>
  <c r="BF56" i="7"/>
  <c r="BE56" i="7"/>
  <c r="BF57" i="7"/>
  <c r="BE57" i="7"/>
  <c r="BF58" i="7"/>
  <c r="BE58" i="7"/>
  <c r="BF59" i="7"/>
  <c r="BE59" i="7"/>
  <c r="BF60" i="7"/>
  <c r="BE60" i="7"/>
  <c r="BF61" i="7"/>
  <c r="BE61" i="7"/>
  <c r="BF62" i="7"/>
  <c r="BE62" i="7"/>
  <c r="BF63" i="7"/>
  <c r="I63" i="7"/>
  <c r="BE63" i="7"/>
  <c r="BF64" i="7"/>
  <c r="BE64" i="7"/>
  <c r="BF65" i="7"/>
  <c r="BE65" i="7"/>
  <c r="BF66" i="7"/>
  <c r="BE66" i="7"/>
  <c r="BF67" i="7"/>
  <c r="BE67" i="7"/>
  <c r="BF68" i="7"/>
  <c r="I68" i="7"/>
  <c r="BE68" i="7"/>
  <c r="BF69" i="7"/>
  <c r="BE69" i="7"/>
  <c r="BF70" i="7"/>
  <c r="BE70" i="7"/>
  <c r="BF71" i="7"/>
  <c r="BE71" i="7"/>
  <c r="BF72" i="7"/>
  <c r="BE72" i="7"/>
  <c r="BF73" i="7"/>
  <c r="BE73" i="7"/>
  <c r="BF74" i="7"/>
  <c r="BE74" i="7"/>
  <c r="BF75" i="7"/>
  <c r="BE75" i="7"/>
  <c r="BF76" i="7"/>
  <c r="BE76" i="7"/>
  <c r="BF77" i="7"/>
  <c r="BE77" i="7"/>
  <c r="BF78" i="7"/>
  <c r="BE78" i="7"/>
  <c r="BH78" i="7"/>
  <c r="BJ78" i="7"/>
  <c r="BG7" i="7"/>
  <c r="BI78" i="7"/>
  <c r="AX7" i="7"/>
  <c r="AW7" i="7"/>
  <c r="AX8" i="7"/>
  <c r="AW8" i="7"/>
  <c r="AX9" i="7"/>
  <c r="AW9" i="7"/>
  <c r="AX10" i="7"/>
  <c r="AW10" i="7"/>
  <c r="AX11" i="7"/>
  <c r="AW11" i="7"/>
  <c r="AX12" i="7"/>
  <c r="AW12" i="7"/>
  <c r="AX13" i="7"/>
  <c r="AW13" i="7"/>
  <c r="AX14" i="7"/>
  <c r="AW14" i="7"/>
  <c r="AX15" i="7"/>
  <c r="AW15" i="7"/>
  <c r="AX16" i="7"/>
  <c r="AW16" i="7"/>
  <c r="AX17" i="7"/>
  <c r="AW17" i="7"/>
  <c r="AX18" i="7"/>
  <c r="AW18" i="7"/>
  <c r="AX19" i="7"/>
  <c r="AW19" i="7"/>
  <c r="AX20" i="7"/>
  <c r="AW20" i="7"/>
  <c r="AX21" i="7"/>
  <c r="AW21" i="7"/>
  <c r="AX22" i="7"/>
  <c r="AW22" i="7"/>
  <c r="AX23" i="7"/>
  <c r="AW23" i="7"/>
  <c r="AX24" i="7"/>
  <c r="AW24" i="7"/>
  <c r="AX25" i="7"/>
  <c r="AW25" i="7"/>
  <c r="AX26" i="7"/>
  <c r="AW26" i="7"/>
  <c r="AX27" i="7"/>
  <c r="AW27" i="7"/>
  <c r="AX28" i="7"/>
  <c r="AW28" i="7"/>
  <c r="AX29" i="7"/>
  <c r="AW29" i="7"/>
  <c r="AX30" i="7"/>
  <c r="AW30" i="7"/>
  <c r="AX31" i="7"/>
  <c r="AW31" i="7"/>
  <c r="AX32" i="7"/>
  <c r="AW32" i="7"/>
  <c r="AX33" i="7"/>
  <c r="AW33" i="7"/>
  <c r="AX34" i="7"/>
  <c r="AW34" i="7"/>
  <c r="AX35" i="7"/>
  <c r="AW35" i="7"/>
  <c r="AX36" i="7"/>
  <c r="AW36" i="7"/>
  <c r="AX37" i="7"/>
  <c r="AW37" i="7"/>
  <c r="AX38" i="7"/>
  <c r="AW38" i="7"/>
  <c r="AX39" i="7"/>
  <c r="AW39" i="7"/>
  <c r="AX40" i="7"/>
  <c r="AW40" i="7"/>
  <c r="AX41" i="7"/>
  <c r="AW41" i="7"/>
  <c r="AX42" i="7"/>
  <c r="AW42" i="7"/>
  <c r="AX43" i="7"/>
  <c r="AW43" i="7"/>
  <c r="AX44" i="7"/>
  <c r="AW44" i="7"/>
  <c r="AX45" i="7"/>
  <c r="AW45" i="7"/>
  <c r="AX46" i="7"/>
  <c r="AW46" i="7"/>
  <c r="AX47" i="7"/>
  <c r="AW47" i="7"/>
  <c r="AX48" i="7"/>
  <c r="AW48" i="7"/>
  <c r="AX49" i="7"/>
  <c r="AW49" i="7"/>
  <c r="AX50" i="7"/>
  <c r="AW50" i="7"/>
  <c r="AX51" i="7"/>
  <c r="AW51" i="7"/>
  <c r="AX52" i="7"/>
  <c r="AW52" i="7"/>
  <c r="AX53" i="7"/>
  <c r="AW53" i="7"/>
  <c r="AX54" i="7"/>
  <c r="AW54" i="7"/>
  <c r="AX55" i="7"/>
  <c r="AW55" i="7"/>
  <c r="AX56" i="7"/>
  <c r="AW56" i="7"/>
  <c r="AX57" i="7"/>
  <c r="AW57" i="7"/>
  <c r="AX58" i="7"/>
  <c r="AW58" i="7"/>
  <c r="AX59" i="7"/>
  <c r="AW59" i="7"/>
  <c r="AX60" i="7"/>
  <c r="AW60" i="7"/>
  <c r="AX61" i="7"/>
  <c r="AW61" i="7"/>
  <c r="AX62" i="7"/>
  <c r="AW62" i="7"/>
  <c r="AX63" i="7"/>
  <c r="AW63" i="7"/>
  <c r="AX64" i="7"/>
  <c r="AW64" i="7"/>
  <c r="AX65" i="7"/>
  <c r="AW65" i="7"/>
  <c r="AX66" i="7"/>
  <c r="AW66" i="7"/>
  <c r="AX67" i="7"/>
  <c r="I67" i="7"/>
  <c r="AW67" i="7"/>
  <c r="AX68" i="7"/>
  <c r="AW68" i="7"/>
  <c r="AX69" i="7"/>
  <c r="AW69" i="7"/>
  <c r="AX70" i="7"/>
  <c r="AW70" i="7"/>
  <c r="AX71" i="7"/>
  <c r="AW71" i="7"/>
  <c r="AX72" i="7"/>
  <c r="I72" i="7"/>
  <c r="AW72" i="7"/>
  <c r="AX73" i="7"/>
  <c r="AW73" i="7"/>
  <c r="AX74" i="7"/>
  <c r="AW74" i="7"/>
  <c r="AX75" i="7"/>
  <c r="AW75" i="7"/>
  <c r="AX76" i="7"/>
  <c r="AW76" i="7"/>
  <c r="AX77" i="7"/>
  <c r="AW77" i="7"/>
  <c r="AX78" i="7"/>
  <c r="AW78" i="7"/>
  <c r="AZ78" i="7"/>
  <c r="BB78" i="7"/>
  <c r="AY7" i="7"/>
  <c r="AY8" i="7"/>
  <c r="BA78" i="7"/>
  <c r="AP7" i="7"/>
  <c r="AO7" i="7"/>
  <c r="AP8" i="7"/>
  <c r="AO8" i="7"/>
  <c r="AP9" i="7"/>
  <c r="AO9" i="7"/>
  <c r="AP10" i="7"/>
  <c r="AO10" i="7"/>
  <c r="AP11" i="7"/>
  <c r="AO11" i="7"/>
  <c r="AP12" i="7"/>
  <c r="AO12" i="7"/>
  <c r="AP13" i="7"/>
  <c r="AO13" i="7"/>
  <c r="AP14" i="7"/>
  <c r="AO14" i="7"/>
  <c r="AP15" i="7"/>
  <c r="AO15" i="7"/>
  <c r="AP16" i="7"/>
  <c r="AO16" i="7"/>
  <c r="AP17" i="7"/>
  <c r="AO17" i="7"/>
  <c r="AP18" i="7"/>
  <c r="AO18" i="7"/>
  <c r="AP19" i="7"/>
  <c r="AO19" i="7"/>
  <c r="AP20" i="7"/>
  <c r="AO20" i="7"/>
  <c r="AP21" i="7"/>
  <c r="AO21" i="7"/>
  <c r="AP22" i="7"/>
  <c r="AO22" i="7"/>
  <c r="AP23" i="7"/>
  <c r="AO23" i="7"/>
  <c r="AP24" i="7"/>
  <c r="AO24" i="7"/>
  <c r="AP25" i="7"/>
  <c r="AO25" i="7"/>
  <c r="AP26" i="7"/>
  <c r="AO26" i="7"/>
  <c r="AP27" i="7"/>
  <c r="AO27" i="7"/>
  <c r="AP28" i="7"/>
  <c r="AO28" i="7"/>
  <c r="AP29" i="7"/>
  <c r="AO29" i="7"/>
  <c r="AP30" i="7"/>
  <c r="AO30" i="7"/>
  <c r="AP31" i="7"/>
  <c r="AO31" i="7"/>
  <c r="AP32" i="7"/>
  <c r="AO32" i="7"/>
  <c r="AP33" i="7"/>
  <c r="AO33" i="7"/>
  <c r="AP34" i="7"/>
  <c r="AO34" i="7"/>
  <c r="AP35" i="7"/>
  <c r="AO35" i="7"/>
  <c r="AP36" i="7"/>
  <c r="AO36" i="7"/>
  <c r="AP37" i="7"/>
  <c r="AO37" i="7"/>
  <c r="AP38" i="7"/>
  <c r="AO38" i="7"/>
  <c r="AP39" i="7"/>
  <c r="AO39" i="7"/>
  <c r="AP40" i="7"/>
  <c r="AO40" i="7"/>
  <c r="AP41" i="7"/>
  <c r="AO41" i="7"/>
  <c r="AP42" i="7"/>
  <c r="AO42" i="7"/>
  <c r="AP43" i="7"/>
  <c r="AO43" i="7"/>
  <c r="AP44" i="7"/>
  <c r="AO44" i="7"/>
  <c r="AP45" i="7"/>
  <c r="AO45" i="7"/>
  <c r="AP46" i="7"/>
  <c r="AO46" i="7"/>
  <c r="AP47" i="7"/>
  <c r="AO47" i="7"/>
  <c r="AP48" i="7"/>
  <c r="AO48" i="7"/>
  <c r="AP49" i="7"/>
  <c r="AO49" i="7"/>
  <c r="AP50" i="7"/>
  <c r="AO50" i="7"/>
  <c r="AP51" i="7"/>
  <c r="AO51" i="7"/>
  <c r="AP52" i="7"/>
  <c r="AO52" i="7"/>
  <c r="AP53" i="7"/>
  <c r="AO53" i="7"/>
  <c r="AP54" i="7"/>
  <c r="AO54" i="7"/>
  <c r="AP55" i="7"/>
  <c r="AO55" i="7"/>
  <c r="AP56" i="7"/>
  <c r="AO56" i="7"/>
  <c r="AP57" i="7"/>
  <c r="AO57" i="7"/>
  <c r="AP58" i="7"/>
  <c r="AO58" i="7"/>
  <c r="AP59" i="7"/>
  <c r="AO59" i="7"/>
  <c r="AP60" i="7"/>
  <c r="AO60" i="7"/>
  <c r="AP61" i="7"/>
  <c r="AO61" i="7"/>
  <c r="AP62" i="7"/>
  <c r="AO62" i="7"/>
  <c r="AP63" i="7"/>
  <c r="AO63" i="7"/>
  <c r="AP64" i="7"/>
  <c r="AO64" i="7"/>
  <c r="AP65" i="7"/>
  <c r="AO65" i="7"/>
  <c r="AP66" i="7"/>
  <c r="AO66" i="7"/>
  <c r="AP67" i="7"/>
  <c r="AO67" i="7"/>
  <c r="AP68" i="7"/>
  <c r="AO68" i="7"/>
  <c r="AP69" i="7"/>
  <c r="AO69" i="7"/>
  <c r="AP70" i="7"/>
  <c r="AO70" i="7"/>
  <c r="AP71" i="7"/>
  <c r="I71" i="7"/>
  <c r="AO71" i="7"/>
  <c r="AP72" i="7"/>
  <c r="AO72" i="7"/>
  <c r="AP73" i="7"/>
  <c r="AO73" i="7"/>
  <c r="AP74" i="7"/>
  <c r="AO74" i="7"/>
  <c r="AP75" i="7"/>
  <c r="AO75" i="7"/>
  <c r="AP76" i="7"/>
  <c r="AO76" i="7"/>
  <c r="AP77" i="7"/>
  <c r="AO77" i="7"/>
  <c r="AP78" i="7"/>
  <c r="AO78" i="7"/>
  <c r="AR78" i="7"/>
  <c r="AT78" i="7"/>
  <c r="AQ7" i="7"/>
  <c r="J9" i="7"/>
  <c r="AQ9" i="7"/>
  <c r="AS78" i="7"/>
  <c r="AH7" i="7"/>
  <c r="AG7" i="7"/>
  <c r="AH8" i="7"/>
  <c r="AG8" i="7"/>
  <c r="AH9" i="7"/>
  <c r="AG9" i="7"/>
  <c r="AH10" i="7"/>
  <c r="AG10" i="7"/>
  <c r="AH11" i="7"/>
  <c r="AG11" i="7"/>
  <c r="AH12" i="7"/>
  <c r="AG12" i="7"/>
  <c r="AH13" i="7"/>
  <c r="AG13" i="7"/>
  <c r="AH14" i="7"/>
  <c r="AG14" i="7"/>
  <c r="AH15" i="7"/>
  <c r="AG15" i="7"/>
  <c r="AH16" i="7"/>
  <c r="AG16" i="7"/>
  <c r="AH17" i="7"/>
  <c r="AG17" i="7"/>
  <c r="AH18" i="7"/>
  <c r="AG18" i="7"/>
  <c r="AH19" i="7"/>
  <c r="AG19" i="7"/>
  <c r="AH20" i="7"/>
  <c r="AG20" i="7"/>
  <c r="AH21" i="7"/>
  <c r="AG21" i="7"/>
  <c r="AH22" i="7"/>
  <c r="AG22" i="7"/>
  <c r="AH23" i="7"/>
  <c r="AG23" i="7"/>
  <c r="AH24" i="7"/>
  <c r="AG24" i="7"/>
  <c r="AH25" i="7"/>
  <c r="AG25" i="7"/>
  <c r="AH26" i="7"/>
  <c r="AG26" i="7"/>
  <c r="AH27" i="7"/>
  <c r="AG27" i="7"/>
  <c r="AH28" i="7"/>
  <c r="AG28" i="7"/>
  <c r="AH29" i="7"/>
  <c r="AG29" i="7"/>
  <c r="AH30" i="7"/>
  <c r="AG30" i="7"/>
  <c r="AH31" i="7"/>
  <c r="AG31" i="7"/>
  <c r="AH32" i="7"/>
  <c r="AG32" i="7"/>
  <c r="AH33" i="7"/>
  <c r="AG33" i="7"/>
  <c r="AH34" i="7"/>
  <c r="AG34" i="7"/>
  <c r="AH35" i="7"/>
  <c r="AG35" i="7"/>
  <c r="AH36" i="7"/>
  <c r="AG36" i="7"/>
  <c r="AH37" i="7"/>
  <c r="AG37" i="7"/>
  <c r="AH38" i="7"/>
  <c r="AG38" i="7"/>
  <c r="AH39" i="7"/>
  <c r="AG39" i="7"/>
  <c r="AH40" i="7"/>
  <c r="AG40" i="7"/>
  <c r="AH41" i="7"/>
  <c r="AG41" i="7"/>
  <c r="AH42" i="7"/>
  <c r="AG42" i="7"/>
  <c r="AH43" i="7"/>
  <c r="AG43" i="7"/>
  <c r="AH44" i="7"/>
  <c r="AG44" i="7"/>
  <c r="AH45" i="7"/>
  <c r="AG45" i="7"/>
  <c r="AH46" i="7"/>
  <c r="AG46" i="7"/>
  <c r="AH47" i="7"/>
  <c r="AG47" i="7"/>
  <c r="AH48" i="7"/>
  <c r="AG48" i="7"/>
  <c r="AH49" i="7"/>
  <c r="AG49" i="7"/>
  <c r="AH50" i="7"/>
  <c r="AG50" i="7"/>
  <c r="AH51" i="7"/>
  <c r="AG51" i="7"/>
  <c r="AH52" i="7"/>
  <c r="AG52" i="7"/>
  <c r="AH53" i="7"/>
  <c r="AG53" i="7"/>
  <c r="AH54" i="7"/>
  <c r="AG54" i="7"/>
  <c r="AH55" i="7"/>
  <c r="AG55" i="7"/>
  <c r="AH56" i="7"/>
  <c r="AG56" i="7"/>
  <c r="AH57" i="7"/>
  <c r="AG57" i="7"/>
  <c r="AH58" i="7"/>
  <c r="AG58" i="7"/>
  <c r="AH59" i="7"/>
  <c r="AG59" i="7"/>
  <c r="AH60" i="7"/>
  <c r="AG60" i="7"/>
  <c r="AH61" i="7"/>
  <c r="AG61" i="7"/>
  <c r="AH62" i="7"/>
  <c r="AG62" i="7"/>
  <c r="AH63" i="7"/>
  <c r="AG63" i="7"/>
  <c r="AH64" i="7"/>
  <c r="AG64" i="7"/>
  <c r="AH65" i="7"/>
  <c r="AG65" i="7"/>
  <c r="AH66" i="7"/>
  <c r="AG66" i="7"/>
  <c r="AH67" i="7"/>
  <c r="AG67" i="7"/>
  <c r="AH68" i="7"/>
  <c r="AG68" i="7"/>
  <c r="AH69" i="7"/>
  <c r="AG69" i="7"/>
  <c r="AH70" i="7"/>
  <c r="AG70" i="7"/>
  <c r="AH71" i="7"/>
  <c r="AG71" i="7"/>
  <c r="AH72" i="7"/>
  <c r="AG72" i="7"/>
  <c r="AH73" i="7"/>
  <c r="AG73" i="7"/>
  <c r="AH74" i="7"/>
  <c r="AG74" i="7"/>
  <c r="AH75" i="7"/>
  <c r="I75" i="7"/>
  <c r="AG75" i="7"/>
  <c r="AH76" i="7"/>
  <c r="AG76" i="7"/>
  <c r="AH77" i="7"/>
  <c r="AG77" i="7"/>
  <c r="AH78" i="7"/>
  <c r="AG78" i="7"/>
  <c r="AJ78" i="7"/>
  <c r="AL78" i="7"/>
  <c r="AI8" i="7"/>
  <c r="AI7" i="7"/>
  <c r="AK78" i="7"/>
  <c r="Z7" i="7"/>
  <c r="Y7" i="7"/>
  <c r="Z8" i="7"/>
  <c r="Y8" i="7"/>
  <c r="Z9" i="7"/>
  <c r="Y9" i="7"/>
  <c r="Z10" i="7"/>
  <c r="Y10" i="7"/>
  <c r="Z11" i="7"/>
  <c r="Y11" i="7"/>
  <c r="Z12" i="7"/>
  <c r="Y12" i="7"/>
  <c r="Z13" i="7"/>
  <c r="Y13" i="7"/>
  <c r="Z14" i="7"/>
  <c r="Y14" i="7"/>
  <c r="Z15" i="7"/>
  <c r="Y15" i="7"/>
  <c r="Z16" i="7"/>
  <c r="Y16" i="7"/>
  <c r="Z17" i="7"/>
  <c r="Y17" i="7"/>
  <c r="Z18" i="7"/>
  <c r="Y18" i="7"/>
  <c r="Z19" i="7"/>
  <c r="Y19" i="7"/>
  <c r="Z20" i="7"/>
  <c r="Y20" i="7"/>
  <c r="Z21" i="7"/>
  <c r="Y21" i="7"/>
  <c r="Z22" i="7"/>
  <c r="Y22" i="7"/>
  <c r="Z23" i="7"/>
  <c r="Y23" i="7"/>
  <c r="Z24" i="7"/>
  <c r="Y24" i="7"/>
  <c r="Z25" i="7"/>
  <c r="Y25" i="7"/>
  <c r="Z26" i="7"/>
  <c r="Y26" i="7"/>
  <c r="Z27" i="7"/>
  <c r="Y27" i="7"/>
  <c r="Z28" i="7"/>
  <c r="Y28" i="7"/>
  <c r="Z29" i="7"/>
  <c r="Y29" i="7"/>
  <c r="Z30" i="7"/>
  <c r="Y30" i="7"/>
  <c r="Z31" i="7"/>
  <c r="Y31" i="7"/>
  <c r="Z32" i="7"/>
  <c r="Y32" i="7"/>
  <c r="Z33" i="7"/>
  <c r="Y33" i="7"/>
  <c r="Z34" i="7"/>
  <c r="Y34" i="7"/>
  <c r="Z35" i="7"/>
  <c r="Y35" i="7"/>
  <c r="Z36" i="7"/>
  <c r="Y36" i="7"/>
  <c r="Z37" i="7"/>
  <c r="Y37" i="7"/>
  <c r="Z38" i="7"/>
  <c r="Y38" i="7"/>
  <c r="Z39" i="7"/>
  <c r="Y39" i="7"/>
  <c r="Z40" i="7"/>
  <c r="Y40" i="7"/>
  <c r="Z41" i="7"/>
  <c r="Y41" i="7"/>
  <c r="Z42" i="7"/>
  <c r="Y42" i="7"/>
  <c r="Z43" i="7"/>
  <c r="Y43" i="7"/>
  <c r="Z44" i="7"/>
  <c r="Y44" i="7"/>
  <c r="Z45" i="7"/>
  <c r="Y45" i="7"/>
  <c r="Z46" i="7"/>
  <c r="Y46" i="7"/>
  <c r="Z47" i="7"/>
  <c r="Y47" i="7"/>
  <c r="Z48" i="7"/>
  <c r="Y48" i="7"/>
  <c r="Z49" i="7"/>
  <c r="Y49" i="7"/>
  <c r="Z50" i="7"/>
  <c r="Y50" i="7"/>
  <c r="Z51" i="7"/>
  <c r="Y51" i="7"/>
  <c r="Z52" i="7"/>
  <c r="Y52" i="7"/>
  <c r="Z53" i="7"/>
  <c r="Y53" i="7"/>
  <c r="Z54" i="7"/>
  <c r="Y54" i="7"/>
  <c r="Z55" i="7"/>
  <c r="Y55" i="7"/>
  <c r="Z56" i="7"/>
  <c r="Y56" i="7"/>
  <c r="Z57" i="7"/>
  <c r="Y57" i="7"/>
  <c r="Z58" i="7"/>
  <c r="Y58" i="7"/>
  <c r="Z59" i="7"/>
  <c r="Y59" i="7"/>
  <c r="Z60" i="7"/>
  <c r="Y60" i="7"/>
  <c r="Z61" i="7"/>
  <c r="Y61" i="7"/>
  <c r="Z62" i="7"/>
  <c r="Y62" i="7"/>
  <c r="Z63" i="7"/>
  <c r="Y63" i="7"/>
  <c r="Z64" i="7"/>
  <c r="Y64" i="7"/>
  <c r="Z65" i="7"/>
  <c r="Y65" i="7"/>
  <c r="Z66" i="7"/>
  <c r="Y66" i="7"/>
  <c r="Z67" i="7"/>
  <c r="Y67" i="7"/>
  <c r="Z68" i="7"/>
  <c r="Y68" i="7"/>
  <c r="Z69" i="7"/>
  <c r="Y69" i="7"/>
  <c r="Z70" i="7"/>
  <c r="Y70" i="7"/>
  <c r="Z71" i="7"/>
  <c r="Y71" i="7"/>
  <c r="Z72" i="7"/>
  <c r="Y72" i="7"/>
  <c r="Z73" i="7"/>
  <c r="Y73" i="7"/>
  <c r="Z74" i="7"/>
  <c r="Y74" i="7"/>
  <c r="Z75" i="7"/>
  <c r="Y75" i="7"/>
  <c r="Z76" i="7"/>
  <c r="Y76" i="7"/>
  <c r="Z77" i="7"/>
  <c r="Y77" i="7"/>
  <c r="Z78" i="7"/>
  <c r="Y78" i="7"/>
  <c r="AB78" i="7"/>
  <c r="AD78" i="7"/>
  <c r="AA7" i="7"/>
  <c r="AA8" i="7"/>
  <c r="AC78" i="7"/>
  <c r="CN77" i="7"/>
  <c r="CP77" i="7"/>
  <c r="CO77" i="7"/>
  <c r="CF77" i="7"/>
  <c r="CH77" i="7"/>
  <c r="CG77" i="7"/>
  <c r="BX77" i="7"/>
  <c r="BZ77" i="7"/>
  <c r="BY77" i="7"/>
  <c r="BP77" i="7"/>
  <c r="BR77" i="7"/>
  <c r="BQ77" i="7"/>
  <c r="BH77" i="7"/>
  <c r="BJ77" i="7"/>
  <c r="BI77" i="7"/>
  <c r="AZ77" i="7"/>
  <c r="BB77" i="7"/>
  <c r="BA77" i="7"/>
  <c r="AR77" i="7"/>
  <c r="AT77" i="7"/>
  <c r="AS77" i="7"/>
  <c r="AJ77" i="7"/>
  <c r="AL77" i="7"/>
  <c r="AK77" i="7"/>
  <c r="AB77" i="7"/>
  <c r="AD77" i="7"/>
  <c r="AC77" i="7"/>
  <c r="CN76" i="7"/>
  <c r="CP76" i="7"/>
  <c r="CO76" i="7"/>
  <c r="CF76" i="7"/>
  <c r="CH76" i="7"/>
  <c r="CG76" i="7"/>
  <c r="BX76" i="7"/>
  <c r="BZ76" i="7"/>
  <c r="BY76" i="7"/>
  <c r="BP76" i="7"/>
  <c r="BR76" i="7"/>
  <c r="BQ76" i="7"/>
  <c r="BH76" i="7"/>
  <c r="BJ76" i="7"/>
  <c r="BI76" i="7"/>
  <c r="AZ76" i="7"/>
  <c r="BB76" i="7"/>
  <c r="BA76" i="7"/>
  <c r="AR76" i="7"/>
  <c r="AT76" i="7"/>
  <c r="AS76" i="7"/>
  <c r="AJ76" i="7"/>
  <c r="AL76" i="7"/>
  <c r="AK76" i="7"/>
  <c r="AB76" i="7"/>
  <c r="AD76" i="7"/>
  <c r="AC76" i="7"/>
  <c r="CN75" i="7"/>
  <c r="CP75" i="7"/>
  <c r="CO75" i="7"/>
  <c r="CF75" i="7"/>
  <c r="CH75" i="7"/>
  <c r="CG75" i="7"/>
  <c r="BX75" i="7"/>
  <c r="BZ75" i="7"/>
  <c r="BY75" i="7"/>
  <c r="BP75" i="7"/>
  <c r="BR75" i="7"/>
  <c r="BQ75" i="7"/>
  <c r="BH75" i="7"/>
  <c r="BJ75" i="7"/>
  <c r="BI75" i="7"/>
  <c r="AZ75" i="7"/>
  <c r="BB75" i="7"/>
  <c r="BA75" i="7"/>
  <c r="AR75" i="7"/>
  <c r="AT75" i="7"/>
  <c r="AS75" i="7"/>
  <c r="AJ75" i="7"/>
  <c r="AL75" i="7"/>
  <c r="AK75" i="7"/>
  <c r="AB75" i="7"/>
  <c r="AD75" i="7"/>
  <c r="AC75" i="7"/>
  <c r="CN74" i="7"/>
  <c r="CP74" i="7"/>
  <c r="CO74" i="7"/>
  <c r="CF74" i="7"/>
  <c r="CH74" i="7"/>
  <c r="CG74" i="7"/>
  <c r="BX74" i="7"/>
  <c r="BZ74" i="7"/>
  <c r="BY74" i="7"/>
  <c r="BP74" i="7"/>
  <c r="BR74" i="7"/>
  <c r="BQ74" i="7"/>
  <c r="BH74" i="7"/>
  <c r="BJ74" i="7"/>
  <c r="BI74" i="7"/>
  <c r="AZ74" i="7"/>
  <c r="BB74" i="7"/>
  <c r="BA74" i="7"/>
  <c r="AR74" i="7"/>
  <c r="AT74" i="7"/>
  <c r="AS74" i="7"/>
  <c r="AJ74" i="7"/>
  <c r="AL74" i="7"/>
  <c r="AK74" i="7"/>
  <c r="AB74" i="7"/>
  <c r="AD74" i="7"/>
  <c r="AC74" i="7"/>
  <c r="CN73" i="7"/>
  <c r="CP73" i="7"/>
  <c r="CO73" i="7"/>
  <c r="CF73" i="7"/>
  <c r="CH73" i="7"/>
  <c r="CG73" i="7"/>
  <c r="BX73" i="7"/>
  <c r="BZ73" i="7"/>
  <c r="BY73" i="7"/>
  <c r="BP73" i="7"/>
  <c r="BR73" i="7"/>
  <c r="BQ73" i="7"/>
  <c r="BH73" i="7"/>
  <c r="BJ73" i="7"/>
  <c r="BI73" i="7"/>
  <c r="AZ73" i="7"/>
  <c r="BB73" i="7"/>
  <c r="BA73" i="7"/>
  <c r="AR73" i="7"/>
  <c r="AT73" i="7"/>
  <c r="AS73" i="7"/>
  <c r="AJ73" i="7"/>
  <c r="AL73" i="7"/>
  <c r="AK73" i="7"/>
  <c r="AB73" i="7"/>
  <c r="AD73" i="7"/>
  <c r="AC73" i="7"/>
  <c r="CN72" i="7"/>
  <c r="CP72" i="7"/>
  <c r="CO72" i="7"/>
  <c r="CF72" i="7"/>
  <c r="CH72" i="7"/>
  <c r="CG72" i="7"/>
  <c r="BX72" i="7"/>
  <c r="BZ72" i="7"/>
  <c r="BY72" i="7"/>
  <c r="BP72" i="7"/>
  <c r="BR72" i="7"/>
  <c r="BQ72" i="7"/>
  <c r="BH72" i="7"/>
  <c r="BJ72" i="7"/>
  <c r="BI72" i="7"/>
  <c r="AZ72" i="7"/>
  <c r="BB72" i="7"/>
  <c r="BA72" i="7"/>
  <c r="AR72" i="7"/>
  <c r="AT72" i="7"/>
  <c r="AS72" i="7"/>
  <c r="AJ72" i="7"/>
  <c r="AL72" i="7"/>
  <c r="AK72" i="7"/>
  <c r="AB72" i="7"/>
  <c r="AD72" i="7"/>
  <c r="AC72" i="7"/>
  <c r="CN71" i="7"/>
  <c r="CP71" i="7"/>
  <c r="CO71" i="7"/>
  <c r="CF71" i="7"/>
  <c r="CH71" i="7"/>
  <c r="CG71" i="7"/>
  <c r="BX71" i="7"/>
  <c r="BZ71" i="7"/>
  <c r="BY71" i="7"/>
  <c r="BP71" i="7"/>
  <c r="BR71" i="7"/>
  <c r="BQ71" i="7"/>
  <c r="BH71" i="7"/>
  <c r="BJ71" i="7"/>
  <c r="BI71" i="7"/>
  <c r="AZ71" i="7"/>
  <c r="BB71" i="7"/>
  <c r="BA71" i="7"/>
  <c r="AR71" i="7"/>
  <c r="AT71" i="7"/>
  <c r="AS71" i="7"/>
  <c r="AJ71" i="7"/>
  <c r="AL71" i="7"/>
  <c r="AK71" i="7"/>
  <c r="AB71" i="7"/>
  <c r="AD71" i="7"/>
  <c r="AC71" i="7"/>
  <c r="CN70" i="7"/>
  <c r="CP70" i="7"/>
  <c r="CO70" i="7"/>
  <c r="CF70" i="7"/>
  <c r="CH70" i="7"/>
  <c r="CG70" i="7"/>
  <c r="BX70" i="7"/>
  <c r="BZ70" i="7"/>
  <c r="BY70" i="7"/>
  <c r="BP70" i="7"/>
  <c r="BR70" i="7"/>
  <c r="BQ70" i="7"/>
  <c r="BH70" i="7"/>
  <c r="BJ70" i="7"/>
  <c r="BI70" i="7"/>
  <c r="AZ70" i="7"/>
  <c r="BB70" i="7"/>
  <c r="BA70" i="7"/>
  <c r="AR70" i="7"/>
  <c r="AT70" i="7"/>
  <c r="AS70" i="7"/>
  <c r="AJ70" i="7"/>
  <c r="AL70" i="7"/>
  <c r="AK70" i="7"/>
  <c r="AB70" i="7"/>
  <c r="AD70" i="7"/>
  <c r="AC70" i="7"/>
  <c r="CN69" i="7"/>
  <c r="CP69" i="7"/>
  <c r="CO69" i="7"/>
  <c r="CF69" i="7"/>
  <c r="CH69" i="7"/>
  <c r="CG69" i="7"/>
  <c r="BX69" i="7"/>
  <c r="BZ69" i="7"/>
  <c r="BY69" i="7"/>
  <c r="BP69" i="7"/>
  <c r="BR69" i="7"/>
  <c r="BQ69" i="7"/>
  <c r="BH69" i="7"/>
  <c r="BJ69" i="7"/>
  <c r="BI69" i="7"/>
  <c r="AZ69" i="7"/>
  <c r="BB69" i="7"/>
  <c r="BA69" i="7"/>
  <c r="AR69" i="7"/>
  <c r="AT69" i="7"/>
  <c r="AS69" i="7"/>
  <c r="AJ69" i="7"/>
  <c r="AL69" i="7"/>
  <c r="AK69" i="7"/>
  <c r="AB69" i="7"/>
  <c r="AD69" i="7"/>
  <c r="AC69" i="7"/>
  <c r="CN68" i="7"/>
  <c r="CP68" i="7"/>
  <c r="CO68" i="7"/>
  <c r="CF68" i="7"/>
  <c r="CH68" i="7"/>
  <c r="CG68" i="7"/>
  <c r="BX68" i="7"/>
  <c r="BZ68" i="7"/>
  <c r="BY68" i="7"/>
  <c r="BP68" i="7"/>
  <c r="BR68" i="7"/>
  <c r="BQ68" i="7"/>
  <c r="BH68" i="7"/>
  <c r="BJ68" i="7"/>
  <c r="BI68" i="7"/>
  <c r="AZ68" i="7"/>
  <c r="BB68" i="7"/>
  <c r="BA68" i="7"/>
  <c r="AR68" i="7"/>
  <c r="AT68" i="7"/>
  <c r="AS68" i="7"/>
  <c r="AJ68" i="7"/>
  <c r="AL68" i="7"/>
  <c r="AK68" i="7"/>
  <c r="AB68" i="7"/>
  <c r="AD68" i="7"/>
  <c r="AC68" i="7"/>
  <c r="CN67" i="7"/>
  <c r="CP67" i="7"/>
  <c r="CO67" i="7"/>
  <c r="CF67" i="7"/>
  <c r="CH67" i="7"/>
  <c r="CG67" i="7"/>
  <c r="BX67" i="7"/>
  <c r="BZ67" i="7"/>
  <c r="BY67" i="7"/>
  <c r="BP67" i="7"/>
  <c r="BR67" i="7"/>
  <c r="BQ67" i="7"/>
  <c r="BH67" i="7"/>
  <c r="BJ67" i="7"/>
  <c r="BI67" i="7"/>
  <c r="AZ67" i="7"/>
  <c r="BB67" i="7"/>
  <c r="BA67" i="7"/>
  <c r="AR67" i="7"/>
  <c r="AT67" i="7"/>
  <c r="AS67" i="7"/>
  <c r="AJ67" i="7"/>
  <c r="AL67" i="7"/>
  <c r="AK67" i="7"/>
  <c r="AB67" i="7"/>
  <c r="AD67" i="7"/>
  <c r="AC67" i="7"/>
  <c r="CN66" i="7"/>
  <c r="CP66" i="7"/>
  <c r="CO66" i="7"/>
  <c r="CF66" i="7"/>
  <c r="CH66" i="7"/>
  <c r="CG66" i="7"/>
  <c r="BX66" i="7"/>
  <c r="BZ66" i="7"/>
  <c r="BY66" i="7"/>
  <c r="BP66" i="7"/>
  <c r="BR66" i="7"/>
  <c r="BQ66" i="7"/>
  <c r="BH66" i="7"/>
  <c r="BJ66" i="7"/>
  <c r="BI66" i="7"/>
  <c r="AZ66" i="7"/>
  <c r="BB66" i="7"/>
  <c r="BA66" i="7"/>
  <c r="AR66" i="7"/>
  <c r="AT66" i="7"/>
  <c r="AS66" i="7"/>
  <c r="AJ66" i="7"/>
  <c r="AL66" i="7"/>
  <c r="AK66" i="7"/>
  <c r="AB66" i="7"/>
  <c r="AD66" i="7"/>
  <c r="AC66" i="7"/>
  <c r="CN65" i="7"/>
  <c r="CP65" i="7"/>
  <c r="CO65" i="7"/>
  <c r="CF65" i="7"/>
  <c r="CH65" i="7"/>
  <c r="CG65" i="7"/>
  <c r="BX65" i="7"/>
  <c r="BZ65" i="7"/>
  <c r="BY65" i="7"/>
  <c r="BP65" i="7"/>
  <c r="BR65" i="7"/>
  <c r="BQ65" i="7"/>
  <c r="BH65" i="7"/>
  <c r="BJ65" i="7"/>
  <c r="BI65" i="7"/>
  <c r="AZ65" i="7"/>
  <c r="BB65" i="7"/>
  <c r="BA65" i="7"/>
  <c r="AR65" i="7"/>
  <c r="AT65" i="7"/>
  <c r="AS65" i="7"/>
  <c r="AJ65" i="7"/>
  <c r="AL65" i="7"/>
  <c r="AK65" i="7"/>
  <c r="AB65" i="7"/>
  <c r="AD65" i="7"/>
  <c r="AC65" i="7"/>
  <c r="CN64" i="7"/>
  <c r="CP64" i="7"/>
  <c r="CO64" i="7"/>
  <c r="CF64" i="7"/>
  <c r="CH64" i="7"/>
  <c r="CG64" i="7"/>
  <c r="BX64" i="7"/>
  <c r="BZ64" i="7"/>
  <c r="BY64" i="7"/>
  <c r="BP64" i="7"/>
  <c r="BR64" i="7"/>
  <c r="BQ64" i="7"/>
  <c r="BH64" i="7"/>
  <c r="BJ64" i="7"/>
  <c r="BI64" i="7"/>
  <c r="AZ64" i="7"/>
  <c r="BB64" i="7"/>
  <c r="BA64" i="7"/>
  <c r="AR64" i="7"/>
  <c r="AT64" i="7"/>
  <c r="AS64" i="7"/>
  <c r="AJ64" i="7"/>
  <c r="AL64" i="7"/>
  <c r="AK64" i="7"/>
  <c r="AB64" i="7"/>
  <c r="AD64" i="7"/>
  <c r="AC64" i="7"/>
  <c r="CN63" i="7"/>
  <c r="CP63" i="7"/>
  <c r="CO63" i="7"/>
  <c r="CF63" i="7"/>
  <c r="CH63" i="7"/>
  <c r="CG63" i="7"/>
  <c r="BX63" i="7"/>
  <c r="BZ63" i="7"/>
  <c r="BY63" i="7"/>
  <c r="BP63" i="7"/>
  <c r="BR63" i="7"/>
  <c r="BQ63" i="7"/>
  <c r="BH63" i="7"/>
  <c r="BJ63" i="7"/>
  <c r="BI63" i="7"/>
  <c r="AZ63" i="7"/>
  <c r="BB63" i="7"/>
  <c r="BA63" i="7"/>
  <c r="AR63" i="7"/>
  <c r="AT63" i="7"/>
  <c r="AS63" i="7"/>
  <c r="AJ63" i="7"/>
  <c r="AL63" i="7"/>
  <c r="AK63" i="7"/>
  <c r="AB63" i="7"/>
  <c r="AD63" i="7"/>
  <c r="AC63" i="7"/>
  <c r="CN62" i="7"/>
  <c r="CP62" i="7"/>
  <c r="CO62" i="7"/>
  <c r="CF62" i="7"/>
  <c r="CH62" i="7"/>
  <c r="CG62" i="7"/>
  <c r="BX62" i="7"/>
  <c r="BZ62" i="7"/>
  <c r="BY62" i="7"/>
  <c r="BP62" i="7"/>
  <c r="BR62" i="7"/>
  <c r="BQ62" i="7"/>
  <c r="BH62" i="7"/>
  <c r="BJ62" i="7"/>
  <c r="BI62" i="7"/>
  <c r="AZ62" i="7"/>
  <c r="BB62" i="7"/>
  <c r="BA62" i="7"/>
  <c r="AR62" i="7"/>
  <c r="AT62" i="7"/>
  <c r="AS62" i="7"/>
  <c r="AJ62" i="7"/>
  <c r="AL62" i="7"/>
  <c r="AK62" i="7"/>
  <c r="AB62" i="7"/>
  <c r="AD62" i="7"/>
  <c r="AC62" i="7"/>
  <c r="CN61" i="7"/>
  <c r="CP61" i="7"/>
  <c r="CO61" i="7"/>
  <c r="CF61" i="7"/>
  <c r="CH61" i="7"/>
  <c r="CG61" i="7"/>
  <c r="BX61" i="7"/>
  <c r="BZ61" i="7"/>
  <c r="BY61" i="7"/>
  <c r="BP61" i="7"/>
  <c r="BR61" i="7"/>
  <c r="BQ61" i="7"/>
  <c r="BH61" i="7"/>
  <c r="BJ61" i="7"/>
  <c r="BI61" i="7"/>
  <c r="AZ61" i="7"/>
  <c r="BB61" i="7"/>
  <c r="BA61" i="7"/>
  <c r="AR61" i="7"/>
  <c r="AT61" i="7"/>
  <c r="AS61" i="7"/>
  <c r="AJ61" i="7"/>
  <c r="AL61" i="7"/>
  <c r="AK61" i="7"/>
  <c r="AB61" i="7"/>
  <c r="AD61" i="7"/>
  <c r="AC61" i="7"/>
  <c r="CN60" i="7"/>
  <c r="CP60" i="7"/>
  <c r="CO60" i="7"/>
  <c r="CF60" i="7"/>
  <c r="CH60" i="7"/>
  <c r="CG60" i="7"/>
  <c r="BX60" i="7"/>
  <c r="BZ60" i="7"/>
  <c r="BY60" i="7"/>
  <c r="BP60" i="7"/>
  <c r="BR60" i="7"/>
  <c r="BQ60" i="7"/>
  <c r="BH60" i="7"/>
  <c r="BJ60" i="7"/>
  <c r="BI60" i="7"/>
  <c r="AZ60" i="7"/>
  <c r="BB60" i="7"/>
  <c r="BA60" i="7"/>
  <c r="AR60" i="7"/>
  <c r="AT60" i="7"/>
  <c r="AS60" i="7"/>
  <c r="AJ60" i="7"/>
  <c r="AL60" i="7"/>
  <c r="AK60" i="7"/>
  <c r="AB60" i="7"/>
  <c r="AD60" i="7"/>
  <c r="AC60" i="7"/>
  <c r="CN59" i="7"/>
  <c r="CP59" i="7"/>
  <c r="CO59" i="7"/>
  <c r="CF59" i="7"/>
  <c r="CH59" i="7"/>
  <c r="CG59" i="7"/>
  <c r="BX59" i="7"/>
  <c r="BZ59" i="7"/>
  <c r="BY59" i="7"/>
  <c r="BP59" i="7"/>
  <c r="BR59" i="7"/>
  <c r="BQ59" i="7"/>
  <c r="BH59" i="7"/>
  <c r="BJ59" i="7"/>
  <c r="BI59" i="7"/>
  <c r="AZ59" i="7"/>
  <c r="BB59" i="7"/>
  <c r="BA59" i="7"/>
  <c r="AR59" i="7"/>
  <c r="AT59" i="7"/>
  <c r="AS59" i="7"/>
  <c r="AJ59" i="7"/>
  <c r="AL59" i="7"/>
  <c r="AK59" i="7"/>
  <c r="AB59" i="7"/>
  <c r="AD59" i="7"/>
  <c r="AC59" i="7"/>
  <c r="CN58" i="7"/>
  <c r="CP58" i="7"/>
  <c r="CO58" i="7"/>
  <c r="CF58" i="7"/>
  <c r="CH58" i="7"/>
  <c r="CG58" i="7"/>
  <c r="BX58" i="7"/>
  <c r="BZ58" i="7"/>
  <c r="BY58" i="7"/>
  <c r="BP58" i="7"/>
  <c r="BR58" i="7"/>
  <c r="BQ58" i="7"/>
  <c r="BH58" i="7"/>
  <c r="BJ58" i="7"/>
  <c r="BI58" i="7"/>
  <c r="AZ58" i="7"/>
  <c r="BB58" i="7"/>
  <c r="BA58" i="7"/>
  <c r="AR58" i="7"/>
  <c r="AT58" i="7"/>
  <c r="AS58" i="7"/>
  <c r="AJ58" i="7"/>
  <c r="AL58" i="7"/>
  <c r="AK58" i="7"/>
  <c r="AB58" i="7"/>
  <c r="AD58" i="7"/>
  <c r="AC58" i="7"/>
  <c r="CN57" i="7"/>
  <c r="CP57" i="7"/>
  <c r="CO57" i="7"/>
  <c r="CF57" i="7"/>
  <c r="CH57" i="7"/>
  <c r="CG57" i="7"/>
  <c r="BX57" i="7"/>
  <c r="BZ57" i="7"/>
  <c r="BY57" i="7"/>
  <c r="BP57" i="7"/>
  <c r="BR57" i="7"/>
  <c r="BQ57" i="7"/>
  <c r="BH57" i="7"/>
  <c r="BJ57" i="7"/>
  <c r="BI57" i="7"/>
  <c r="AZ57" i="7"/>
  <c r="BB57" i="7"/>
  <c r="BA57" i="7"/>
  <c r="AR57" i="7"/>
  <c r="AT57" i="7"/>
  <c r="AS57" i="7"/>
  <c r="AJ57" i="7"/>
  <c r="AL57" i="7"/>
  <c r="AK57" i="7"/>
  <c r="AB57" i="7"/>
  <c r="AD57" i="7"/>
  <c r="AC57" i="7"/>
  <c r="CN56" i="7"/>
  <c r="CP56" i="7"/>
  <c r="CO56" i="7"/>
  <c r="CF56" i="7"/>
  <c r="CH56" i="7"/>
  <c r="CG56" i="7"/>
  <c r="BX56" i="7"/>
  <c r="BZ56" i="7"/>
  <c r="BY56" i="7"/>
  <c r="BP56" i="7"/>
  <c r="BR56" i="7"/>
  <c r="BQ56" i="7"/>
  <c r="BH56" i="7"/>
  <c r="BJ56" i="7"/>
  <c r="BI56" i="7"/>
  <c r="AZ56" i="7"/>
  <c r="BB56" i="7"/>
  <c r="BA56" i="7"/>
  <c r="AR56" i="7"/>
  <c r="AT56" i="7"/>
  <c r="AS56" i="7"/>
  <c r="AJ56" i="7"/>
  <c r="AL56" i="7"/>
  <c r="AK56" i="7"/>
  <c r="AB56" i="7"/>
  <c r="AD56" i="7"/>
  <c r="AC56" i="7"/>
  <c r="CN55" i="7"/>
  <c r="CP55" i="7"/>
  <c r="CO55" i="7"/>
  <c r="CF55" i="7"/>
  <c r="CH55" i="7"/>
  <c r="CG55" i="7"/>
  <c r="BX55" i="7"/>
  <c r="BZ55" i="7"/>
  <c r="BY55" i="7"/>
  <c r="BP55" i="7"/>
  <c r="BR55" i="7"/>
  <c r="BQ55" i="7"/>
  <c r="BH55" i="7"/>
  <c r="BJ55" i="7"/>
  <c r="BI55" i="7"/>
  <c r="AZ55" i="7"/>
  <c r="BB55" i="7"/>
  <c r="BA55" i="7"/>
  <c r="AR55" i="7"/>
  <c r="AT55" i="7"/>
  <c r="AS55" i="7"/>
  <c r="AJ55" i="7"/>
  <c r="AL55" i="7"/>
  <c r="AK55" i="7"/>
  <c r="AB55" i="7"/>
  <c r="AD55" i="7"/>
  <c r="AC55" i="7"/>
  <c r="CN54" i="7"/>
  <c r="CP54" i="7"/>
  <c r="CO54" i="7"/>
  <c r="CF54" i="7"/>
  <c r="CH54" i="7"/>
  <c r="CG54" i="7"/>
  <c r="BX54" i="7"/>
  <c r="BZ54" i="7"/>
  <c r="BY54" i="7"/>
  <c r="BP54" i="7"/>
  <c r="BR54" i="7"/>
  <c r="BQ54" i="7"/>
  <c r="BH54" i="7"/>
  <c r="BJ54" i="7"/>
  <c r="BI54" i="7"/>
  <c r="AZ54" i="7"/>
  <c r="BB54" i="7"/>
  <c r="BA54" i="7"/>
  <c r="AR54" i="7"/>
  <c r="AT54" i="7"/>
  <c r="AS54" i="7"/>
  <c r="AJ54" i="7"/>
  <c r="AL54" i="7"/>
  <c r="AK54" i="7"/>
  <c r="AB54" i="7"/>
  <c r="AD54" i="7"/>
  <c r="AC54" i="7"/>
  <c r="CN53" i="7"/>
  <c r="CP53" i="7"/>
  <c r="CO53" i="7"/>
  <c r="CF53" i="7"/>
  <c r="CH53" i="7"/>
  <c r="CG53" i="7"/>
  <c r="BX53" i="7"/>
  <c r="BZ53" i="7"/>
  <c r="BY53" i="7"/>
  <c r="BP53" i="7"/>
  <c r="BR53" i="7"/>
  <c r="BQ53" i="7"/>
  <c r="BH53" i="7"/>
  <c r="BJ53" i="7"/>
  <c r="BI53" i="7"/>
  <c r="AZ53" i="7"/>
  <c r="BB53" i="7"/>
  <c r="BA53" i="7"/>
  <c r="AR53" i="7"/>
  <c r="AT53" i="7"/>
  <c r="AS53" i="7"/>
  <c r="AJ53" i="7"/>
  <c r="AL53" i="7"/>
  <c r="AK53" i="7"/>
  <c r="AB53" i="7"/>
  <c r="AD53" i="7"/>
  <c r="AC53" i="7"/>
  <c r="CN52" i="7"/>
  <c r="CP52" i="7"/>
  <c r="CO52" i="7"/>
  <c r="CF52" i="7"/>
  <c r="CH52" i="7"/>
  <c r="CG52" i="7"/>
  <c r="BX52" i="7"/>
  <c r="BZ52" i="7"/>
  <c r="BY52" i="7"/>
  <c r="BP52" i="7"/>
  <c r="BR52" i="7"/>
  <c r="BQ52" i="7"/>
  <c r="BH52" i="7"/>
  <c r="BJ52" i="7"/>
  <c r="BI52" i="7"/>
  <c r="AZ52" i="7"/>
  <c r="BB52" i="7"/>
  <c r="BA52" i="7"/>
  <c r="AR52" i="7"/>
  <c r="AT52" i="7"/>
  <c r="AS52" i="7"/>
  <c r="AJ52" i="7"/>
  <c r="AL52" i="7"/>
  <c r="AK52" i="7"/>
  <c r="AB52" i="7"/>
  <c r="AD52" i="7"/>
  <c r="AC52" i="7"/>
  <c r="CN51" i="7"/>
  <c r="CP51" i="7"/>
  <c r="CO51" i="7"/>
  <c r="CF51" i="7"/>
  <c r="CH51" i="7"/>
  <c r="CG51" i="7"/>
  <c r="BX51" i="7"/>
  <c r="BZ51" i="7"/>
  <c r="BY51" i="7"/>
  <c r="BP51" i="7"/>
  <c r="BR51" i="7"/>
  <c r="BQ51" i="7"/>
  <c r="BH51" i="7"/>
  <c r="BJ51" i="7"/>
  <c r="BI51" i="7"/>
  <c r="AZ51" i="7"/>
  <c r="BB51" i="7"/>
  <c r="BA51" i="7"/>
  <c r="AR51" i="7"/>
  <c r="AT51" i="7"/>
  <c r="AS51" i="7"/>
  <c r="AJ51" i="7"/>
  <c r="AL51" i="7"/>
  <c r="AK51" i="7"/>
  <c r="AB51" i="7"/>
  <c r="AD51" i="7"/>
  <c r="AC51" i="7"/>
  <c r="CN50" i="7"/>
  <c r="CP50" i="7"/>
  <c r="CO50" i="7"/>
  <c r="CF50" i="7"/>
  <c r="CH50" i="7"/>
  <c r="CG50" i="7"/>
  <c r="BX50" i="7"/>
  <c r="BZ50" i="7"/>
  <c r="BY50" i="7"/>
  <c r="BP50" i="7"/>
  <c r="BR50" i="7"/>
  <c r="BQ50" i="7"/>
  <c r="BH50" i="7"/>
  <c r="BJ50" i="7"/>
  <c r="BI50" i="7"/>
  <c r="AZ50" i="7"/>
  <c r="BB50" i="7"/>
  <c r="BA50" i="7"/>
  <c r="AR50" i="7"/>
  <c r="AT50" i="7"/>
  <c r="AS50" i="7"/>
  <c r="AJ50" i="7"/>
  <c r="AL50" i="7"/>
  <c r="AK50" i="7"/>
  <c r="AB50" i="7"/>
  <c r="AD50" i="7"/>
  <c r="AC50" i="7"/>
  <c r="CN49" i="7"/>
  <c r="CP49" i="7"/>
  <c r="CO49" i="7"/>
  <c r="CF49" i="7"/>
  <c r="CH49" i="7"/>
  <c r="CG49" i="7"/>
  <c r="BX49" i="7"/>
  <c r="BZ49" i="7"/>
  <c r="BY49" i="7"/>
  <c r="BP49" i="7"/>
  <c r="BR49" i="7"/>
  <c r="BQ49" i="7"/>
  <c r="BH49" i="7"/>
  <c r="BJ49" i="7"/>
  <c r="BI49" i="7"/>
  <c r="AZ49" i="7"/>
  <c r="BB49" i="7"/>
  <c r="BA49" i="7"/>
  <c r="AR49" i="7"/>
  <c r="AT49" i="7"/>
  <c r="AS49" i="7"/>
  <c r="AJ49" i="7"/>
  <c r="AL49" i="7"/>
  <c r="AK49" i="7"/>
  <c r="AB49" i="7"/>
  <c r="AD49" i="7"/>
  <c r="AC49" i="7"/>
  <c r="CN48" i="7"/>
  <c r="CP48" i="7"/>
  <c r="CO48" i="7"/>
  <c r="CF48" i="7"/>
  <c r="CH48" i="7"/>
  <c r="CG48" i="7"/>
  <c r="BX48" i="7"/>
  <c r="BZ48" i="7"/>
  <c r="BY48" i="7"/>
  <c r="BP48" i="7"/>
  <c r="BR48" i="7"/>
  <c r="BQ48" i="7"/>
  <c r="BH48" i="7"/>
  <c r="BJ48" i="7"/>
  <c r="BI48" i="7"/>
  <c r="AZ48" i="7"/>
  <c r="BB48" i="7"/>
  <c r="BA48" i="7"/>
  <c r="AR48" i="7"/>
  <c r="AT48" i="7"/>
  <c r="AS48" i="7"/>
  <c r="AJ48" i="7"/>
  <c r="AL48" i="7"/>
  <c r="AK48" i="7"/>
  <c r="AB48" i="7"/>
  <c r="AD48" i="7"/>
  <c r="AC48" i="7"/>
  <c r="CN47" i="7"/>
  <c r="CP47" i="7"/>
  <c r="CO47" i="7"/>
  <c r="CF47" i="7"/>
  <c r="CH47" i="7"/>
  <c r="CG47" i="7"/>
  <c r="BX47" i="7"/>
  <c r="BZ47" i="7"/>
  <c r="BY47" i="7"/>
  <c r="BP47" i="7"/>
  <c r="BR47" i="7"/>
  <c r="BQ47" i="7"/>
  <c r="BH47" i="7"/>
  <c r="BJ47" i="7"/>
  <c r="BI47" i="7"/>
  <c r="AZ47" i="7"/>
  <c r="BB47" i="7"/>
  <c r="BA47" i="7"/>
  <c r="AR47" i="7"/>
  <c r="AT47" i="7"/>
  <c r="AS47" i="7"/>
  <c r="AJ47" i="7"/>
  <c r="AL47" i="7"/>
  <c r="AK47" i="7"/>
  <c r="AB47" i="7"/>
  <c r="AD47" i="7"/>
  <c r="AC47" i="7"/>
  <c r="CN46" i="7"/>
  <c r="CP46" i="7"/>
  <c r="CO46" i="7"/>
  <c r="CF46" i="7"/>
  <c r="CH46" i="7"/>
  <c r="CG46" i="7"/>
  <c r="BX46" i="7"/>
  <c r="BZ46" i="7"/>
  <c r="BY46" i="7"/>
  <c r="BP46" i="7"/>
  <c r="BR46" i="7"/>
  <c r="BQ46" i="7"/>
  <c r="BH46" i="7"/>
  <c r="BJ46" i="7"/>
  <c r="BI46" i="7"/>
  <c r="AZ46" i="7"/>
  <c r="BB46" i="7"/>
  <c r="BA46" i="7"/>
  <c r="AR46" i="7"/>
  <c r="AT46" i="7"/>
  <c r="AS46" i="7"/>
  <c r="AJ46" i="7"/>
  <c r="AL46" i="7"/>
  <c r="AK46" i="7"/>
  <c r="AB46" i="7"/>
  <c r="AD46" i="7"/>
  <c r="AC46" i="7"/>
  <c r="CN45" i="7"/>
  <c r="CP45" i="7"/>
  <c r="CO45" i="7"/>
  <c r="CF45" i="7"/>
  <c r="CH45" i="7"/>
  <c r="CG45" i="7"/>
  <c r="BX45" i="7"/>
  <c r="BZ45" i="7"/>
  <c r="BY45" i="7"/>
  <c r="BP45" i="7"/>
  <c r="BR45" i="7"/>
  <c r="BQ45" i="7"/>
  <c r="BH45" i="7"/>
  <c r="BJ45" i="7"/>
  <c r="BI45" i="7"/>
  <c r="AZ45" i="7"/>
  <c r="BB45" i="7"/>
  <c r="BA45" i="7"/>
  <c r="AR45" i="7"/>
  <c r="AT45" i="7"/>
  <c r="AS45" i="7"/>
  <c r="AJ45" i="7"/>
  <c r="AL45" i="7"/>
  <c r="AK45" i="7"/>
  <c r="AB45" i="7"/>
  <c r="AD45" i="7"/>
  <c r="AC45" i="7"/>
  <c r="CN44" i="7"/>
  <c r="CP44" i="7"/>
  <c r="CO44" i="7"/>
  <c r="CF44" i="7"/>
  <c r="CH44" i="7"/>
  <c r="CG44" i="7"/>
  <c r="BX44" i="7"/>
  <c r="BZ44" i="7"/>
  <c r="BY44" i="7"/>
  <c r="BP44" i="7"/>
  <c r="BR44" i="7"/>
  <c r="BQ44" i="7"/>
  <c r="BH44" i="7"/>
  <c r="BJ44" i="7"/>
  <c r="BI44" i="7"/>
  <c r="AZ44" i="7"/>
  <c r="BB44" i="7"/>
  <c r="BA44" i="7"/>
  <c r="AR44" i="7"/>
  <c r="AT44" i="7"/>
  <c r="AS44" i="7"/>
  <c r="AJ44" i="7"/>
  <c r="AL44" i="7"/>
  <c r="AK44" i="7"/>
  <c r="AB44" i="7"/>
  <c r="AD44" i="7"/>
  <c r="AC44" i="7"/>
  <c r="CN43" i="7"/>
  <c r="CP43" i="7"/>
  <c r="CO43" i="7"/>
  <c r="CF43" i="7"/>
  <c r="CH43" i="7"/>
  <c r="CG43" i="7"/>
  <c r="BX43" i="7"/>
  <c r="BZ43" i="7"/>
  <c r="BY43" i="7"/>
  <c r="BP43" i="7"/>
  <c r="BR43" i="7"/>
  <c r="BQ43" i="7"/>
  <c r="BH43" i="7"/>
  <c r="BJ43" i="7"/>
  <c r="BI43" i="7"/>
  <c r="AZ43" i="7"/>
  <c r="BB43" i="7"/>
  <c r="BA43" i="7"/>
  <c r="AR43" i="7"/>
  <c r="AT43" i="7"/>
  <c r="AS43" i="7"/>
  <c r="AJ43" i="7"/>
  <c r="AL43" i="7"/>
  <c r="AK43" i="7"/>
  <c r="AB43" i="7"/>
  <c r="AD43" i="7"/>
  <c r="AC43" i="7"/>
  <c r="CN42" i="7"/>
  <c r="CP42" i="7"/>
  <c r="CO42" i="7"/>
  <c r="CF42" i="7"/>
  <c r="CH42" i="7"/>
  <c r="CG42" i="7"/>
  <c r="BX42" i="7"/>
  <c r="BZ42" i="7"/>
  <c r="BY42" i="7"/>
  <c r="BP42" i="7"/>
  <c r="BR42" i="7"/>
  <c r="BQ42" i="7"/>
  <c r="BH42" i="7"/>
  <c r="BJ42" i="7"/>
  <c r="BI42" i="7"/>
  <c r="AZ42" i="7"/>
  <c r="BB42" i="7"/>
  <c r="BA42" i="7"/>
  <c r="AR42" i="7"/>
  <c r="AT42" i="7"/>
  <c r="AS42" i="7"/>
  <c r="AJ42" i="7"/>
  <c r="AL42" i="7"/>
  <c r="AK42" i="7"/>
  <c r="AB42" i="7"/>
  <c r="AD42" i="7"/>
  <c r="AC42" i="7"/>
  <c r="CN41" i="7"/>
  <c r="CP41" i="7"/>
  <c r="CO41" i="7"/>
  <c r="CF41" i="7"/>
  <c r="CH41" i="7"/>
  <c r="CG41" i="7"/>
  <c r="BX41" i="7"/>
  <c r="BZ41" i="7"/>
  <c r="BY41" i="7"/>
  <c r="BP41" i="7"/>
  <c r="BR41" i="7"/>
  <c r="BQ41" i="7"/>
  <c r="BH41" i="7"/>
  <c r="BJ41" i="7"/>
  <c r="BI41" i="7"/>
  <c r="AZ41" i="7"/>
  <c r="BB41" i="7"/>
  <c r="BA41" i="7"/>
  <c r="AR41" i="7"/>
  <c r="AT41" i="7"/>
  <c r="AS41" i="7"/>
  <c r="AJ41" i="7"/>
  <c r="AL41" i="7"/>
  <c r="AK41" i="7"/>
  <c r="AB41" i="7"/>
  <c r="AD41" i="7"/>
  <c r="AC41" i="7"/>
  <c r="CN40" i="7"/>
  <c r="CP40" i="7"/>
  <c r="CO40" i="7"/>
  <c r="CF40" i="7"/>
  <c r="CH40" i="7"/>
  <c r="CG40" i="7"/>
  <c r="BX40" i="7"/>
  <c r="BZ40" i="7"/>
  <c r="BY40" i="7"/>
  <c r="BP40" i="7"/>
  <c r="BR40" i="7"/>
  <c r="BQ40" i="7"/>
  <c r="BH40" i="7"/>
  <c r="BJ40" i="7"/>
  <c r="BI40" i="7"/>
  <c r="AZ40" i="7"/>
  <c r="BB40" i="7"/>
  <c r="BA40" i="7"/>
  <c r="AR40" i="7"/>
  <c r="AT40" i="7"/>
  <c r="AS40" i="7"/>
  <c r="AJ40" i="7"/>
  <c r="AL40" i="7"/>
  <c r="AK40" i="7"/>
  <c r="AB40" i="7"/>
  <c r="AD40" i="7"/>
  <c r="AC40" i="7"/>
  <c r="CN39" i="7"/>
  <c r="CP39" i="7"/>
  <c r="CO39" i="7"/>
  <c r="CF39" i="7"/>
  <c r="CH39" i="7"/>
  <c r="CG39" i="7"/>
  <c r="BX39" i="7"/>
  <c r="BZ39" i="7"/>
  <c r="BY39" i="7"/>
  <c r="BP39" i="7"/>
  <c r="BR39" i="7"/>
  <c r="BQ39" i="7"/>
  <c r="BH39" i="7"/>
  <c r="BJ39" i="7"/>
  <c r="BI39" i="7"/>
  <c r="AZ39" i="7"/>
  <c r="BB39" i="7"/>
  <c r="BA39" i="7"/>
  <c r="AR39" i="7"/>
  <c r="AT39" i="7"/>
  <c r="AS39" i="7"/>
  <c r="AJ39" i="7"/>
  <c r="AL39" i="7"/>
  <c r="AK39" i="7"/>
  <c r="AB39" i="7"/>
  <c r="AD39" i="7"/>
  <c r="AC39" i="7"/>
  <c r="CN38" i="7"/>
  <c r="CP38" i="7"/>
  <c r="CO38" i="7"/>
  <c r="CF38" i="7"/>
  <c r="CH38" i="7"/>
  <c r="CG38" i="7"/>
  <c r="BX38" i="7"/>
  <c r="BZ38" i="7"/>
  <c r="BY38" i="7"/>
  <c r="BP38" i="7"/>
  <c r="BR38" i="7"/>
  <c r="BQ38" i="7"/>
  <c r="BH38" i="7"/>
  <c r="BJ38" i="7"/>
  <c r="BI38" i="7"/>
  <c r="AZ38" i="7"/>
  <c r="BB38" i="7"/>
  <c r="BA38" i="7"/>
  <c r="AR38" i="7"/>
  <c r="AT38" i="7"/>
  <c r="AS38" i="7"/>
  <c r="AJ38" i="7"/>
  <c r="AL38" i="7"/>
  <c r="AK38" i="7"/>
  <c r="AB38" i="7"/>
  <c r="AD38" i="7"/>
  <c r="AC38" i="7"/>
  <c r="CN37" i="7"/>
  <c r="CP37" i="7"/>
  <c r="CO37" i="7"/>
  <c r="CF37" i="7"/>
  <c r="CH37" i="7"/>
  <c r="CG37" i="7"/>
  <c r="BX37" i="7"/>
  <c r="BZ37" i="7"/>
  <c r="BY37" i="7"/>
  <c r="BP37" i="7"/>
  <c r="BR37" i="7"/>
  <c r="BQ37" i="7"/>
  <c r="BH37" i="7"/>
  <c r="BJ37" i="7"/>
  <c r="BI37" i="7"/>
  <c r="AZ37" i="7"/>
  <c r="BB37" i="7"/>
  <c r="BA37" i="7"/>
  <c r="AR37" i="7"/>
  <c r="AT37" i="7"/>
  <c r="AS37" i="7"/>
  <c r="AJ37" i="7"/>
  <c r="AL37" i="7"/>
  <c r="AK37" i="7"/>
  <c r="AB37" i="7"/>
  <c r="AD37" i="7"/>
  <c r="AC37" i="7"/>
  <c r="CN36" i="7"/>
  <c r="CP36" i="7"/>
  <c r="CO36" i="7"/>
  <c r="CF36" i="7"/>
  <c r="CH36" i="7"/>
  <c r="CG36" i="7"/>
  <c r="BX36" i="7"/>
  <c r="BZ36" i="7"/>
  <c r="BY36" i="7"/>
  <c r="BP36" i="7"/>
  <c r="BR36" i="7"/>
  <c r="BQ36" i="7"/>
  <c r="BH36" i="7"/>
  <c r="BJ36" i="7"/>
  <c r="BI36" i="7"/>
  <c r="AZ36" i="7"/>
  <c r="BB36" i="7"/>
  <c r="BA36" i="7"/>
  <c r="AR36" i="7"/>
  <c r="AT36" i="7"/>
  <c r="AS36" i="7"/>
  <c r="AJ36" i="7"/>
  <c r="AL36" i="7"/>
  <c r="AK36" i="7"/>
  <c r="AB36" i="7"/>
  <c r="AD36" i="7"/>
  <c r="AC36" i="7"/>
  <c r="CN35" i="7"/>
  <c r="CP35" i="7"/>
  <c r="CO35" i="7"/>
  <c r="CF35" i="7"/>
  <c r="CH35" i="7"/>
  <c r="CG35" i="7"/>
  <c r="BX35" i="7"/>
  <c r="BZ35" i="7"/>
  <c r="BY35" i="7"/>
  <c r="BP35" i="7"/>
  <c r="BR35" i="7"/>
  <c r="BQ35" i="7"/>
  <c r="BH35" i="7"/>
  <c r="BJ35" i="7"/>
  <c r="BI35" i="7"/>
  <c r="AZ35" i="7"/>
  <c r="BB35" i="7"/>
  <c r="BA35" i="7"/>
  <c r="AR35" i="7"/>
  <c r="AT35" i="7"/>
  <c r="AS35" i="7"/>
  <c r="AJ35" i="7"/>
  <c r="AL35" i="7"/>
  <c r="AK35" i="7"/>
  <c r="AB35" i="7"/>
  <c r="AD35" i="7"/>
  <c r="AC35" i="7"/>
  <c r="CN34" i="7"/>
  <c r="CP34" i="7"/>
  <c r="CO34" i="7"/>
  <c r="CF34" i="7"/>
  <c r="CH34" i="7"/>
  <c r="CG34" i="7"/>
  <c r="BX34" i="7"/>
  <c r="BZ34" i="7"/>
  <c r="BY34" i="7"/>
  <c r="BP34" i="7"/>
  <c r="BR34" i="7"/>
  <c r="BQ34" i="7"/>
  <c r="BH34" i="7"/>
  <c r="BJ34" i="7"/>
  <c r="BI34" i="7"/>
  <c r="AZ34" i="7"/>
  <c r="BB34" i="7"/>
  <c r="BA34" i="7"/>
  <c r="AR34" i="7"/>
  <c r="AT34" i="7"/>
  <c r="AS34" i="7"/>
  <c r="AJ34" i="7"/>
  <c r="AL34" i="7"/>
  <c r="AK34" i="7"/>
  <c r="AB34" i="7"/>
  <c r="AD34" i="7"/>
  <c r="AC34" i="7"/>
  <c r="CN33" i="7"/>
  <c r="CP33" i="7"/>
  <c r="CO33" i="7"/>
  <c r="CF33" i="7"/>
  <c r="CH33" i="7"/>
  <c r="CG33" i="7"/>
  <c r="BX33" i="7"/>
  <c r="BZ33" i="7"/>
  <c r="BY33" i="7"/>
  <c r="BP33" i="7"/>
  <c r="BR33" i="7"/>
  <c r="BQ33" i="7"/>
  <c r="BH33" i="7"/>
  <c r="BJ33" i="7"/>
  <c r="BI33" i="7"/>
  <c r="AZ33" i="7"/>
  <c r="BB33" i="7"/>
  <c r="BA33" i="7"/>
  <c r="AR33" i="7"/>
  <c r="AT33" i="7"/>
  <c r="AS33" i="7"/>
  <c r="AJ33" i="7"/>
  <c r="AL33" i="7"/>
  <c r="AK33" i="7"/>
  <c r="AB33" i="7"/>
  <c r="AD33" i="7"/>
  <c r="AC33" i="7"/>
  <c r="CN32" i="7"/>
  <c r="CP32" i="7"/>
  <c r="CO32" i="7"/>
  <c r="CF32" i="7"/>
  <c r="CH32" i="7"/>
  <c r="CG32" i="7"/>
  <c r="BX32" i="7"/>
  <c r="BZ32" i="7"/>
  <c r="BY32" i="7"/>
  <c r="BP32" i="7"/>
  <c r="BR32" i="7"/>
  <c r="BQ32" i="7"/>
  <c r="BH32" i="7"/>
  <c r="BJ32" i="7"/>
  <c r="BI32" i="7"/>
  <c r="AZ32" i="7"/>
  <c r="BB32" i="7"/>
  <c r="BA32" i="7"/>
  <c r="AR32" i="7"/>
  <c r="AT32" i="7"/>
  <c r="AS32" i="7"/>
  <c r="AJ32" i="7"/>
  <c r="AL32" i="7"/>
  <c r="AK32" i="7"/>
  <c r="AB32" i="7"/>
  <c r="AD32" i="7"/>
  <c r="AC32" i="7"/>
  <c r="CN31" i="7"/>
  <c r="CP31" i="7"/>
  <c r="CO31" i="7"/>
  <c r="CF31" i="7"/>
  <c r="CH31" i="7"/>
  <c r="CG31" i="7"/>
  <c r="BX31" i="7"/>
  <c r="BZ31" i="7"/>
  <c r="BY31" i="7"/>
  <c r="BP31" i="7"/>
  <c r="BR31" i="7"/>
  <c r="BQ31" i="7"/>
  <c r="BH31" i="7"/>
  <c r="BJ31" i="7"/>
  <c r="BI31" i="7"/>
  <c r="AZ31" i="7"/>
  <c r="BB31" i="7"/>
  <c r="BA31" i="7"/>
  <c r="AR31" i="7"/>
  <c r="AT31" i="7"/>
  <c r="AS31" i="7"/>
  <c r="AJ31" i="7"/>
  <c r="AL31" i="7"/>
  <c r="AK31" i="7"/>
  <c r="AB31" i="7"/>
  <c r="AD31" i="7"/>
  <c r="AC31" i="7"/>
  <c r="CN30" i="7"/>
  <c r="CP30" i="7"/>
  <c r="CO30" i="7"/>
  <c r="CF30" i="7"/>
  <c r="CH30" i="7"/>
  <c r="CG30" i="7"/>
  <c r="BX30" i="7"/>
  <c r="BZ30" i="7"/>
  <c r="BY30" i="7"/>
  <c r="BP30" i="7"/>
  <c r="BR30" i="7"/>
  <c r="BQ30" i="7"/>
  <c r="BH30" i="7"/>
  <c r="BJ30" i="7"/>
  <c r="BI30" i="7"/>
  <c r="AZ30" i="7"/>
  <c r="BB30" i="7"/>
  <c r="BA30" i="7"/>
  <c r="AR30" i="7"/>
  <c r="AT30" i="7"/>
  <c r="AS30" i="7"/>
  <c r="AJ30" i="7"/>
  <c r="AL30" i="7"/>
  <c r="AK30" i="7"/>
  <c r="AB30" i="7"/>
  <c r="AD30" i="7"/>
  <c r="AC30" i="7"/>
  <c r="CN29" i="7"/>
  <c r="CP29" i="7"/>
  <c r="CO29" i="7"/>
  <c r="CF29" i="7"/>
  <c r="CH29" i="7"/>
  <c r="CG29" i="7"/>
  <c r="BX29" i="7"/>
  <c r="BZ29" i="7"/>
  <c r="BY29" i="7"/>
  <c r="BP29" i="7"/>
  <c r="BR29" i="7"/>
  <c r="BQ29" i="7"/>
  <c r="BH29" i="7"/>
  <c r="BJ29" i="7"/>
  <c r="BI29" i="7"/>
  <c r="AZ29" i="7"/>
  <c r="BB29" i="7"/>
  <c r="BA29" i="7"/>
  <c r="AR29" i="7"/>
  <c r="AT29" i="7"/>
  <c r="AS29" i="7"/>
  <c r="AJ29" i="7"/>
  <c r="AL29" i="7"/>
  <c r="AK29" i="7"/>
  <c r="AB29" i="7"/>
  <c r="AD29" i="7"/>
  <c r="AC29" i="7"/>
  <c r="CN28" i="7"/>
  <c r="CP28" i="7"/>
  <c r="CO28" i="7"/>
  <c r="CF28" i="7"/>
  <c r="CH28" i="7"/>
  <c r="CG28" i="7"/>
  <c r="BX28" i="7"/>
  <c r="BZ28" i="7"/>
  <c r="BY28" i="7"/>
  <c r="BP28" i="7"/>
  <c r="BR28" i="7"/>
  <c r="BQ28" i="7"/>
  <c r="BH28" i="7"/>
  <c r="BJ28" i="7"/>
  <c r="BI28" i="7"/>
  <c r="AZ28" i="7"/>
  <c r="BB28" i="7"/>
  <c r="BA28" i="7"/>
  <c r="AR28" i="7"/>
  <c r="AT28" i="7"/>
  <c r="AS28" i="7"/>
  <c r="AJ28" i="7"/>
  <c r="AL28" i="7"/>
  <c r="AK28" i="7"/>
  <c r="AB28" i="7"/>
  <c r="AD28" i="7"/>
  <c r="AC28" i="7"/>
  <c r="CN27" i="7"/>
  <c r="CP27" i="7"/>
  <c r="CO27" i="7"/>
  <c r="CF27" i="7"/>
  <c r="CH27" i="7"/>
  <c r="CG27" i="7"/>
  <c r="BX27" i="7"/>
  <c r="BZ27" i="7"/>
  <c r="BY27" i="7"/>
  <c r="BP27" i="7"/>
  <c r="BR27" i="7"/>
  <c r="BQ27" i="7"/>
  <c r="BH27" i="7"/>
  <c r="BJ27" i="7"/>
  <c r="BI27" i="7"/>
  <c r="AZ27" i="7"/>
  <c r="BB27" i="7"/>
  <c r="BA27" i="7"/>
  <c r="AR27" i="7"/>
  <c r="AT27" i="7"/>
  <c r="AS27" i="7"/>
  <c r="AJ27" i="7"/>
  <c r="AL27" i="7"/>
  <c r="AK27" i="7"/>
  <c r="AB27" i="7"/>
  <c r="AD27" i="7"/>
  <c r="AC27" i="7"/>
  <c r="CN26" i="7"/>
  <c r="CP26" i="7"/>
  <c r="CO26" i="7"/>
  <c r="CF26" i="7"/>
  <c r="CH26" i="7"/>
  <c r="CG26" i="7"/>
  <c r="BX26" i="7"/>
  <c r="BZ26" i="7"/>
  <c r="BY26" i="7"/>
  <c r="BP26" i="7"/>
  <c r="BR26" i="7"/>
  <c r="BQ26" i="7"/>
  <c r="BH26" i="7"/>
  <c r="BJ26" i="7"/>
  <c r="BI26" i="7"/>
  <c r="AZ26" i="7"/>
  <c r="BB26" i="7"/>
  <c r="BA26" i="7"/>
  <c r="AR26" i="7"/>
  <c r="AT26" i="7"/>
  <c r="AS26" i="7"/>
  <c r="AJ26" i="7"/>
  <c r="AL26" i="7"/>
  <c r="AK26" i="7"/>
  <c r="AB26" i="7"/>
  <c r="AD26" i="7"/>
  <c r="AC26" i="7"/>
  <c r="CN25" i="7"/>
  <c r="CP25" i="7"/>
  <c r="CO25" i="7"/>
  <c r="CF25" i="7"/>
  <c r="CH25" i="7"/>
  <c r="CG25" i="7"/>
  <c r="BX25" i="7"/>
  <c r="BZ25" i="7"/>
  <c r="BY25" i="7"/>
  <c r="BP25" i="7"/>
  <c r="BR25" i="7"/>
  <c r="BQ25" i="7"/>
  <c r="BH25" i="7"/>
  <c r="BJ25" i="7"/>
  <c r="BI25" i="7"/>
  <c r="AZ25" i="7"/>
  <c r="BB25" i="7"/>
  <c r="BA25" i="7"/>
  <c r="AR25" i="7"/>
  <c r="AT25" i="7"/>
  <c r="AS25" i="7"/>
  <c r="AJ25" i="7"/>
  <c r="AL25" i="7"/>
  <c r="AK25" i="7"/>
  <c r="AB25" i="7"/>
  <c r="AD25" i="7"/>
  <c r="AC25" i="7"/>
  <c r="CN24" i="7"/>
  <c r="CP24" i="7"/>
  <c r="CO24" i="7"/>
  <c r="CF24" i="7"/>
  <c r="CH24" i="7"/>
  <c r="CG24" i="7"/>
  <c r="BX24" i="7"/>
  <c r="BZ24" i="7"/>
  <c r="BY24" i="7"/>
  <c r="BP24" i="7"/>
  <c r="BR24" i="7"/>
  <c r="BQ24" i="7"/>
  <c r="BH24" i="7"/>
  <c r="BJ24" i="7"/>
  <c r="BI24" i="7"/>
  <c r="AZ24" i="7"/>
  <c r="BB24" i="7"/>
  <c r="BA24" i="7"/>
  <c r="AR24" i="7"/>
  <c r="AT24" i="7"/>
  <c r="AS24" i="7"/>
  <c r="AJ24" i="7"/>
  <c r="AL24" i="7"/>
  <c r="AK24" i="7"/>
  <c r="AB24" i="7"/>
  <c r="AD24" i="7"/>
  <c r="AC24" i="7"/>
  <c r="CN23" i="7"/>
  <c r="CP23" i="7"/>
  <c r="CO23" i="7"/>
  <c r="CF23" i="7"/>
  <c r="CH23" i="7"/>
  <c r="CG23" i="7"/>
  <c r="BX23" i="7"/>
  <c r="BZ23" i="7"/>
  <c r="BY23" i="7"/>
  <c r="BP23" i="7"/>
  <c r="BR23" i="7"/>
  <c r="BQ23" i="7"/>
  <c r="BH23" i="7"/>
  <c r="BJ23" i="7"/>
  <c r="BI23" i="7"/>
  <c r="AZ23" i="7"/>
  <c r="BB23" i="7"/>
  <c r="BA23" i="7"/>
  <c r="AR23" i="7"/>
  <c r="AT23" i="7"/>
  <c r="AS23" i="7"/>
  <c r="AJ23" i="7"/>
  <c r="AL23" i="7"/>
  <c r="AK23" i="7"/>
  <c r="AB23" i="7"/>
  <c r="AD23" i="7"/>
  <c r="AC23" i="7"/>
  <c r="CN22" i="7"/>
  <c r="CP22" i="7"/>
  <c r="J76" i="7"/>
  <c r="CM76" i="7"/>
  <c r="CO22" i="7"/>
  <c r="CF22" i="7"/>
  <c r="CH22" i="7"/>
  <c r="J77" i="7"/>
  <c r="CE77" i="7"/>
  <c r="CG22" i="7"/>
  <c r="BX22" i="7"/>
  <c r="BZ22" i="7"/>
  <c r="J78" i="7"/>
  <c r="BW78" i="7"/>
  <c r="BY22" i="7"/>
  <c r="BP22" i="7"/>
  <c r="BR22" i="7"/>
  <c r="BO78" i="7"/>
  <c r="BQ22" i="7"/>
  <c r="BH22" i="7"/>
  <c r="BJ22" i="7"/>
  <c r="BG77" i="7"/>
  <c r="BI22" i="7"/>
  <c r="AZ22" i="7"/>
  <c r="BB22" i="7"/>
  <c r="AY76" i="7"/>
  <c r="BA22" i="7"/>
  <c r="AR22" i="7"/>
  <c r="AT22" i="7"/>
  <c r="J71" i="7"/>
  <c r="AQ71" i="7"/>
  <c r="AS22" i="7"/>
  <c r="AJ22" i="7"/>
  <c r="AL22" i="7"/>
  <c r="J75" i="7"/>
  <c r="AI75" i="7"/>
  <c r="AK22" i="7"/>
  <c r="AB22" i="7"/>
  <c r="AD22" i="7"/>
  <c r="AA75" i="7"/>
  <c r="AC22" i="7"/>
  <c r="CN21" i="7"/>
  <c r="CP21" i="7"/>
  <c r="J73" i="7"/>
  <c r="CM73" i="7"/>
  <c r="CO21" i="7"/>
  <c r="CF21" i="7"/>
  <c r="CH21" i="7"/>
  <c r="J74" i="7"/>
  <c r="CE74" i="7"/>
  <c r="CG21" i="7"/>
  <c r="BX21" i="7"/>
  <c r="BZ21" i="7"/>
  <c r="BW74" i="7"/>
  <c r="BY21" i="7"/>
  <c r="BP21" i="7"/>
  <c r="BR21" i="7"/>
  <c r="BO73" i="7"/>
  <c r="BQ21" i="7"/>
  <c r="BH21" i="7"/>
  <c r="BJ21" i="7"/>
  <c r="J68" i="7"/>
  <c r="BG68" i="7"/>
  <c r="BI21" i="7"/>
  <c r="AZ21" i="7"/>
  <c r="BB21" i="7"/>
  <c r="J72" i="7"/>
  <c r="AY72" i="7"/>
  <c r="BA21" i="7"/>
  <c r="AR21" i="7"/>
  <c r="AT21" i="7"/>
  <c r="AQ68" i="7"/>
  <c r="AS21" i="7"/>
  <c r="AJ21" i="7"/>
  <c r="AL21" i="7"/>
  <c r="AI72" i="7"/>
  <c r="AK21" i="7"/>
  <c r="AB21" i="7"/>
  <c r="AD21" i="7"/>
  <c r="AA71" i="7"/>
  <c r="AC21" i="7"/>
  <c r="CN20" i="7"/>
  <c r="CP20" i="7"/>
  <c r="J70" i="7"/>
  <c r="CM70" i="7"/>
  <c r="CO20" i="7"/>
  <c r="CF20" i="7"/>
  <c r="CH20" i="7"/>
  <c r="J60" i="7"/>
  <c r="CE60" i="7"/>
  <c r="CE70" i="7"/>
  <c r="CG20" i="7"/>
  <c r="BX20" i="7"/>
  <c r="BZ20" i="7"/>
  <c r="J61" i="7"/>
  <c r="BW61" i="7"/>
  <c r="J65" i="7"/>
  <c r="BW65" i="7"/>
  <c r="BY20" i="7"/>
  <c r="BP20" i="7"/>
  <c r="BR20" i="7"/>
  <c r="J62" i="7"/>
  <c r="BO62" i="7"/>
  <c r="J69" i="7"/>
  <c r="BO69" i="7"/>
  <c r="BQ20" i="7"/>
  <c r="BH20" i="7"/>
  <c r="BJ20" i="7"/>
  <c r="BG62" i="7"/>
  <c r="J63" i="7"/>
  <c r="BG63" i="7"/>
  <c r="BI20" i="7"/>
  <c r="AZ20" i="7"/>
  <c r="BB20" i="7"/>
  <c r="AY61" i="7"/>
  <c r="J67" i="7"/>
  <c r="AY67" i="7"/>
  <c r="BA20" i="7"/>
  <c r="AR20" i="7"/>
  <c r="AT20" i="7"/>
  <c r="AQ60" i="7"/>
  <c r="AQ65" i="7"/>
  <c r="AS20" i="7"/>
  <c r="AJ20" i="7"/>
  <c r="AL20" i="7"/>
  <c r="J59" i="7"/>
  <c r="AI59" i="7"/>
  <c r="AI69" i="7"/>
  <c r="AK20" i="7"/>
  <c r="AB20" i="7"/>
  <c r="AD20" i="7"/>
  <c r="AA59" i="7"/>
  <c r="AA67" i="7"/>
  <c r="AC20" i="7"/>
  <c r="CN19" i="7"/>
  <c r="CP19" i="7"/>
  <c r="CM62" i="7"/>
  <c r="CO19" i="7"/>
  <c r="CF19" i="7"/>
  <c r="CH19" i="7"/>
  <c r="J57" i="7"/>
  <c r="CE57" i="7"/>
  <c r="J66" i="7"/>
  <c r="CE66" i="7"/>
  <c r="CG19" i="7"/>
  <c r="BX19" i="7"/>
  <c r="BZ19" i="7"/>
  <c r="J58" i="7"/>
  <c r="BW58" i="7"/>
  <c r="BW60" i="7"/>
  <c r="BY19" i="7"/>
  <c r="BP19" i="7"/>
  <c r="BR19" i="7"/>
  <c r="BO58" i="7"/>
  <c r="J64" i="7"/>
  <c r="BO64" i="7"/>
  <c r="BQ19" i="7"/>
  <c r="BH19" i="7"/>
  <c r="BJ19" i="7"/>
  <c r="BG57" i="7"/>
  <c r="BG60" i="7"/>
  <c r="BI19" i="7"/>
  <c r="AZ19" i="7"/>
  <c r="BB19" i="7"/>
  <c r="J56" i="7"/>
  <c r="AY56" i="7"/>
  <c r="AY64" i="7"/>
  <c r="BA19" i="7"/>
  <c r="AR19" i="7"/>
  <c r="AT19" i="7"/>
  <c r="J55" i="7"/>
  <c r="AQ55" i="7"/>
  <c r="AQ62" i="7"/>
  <c r="AS19" i="7"/>
  <c r="AJ19" i="7"/>
  <c r="AL19" i="7"/>
  <c r="AI56" i="7"/>
  <c r="AI66" i="7"/>
  <c r="AK19" i="7"/>
  <c r="AB19" i="7"/>
  <c r="AD19" i="7"/>
  <c r="AA55" i="7"/>
  <c r="AA63" i="7"/>
  <c r="AC19" i="7"/>
  <c r="CN18" i="7"/>
  <c r="CP18" i="7"/>
  <c r="CM57" i="7"/>
  <c r="CO18" i="7"/>
  <c r="CF18" i="7"/>
  <c r="CH18" i="7"/>
  <c r="J54" i="7"/>
  <c r="CE54" i="7"/>
  <c r="CE61" i="7"/>
  <c r="CG18" i="7"/>
  <c r="BX18" i="7"/>
  <c r="BZ18" i="7"/>
  <c r="J47" i="7"/>
  <c r="BW47" i="7"/>
  <c r="BW54" i="7"/>
  <c r="BW55" i="7"/>
  <c r="BY18" i="7"/>
  <c r="BP18" i="7"/>
  <c r="BR18" i="7"/>
  <c r="J48" i="7"/>
  <c r="BO48" i="7"/>
  <c r="J53" i="7"/>
  <c r="BO53" i="7"/>
  <c r="BO59" i="7"/>
  <c r="BQ18" i="7"/>
  <c r="BH18" i="7"/>
  <c r="BJ18" i="7"/>
  <c r="BG48" i="7"/>
  <c r="J52" i="7"/>
  <c r="BG52" i="7"/>
  <c r="BI18" i="7"/>
  <c r="AZ18" i="7"/>
  <c r="BB18" i="7"/>
  <c r="AY47" i="7"/>
  <c r="J51" i="7"/>
  <c r="AY51" i="7"/>
  <c r="BA18" i="7"/>
  <c r="AR18" i="7"/>
  <c r="AT18" i="7"/>
  <c r="J43" i="7"/>
  <c r="AQ43" i="7"/>
  <c r="AQ52" i="7"/>
  <c r="AQ58" i="7"/>
  <c r="AS18" i="7"/>
  <c r="AJ18" i="7"/>
  <c r="AL18" i="7"/>
  <c r="J46" i="7"/>
  <c r="AI46" i="7"/>
  <c r="J44" i="7"/>
  <c r="AI44" i="7"/>
  <c r="AI53" i="7"/>
  <c r="AI58" i="7"/>
  <c r="AK18" i="7"/>
  <c r="AB18" i="7"/>
  <c r="AD18" i="7"/>
  <c r="AA46" i="7"/>
  <c r="AA43" i="7"/>
  <c r="AA51" i="7"/>
  <c r="AC18" i="7"/>
  <c r="CN17" i="7"/>
  <c r="CP17" i="7"/>
  <c r="CM52" i="7"/>
  <c r="CO17" i="7"/>
  <c r="CF17" i="7"/>
  <c r="CH17" i="7"/>
  <c r="J50" i="7"/>
  <c r="CE50" i="7"/>
  <c r="CE56" i="7"/>
  <c r="CG17" i="7"/>
  <c r="BX17" i="7"/>
  <c r="BZ17" i="7"/>
  <c r="J45" i="7"/>
  <c r="BW45" i="7"/>
  <c r="J49" i="7"/>
  <c r="BW49" i="7"/>
  <c r="BW52" i="7"/>
  <c r="BY17" i="7"/>
  <c r="BP17" i="7"/>
  <c r="BR17" i="7"/>
  <c r="BO45" i="7"/>
  <c r="BO56" i="7"/>
  <c r="BQ17" i="7"/>
  <c r="BH17" i="7"/>
  <c r="BJ17" i="7"/>
  <c r="J41" i="7"/>
  <c r="BG41" i="7"/>
  <c r="BG47" i="7"/>
  <c r="BG53" i="7"/>
  <c r="BI17" i="7"/>
  <c r="AZ17" i="7"/>
  <c r="BB17" i="7"/>
  <c r="AY44" i="7"/>
  <c r="AY48" i="7"/>
  <c r="AY54" i="7"/>
  <c r="BA17" i="7"/>
  <c r="AR17" i="7"/>
  <c r="AT17" i="7"/>
  <c r="AQ41" i="7"/>
  <c r="J39" i="7"/>
  <c r="AQ39" i="7"/>
  <c r="AQ49" i="7"/>
  <c r="AQ54" i="7"/>
  <c r="AS17" i="7"/>
  <c r="AJ17" i="7"/>
  <c r="AL17" i="7"/>
  <c r="AI50" i="7"/>
  <c r="AK17" i="7"/>
  <c r="AB17" i="7"/>
  <c r="AD17" i="7"/>
  <c r="AA47" i="7"/>
  <c r="AC17" i="7"/>
  <c r="CN16" i="7"/>
  <c r="CP16" i="7"/>
  <c r="CM47" i="7"/>
  <c r="CO16" i="7"/>
  <c r="CF16" i="7"/>
  <c r="CH16" i="7"/>
  <c r="CE45" i="7"/>
  <c r="CE51" i="7"/>
  <c r="CG16" i="7"/>
  <c r="BX16" i="7"/>
  <c r="BZ16" i="7"/>
  <c r="BW39" i="7"/>
  <c r="BW44" i="7"/>
  <c r="BW48" i="7"/>
  <c r="BY16" i="7"/>
  <c r="BP16" i="7"/>
  <c r="BR16" i="7"/>
  <c r="J42" i="7"/>
  <c r="BO42" i="7"/>
  <c r="BO43" i="7"/>
  <c r="BO49" i="7"/>
  <c r="BQ16" i="7"/>
  <c r="BH16" i="7"/>
  <c r="BJ16" i="7"/>
  <c r="J37" i="7"/>
  <c r="BG37" i="7"/>
  <c r="J35" i="7"/>
  <c r="BG35" i="7"/>
  <c r="BG44" i="7"/>
  <c r="BG50" i="7"/>
  <c r="BI16" i="7"/>
  <c r="AZ16" i="7"/>
  <c r="BB16" i="7"/>
  <c r="J40" i="7"/>
  <c r="AY40" i="7"/>
  <c r="AY45" i="7"/>
  <c r="AY50" i="7"/>
  <c r="BA16" i="7"/>
  <c r="AR16" i="7"/>
  <c r="AT16" i="7"/>
  <c r="AQ46" i="7"/>
  <c r="AS16" i="7"/>
  <c r="AJ16" i="7"/>
  <c r="AL16" i="7"/>
  <c r="AI42" i="7"/>
  <c r="AI48" i="7"/>
  <c r="AK16" i="7"/>
  <c r="AB16" i="7"/>
  <c r="AD16" i="7"/>
  <c r="AA40" i="7"/>
  <c r="AC16" i="7"/>
  <c r="CN15" i="7"/>
  <c r="CP15" i="7"/>
  <c r="CM43" i="7"/>
  <c r="CO15" i="7"/>
  <c r="CF15" i="7"/>
  <c r="CH15" i="7"/>
  <c r="CE40" i="7"/>
  <c r="CE44" i="7"/>
  <c r="CG15" i="7"/>
  <c r="BX15" i="7"/>
  <c r="BZ15" i="7"/>
  <c r="BW35" i="7"/>
  <c r="BY15" i="7"/>
  <c r="BP15" i="7"/>
  <c r="BR15" i="7"/>
  <c r="J38" i="7"/>
  <c r="BO38" i="7"/>
  <c r="BO40" i="7"/>
  <c r="BO46" i="7"/>
  <c r="BQ15" i="7"/>
  <c r="BH15" i="7"/>
  <c r="BJ15" i="7"/>
  <c r="BG46" i="7"/>
  <c r="BI15" i="7"/>
  <c r="AZ15" i="7"/>
  <c r="BB15" i="7"/>
  <c r="AY38" i="7"/>
  <c r="AY42" i="7"/>
  <c r="BA15" i="7"/>
  <c r="AR15" i="7"/>
  <c r="AT15" i="7"/>
  <c r="J36" i="7"/>
  <c r="AQ36" i="7"/>
  <c r="AQ42" i="7"/>
  <c r="AQ44" i="7"/>
  <c r="AS15" i="7"/>
  <c r="AJ15" i="7"/>
  <c r="AL15" i="7"/>
  <c r="AI36" i="7"/>
  <c r="AI41" i="7"/>
  <c r="AI43" i="7"/>
  <c r="AK15" i="7"/>
  <c r="AB15" i="7"/>
  <c r="AD15" i="7"/>
  <c r="AA37" i="7"/>
  <c r="AA39" i="7"/>
  <c r="AC15" i="7"/>
  <c r="CN14" i="7"/>
  <c r="CP14" i="7"/>
  <c r="CM40" i="7"/>
  <c r="CO14" i="7"/>
  <c r="CF14" i="7"/>
  <c r="CH14" i="7"/>
  <c r="CE35" i="7"/>
  <c r="CE41" i="7"/>
  <c r="CG14" i="7"/>
  <c r="BX14" i="7"/>
  <c r="BZ14" i="7"/>
  <c r="J31" i="7"/>
  <c r="BW31" i="7"/>
  <c r="BW36" i="7"/>
  <c r="BW42" i="7"/>
  <c r="BY14" i="7"/>
  <c r="BP14" i="7"/>
  <c r="BR14" i="7"/>
  <c r="J34" i="7"/>
  <c r="BO34" i="7"/>
  <c r="BO37" i="7"/>
  <c r="BQ14" i="7"/>
  <c r="BH14" i="7"/>
  <c r="BJ14" i="7"/>
  <c r="J32" i="7"/>
  <c r="BG32" i="7"/>
  <c r="BG38" i="7"/>
  <c r="BI14" i="7"/>
  <c r="AZ14" i="7"/>
  <c r="BB14" i="7"/>
  <c r="J33" i="7"/>
  <c r="AY33" i="7"/>
  <c r="BA14" i="7"/>
  <c r="AR14" i="7"/>
  <c r="AT14" i="7"/>
  <c r="AQ33" i="7"/>
  <c r="AQ37" i="7"/>
  <c r="AQ35" i="7"/>
  <c r="AS14" i="7"/>
  <c r="AJ14" i="7"/>
  <c r="AL14" i="7"/>
  <c r="AI32" i="7"/>
  <c r="AI39" i="7"/>
  <c r="AK14" i="7"/>
  <c r="AB14" i="7"/>
  <c r="AD14" i="7"/>
  <c r="AA34" i="7"/>
  <c r="AA31" i="7"/>
  <c r="AA35" i="7"/>
  <c r="AC14" i="7"/>
  <c r="CN13" i="7"/>
  <c r="CP13" i="7"/>
  <c r="CM37" i="7"/>
  <c r="CO13" i="7"/>
  <c r="CF13" i="7"/>
  <c r="CH13" i="7"/>
  <c r="CE32" i="7"/>
  <c r="CE38" i="7"/>
  <c r="CG13" i="7"/>
  <c r="BX13" i="7"/>
  <c r="BZ13" i="7"/>
  <c r="J28" i="7"/>
  <c r="BW28" i="7"/>
  <c r="BW33" i="7"/>
  <c r="BW38" i="7"/>
  <c r="BY13" i="7"/>
  <c r="BP13" i="7"/>
  <c r="BR13" i="7"/>
  <c r="J29" i="7"/>
  <c r="BO29" i="7"/>
  <c r="J27" i="7"/>
  <c r="BO27" i="7"/>
  <c r="BQ13" i="7"/>
  <c r="BH13" i="7"/>
  <c r="BJ13" i="7"/>
  <c r="J30" i="7"/>
  <c r="BG30" i="7"/>
  <c r="BG27" i="7"/>
  <c r="BG34" i="7"/>
  <c r="BI13" i="7"/>
  <c r="AZ13" i="7"/>
  <c r="BB13" i="7"/>
  <c r="AY30" i="7"/>
  <c r="AY36" i="7"/>
  <c r="BA13" i="7"/>
  <c r="AR13" i="7"/>
  <c r="AT13" i="7"/>
  <c r="AQ29" i="7"/>
  <c r="AQ32" i="7"/>
  <c r="AS13" i="7"/>
  <c r="AJ13" i="7"/>
  <c r="AL13" i="7"/>
  <c r="AI28" i="7"/>
  <c r="AI31" i="7"/>
  <c r="AK13" i="7"/>
  <c r="AB13" i="7"/>
  <c r="AD13" i="7"/>
  <c r="AC13" i="7"/>
  <c r="CN12" i="7"/>
  <c r="CP12" i="7"/>
  <c r="CM34" i="7"/>
  <c r="CO12" i="7"/>
  <c r="CF12" i="7"/>
  <c r="CH12" i="7"/>
  <c r="CE29" i="7"/>
  <c r="CE34" i="7"/>
  <c r="CG12" i="7"/>
  <c r="BX12" i="7"/>
  <c r="BZ12" i="7"/>
  <c r="J26" i="7"/>
  <c r="BW26" i="7"/>
  <c r="J24" i="7"/>
  <c r="BW24" i="7"/>
  <c r="BW30" i="7"/>
  <c r="BW29" i="7"/>
  <c r="BY12" i="7"/>
  <c r="BP12" i="7"/>
  <c r="BR12" i="7"/>
  <c r="BO30" i="7"/>
  <c r="BO33" i="7"/>
  <c r="BQ12" i="7"/>
  <c r="BH12" i="7"/>
  <c r="BJ12" i="7"/>
  <c r="BG29" i="7"/>
  <c r="BI12" i="7"/>
  <c r="AZ12" i="7"/>
  <c r="BB12" i="7"/>
  <c r="AY26" i="7"/>
  <c r="J23" i="7"/>
  <c r="AY23" i="7"/>
  <c r="J18" i="7"/>
  <c r="AY18" i="7"/>
  <c r="AY28" i="7"/>
  <c r="AY31" i="7"/>
  <c r="BA12" i="7"/>
  <c r="AR12" i="7"/>
  <c r="AT12" i="7"/>
  <c r="J22" i="7"/>
  <c r="AQ22" i="7"/>
  <c r="J20" i="7"/>
  <c r="AQ20" i="7"/>
  <c r="AQ18" i="7"/>
  <c r="AQ27" i="7"/>
  <c r="AS12" i="7"/>
  <c r="AJ12" i="7"/>
  <c r="AL12" i="7"/>
  <c r="J25" i="7"/>
  <c r="AI25" i="7"/>
  <c r="AI23" i="7"/>
  <c r="J17" i="7"/>
  <c r="AI17" i="7"/>
  <c r="AI33" i="7"/>
  <c r="AK12" i="7"/>
  <c r="AB12" i="7"/>
  <c r="AD12" i="7"/>
  <c r="AA25" i="7"/>
  <c r="AA17" i="7"/>
  <c r="AA27" i="7"/>
  <c r="AC12" i="7"/>
  <c r="CN11" i="7"/>
  <c r="CP11" i="7"/>
  <c r="CM26" i="7"/>
  <c r="CO11" i="7"/>
  <c r="CF11" i="7"/>
  <c r="CH11" i="7"/>
  <c r="CE26" i="7"/>
  <c r="CE30" i="7"/>
  <c r="CG11" i="7"/>
  <c r="BX11" i="7"/>
  <c r="BZ11" i="7"/>
  <c r="BY11" i="7"/>
  <c r="BP11" i="7"/>
  <c r="BR11" i="7"/>
  <c r="BO24" i="7"/>
  <c r="BO25" i="7"/>
  <c r="BO28" i="7"/>
  <c r="BQ11" i="7"/>
  <c r="BH11" i="7"/>
  <c r="BJ11" i="7"/>
  <c r="BG20" i="7"/>
  <c r="BG24" i="7"/>
  <c r="BI11" i="7"/>
  <c r="AZ11" i="7"/>
  <c r="BB11" i="7"/>
  <c r="J16" i="7"/>
  <c r="AY16" i="7"/>
  <c r="BA11" i="7"/>
  <c r="AR11" i="7"/>
  <c r="AT11" i="7"/>
  <c r="J15" i="7"/>
  <c r="AQ15" i="7"/>
  <c r="AQ24" i="7"/>
  <c r="AQ26" i="7"/>
  <c r="AS11" i="7"/>
  <c r="AJ11" i="7"/>
  <c r="AL11" i="7"/>
  <c r="AI16" i="7"/>
  <c r="AI30" i="7"/>
  <c r="AK11" i="7"/>
  <c r="AB11" i="7"/>
  <c r="AD11" i="7"/>
  <c r="AA22" i="7"/>
  <c r="J19" i="7"/>
  <c r="AA19" i="7"/>
  <c r="AA15" i="7"/>
  <c r="AA23" i="7"/>
  <c r="AC11" i="7"/>
  <c r="CN10" i="7"/>
  <c r="CP10" i="7"/>
  <c r="J21" i="7"/>
  <c r="CM21" i="7"/>
  <c r="CO10" i="7"/>
  <c r="CF10" i="7"/>
  <c r="CH10" i="7"/>
  <c r="CE22" i="7"/>
  <c r="CE25" i="7"/>
  <c r="CG10" i="7"/>
  <c r="BX10" i="7"/>
  <c r="BZ10" i="7"/>
  <c r="BW18" i="7"/>
  <c r="BW21" i="7"/>
  <c r="BW19" i="7"/>
  <c r="BY10" i="7"/>
  <c r="BP10" i="7"/>
  <c r="BR10" i="7"/>
  <c r="BO21" i="7"/>
  <c r="BO20" i="7"/>
  <c r="BO23" i="7"/>
  <c r="BQ10" i="7"/>
  <c r="BH10" i="7"/>
  <c r="BJ10" i="7"/>
  <c r="BG16" i="7"/>
  <c r="BG19" i="7"/>
  <c r="BG21" i="7"/>
  <c r="BI10" i="7"/>
  <c r="AZ10" i="7"/>
  <c r="BB10" i="7"/>
  <c r="AY19" i="7"/>
  <c r="J13" i="7"/>
  <c r="AY13" i="7"/>
  <c r="AY20" i="7"/>
  <c r="AY25" i="7"/>
  <c r="BA10" i="7"/>
  <c r="AR10" i="7"/>
  <c r="AT10" i="7"/>
  <c r="J14" i="7"/>
  <c r="AQ14" i="7"/>
  <c r="J11" i="7"/>
  <c r="AQ11" i="7"/>
  <c r="AQ21" i="7"/>
  <c r="AS10" i="7"/>
  <c r="AJ10" i="7"/>
  <c r="AL10" i="7"/>
  <c r="AI21" i="7"/>
  <c r="AI14" i="7"/>
  <c r="J12" i="7"/>
  <c r="AI12" i="7"/>
  <c r="AI22" i="7"/>
  <c r="AK10" i="7"/>
  <c r="AB10" i="7"/>
  <c r="AD10" i="7"/>
  <c r="AA13" i="7"/>
  <c r="AA12" i="7"/>
  <c r="AC10" i="7"/>
  <c r="CN9" i="7"/>
  <c r="CP9" i="7"/>
  <c r="CM16" i="7"/>
  <c r="CO9" i="7"/>
  <c r="CF9" i="7"/>
  <c r="CH9" i="7"/>
  <c r="CE17" i="7"/>
  <c r="CE20" i="7"/>
  <c r="CG9" i="7"/>
  <c r="BX9" i="7"/>
  <c r="BZ9" i="7"/>
  <c r="BW14" i="7"/>
  <c r="BW16" i="7"/>
  <c r="BY9" i="7"/>
  <c r="BP9" i="7"/>
  <c r="BR9" i="7"/>
  <c r="BO17" i="7"/>
  <c r="BO15" i="7"/>
  <c r="BQ9" i="7"/>
  <c r="BH9" i="7"/>
  <c r="BJ9" i="7"/>
  <c r="BG14" i="7"/>
  <c r="BG11" i="7"/>
  <c r="BG17" i="7"/>
  <c r="BI9" i="7"/>
  <c r="AZ9" i="7"/>
  <c r="BB9" i="7"/>
  <c r="AY17" i="7"/>
  <c r="AY12" i="7"/>
  <c r="BA9" i="7"/>
  <c r="AR9" i="7"/>
  <c r="AT9" i="7"/>
  <c r="AQ12" i="7"/>
  <c r="J10" i="7"/>
  <c r="AQ10" i="7"/>
  <c r="AS9" i="7"/>
  <c r="AJ9" i="7"/>
  <c r="AL9" i="7"/>
  <c r="AI15" i="7"/>
  <c r="AI11" i="7"/>
  <c r="AI10" i="7"/>
  <c r="AI18" i="7"/>
  <c r="AK9" i="7"/>
  <c r="AB9" i="7"/>
  <c r="AD9" i="7"/>
  <c r="AA16" i="7"/>
  <c r="AA11" i="7"/>
  <c r="AC9" i="7"/>
  <c r="CN8" i="7"/>
  <c r="CP8" i="7"/>
  <c r="CM11" i="7"/>
  <c r="CO8" i="7"/>
  <c r="CF8" i="7"/>
  <c r="CH8" i="7"/>
  <c r="CE12" i="7"/>
  <c r="CE15" i="7"/>
  <c r="CG8" i="7"/>
  <c r="BX8" i="7"/>
  <c r="BZ8" i="7"/>
  <c r="BW10" i="7"/>
  <c r="BW11" i="7"/>
  <c r="BW12" i="7"/>
  <c r="BY8" i="7"/>
  <c r="BP8" i="7"/>
  <c r="BR8" i="7"/>
  <c r="BO13" i="7"/>
  <c r="BO12" i="7"/>
  <c r="BQ8" i="7"/>
  <c r="BH8" i="7"/>
  <c r="BJ8" i="7"/>
  <c r="BG13" i="7"/>
  <c r="BI8" i="7"/>
  <c r="AZ8" i="7"/>
  <c r="BB8" i="7"/>
  <c r="AY10" i="7"/>
  <c r="AY14" i="7"/>
  <c r="BA8" i="7"/>
  <c r="AR8" i="7"/>
  <c r="AT8" i="7"/>
  <c r="AQ8" i="7"/>
  <c r="AQ13" i="7"/>
  <c r="AS8" i="7"/>
  <c r="AJ8" i="7"/>
  <c r="AL8" i="7"/>
  <c r="AI9" i="7"/>
  <c r="AI13" i="7"/>
  <c r="AK8" i="7"/>
  <c r="AB8" i="7"/>
  <c r="AD8" i="7"/>
  <c r="AA9" i="7"/>
  <c r="AC8" i="7"/>
  <c r="CN7" i="7"/>
  <c r="CP7" i="7"/>
  <c r="CO7" i="7"/>
  <c r="CF7" i="7"/>
  <c r="CH7" i="7"/>
  <c r="CG7" i="7"/>
  <c r="BX7" i="7"/>
  <c r="BZ7" i="7"/>
  <c r="BW9" i="7"/>
  <c r="BY7" i="7"/>
  <c r="BP7" i="7"/>
  <c r="BR7" i="7"/>
  <c r="BO8" i="7"/>
  <c r="BO9" i="7"/>
  <c r="BO10" i="7"/>
  <c r="BQ7" i="7"/>
  <c r="BH7" i="7"/>
  <c r="BJ7" i="7"/>
  <c r="BG9" i="7"/>
  <c r="BG10" i="7"/>
  <c r="BI7" i="7"/>
  <c r="AZ7" i="7"/>
  <c r="BB7" i="7"/>
  <c r="AY9" i="7"/>
  <c r="BA7" i="7"/>
  <c r="AR7" i="7"/>
  <c r="AT7" i="7"/>
  <c r="AS7" i="7"/>
  <c r="AJ7" i="7"/>
  <c r="AL7" i="7"/>
  <c r="AK7" i="7"/>
  <c r="AB7" i="7"/>
  <c r="AD7" i="7"/>
  <c r="AA10" i="7"/>
  <c r="AC7" i="7"/>
  <c r="C201" i="12"/>
  <c r="C176" i="12"/>
  <c r="C151" i="12"/>
  <c r="C126" i="12"/>
  <c r="C101" i="12"/>
  <c r="C76" i="12"/>
  <c r="C51" i="12"/>
  <c r="C26" i="12"/>
  <c r="E47" i="9"/>
  <c r="B223" i="12"/>
  <c r="F222" i="12"/>
  <c r="E222" i="12"/>
  <c r="D222" i="12"/>
  <c r="F221" i="12"/>
  <c r="E221" i="12"/>
  <c r="D221" i="12"/>
  <c r="F220" i="12"/>
  <c r="E220" i="12"/>
  <c r="D220" i="12"/>
  <c r="F219" i="12"/>
  <c r="E219" i="12"/>
  <c r="D219" i="12"/>
  <c r="F218" i="12"/>
  <c r="E218" i="12"/>
  <c r="D218" i="12"/>
  <c r="F217" i="12"/>
  <c r="E217" i="12"/>
  <c r="D217" i="12"/>
  <c r="F216" i="12"/>
  <c r="E216" i="12"/>
  <c r="D216" i="12"/>
  <c r="F215" i="12"/>
  <c r="E215" i="12"/>
  <c r="D215" i="12"/>
  <c r="F214" i="12"/>
  <c r="E214" i="12"/>
  <c r="D214" i="12"/>
  <c r="F213" i="12"/>
  <c r="E213" i="12"/>
  <c r="D213" i="12"/>
  <c r="F212" i="12"/>
  <c r="E212" i="12"/>
  <c r="D212" i="12"/>
  <c r="F211" i="12"/>
  <c r="E211" i="12"/>
  <c r="D211" i="12"/>
  <c r="F210" i="12"/>
  <c r="E210" i="12"/>
  <c r="D210" i="12"/>
  <c r="F209" i="12"/>
  <c r="E209" i="12"/>
  <c r="D209" i="12"/>
  <c r="F208" i="12"/>
  <c r="E208" i="12"/>
  <c r="D208" i="12"/>
  <c r="F207" i="12"/>
  <c r="E207" i="12"/>
  <c r="D207" i="12"/>
  <c r="E46" i="9"/>
  <c r="F206" i="12"/>
  <c r="E48" i="9"/>
  <c r="E206" i="12"/>
  <c r="E39" i="9"/>
  <c r="D206" i="12"/>
  <c r="E9" i="9"/>
  <c r="C206" i="12"/>
  <c r="C205" i="12"/>
  <c r="B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F191" i="12"/>
  <c r="E191" i="12"/>
  <c r="D191" i="12"/>
  <c r="F190" i="12"/>
  <c r="E190" i="12"/>
  <c r="D190" i="12"/>
  <c r="F189" i="12"/>
  <c r="E189" i="12"/>
  <c r="D189" i="12"/>
  <c r="F188" i="12"/>
  <c r="E188" i="12"/>
  <c r="D188" i="12"/>
  <c r="F187" i="12"/>
  <c r="E187" i="12"/>
  <c r="D187" i="12"/>
  <c r="F186" i="12"/>
  <c r="E186" i="12"/>
  <c r="D186" i="12"/>
  <c r="F185" i="12"/>
  <c r="E185" i="12"/>
  <c r="D185" i="12"/>
  <c r="F184" i="12"/>
  <c r="E184" i="12"/>
  <c r="D184" i="12"/>
  <c r="F183" i="12"/>
  <c r="E183" i="12"/>
  <c r="D183" i="12"/>
  <c r="F182" i="12"/>
  <c r="E182" i="12"/>
  <c r="D182" i="12"/>
  <c r="F181" i="12"/>
  <c r="E181" i="12"/>
  <c r="D181" i="12"/>
  <c r="C181" i="12"/>
  <c r="C180" i="12"/>
  <c r="B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F160" i="12"/>
  <c r="E160" i="12"/>
  <c r="D160" i="12"/>
  <c r="F159" i="12"/>
  <c r="E159" i="12"/>
  <c r="D159" i="12"/>
  <c r="F158" i="12"/>
  <c r="E158" i="12"/>
  <c r="D158" i="12"/>
  <c r="F157" i="12"/>
  <c r="E157" i="12"/>
  <c r="D157" i="12"/>
  <c r="F156" i="12"/>
  <c r="E156" i="12"/>
  <c r="D156" i="12"/>
  <c r="C156" i="12"/>
  <c r="C155" i="12"/>
  <c r="B148" i="12"/>
  <c r="F147" i="12"/>
  <c r="E147" i="12"/>
  <c r="D147" i="12"/>
  <c r="F146" i="12"/>
  <c r="E146" i="12"/>
  <c r="D146" i="12"/>
  <c r="F145" i="12"/>
  <c r="E145" i="12"/>
  <c r="D145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C131" i="12"/>
  <c r="C130" i="12"/>
  <c r="B123" i="12"/>
  <c r="F122" i="12"/>
  <c r="E122" i="12"/>
  <c r="D122" i="12"/>
  <c r="F121" i="12"/>
  <c r="E121" i="12"/>
  <c r="D121" i="12"/>
  <c r="F120" i="12"/>
  <c r="E120" i="12"/>
  <c r="D120" i="12"/>
  <c r="F119" i="12"/>
  <c r="E119" i="12"/>
  <c r="D119" i="12"/>
  <c r="F118" i="12"/>
  <c r="E118" i="12"/>
  <c r="D118" i="12"/>
  <c r="F117" i="12"/>
  <c r="E117" i="12"/>
  <c r="D117" i="12"/>
  <c r="F116" i="12"/>
  <c r="E116" i="12"/>
  <c r="D116" i="12"/>
  <c r="F115" i="12"/>
  <c r="E115" i="12"/>
  <c r="D115" i="12"/>
  <c r="F114" i="12"/>
  <c r="E114" i="12"/>
  <c r="D114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C106" i="12"/>
  <c r="C105" i="12"/>
  <c r="B98" i="12"/>
  <c r="F97" i="12"/>
  <c r="E97" i="12"/>
  <c r="D97" i="12"/>
  <c r="F96" i="12"/>
  <c r="E96" i="12"/>
  <c r="D96" i="12"/>
  <c r="F95" i="12"/>
  <c r="E95" i="12"/>
  <c r="D95" i="12"/>
  <c r="F94" i="12"/>
  <c r="E94" i="12"/>
  <c r="D94" i="12"/>
  <c r="F93" i="12"/>
  <c r="E93" i="12"/>
  <c r="D93" i="12"/>
  <c r="F92" i="12"/>
  <c r="E92" i="12"/>
  <c r="D92" i="12"/>
  <c r="F91" i="12"/>
  <c r="E91" i="12"/>
  <c r="D91" i="12"/>
  <c r="F90" i="12"/>
  <c r="E90" i="12"/>
  <c r="D90" i="12"/>
  <c r="F89" i="12"/>
  <c r="E89" i="12"/>
  <c r="D89" i="12"/>
  <c r="F88" i="12"/>
  <c r="E88" i="12"/>
  <c r="D88" i="12"/>
  <c r="F87" i="12"/>
  <c r="E87" i="12"/>
  <c r="D87" i="12"/>
  <c r="F86" i="12"/>
  <c r="E86" i="12"/>
  <c r="D86" i="12"/>
  <c r="F85" i="12"/>
  <c r="E85" i="12"/>
  <c r="D85" i="12"/>
  <c r="F84" i="12"/>
  <c r="E84" i="12"/>
  <c r="D84" i="12"/>
  <c r="F83" i="12"/>
  <c r="E83" i="12"/>
  <c r="D83" i="12"/>
  <c r="F82" i="12"/>
  <c r="E82" i="12"/>
  <c r="D82" i="12"/>
  <c r="F81" i="12"/>
  <c r="E81" i="12"/>
  <c r="D81" i="12"/>
  <c r="C81" i="12"/>
  <c r="C80" i="12"/>
  <c r="B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F67" i="12"/>
  <c r="E67" i="12"/>
  <c r="D67" i="12"/>
  <c r="F66" i="12"/>
  <c r="E66" i="12"/>
  <c r="D66" i="12"/>
  <c r="F65" i="12"/>
  <c r="E65" i="12"/>
  <c r="D65" i="12"/>
  <c r="F64" i="12"/>
  <c r="E64" i="12"/>
  <c r="D64" i="12"/>
  <c r="F63" i="12"/>
  <c r="E63" i="12"/>
  <c r="D63" i="12"/>
  <c r="F62" i="12"/>
  <c r="E62" i="12"/>
  <c r="D62" i="12"/>
  <c r="F61" i="12"/>
  <c r="E61" i="12"/>
  <c r="D61" i="12"/>
  <c r="F60" i="12"/>
  <c r="E60" i="12"/>
  <c r="D60" i="12"/>
  <c r="F59" i="12"/>
  <c r="E59" i="12"/>
  <c r="D59" i="12"/>
  <c r="F58" i="12"/>
  <c r="E58" i="12"/>
  <c r="D58" i="12"/>
  <c r="F57" i="12"/>
  <c r="E57" i="12"/>
  <c r="D57" i="12"/>
  <c r="F56" i="12"/>
  <c r="E56" i="12"/>
  <c r="D56" i="12"/>
  <c r="C56" i="12"/>
  <c r="C55" i="12"/>
  <c r="B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F36" i="12"/>
  <c r="E36" i="12"/>
  <c r="D36" i="12"/>
  <c r="F35" i="12"/>
  <c r="E35" i="12"/>
  <c r="D35" i="12"/>
  <c r="F34" i="12"/>
  <c r="E34" i="12"/>
  <c r="D34" i="12"/>
  <c r="F33" i="12"/>
  <c r="E33" i="12"/>
  <c r="D33" i="12"/>
  <c r="F32" i="12"/>
  <c r="E32" i="12"/>
  <c r="D32" i="12"/>
  <c r="F31" i="12"/>
  <c r="E31" i="12"/>
  <c r="D31" i="12"/>
  <c r="C31" i="12"/>
  <c r="C30" i="12"/>
  <c r="B23" i="12"/>
  <c r="F22" i="12"/>
  <c r="E22" i="12"/>
  <c r="D22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24" i="12"/>
  <c r="B199" i="12"/>
  <c r="B174" i="12"/>
  <c r="B149" i="12"/>
  <c r="B124" i="12"/>
  <c r="B99" i="12"/>
  <c r="B74" i="12"/>
  <c r="B49" i="12"/>
  <c r="X8" i="7"/>
  <c r="AF8" i="7"/>
  <c r="AN8" i="7"/>
  <c r="AV8" i="7"/>
  <c r="BD8" i="7"/>
  <c r="BL8" i="7"/>
  <c r="BT8" i="7"/>
  <c r="CB8" i="7"/>
  <c r="CJ8" i="7"/>
  <c r="W8" i="7"/>
  <c r="X9" i="7"/>
  <c r="AF9" i="7"/>
  <c r="AN9" i="7"/>
  <c r="AV9" i="7"/>
  <c r="BD9" i="7"/>
  <c r="BL9" i="7"/>
  <c r="BT9" i="7"/>
  <c r="CB9" i="7"/>
  <c r="CJ9" i="7"/>
  <c r="W9" i="7"/>
  <c r="X10" i="7"/>
  <c r="AF10" i="7"/>
  <c r="AN10" i="7"/>
  <c r="AV10" i="7"/>
  <c r="BD10" i="7"/>
  <c r="BL10" i="7"/>
  <c r="BT10" i="7"/>
  <c r="CB10" i="7"/>
  <c r="CJ10" i="7"/>
  <c r="W10" i="7"/>
  <c r="X11" i="7"/>
  <c r="AF11" i="7"/>
  <c r="AN11" i="7"/>
  <c r="AV11" i="7"/>
  <c r="BD11" i="7"/>
  <c r="BL11" i="7"/>
  <c r="BT11" i="7"/>
  <c r="CB11" i="7"/>
  <c r="CJ11" i="7"/>
  <c r="W11" i="7"/>
  <c r="X12" i="7"/>
  <c r="AF12" i="7"/>
  <c r="AN12" i="7"/>
  <c r="AV12" i="7"/>
  <c r="BD12" i="7"/>
  <c r="BL12" i="7"/>
  <c r="BT12" i="7"/>
  <c r="CB12" i="7"/>
  <c r="CJ12" i="7"/>
  <c r="W12" i="7"/>
  <c r="X13" i="7"/>
  <c r="AF13" i="7"/>
  <c r="AN13" i="7"/>
  <c r="AV13" i="7"/>
  <c r="BD13" i="7"/>
  <c r="BL13" i="7"/>
  <c r="BT13" i="7"/>
  <c r="CB13" i="7"/>
  <c r="CJ13" i="7"/>
  <c r="W13" i="7"/>
  <c r="X14" i="7"/>
  <c r="AF14" i="7"/>
  <c r="AN14" i="7"/>
  <c r="AV14" i="7"/>
  <c r="BD14" i="7"/>
  <c r="BL14" i="7"/>
  <c r="BT14" i="7"/>
  <c r="CB14" i="7"/>
  <c r="CJ14" i="7"/>
  <c r="W14" i="7"/>
  <c r="X15" i="7"/>
  <c r="AF15" i="7"/>
  <c r="AN15" i="7"/>
  <c r="AV15" i="7"/>
  <c r="BD15" i="7"/>
  <c r="BL15" i="7"/>
  <c r="BT15" i="7"/>
  <c r="CB15" i="7"/>
  <c r="CJ15" i="7"/>
  <c r="W15" i="7"/>
  <c r="X16" i="7"/>
  <c r="AF16" i="7"/>
  <c r="AN16" i="7"/>
  <c r="AV16" i="7"/>
  <c r="BD16" i="7"/>
  <c r="BL16" i="7"/>
  <c r="BT16" i="7"/>
  <c r="CB16" i="7"/>
  <c r="CJ16" i="7"/>
  <c r="W16" i="7"/>
  <c r="X17" i="7"/>
  <c r="AF17" i="7"/>
  <c r="AN17" i="7"/>
  <c r="AV17" i="7"/>
  <c r="BD17" i="7"/>
  <c r="BL17" i="7"/>
  <c r="BT17" i="7"/>
  <c r="CB17" i="7"/>
  <c r="CJ17" i="7"/>
  <c r="W17" i="7"/>
  <c r="X18" i="7"/>
  <c r="AF18" i="7"/>
  <c r="AN18" i="7"/>
  <c r="AV18" i="7"/>
  <c r="BD18" i="7"/>
  <c r="BL18" i="7"/>
  <c r="BT18" i="7"/>
  <c r="CB18" i="7"/>
  <c r="CJ18" i="7"/>
  <c r="W18" i="7"/>
  <c r="X19" i="7"/>
  <c r="AF19" i="7"/>
  <c r="AN19" i="7"/>
  <c r="AV19" i="7"/>
  <c r="BD19" i="7"/>
  <c r="BL19" i="7"/>
  <c r="BT19" i="7"/>
  <c r="CB19" i="7"/>
  <c r="CJ19" i="7"/>
  <c r="W19" i="7"/>
  <c r="X20" i="7"/>
  <c r="AF20" i="7"/>
  <c r="AN20" i="7"/>
  <c r="AV20" i="7"/>
  <c r="BD20" i="7"/>
  <c r="BL20" i="7"/>
  <c r="BT20" i="7"/>
  <c r="CB20" i="7"/>
  <c r="CJ20" i="7"/>
  <c r="W20" i="7"/>
  <c r="X21" i="7"/>
  <c r="AF21" i="7"/>
  <c r="AN21" i="7"/>
  <c r="AV21" i="7"/>
  <c r="BD21" i="7"/>
  <c r="BL21" i="7"/>
  <c r="BT21" i="7"/>
  <c r="CB21" i="7"/>
  <c r="CJ21" i="7"/>
  <c r="W21" i="7"/>
  <c r="X22" i="7"/>
  <c r="AF22" i="7"/>
  <c r="AN22" i="7"/>
  <c r="AV22" i="7"/>
  <c r="BD22" i="7"/>
  <c r="BL22" i="7"/>
  <c r="BT22" i="7"/>
  <c r="CB22" i="7"/>
  <c r="CJ22" i="7"/>
  <c r="W22" i="7"/>
  <c r="X23" i="7"/>
  <c r="AF23" i="7"/>
  <c r="AN23" i="7"/>
  <c r="AV23" i="7"/>
  <c r="BD23" i="7"/>
  <c r="BL23" i="7"/>
  <c r="BT23" i="7"/>
  <c r="CB23" i="7"/>
  <c r="CJ23" i="7"/>
  <c r="W23" i="7"/>
  <c r="X24" i="7"/>
  <c r="AF24" i="7"/>
  <c r="AN24" i="7"/>
  <c r="AV24" i="7"/>
  <c r="BD24" i="7"/>
  <c r="BL24" i="7"/>
  <c r="BT24" i="7"/>
  <c r="CB24" i="7"/>
  <c r="CJ24" i="7"/>
  <c r="W24" i="7"/>
  <c r="X25" i="7"/>
  <c r="AF25" i="7"/>
  <c r="AN25" i="7"/>
  <c r="AV25" i="7"/>
  <c r="BD25" i="7"/>
  <c r="BL25" i="7"/>
  <c r="BT25" i="7"/>
  <c r="CB25" i="7"/>
  <c r="CJ25" i="7"/>
  <c r="W25" i="7"/>
  <c r="X26" i="7"/>
  <c r="AF26" i="7"/>
  <c r="AN26" i="7"/>
  <c r="AV26" i="7"/>
  <c r="BD26" i="7"/>
  <c r="BL26" i="7"/>
  <c r="BT26" i="7"/>
  <c r="CB26" i="7"/>
  <c r="CJ26" i="7"/>
  <c r="W26" i="7"/>
  <c r="X27" i="7"/>
  <c r="AF27" i="7"/>
  <c r="AN27" i="7"/>
  <c r="AV27" i="7"/>
  <c r="BD27" i="7"/>
  <c r="BL27" i="7"/>
  <c r="BT27" i="7"/>
  <c r="CB27" i="7"/>
  <c r="CJ27" i="7"/>
  <c r="W27" i="7"/>
  <c r="X28" i="7"/>
  <c r="AF28" i="7"/>
  <c r="AN28" i="7"/>
  <c r="AV28" i="7"/>
  <c r="BD28" i="7"/>
  <c r="BL28" i="7"/>
  <c r="BT28" i="7"/>
  <c r="CB28" i="7"/>
  <c r="CJ28" i="7"/>
  <c r="W28" i="7"/>
  <c r="X29" i="7"/>
  <c r="AF29" i="7"/>
  <c r="AN29" i="7"/>
  <c r="AV29" i="7"/>
  <c r="BD29" i="7"/>
  <c r="BL29" i="7"/>
  <c r="BT29" i="7"/>
  <c r="CB29" i="7"/>
  <c r="CJ29" i="7"/>
  <c r="W29" i="7"/>
  <c r="X30" i="7"/>
  <c r="AF30" i="7"/>
  <c r="AN30" i="7"/>
  <c r="AV30" i="7"/>
  <c r="BD30" i="7"/>
  <c r="BL30" i="7"/>
  <c r="BT30" i="7"/>
  <c r="CB30" i="7"/>
  <c r="CJ30" i="7"/>
  <c r="W30" i="7"/>
  <c r="X31" i="7"/>
  <c r="AF31" i="7"/>
  <c r="AN31" i="7"/>
  <c r="AV31" i="7"/>
  <c r="BD31" i="7"/>
  <c r="BL31" i="7"/>
  <c r="BT31" i="7"/>
  <c r="CB31" i="7"/>
  <c r="CJ31" i="7"/>
  <c r="W31" i="7"/>
  <c r="X32" i="7"/>
  <c r="AF32" i="7"/>
  <c r="AN32" i="7"/>
  <c r="AV32" i="7"/>
  <c r="BD32" i="7"/>
  <c r="BL32" i="7"/>
  <c r="BT32" i="7"/>
  <c r="CB32" i="7"/>
  <c r="CJ32" i="7"/>
  <c r="W32" i="7"/>
  <c r="X33" i="7"/>
  <c r="AF33" i="7"/>
  <c r="AN33" i="7"/>
  <c r="AV33" i="7"/>
  <c r="BD33" i="7"/>
  <c r="BL33" i="7"/>
  <c r="BT33" i="7"/>
  <c r="CB33" i="7"/>
  <c r="CJ33" i="7"/>
  <c r="W33" i="7"/>
  <c r="X34" i="7"/>
  <c r="AF34" i="7"/>
  <c r="AN34" i="7"/>
  <c r="AV34" i="7"/>
  <c r="BD34" i="7"/>
  <c r="BL34" i="7"/>
  <c r="BT34" i="7"/>
  <c r="CB34" i="7"/>
  <c r="CJ34" i="7"/>
  <c r="W34" i="7"/>
  <c r="X35" i="7"/>
  <c r="AF35" i="7"/>
  <c r="AN35" i="7"/>
  <c r="AV35" i="7"/>
  <c r="BD35" i="7"/>
  <c r="BL35" i="7"/>
  <c r="BT35" i="7"/>
  <c r="CB35" i="7"/>
  <c r="CJ35" i="7"/>
  <c r="W35" i="7"/>
  <c r="X36" i="7"/>
  <c r="AF36" i="7"/>
  <c r="AN36" i="7"/>
  <c r="AV36" i="7"/>
  <c r="BD36" i="7"/>
  <c r="BL36" i="7"/>
  <c r="BT36" i="7"/>
  <c r="CB36" i="7"/>
  <c r="CJ36" i="7"/>
  <c r="W36" i="7"/>
  <c r="X37" i="7"/>
  <c r="AF37" i="7"/>
  <c r="AN37" i="7"/>
  <c r="AV37" i="7"/>
  <c r="BD37" i="7"/>
  <c r="BL37" i="7"/>
  <c r="BT37" i="7"/>
  <c r="CB37" i="7"/>
  <c r="CJ37" i="7"/>
  <c r="W37" i="7"/>
  <c r="X38" i="7"/>
  <c r="AF38" i="7"/>
  <c r="AN38" i="7"/>
  <c r="AV38" i="7"/>
  <c r="BD38" i="7"/>
  <c r="BL38" i="7"/>
  <c r="BT38" i="7"/>
  <c r="CB38" i="7"/>
  <c r="CJ38" i="7"/>
  <c r="W38" i="7"/>
  <c r="X39" i="7"/>
  <c r="AF39" i="7"/>
  <c r="AN39" i="7"/>
  <c r="AV39" i="7"/>
  <c r="BD39" i="7"/>
  <c r="BL39" i="7"/>
  <c r="BT39" i="7"/>
  <c r="CB39" i="7"/>
  <c r="CJ39" i="7"/>
  <c r="W39" i="7"/>
  <c r="X40" i="7"/>
  <c r="AF40" i="7"/>
  <c r="AN40" i="7"/>
  <c r="AV40" i="7"/>
  <c r="BD40" i="7"/>
  <c r="BL40" i="7"/>
  <c r="BT40" i="7"/>
  <c r="CB40" i="7"/>
  <c r="CJ40" i="7"/>
  <c r="W40" i="7"/>
  <c r="X41" i="7"/>
  <c r="AF41" i="7"/>
  <c r="AN41" i="7"/>
  <c r="AV41" i="7"/>
  <c r="BD41" i="7"/>
  <c r="BL41" i="7"/>
  <c r="BT41" i="7"/>
  <c r="CB41" i="7"/>
  <c r="CJ41" i="7"/>
  <c r="W41" i="7"/>
  <c r="X42" i="7"/>
  <c r="AF42" i="7"/>
  <c r="AN42" i="7"/>
  <c r="AV42" i="7"/>
  <c r="BD42" i="7"/>
  <c r="BL42" i="7"/>
  <c r="BT42" i="7"/>
  <c r="CB42" i="7"/>
  <c r="CJ42" i="7"/>
  <c r="W42" i="7"/>
  <c r="X43" i="7"/>
  <c r="AF43" i="7"/>
  <c r="AN43" i="7"/>
  <c r="AV43" i="7"/>
  <c r="BD43" i="7"/>
  <c r="BL43" i="7"/>
  <c r="BT43" i="7"/>
  <c r="CB43" i="7"/>
  <c r="CJ43" i="7"/>
  <c r="W43" i="7"/>
  <c r="X44" i="7"/>
  <c r="AF44" i="7"/>
  <c r="AN44" i="7"/>
  <c r="AV44" i="7"/>
  <c r="BD44" i="7"/>
  <c r="BL44" i="7"/>
  <c r="BT44" i="7"/>
  <c r="CB44" i="7"/>
  <c r="CJ44" i="7"/>
  <c r="W44" i="7"/>
  <c r="X45" i="7"/>
  <c r="AF45" i="7"/>
  <c r="AN45" i="7"/>
  <c r="AV45" i="7"/>
  <c r="BD45" i="7"/>
  <c r="BL45" i="7"/>
  <c r="BT45" i="7"/>
  <c r="CB45" i="7"/>
  <c r="CJ45" i="7"/>
  <c r="W45" i="7"/>
  <c r="X46" i="7"/>
  <c r="AF46" i="7"/>
  <c r="AN46" i="7"/>
  <c r="AV46" i="7"/>
  <c r="BD46" i="7"/>
  <c r="BL46" i="7"/>
  <c r="BT46" i="7"/>
  <c r="CB46" i="7"/>
  <c r="CJ46" i="7"/>
  <c r="W46" i="7"/>
  <c r="X47" i="7"/>
  <c r="AF47" i="7"/>
  <c r="AN47" i="7"/>
  <c r="AV47" i="7"/>
  <c r="BD47" i="7"/>
  <c r="BL47" i="7"/>
  <c r="BT47" i="7"/>
  <c r="CB47" i="7"/>
  <c r="CJ47" i="7"/>
  <c r="W47" i="7"/>
  <c r="X48" i="7"/>
  <c r="AF48" i="7"/>
  <c r="AN48" i="7"/>
  <c r="AV48" i="7"/>
  <c r="BD48" i="7"/>
  <c r="BL48" i="7"/>
  <c r="BT48" i="7"/>
  <c r="CB48" i="7"/>
  <c r="CJ48" i="7"/>
  <c r="W48" i="7"/>
  <c r="X49" i="7"/>
  <c r="AF49" i="7"/>
  <c r="AN49" i="7"/>
  <c r="AV49" i="7"/>
  <c r="BD49" i="7"/>
  <c r="BL49" i="7"/>
  <c r="BT49" i="7"/>
  <c r="CB49" i="7"/>
  <c r="CJ49" i="7"/>
  <c r="W49" i="7"/>
  <c r="X50" i="7"/>
  <c r="AF50" i="7"/>
  <c r="AN50" i="7"/>
  <c r="AV50" i="7"/>
  <c r="BD50" i="7"/>
  <c r="BL50" i="7"/>
  <c r="BT50" i="7"/>
  <c r="CB50" i="7"/>
  <c r="CJ50" i="7"/>
  <c r="W50" i="7"/>
  <c r="X51" i="7"/>
  <c r="AF51" i="7"/>
  <c r="AN51" i="7"/>
  <c r="AV51" i="7"/>
  <c r="BD51" i="7"/>
  <c r="BL51" i="7"/>
  <c r="BT51" i="7"/>
  <c r="CB51" i="7"/>
  <c r="CJ51" i="7"/>
  <c r="W51" i="7"/>
  <c r="X52" i="7"/>
  <c r="AF52" i="7"/>
  <c r="AN52" i="7"/>
  <c r="AV52" i="7"/>
  <c r="BD52" i="7"/>
  <c r="BL52" i="7"/>
  <c r="BT52" i="7"/>
  <c r="CB52" i="7"/>
  <c r="CJ52" i="7"/>
  <c r="W52" i="7"/>
  <c r="X53" i="7"/>
  <c r="AF53" i="7"/>
  <c r="AN53" i="7"/>
  <c r="AV53" i="7"/>
  <c r="BD53" i="7"/>
  <c r="BL53" i="7"/>
  <c r="BT53" i="7"/>
  <c r="CB53" i="7"/>
  <c r="CJ53" i="7"/>
  <c r="W53" i="7"/>
  <c r="X54" i="7"/>
  <c r="AF54" i="7"/>
  <c r="AN54" i="7"/>
  <c r="AV54" i="7"/>
  <c r="BD54" i="7"/>
  <c r="BL54" i="7"/>
  <c r="BT54" i="7"/>
  <c r="CB54" i="7"/>
  <c r="CJ54" i="7"/>
  <c r="W54" i="7"/>
  <c r="X55" i="7"/>
  <c r="AF55" i="7"/>
  <c r="AN55" i="7"/>
  <c r="AV55" i="7"/>
  <c r="BD55" i="7"/>
  <c r="BL55" i="7"/>
  <c r="BT55" i="7"/>
  <c r="CB55" i="7"/>
  <c r="CJ55" i="7"/>
  <c r="W55" i="7"/>
  <c r="X56" i="7"/>
  <c r="AF56" i="7"/>
  <c r="AN56" i="7"/>
  <c r="AV56" i="7"/>
  <c r="BD56" i="7"/>
  <c r="BL56" i="7"/>
  <c r="BT56" i="7"/>
  <c r="CB56" i="7"/>
  <c r="CJ56" i="7"/>
  <c r="W56" i="7"/>
  <c r="X57" i="7"/>
  <c r="AF57" i="7"/>
  <c r="AN57" i="7"/>
  <c r="AV57" i="7"/>
  <c r="BD57" i="7"/>
  <c r="BL57" i="7"/>
  <c r="BT57" i="7"/>
  <c r="CB57" i="7"/>
  <c r="CJ57" i="7"/>
  <c r="W57" i="7"/>
  <c r="X58" i="7"/>
  <c r="AF58" i="7"/>
  <c r="AN58" i="7"/>
  <c r="AV58" i="7"/>
  <c r="BD58" i="7"/>
  <c r="BL58" i="7"/>
  <c r="BT58" i="7"/>
  <c r="CB58" i="7"/>
  <c r="CJ58" i="7"/>
  <c r="W58" i="7"/>
  <c r="X59" i="7"/>
  <c r="AF59" i="7"/>
  <c r="AN59" i="7"/>
  <c r="AV59" i="7"/>
  <c r="BD59" i="7"/>
  <c r="BL59" i="7"/>
  <c r="BT59" i="7"/>
  <c r="CB59" i="7"/>
  <c r="CJ59" i="7"/>
  <c r="W59" i="7"/>
  <c r="X60" i="7"/>
  <c r="AF60" i="7"/>
  <c r="AN60" i="7"/>
  <c r="AV60" i="7"/>
  <c r="BD60" i="7"/>
  <c r="BL60" i="7"/>
  <c r="BT60" i="7"/>
  <c r="CB60" i="7"/>
  <c r="CJ60" i="7"/>
  <c r="W60" i="7"/>
  <c r="X61" i="7"/>
  <c r="AF61" i="7"/>
  <c r="AN61" i="7"/>
  <c r="AV61" i="7"/>
  <c r="BD61" i="7"/>
  <c r="BL61" i="7"/>
  <c r="BT61" i="7"/>
  <c r="CB61" i="7"/>
  <c r="CJ61" i="7"/>
  <c r="W61" i="7"/>
  <c r="X62" i="7"/>
  <c r="AF62" i="7"/>
  <c r="AN62" i="7"/>
  <c r="AV62" i="7"/>
  <c r="BD62" i="7"/>
  <c r="BL62" i="7"/>
  <c r="BT62" i="7"/>
  <c r="CB62" i="7"/>
  <c r="CJ62" i="7"/>
  <c r="W62" i="7"/>
  <c r="X63" i="7"/>
  <c r="AF63" i="7"/>
  <c r="AN63" i="7"/>
  <c r="AV63" i="7"/>
  <c r="BD63" i="7"/>
  <c r="BL63" i="7"/>
  <c r="BT63" i="7"/>
  <c r="CB63" i="7"/>
  <c r="CJ63" i="7"/>
  <c r="W63" i="7"/>
  <c r="X64" i="7"/>
  <c r="AF64" i="7"/>
  <c r="AN64" i="7"/>
  <c r="AV64" i="7"/>
  <c r="BD64" i="7"/>
  <c r="BL64" i="7"/>
  <c r="BT64" i="7"/>
  <c r="CB64" i="7"/>
  <c r="CJ64" i="7"/>
  <c r="W64" i="7"/>
  <c r="X65" i="7"/>
  <c r="AF65" i="7"/>
  <c r="AN65" i="7"/>
  <c r="AV65" i="7"/>
  <c r="BD65" i="7"/>
  <c r="BL65" i="7"/>
  <c r="BT65" i="7"/>
  <c r="CB65" i="7"/>
  <c r="CJ65" i="7"/>
  <c r="W65" i="7"/>
  <c r="X66" i="7"/>
  <c r="AF66" i="7"/>
  <c r="AN66" i="7"/>
  <c r="AV66" i="7"/>
  <c r="BD66" i="7"/>
  <c r="BL66" i="7"/>
  <c r="BT66" i="7"/>
  <c r="CB66" i="7"/>
  <c r="CJ66" i="7"/>
  <c r="W66" i="7"/>
  <c r="X67" i="7"/>
  <c r="AF67" i="7"/>
  <c r="AN67" i="7"/>
  <c r="AV67" i="7"/>
  <c r="BD67" i="7"/>
  <c r="BL67" i="7"/>
  <c r="BT67" i="7"/>
  <c r="CB67" i="7"/>
  <c r="CJ67" i="7"/>
  <c r="W67" i="7"/>
  <c r="X68" i="7"/>
  <c r="AF68" i="7"/>
  <c r="AN68" i="7"/>
  <c r="AV68" i="7"/>
  <c r="BD68" i="7"/>
  <c r="BL68" i="7"/>
  <c r="BT68" i="7"/>
  <c r="CB68" i="7"/>
  <c r="CJ68" i="7"/>
  <c r="W68" i="7"/>
  <c r="X69" i="7"/>
  <c r="AF69" i="7"/>
  <c r="AN69" i="7"/>
  <c r="AV69" i="7"/>
  <c r="BD69" i="7"/>
  <c r="BL69" i="7"/>
  <c r="BT69" i="7"/>
  <c r="CB69" i="7"/>
  <c r="CJ69" i="7"/>
  <c r="W69" i="7"/>
  <c r="X70" i="7"/>
  <c r="AF70" i="7"/>
  <c r="AN70" i="7"/>
  <c r="AV70" i="7"/>
  <c r="BD70" i="7"/>
  <c r="BL70" i="7"/>
  <c r="BT70" i="7"/>
  <c r="CB70" i="7"/>
  <c r="CJ70" i="7"/>
  <c r="W70" i="7"/>
  <c r="X71" i="7"/>
  <c r="AF71" i="7"/>
  <c r="AN71" i="7"/>
  <c r="AV71" i="7"/>
  <c r="BD71" i="7"/>
  <c r="BL71" i="7"/>
  <c r="BT71" i="7"/>
  <c r="CB71" i="7"/>
  <c r="CJ71" i="7"/>
  <c r="W71" i="7"/>
  <c r="X72" i="7"/>
  <c r="AF72" i="7"/>
  <c r="AN72" i="7"/>
  <c r="AV72" i="7"/>
  <c r="BD72" i="7"/>
  <c r="BL72" i="7"/>
  <c r="BT72" i="7"/>
  <c r="CB72" i="7"/>
  <c r="CJ72" i="7"/>
  <c r="W72" i="7"/>
  <c r="X73" i="7"/>
  <c r="AF73" i="7"/>
  <c r="AN73" i="7"/>
  <c r="AV73" i="7"/>
  <c r="BD73" i="7"/>
  <c r="BL73" i="7"/>
  <c r="BT73" i="7"/>
  <c r="CB73" i="7"/>
  <c r="CJ73" i="7"/>
  <c r="W73" i="7"/>
  <c r="X74" i="7"/>
  <c r="AF74" i="7"/>
  <c r="AN74" i="7"/>
  <c r="AV74" i="7"/>
  <c r="BD74" i="7"/>
  <c r="BL74" i="7"/>
  <c r="BT74" i="7"/>
  <c r="CB74" i="7"/>
  <c r="CJ74" i="7"/>
  <c r="W74" i="7"/>
  <c r="X75" i="7"/>
  <c r="AF75" i="7"/>
  <c r="AN75" i="7"/>
  <c r="AV75" i="7"/>
  <c r="BD75" i="7"/>
  <c r="BL75" i="7"/>
  <c r="BT75" i="7"/>
  <c r="CB75" i="7"/>
  <c r="CJ75" i="7"/>
  <c r="W75" i="7"/>
  <c r="X76" i="7"/>
  <c r="AF76" i="7"/>
  <c r="AN76" i="7"/>
  <c r="AV76" i="7"/>
  <c r="BD76" i="7"/>
  <c r="BL76" i="7"/>
  <c r="BT76" i="7"/>
  <c r="CB76" i="7"/>
  <c r="CJ76" i="7"/>
  <c r="W76" i="7"/>
  <c r="X77" i="7"/>
  <c r="AF77" i="7"/>
  <c r="AN77" i="7"/>
  <c r="AV77" i="7"/>
  <c r="BD77" i="7"/>
  <c r="BL77" i="7"/>
  <c r="BT77" i="7"/>
  <c r="CB77" i="7"/>
  <c r="CJ77" i="7"/>
  <c r="W77" i="7"/>
  <c r="X78" i="7"/>
  <c r="AF78" i="7"/>
  <c r="AN78" i="7"/>
  <c r="AV78" i="7"/>
  <c r="BD78" i="7"/>
  <c r="BL78" i="7"/>
  <c r="BT78" i="7"/>
  <c r="CB78" i="7"/>
  <c r="CJ78" i="7"/>
  <c r="W78" i="7"/>
  <c r="W79" i="7"/>
  <c r="CM78" i="7"/>
  <c r="CE78" i="7"/>
  <c r="BG78" i="7"/>
  <c r="AY78" i="7"/>
  <c r="AQ78" i="7"/>
  <c r="AI78" i="7"/>
  <c r="AA78" i="7"/>
  <c r="CM77" i="7"/>
  <c r="BW77" i="7"/>
  <c r="BO77" i="7"/>
  <c r="AY77" i="7"/>
  <c r="AQ77" i="7"/>
  <c r="AI77" i="7"/>
  <c r="AA77" i="7"/>
  <c r="CE76" i="7"/>
  <c r="BW76" i="7"/>
  <c r="BO76" i="7"/>
  <c r="BG76" i="7"/>
  <c r="AQ76" i="7"/>
  <c r="AI76" i="7"/>
  <c r="AA76" i="7"/>
  <c r="CM75" i="7"/>
  <c r="CE75" i="7"/>
  <c r="BW75" i="7"/>
  <c r="BO75" i="7"/>
  <c r="BG75" i="7"/>
  <c r="AY75" i="7"/>
  <c r="AQ75" i="7"/>
  <c r="CM74" i="7"/>
  <c r="BO74" i="7"/>
  <c r="BG74" i="7"/>
  <c r="AY74" i="7"/>
  <c r="AQ74" i="7"/>
  <c r="AI74" i="7"/>
  <c r="AA74" i="7"/>
  <c r="CE73" i="7"/>
  <c r="BW73" i="7"/>
  <c r="BG73" i="7"/>
  <c r="AY73" i="7"/>
  <c r="AQ73" i="7"/>
  <c r="AI73" i="7"/>
  <c r="AA73" i="7"/>
  <c r="CM72" i="7"/>
  <c r="CE72" i="7"/>
  <c r="BW72" i="7"/>
  <c r="BO72" i="7"/>
  <c r="BG72" i="7"/>
  <c r="AQ72" i="7"/>
  <c r="AA72" i="7"/>
  <c r="CM71" i="7"/>
  <c r="CE71" i="7"/>
  <c r="BW71" i="7"/>
  <c r="BO71" i="7"/>
  <c r="BG71" i="7"/>
  <c r="AY71" i="7"/>
  <c r="AI71" i="7"/>
  <c r="BW70" i="7"/>
  <c r="BO70" i="7"/>
  <c r="BG70" i="7"/>
  <c r="AY70" i="7"/>
  <c r="AQ70" i="7"/>
  <c r="AI70" i="7"/>
  <c r="AA70" i="7"/>
  <c r="CM69" i="7"/>
  <c r="CE69" i="7"/>
  <c r="BW69" i="7"/>
  <c r="BG69" i="7"/>
  <c r="AY69" i="7"/>
  <c r="AQ69" i="7"/>
  <c r="AA69" i="7"/>
  <c r="CM68" i="7"/>
  <c r="CE68" i="7"/>
  <c r="BW68" i="7"/>
  <c r="BO68" i="7"/>
  <c r="AY68" i="7"/>
  <c r="AI68" i="7"/>
  <c r="AA68" i="7"/>
  <c r="CM67" i="7"/>
  <c r="CE67" i="7"/>
  <c r="BW67" i="7"/>
  <c r="BO67" i="7"/>
  <c r="BG67" i="7"/>
  <c r="AQ67" i="7"/>
  <c r="AI67" i="7"/>
  <c r="CM66" i="7"/>
  <c r="BW66" i="7"/>
  <c r="BO66" i="7"/>
  <c r="BG66" i="7"/>
  <c r="AY66" i="7"/>
  <c r="AQ66" i="7"/>
  <c r="AA66" i="7"/>
  <c r="CM65" i="7"/>
  <c r="CE65" i="7"/>
  <c r="BO65" i="7"/>
  <c r="BG65" i="7"/>
  <c r="AY65" i="7"/>
  <c r="AI65" i="7"/>
  <c r="AA65" i="7"/>
  <c r="CM64" i="7"/>
  <c r="CE64" i="7"/>
  <c r="BW64" i="7"/>
  <c r="BG64" i="7"/>
  <c r="AQ64" i="7"/>
  <c r="AI64" i="7"/>
  <c r="AA64" i="7"/>
  <c r="CM63" i="7"/>
  <c r="CE63" i="7"/>
  <c r="BW63" i="7"/>
  <c r="BO63" i="7"/>
  <c r="AY63" i="7"/>
  <c r="AQ63" i="7"/>
  <c r="AI63" i="7"/>
  <c r="CE62" i="7"/>
  <c r="BW62" i="7"/>
  <c r="AY62" i="7"/>
  <c r="AI62" i="7"/>
  <c r="AA62" i="7"/>
  <c r="CM61" i="7"/>
  <c r="BO61" i="7"/>
  <c r="BG61" i="7"/>
  <c r="AQ61" i="7"/>
  <c r="AI61" i="7"/>
  <c r="AA61" i="7"/>
  <c r="CM60" i="7"/>
  <c r="BO60" i="7"/>
  <c r="AY60" i="7"/>
  <c r="AI60" i="7"/>
  <c r="AA60" i="7"/>
  <c r="CM59" i="7"/>
  <c r="CE59" i="7"/>
  <c r="BW59" i="7"/>
  <c r="BG59" i="7"/>
  <c r="AY59" i="7"/>
  <c r="AQ59" i="7"/>
  <c r="CM58" i="7"/>
  <c r="CE58" i="7"/>
  <c r="BG58" i="7"/>
  <c r="AY58" i="7"/>
  <c r="AA58" i="7"/>
  <c r="BW57" i="7"/>
  <c r="BO57" i="7"/>
  <c r="AY57" i="7"/>
  <c r="AQ57" i="7"/>
  <c r="AI57" i="7"/>
  <c r="AA57" i="7"/>
  <c r="CM56" i="7"/>
  <c r="BW56" i="7"/>
  <c r="BG56" i="7"/>
  <c r="AQ56" i="7"/>
  <c r="AA56" i="7"/>
  <c r="CM55" i="7"/>
  <c r="CE55" i="7"/>
  <c r="BO55" i="7"/>
  <c r="BG55" i="7"/>
  <c r="AY55" i="7"/>
  <c r="AI55" i="7"/>
  <c r="CM54" i="7"/>
  <c r="BO54" i="7"/>
  <c r="BG54" i="7"/>
  <c r="AI54" i="7"/>
  <c r="AA54" i="7"/>
  <c r="CM53" i="7"/>
  <c r="CE53" i="7"/>
  <c r="BW53" i="7"/>
  <c r="AY53" i="7"/>
  <c r="AQ53" i="7"/>
  <c r="AA53" i="7"/>
  <c r="CE52" i="7"/>
  <c r="BO52" i="7"/>
  <c r="AY52" i="7"/>
  <c r="AI52" i="7"/>
  <c r="AA52" i="7"/>
  <c r="CM51" i="7"/>
  <c r="BW51" i="7"/>
  <c r="BO51" i="7"/>
  <c r="BG51" i="7"/>
  <c r="AQ51" i="7"/>
  <c r="AI51" i="7"/>
  <c r="CM50" i="7"/>
  <c r="BW50" i="7"/>
  <c r="BO50" i="7"/>
  <c r="AQ50" i="7"/>
  <c r="AA50" i="7"/>
  <c r="CM49" i="7"/>
  <c r="CE49" i="7"/>
  <c r="BG49" i="7"/>
  <c r="AY49" i="7"/>
  <c r="AI49" i="7"/>
  <c r="AA49" i="7"/>
  <c r="CM48" i="7"/>
  <c r="CE48" i="7"/>
  <c r="AQ48" i="7"/>
  <c r="AA48" i="7"/>
  <c r="CE47" i="7"/>
  <c r="BO47" i="7"/>
  <c r="AQ47" i="7"/>
  <c r="AI47" i="7"/>
  <c r="CM46" i="7"/>
  <c r="CE46" i="7"/>
  <c r="BW46" i="7"/>
  <c r="AY46" i="7"/>
  <c r="CM45" i="7"/>
  <c r="BG45" i="7"/>
  <c r="AQ45" i="7"/>
  <c r="AI45" i="7"/>
  <c r="AA45" i="7"/>
  <c r="CM44" i="7"/>
  <c r="BO44" i="7"/>
  <c r="AA44" i="7"/>
  <c r="CE43" i="7"/>
  <c r="BW43" i="7"/>
  <c r="BG43" i="7"/>
  <c r="AY43" i="7"/>
  <c r="CM42" i="7"/>
  <c r="CE42" i="7"/>
  <c r="BG42" i="7"/>
  <c r="AA42" i="7"/>
  <c r="CM41" i="7"/>
  <c r="BW41" i="7"/>
  <c r="BO41" i="7"/>
  <c r="AY41" i="7"/>
  <c r="AA41" i="7"/>
  <c r="BW40" i="7"/>
  <c r="BG40" i="7"/>
  <c r="AQ40" i="7"/>
  <c r="AI40" i="7"/>
  <c r="CM39" i="7"/>
  <c r="CE39" i="7"/>
  <c r="BO39" i="7"/>
  <c r="BG39" i="7"/>
  <c r="AY39" i="7"/>
  <c r="CM38" i="7"/>
  <c r="AQ38" i="7"/>
  <c r="AI38" i="7"/>
  <c r="AA38" i="7"/>
  <c r="CE37" i="7"/>
  <c r="BW37" i="7"/>
  <c r="AY37" i="7"/>
  <c r="AI37" i="7"/>
  <c r="CM36" i="7"/>
  <c r="CE36" i="7"/>
  <c r="BO36" i="7"/>
  <c r="BG36" i="7"/>
  <c r="AA36" i="7"/>
  <c r="CM35" i="7"/>
  <c r="BO35" i="7"/>
  <c r="AY35" i="7"/>
  <c r="AI35" i="7"/>
  <c r="BW34" i="7"/>
  <c r="AY34" i="7"/>
  <c r="AQ34" i="7"/>
  <c r="AI34" i="7"/>
  <c r="CM33" i="7"/>
  <c r="CE33" i="7"/>
  <c r="BG33" i="7"/>
  <c r="AA33" i="7"/>
  <c r="CM32" i="7"/>
  <c r="BW32" i="7"/>
  <c r="BO32" i="7"/>
  <c r="AY32" i="7"/>
  <c r="AA32" i="7"/>
  <c r="CM31" i="7"/>
  <c r="CE31" i="7"/>
  <c r="BO31" i="7"/>
  <c r="BG31" i="7"/>
  <c r="AQ31" i="7"/>
  <c r="CM30" i="7"/>
  <c r="AQ30" i="7"/>
  <c r="AA30" i="7"/>
  <c r="CM29" i="7"/>
  <c r="AY29" i="7"/>
  <c r="AI29" i="7"/>
  <c r="AA29" i="7"/>
  <c r="CM28" i="7"/>
  <c r="CE28" i="7"/>
  <c r="BG28" i="7"/>
  <c r="AQ28" i="7"/>
  <c r="AA28" i="7"/>
  <c r="CM27" i="7"/>
  <c r="CE27" i="7"/>
  <c r="BW27" i="7"/>
  <c r="AY27" i="7"/>
  <c r="AI27" i="7"/>
  <c r="BO26" i="7"/>
  <c r="BG26" i="7"/>
  <c r="AI26" i="7"/>
  <c r="AA26" i="7"/>
  <c r="CM25" i="7"/>
  <c r="BW25" i="7"/>
  <c r="BG25" i="7"/>
  <c r="AQ25" i="7"/>
  <c r="CM24" i="7"/>
  <c r="CE24" i="7"/>
  <c r="AY24" i="7"/>
  <c r="AI24" i="7"/>
  <c r="AA24" i="7"/>
  <c r="CM23" i="7"/>
  <c r="CE23" i="7"/>
  <c r="BW23" i="7"/>
  <c r="BG23" i="7"/>
  <c r="AQ23" i="7"/>
  <c r="CM22" i="7"/>
  <c r="BW22" i="7"/>
  <c r="BO22" i="7"/>
  <c r="BG22" i="7"/>
  <c r="AY22" i="7"/>
  <c r="CE21" i="7"/>
  <c r="AY21" i="7"/>
  <c r="AA21" i="7"/>
  <c r="CM20" i="7"/>
  <c r="BW20" i="7"/>
  <c r="AI20" i="7"/>
  <c r="AA20" i="7"/>
  <c r="CM19" i="7"/>
  <c r="CE19" i="7"/>
  <c r="BO19" i="7"/>
  <c r="AQ19" i="7"/>
  <c r="AI19" i="7"/>
  <c r="CM18" i="7"/>
  <c r="CE18" i="7"/>
  <c r="BO18" i="7"/>
  <c r="BG18" i="7"/>
  <c r="AA18" i="7"/>
  <c r="CM17" i="7"/>
  <c r="BW17" i="7"/>
  <c r="AQ17" i="7"/>
  <c r="CE16" i="7"/>
  <c r="BO16" i="7"/>
  <c r="AQ16" i="7"/>
  <c r="CM15" i="7"/>
  <c r="BW15" i="7"/>
  <c r="BG15" i="7"/>
  <c r="AY15" i="7"/>
  <c r="CM14" i="7"/>
  <c r="CE14" i="7"/>
  <c r="BO14" i="7"/>
  <c r="AA14" i="7"/>
  <c r="CM13" i="7"/>
  <c r="CE13" i="7"/>
  <c r="BW13" i="7"/>
  <c r="CM12" i="7"/>
  <c r="BG12" i="7"/>
  <c r="CE11" i="7"/>
  <c r="BO11" i="7"/>
  <c r="AY11" i="7"/>
  <c r="CM10" i="7"/>
  <c r="CE10" i="7"/>
  <c r="CM9" i="7"/>
  <c r="CE9" i="7"/>
  <c r="BG8" i="7"/>
  <c r="C1" i="12"/>
  <c r="E79" i="9"/>
  <c r="D17" i="14"/>
  <c r="E78" i="9"/>
  <c r="B17" i="14"/>
  <c r="E53" i="9"/>
  <c r="Q5" i="7"/>
  <c r="E81" i="9"/>
  <c r="E82" i="9"/>
  <c r="E54" i="9"/>
  <c r="E55" i="9"/>
  <c r="F16" i="7"/>
  <c r="F15" i="7"/>
  <c r="F14" i="7"/>
  <c r="F13" i="7"/>
  <c r="F12" i="7"/>
  <c r="F11" i="7"/>
  <c r="F10" i="7"/>
  <c r="F9" i="7"/>
  <c r="F8" i="7"/>
  <c r="F7" i="7"/>
  <c r="BR52" i="3"/>
  <c r="BT51" i="3"/>
  <c r="BU51" i="3"/>
  <c r="BV51" i="3"/>
  <c r="BW51" i="3"/>
  <c r="BX51" i="3"/>
  <c r="BY51" i="3"/>
  <c r="BR53" i="3"/>
  <c r="BS51" i="3"/>
  <c r="BR54" i="3"/>
  <c r="BR55" i="3"/>
  <c r="BR56" i="3"/>
  <c r="BR57" i="3"/>
  <c r="BR58" i="3"/>
  <c r="BR30" i="3"/>
  <c r="BT29" i="3"/>
  <c r="BR31" i="3"/>
  <c r="BS29" i="3"/>
  <c r="BU29" i="3"/>
  <c r="BR32" i="3"/>
  <c r="BV29" i="3"/>
  <c r="BR33" i="3"/>
  <c r="BW29" i="3"/>
  <c r="BR34" i="3"/>
  <c r="BX29" i="3"/>
  <c r="BR35" i="3"/>
  <c r="BY29" i="3"/>
  <c r="BR36" i="3"/>
  <c r="E73" i="9"/>
  <c r="E74" i="9"/>
  <c r="E68" i="9"/>
  <c r="B15" i="14"/>
  <c r="B14" i="14"/>
  <c r="E67" i="9"/>
  <c r="B12" i="14"/>
  <c r="E70" i="9"/>
  <c r="B11" i="14"/>
  <c r="E69" i="9"/>
  <c r="B7" i="14"/>
  <c r="E72" i="9"/>
  <c r="E83" i="9"/>
  <c r="BW40" i="3"/>
  <c r="BR45" i="3"/>
  <c r="C21" i="3"/>
  <c r="C22" i="3"/>
  <c r="C23" i="3"/>
  <c r="C24" i="3"/>
  <c r="BX40" i="3"/>
  <c r="BR46" i="3"/>
  <c r="BY40" i="3"/>
  <c r="BR47" i="3"/>
  <c r="BZ40" i="3"/>
  <c r="BR48" i="3"/>
  <c r="AF18" i="3"/>
  <c r="AF19" i="3"/>
  <c r="AF20" i="3"/>
  <c r="Y20" i="3"/>
  <c r="AF21" i="3"/>
  <c r="AF22" i="3"/>
  <c r="AF23" i="3"/>
  <c r="AF24" i="3"/>
  <c r="AF25" i="3"/>
  <c r="AF17" i="3"/>
  <c r="E19" i="9"/>
  <c r="BE37" i="13"/>
  <c r="E18" i="9"/>
  <c r="BE32" i="13"/>
  <c r="BA29" i="13"/>
  <c r="BA24" i="13"/>
  <c r="AW22" i="13"/>
  <c r="AW17" i="13"/>
  <c r="AS16" i="13"/>
  <c r="AS11" i="13"/>
  <c r="AO11" i="13"/>
  <c r="AK7" i="13"/>
  <c r="AO6" i="13"/>
  <c r="AG4" i="13"/>
  <c r="AK2" i="13"/>
  <c r="AG2" i="13"/>
  <c r="C4" i="13"/>
  <c r="C2" i="13"/>
  <c r="E52" i="9"/>
  <c r="B4" i="14"/>
  <c r="E51" i="9"/>
  <c r="B1" i="14"/>
  <c r="E6" i="7"/>
  <c r="E5" i="7"/>
  <c r="F5" i="7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56" i="9"/>
  <c r="E13" i="9"/>
  <c r="E30" i="9"/>
  <c r="H2" i="7"/>
  <c r="C18" i="3"/>
  <c r="C19" i="3"/>
  <c r="BU40" i="3"/>
  <c r="BR43" i="3"/>
  <c r="BT40" i="3"/>
  <c r="BR42" i="3"/>
  <c r="C20" i="3"/>
  <c r="BV40" i="3"/>
  <c r="BR44" i="3"/>
  <c r="C25" i="3"/>
  <c r="C17" i="3"/>
  <c r="BR41" i="3"/>
  <c r="BS40" i="3"/>
  <c r="E41" i="9"/>
  <c r="S4" i="7"/>
  <c r="K5" i="3"/>
  <c r="K6" i="3"/>
  <c r="K7" i="3"/>
  <c r="K8" i="3"/>
  <c r="K9" i="3"/>
  <c r="K10" i="3"/>
  <c r="K11" i="3"/>
  <c r="K12" i="3"/>
  <c r="CA40" i="3"/>
  <c r="BR49" i="3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C81" i="6"/>
  <c r="D81" i="6"/>
  <c r="D10" i="6"/>
  <c r="C10" i="6"/>
  <c r="D9" i="6"/>
  <c r="C9" i="6"/>
  <c r="J6" i="7"/>
  <c r="E65" i="9"/>
  <c r="G5" i="7"/>
  <c r="E45" i="9"/>
  <c r="U6" i="7"/>
  <c r="E44" i="9"/>
  <c r="S12" i="7"/>
  <c r="E43" i="9"/>
  <c r="S10" i="7"/>
  <c r="E42" i="9"/>
  <c r="S8" i="7"/>
  <c r="E40" i="9"/>
  <c r="S14" i="7"/>
  <c r="S6" i="7"/>
  <c r="E63" i="9"/>
  <c r="B27" i="7"/>
  <c r="I6" i="7"/>
  <c r="AC64" i="3"/>
  <c r="AD64" i="3"/>
  <c r="Y21" i="3"/>
  <c r="Y22" i="3"/>
  <c r="Y23" i="3"/>
  <c r="AC65" i="3"/>
  <c r="AC66" i="3"/>
  <c r="AC67" i="3"/>
  <c r="AC68" i="3"/>
  <c r="AD65" i="3"/>
  <c r="AD66" i="3"/>
  <c r="AD67" i="3"/>
  <c r="AD68" i="3"/>
  <c r="AC69" i="3"/>
  <c r="AD69" i="3"/>
  <c r="AC70" i="3"/>
  <c r="AD70" i="3"/>
  <c r="AC71" i="3"/>
  <c r="AD71" i="3"/>
  <c r="AC72" i="3"/>
  <c r="AD72" i="3"/>
  <c r="AC73" i="3"/>
  <c r="AD73" i="3"/>
  <c r="F17" i="7"/>
  <c r="AC74" i="3"/>
  <c r="AD74" i="3"/>
  <c r="F18" i="7"/>
  <c r="AC75" i="3"/>
  <c r="AD75" i="3"/>
  <c r="F19" i="7"/>
  <c r="AC76" i="3"/>
  <c r="AD76" i="3"/>
  <c r="F20" i="7"/>
  <c r="AC77" i="3"/>
  <c r="AD77" i="3"/>
  <c r="F21" i="7"/>
  <c r="AC78" i="3"/>
  <c r="AD78" i="3"/>
  <c r="F22" i="7"/>
  <c r="AC79" i="3"/>
  <c r="AD79" i="3"/>
  <c r="F23" i="7"/>
  <c r="AC80" i="3"/>
  <c r="AD80" i="3"/>
  <c r="F24" i="7"/>
  <c r="AC81" i="3"/>
  <c r="AD81" i="3"/>
  <c r="F25" i="7"/>
  <c r="AC82" i="3"/>
  <c r="AD82" i="3"/>
  <c r="F26" i="7"/>
  <c r="AC83" i="3"/>
  <c r="AD83" i="3"/>
  <c r="F27" i="7"/>
  <c r="AC84" i="3"/>
  <c r="AD84" i="3"/>
  <c r="F28" i="7"/>
  <c r="AC85" i="3"/>
  <c r="AD85" i="3"/>
  <c r="F29" i="7"/>
  <c r="AC86" i="3"/>
  <c r="AD86" i="3"/>
  <c r="F30" i="7"/>
  <c r="AC87" i="3"/>
  <c r="AD87" i="3"/>
  <c r="F31" i="7"/>
  <c r="AC88" i="3"/>
  <c r="AD88" i="3"/>
  <c r="F32" i="7"/>
  <c r="AC89" i="3"/>
  <c r="AD89" i="3"/>
  <c r="F33" i="7"/>
  <c r="AC90" i="3"/>
  <c r="AD90" i="3"/>
  <c r="F34" i="7"/>
  <c r="AC91" i="3"/>
  <c r="AD91" i="3"/>
  <c r="F35" i="7"/>
  <c r="AC92" i="3"/>
  <c r="AD92" i="3"/>
  <c r="F36" i="7"/>
  <c r="AC93" i="3"/>
  <c r="AD93" i="3"/>
  <c r="F37" i="7"/>
  <c r="AC94" i="3"/>
  <c r="AD94" i="3"/>
  <c r="F38" i="7"/>
  <c r="AC95" i="3"/>
  <c r="AD95" i="3"/>
  <c r="F39" i="7"/>
  <c r="AC96" i="3"/>
  <c r="AD96" i="3"/>
  <c r="F40" i="7"/>
  <c r="AC97" i="3"/>
  <c r="AD97" i="3"/>
  <c r="F41" i="7"/>
  <c r="AC98" i="3"/>
  <c r="AD98" i="3"/>
  <c r="F42" i="7"/>
  <c r="AC99" i="3"/>
  <c r="AD99" i="3"/>
  <c r="F43" i="7"/>
  <c r="AC100" i="3"/>
  <c r="AD100" i="3"/>
  <c r="F44" i="7"/>
  <c r="AC101" i="3"/>
  <c r="AD101" i="3"/>
  <c r="F45" i="7"/>
  <c r="AC102" i="3"/>
  <c r="AD102" i="3"/>
  <c r="F46" i="7"/>
  <c r="AC103" i="3"/>
  <c r="AD103" i="3"/>
  <c r="F47" i="7"/>
  <c r="AC104" i="3"/>
  <c r="AD104" i="3"/>
  <c r="F48" i="7"/>
  <c r="AC105" i="3"/>
  <c r="AD105" i="3"/>
  <c r="F49" i="7"/>
  <c r="AC106" i="3"/>
  <c r="AD106" i="3"/>
  <c r="F50" i="7"/>
  <c r="AC107" i="3"/>
  <c r="AD107" i="3"/>
  <c r="F51" i="7"/>
  <c r="AC108" i="3"/>
  <c r="AD108" i="3"/>
  <c r="F52" i="7"/>
  <c r="AC109" i="3"/>
  <c r="AD109" i="3"/>
  <c r="F53" i="7"/>
  <c r="AC110" i="3"/>
  <c r="AD110" i="3"/>
  <c r="F54" i="7"/>
  <c r="AC111" i="3"/>
  <c r="AD111" i="3"/>
  <c r="F55" i="7"/>
  <c r="AC112" i="3"/>
  <c r="AD112" i="3"/>
  <c r="F56" i="7"/>
  <c r="AC113" i="3"/>
  <c r="AD113" i="3"/>
  <c r="F57" i="7"/>
  <c r="AC114" i="3"/>
  <c r="AD114" i="3"/>
  <c r="F58" i="7"/>
  <c r="AC115" i="3"/>
  <c r="AD115" i="3"/>
  <c r="F59" i="7"/>
  <c r="AC116" i="3"/>
  <c r="AD116" i="3"/>
  <c r="F60" i="7"/>
  <c r="AC117" i="3"/>
  <c r="AD117" i="3"/>
  <c r="F61" i="7"/>
  <c r="AC118" i="3"/>
  <c r="AD118" i="3"/>
  <c r="F62" i="7"/>
  <c r="AC119" i="3"/>
  <c r="AD119" i="3"/>
  <c r="F63" i="7"/>
  <c r="AC120" i="3"/>
  <c r="AD120" i="3"/>
  <c r="F64" i="7"/>
  <c r="AC121" i="3"/>
  <c r="AD121" i="3"/>
  <c r="F65" i="7"/>
  <c r="AC122" i="3"/>
  <c r="AD122" i="3"/>
  <c r="F66" i="7"/>
  <c r="AC123" i="3"/>
  <c r="AD123" i="3"/>
  <c r="F67" i="7"/>
  <c r="AC124" i="3"/>
  <c r="AD124" i="3"/>
  <c r="F68" i="7"/>
  <c r="AC125" i="3"/>
  <c r="AD125" i="3"/>
  <c r="F69" i="7"/>
  <c r="AC126" i="3"/>
  <c r="AD126" i="3"/>
  <c r="F70" i="7"/>
  <c r="AC127" i="3"/>
  <c r="AD127" i="3"/>
  <c r="F71" i="7"/>
  <c r="AC128" i="3"/>
  <c r="AD128" i="3"/>
  <c r="F72" i="7"/>
  <c r="AC129" i="3"/>
  <c r="AD129" i="3"/>
  <c r="F73" i="7"/>
  <c r="AC130" i="3"/>
  <c r="AD130" i="3"/>
  <c r="F74" i="7"/>
  <c r="AC131" i="3"/>
  <c r="AD131" i="3"/>
  <c r="F75" i="7"/>
  <c r="AC132" i="3"/>
  <c r="AD132" i="3"/>
  <c r="F76" i="7"/>
  <c r="AC133" i="3"/>
  <c r="AD133" i="3"/>
  <c r="F77" i="7"/>
  <c r="AC134" i="3"/>
  <c r="AD134" i="3"/>
  <c r="F78" i="7"/>
  <c r="AC135" i="3"/>
  <c r="AD135" i="3"/>
  <c r="AC136" i="3"/>
  <c r="AA136" i="3"/>
  <c r="AD136" i="3"/>
  <c r="AC137" i="3"/>
  <c r="AA137" i="3"/>
  <c r="AD137" i="3"/>
  <c r="AC138" i="3"/>
  <c r="AA138" i="3"/>
  <c r="AD138" i="3"/>
  <c r="AC139" i="3"/>
  <c r="AA139" i="3"/>
  <c r="AD139" i="3"/>
  <c r="AC140" i="3"/>
  <c r="AA140" i="3"/>
  <c r="AD140" i="3"/>
  <c r="AC141" i="3"/>
  <c r="AA141" i="3"/>
  <c r="AD141" i="3"/>
  <c r="AC142" i="3"/>
  <c r="AA142" i="3"/>
  <c r="AD142" i="3"/>
  <c r="AC143" i="3"/>
  <c r="AA143" i="3"/>
  <c r="AD143" i="3"/>
  <c r="AC144" i="3"/>
  <c r="AA144" i="3"/>
  <c r="AD144" i="3"/>
  <c r="AC145" i="3"/>
  <c r="AA145" i="3"/>
  <c r="AD145" i="3"/>
  <c r="AC146" i="3"/>
  <c r="AA146" i="3"/>
  <c r="AD146" i="3"/>
  <c r="AC147" i="3"/>
  <c r="AA147" i="3"/>
  <c r="AD147" i="3"/>
  <c r="AC148" i="3"/>
  <c r="AA148" i="3"/>
  <c r="AD148" i="3"/>
  <c r="AC149" i="3"/>
  <c r="AA149" i="3"/>
  <c r="AD149" i="3"/>
  <c r="AC150" i="3"/>
  <c r="AA150" i="3"/>
  <c r="AD150" i="3"/>
  <c r="AC151" i="3"/>
  <c r="AA151" i="3"/>
  <c r="AD151" i="3"/>
  <c r="AC152" i="3"/>
  <c r="AA152" i="3"/>
  <c r="AD152" i="3"/>
  <c r="AC153" i="3"/>
  <c r="AA153" i="3"/>
  <c r="AD153" i="3"/>
  <c r="AC154" i="3"/>
  <c r="AA154" i="3"/>
  <c r="AD154" i="3"/>
  <c r="AC155" i="3"/>
  <c r="AA155" i="3"/>
  <c r="AD155" i="3"/>
  <c r="AC156" i="3"/>
  <c r="AA156" i="3"/>
  <c r="AD156" i="3"/>
  <c r="AC157" i="3"/>
  <c r="AA157" i="3"/>
  <c r="AD157" i="3"/>
  <c r="AC158" i="3"/>
  <c r="AA158" i="3"/>
  <c r="AD158" i="3"/>
  <c r="AC159" i="3"/>
  <c r="AA159" i="3"/>
  <c r="AD159" i="3"/>
  <c r="AC160" i="3"/>
  <c r="AA160" i="3"/>
  <c r="AD160" i="3"/>
  <c r="AC161" i="3"/>
  <c r="AA161" i="3"/>
  <c r="AD161" i="3"/>
  <c r="AC162" i="3"/>
  <c r="AA162" i="3"/>
  <c r="AD162" i="3"/>
  <c r="AC163" i="3"/>
  <c r="AA163" i="3"/>
  <c r="AD163" i="3"/>
  <c r="AC164" i="3"/>
  <c r="AA164" i="3"/>
  <c r="AD164" i="3"/>
  <c r="AC165" i="3"/>
  <c r="AA165" i="3"/>
  <c r="AD165" i="3"/>
  <c r="AC166" i="3"/>
  <c r="AA166" i="3"/>
  <c r="AD166" i="3"/>
  <c r="AC167" i="3"/>
  <c r="AA167" i="3"/>
  <c r="AD167" i="3"/>
  <c r="AC168" i="3"/>
  <c r="AA168" i="3"/>
  <c r="AD168" i="3"/>
  <c r="AC169" i="3"/>
  <c r="AA169" i="3"/>
  <c r="AD169" i="3"/>
  <c r="AC170" i="3"/>
  <c r="AA170" i="3"/>
  <c r="AD170" i="3"/>
  <c r="AC171" i="3"/>
  <c r="AA171" i="3"/>
  <c r="AD171" i="3"/>
  <c r="AC172" i="3"/>
  <c r="AA172" i="3"/>
  <c r="AD172" i="3"/>
  <c r="AC173" i="3"/>
  <c r="AA173" i="3"/>
  <c r="AD173" i="3"/>
  <c r="AC174" i="3"/>
  <c r="AA174" i="3"/>
  <c r="AD174" i="3"/>
  <c r="AC175" i="3"/>
  <c r="AA175" i="3"/>
  <c r="AD175" i="3"/>
  <c r="AC176" i="3"/>
  <c r="AA176" i="3"/>
  <c r="AD176" i="3"/>
  <c r="AC177" i="3"/>
  <c r="AA177" i="3"/>
  <c r="AD177" i="3"/>
  <c r="AC178" i="3"/>
  <c r="AA178" i="3"/>
  <c r="AD178" i="3"/>
  <c r="AC179" i="3"/>
  <c r="AA179" i="3"/>
  <c r="AD179" i="3"/>
  <c r="AC180" i="3"/>
  <c r="AA180" i="3"/>
  <c r="AD180" i="3"/>
  <c r="AC181" i="3"/>
  <c r="AA181" i="3"/>
  <c r="AD181" i="3"/>
  <c r="AC182" i="3"/>
  <c r="AA182" i="3"/>
  <c r="AD182" i="3"/>
  <c r="AC183" i="3"/>
  <c r="AA183" i="3"/>
  <c r="AD183" i="3"/>
  <c r="AC184" i="3"/>
  <c r="AA184" i="3"/>
  <c r="AD184" i="3"/>
  <c r="AC185" i="3"/>
  <c r="AA185" i="3"/>
  <c r="AD185" i="3"/>
  <c r="AC186" i="3"/>
  <c r="AA186" i="3"/>
  <c r="AD186" i="3"/>
  <c r="AC187" i="3"/>
  <c r="AA187" i="3"/>
  <c r="AD187" i="3"/>
  <c r="AC188" i="3"/>
  <c r="AA188" i="3"/>
  <c r="AD188" i="3"/>
  <c r="AC189" i="3"/>
  <c r="AA189" i="3"/>
  <c r="AD189" i="3"/>
  <c r="AC190" i="3"/>
  <c r="AA190" i="3"/>
  <c r="AD190" i="3"/>
  <c r="AC191" i="3"/>
  <c r="AA191" i="3"/>
  <c r="AD191" i="3"/>
  <c r="AC192" i="3"/>
  <c r="AA192" i="3"/>
  <c r="AD192" i="3"/>
  <c r="AC193" i="3"/>
  <c r="AA193" i="3"/>
  <c r="AD193" i="3"/>
  <c r="AC194" i="3"/>
  <c r="AA194" i="3"/>
  <c r="AD194" i="3"/>
  <c r="AC195" i="3"/>
  <c r="AA195" i="3"/>
  <c r="AD195" i="3"/>
  <c r="AC196" i="3"/>
  <c r="AA196" i="3"/>
  <c r="AD196" i="3"/>
  <c r="AC197" i="3"/>
  <c r="AA197" i="3"/>
  <c r="AD197" i="3"/>
  <c r="AC198" i="3"/>
  <c r="AA198" i="3"/>
  <c r="AD198" i="3"/>
  <c r="AC199" i="3"/>
  <c r="AA199" i="3"/>
  <c r="AD199" i="3"/>
  <c r="AC200" i="3"/>
  <c r="AA200" i="3"/>
  <c r="AD200" i="3"/>
  <c r="AC201" i="3"/>
  <c r="AA201" i="3"/>
  <c r="AD201" i="3"/>
  <c r="AC202" i="3"/>
  <c r="AA202" i="3"/>
  <c r="AD202" i="3"/>
  <c r="AC203" i="3"/>
  <c r="AA203" i="3"/>
  <c r="AD203" i="3"/>
  <c r="AC204" i="3"/>
  <c r="AA204" i="3"/>
  <c r="AD204" i="3"/>
  <c r="AC205" i="3"/>
  <c r="AA205" i="3"/>
  <c r="AD205" i="3"/>
  <c r="AC206" i="3"/>
  <c r="AA206" i="3"/>
  <c r="AD206" i="3"/>
  <c r="AC207" i="3"/>
  <c r="AA207" i="3"/>
  <c r="AD207" i="3"/>
  <c r="Y17" i="3"/>
  <c r="AF7" i="6"/>
  <c r="AF54" i="6"/>
  <c r="AF30" i="6"/>
  <c r="W7" i="6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137" i="3"/>
  <c r="Z138" i="3"/>
  <c r="Z139" i="3"/>
  <c r="Z140" i="3"/>
  <c r="Z141" i="3"/>
  <c r="Z142" i="3"/>
  <c r="Z143" i="3"/>
  <c r="Z144" i="3"/>
  <c r="Z145" i="3"/>
  <c r="Z136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65" i="3"/>
  <c r="Z66" i="3"/>
  <c r="Z67" i="3"/>
  <c r="Z68" i="3"/>
  <c r="Z69" i="3"/>
  <c r="Z70" i="3"/>
  <c r="Z71" i="3"/>
  <c r="Z72" i="3"/>
  <c r="Z64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136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65" i="3"/>
  <c r="AB66" i="3"/>
  <c r="AB67" i="3"/>
  <c r="AB68" i="3"/>
  <c r="AB69" i="3"/>
  <c r="AB70" i="3"/>
  <c r="AB64" i="3"/>
  <c r="E59" i="9"/>
  <c r="H5" i="7"/>
  <c r="E29" i="9"/>
  <c r="W19" i="6"/>
  <c r="AF67" i="6"/>
  <c r="AF43" i="6"/>
  <c r="AF19" i="6"/>
  <c r="E64" i="9"/>
  <c r="B4" i="10"/>
  <c r="E49" i="9"/>
  <c r="G43" i="10"/>
  <c r="G19" i="10"/>
  <c r="G31" i="10"/>
  <c r="G7" i="10"/>
  <c r="E7" i="9"/>
  <c r="B2" i="10"/>
  <c r="E28" i="9"/>
  <c r="E43" i="10"/>
  <c r="D43" i="10"/>
  <c r="E10" i="9"/>
  <c r="C43" i="10"/>
  <c r="E31" i="10"/>
  <c r="D31" i="10"/>
  <c r="C31" i="10"/>
  <c r="E19" i="10"/>
  <c r="D19" i="10"/>
  <c r="C19" i="10"/>
  <c r="D7" i="10"/>
  <c r="E7" i="10"/>
  <c r="C7" i="10"/>
  <c r="E62" i="9"/>
  <c r="L1" i="9"/>
  <c r="E61" i="9"/>
  <c r="A8" i="6"/>
  <c r="E8" i="9"/>
  <c r="E38" i="9"/>
  <c r="E11" i="9"/>
  <c r="E12" i="9"/>
  <c r="E14" i="9"/>
  <c r="E15" i="9"/>
  <c r="E16" i="9"/>
  <c r="E17" i="9"/>
  <c r="E20" i="9"/>
  <c r="E31" i="9"/>
  <c r="E32" i="9"/>
  <c r="E33" i="9"/>
  <c r="E34" i="9"/>
  <c r="E35" i="9"/>
  <c r="E36" i="9"/>
  <c r="E37" i="9"/>
  <c r="F57" i="9"/>
  <c r="E58" i="9"/>
  <c r="E60" i="9"/>
  <c r="E6" i="9"/>
  <c r="C5" i="9"/>
  <c r="F1" i="9"/>
  <c r="F5" i="9"/>
  <c r="S11" i="6"/>
  <c r="S12" i="6"/>
  <c r="S13" i="6"/>
  <c r="S14" i="6"/>
  <c r="S15" i="6"/>
  <c r="S16" i="6"/>
  <c r="S17" i="6"/>
  <c r="S18" i="6"/>
  <c r="S10" i="6"/>
  <c r="I10" i="6"/>
  <c r="N6" i="7"/>
  <c r="K6" i="7"/>
  <c r="H6" i="7"/>
  <c r="C6" i="7"/>
  <c r="B6" i="7"/>
  <c r="N4" i="7"/>
  <c r="H4" i="7"/>
  <c r="B4" i="7"/>
  <c r="W67" i="6"/>
  <c r="W43" i="6"/>
  <c r="W54" i="6"/>
  <c r="W30" i="6"/>
  <c r="A8" i="7"/>
  <c r="A10" i="7"/>
  <c r="A12" i="7"/>
  <c r="A14" i="7"/>
  <c r="A16" i="7"/>
  <c r="A18" i="7"/>
  <c r="A20" i="7"/>
  <c r="A22" i="7"/>
  <c r="A24" i="7"/>
  <c r="A6" i="7"/>
  <c r="H9" i="6"/>
  <c r="E9" i="6"/>
  <c r="B9" i="6"/>
  <c r="B8" i="6"/>
  <c r="L55" i="6"/>
  <c r="L31" i="6"/>
  <c r="L7" i="6"/>
  <c r="B7" i="6"/>
  <c r="D6" i="8"/>
  <c r="C6" i="8"/>
  <c r="B6" i="8"/>
  <c r="B4" i="8"/>
  <c r="B2" i="8"/>
  <c r="K1" i="9"/>
  <c r="N4" i="3"/>
  <c r="N5" i="3"/>
  <c r="N6" i="3"/>
  <c r="N7" i="3"/>
  <c r="N8" i="3"/>
  <c r="N9" i="3"/>
  <c r="N10" i="3"/>
  <c r="N11" i="3"/>
  <c r="N12" i="3"/>
  <c r="S42" i="6"/>
  <c r="S66" i="6"/>
  <c r="S41" i="6"/>
  <c r="S65" i="6"/>
  <c r="S40" i="6"/>
  <c r="S64" i="6"/>
  <c r="S39" i="6"/>
  <c r="S63" i="6"/>
  <c r="S38" i="6"/>
  <c r="S62" i="6"/>
  <c r="S37" i="6"/>
  <c r="S61" i="6"/>
  <c r="S36" i="6"/>
  <c r="S60" i="6"/>
  <c r="S35" i="6"/>
  <c r="S59" i="6"/>
  <c r="S34" i="6"/>
  <c r="S58" i="6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79" i="7"/>
  <c r="Y18" i="3"/>
  <c r="Y19" i="3"/>
  <c r="Y24" i="3"/>
  <c r="Y25" i="3"/>
  <c r="C31" i="3"/>
  <c r="C32" i="3"/>
  <c r="C33" i="3"/>
  <c r="C34" i="3"/>
  <c r="C35" i="3"/>
  <c r="C36" i="3"/>
  <c r="C37" i="3"/>
  <c r="C38" i="3"/>
  <c r="C30" i="3"/>
  <c r="C15" i="8"/>
  <c r="C14" i="8"/>
  <c r="C13" i="8"/>
  <c r="C12" i="8"/>
  <c r="C11" i="8"/>
  <c r="C10" i="8"/>
  <c r="C9" i="8"/>
  <c r="C8" i="8"/>
  <c r="C7" i="8"/>
  <c r="I24" i="3"/>
  <c r="I25" i="3"/>
  <c r="I18" i="3"/>
  <c r="I23" i="3"/>
  <c r="I22" i="3"/>
  <c r="I21" i="3"/>
  <c r="I20" i="3"/>
  <c r="I19" i="3"/>
  <c r="I17" i="3"/>
  <c r="F17" i="3"/>
  <c r="G17" i="3"/>
  <c r="F18" i="3"/>
  <c r="G18" i="3"/>
  <c r="F19" i="3"/>
  <c r="G19" i="3"/>
  <c r="F20" i="3"/>
  <c r="G20" i="3"/>
  <c r="F21" i="3"/>
  <c r="G21" i="3"/>
  <c r="F22" i="3"/>
  <c r="G22" i="3"/>
  <c r="F23" i="3"/>
  <c r="G23" i="3"/>
  <c r="G25" i="3"/>
  <c r="F25" i="3"/>
  <c r="G24" i="3"/>
  <c r="F24" i="3"/>
  <c r="D24" i="3"/>
  <c r="D25" i="3"/>
  <c r="D23" i="3"/>
  <c r="D22" i="3"/>
  <c r="D21" i="3"/>
  <c r="D20" i="3"/>
  <c r="D19" i="3"/>
  <c r="D18" i="3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E7" i="17"/>
  <c r="E8" i="17" a="1"/>
  <c r="E8" i="17"/>
  <c r="E5" i="17" a="1"/>
  <c r="E5" i="17"/>
  <c r="E9" i="17" a="1"/>
  <c r="E9" i="17"/>
  <c r="F8" i="17"/>
  <c r="E3" i="17"/>
  <c r="T18" i="7"/>
  <c r="E6" i="17"/>
  <c r="F9" i="17"/>
  <c r="E4" i="17"/>
  <c r="U18" i="7"/>
  <c r="F2" i="17" a="1"/>
  <c r="F2" i="17"/>
  <c r="G2" i="17"/>
  <c r="S19" i="7"/>
  <c r="S20" i="7"/>
  <c r="L4" i="3"/>
  <c r="J4" i="3"/>
  <c r="K17" i="3"/>
  <c r="L17" i="3"/>
  <c r="E17" i="3"/>
  <c r="L5" i="3"/>
  <c r="J5" i="3"/>
  <c r="K18" i="3"/>
  <c r="L18" i="3"/>
  <c r="E18" i="3"/>
  <c r="L6" i="3"/>
  <c r="J6" i="3"/>
  <c r="K19" i="3"/>
  <c r="L7" i="3"/>
  <c r="J7" i="3"/>
  <c r="K20" i="3"/>
  <c r="L8" i="3"/>
  <c r="J8" i="3"/>
  <c r="K21" i="3"/>
  <c r="L9" i="3"/>
  <c r="J9" i="3"/>
  <c r="K22" i="3"/>
  <c r="L10" i="3"/>
  <c r="J10" i="3"/>
  <c r="K23" i="3"/>
  <c r="L11" i="3"/>
  <c r="J11" i="3"/>
  <c r="K24" i="3"/>
  <c r="L12" i="3"/>
  <c r="J12" i="3"/>
  <c r="K25" i="3"/>
  <c r="AD18" i="3"/>
  <c r="L19" i="3"/>
  <c r="L20" i="3"/>
  <c r="L21" i="3"/>
  <c r="L22" i="3"/>
  <c r="L23" i="3"/>
  <c r="L24" i="3"/>
  <c r="L25" i="3"/>
  <c r="M18" i="3"/>
  <c r="N18" i="3" a="1"/>
  <c r="N18" i="3"/>
  <c r="O18" i="3"/>
  <c r="E31" i="3" a="1"/>
  <c r="E31" i="3"/>
  <c r="F31" i="3" a="1"/>
  <c r="F31" i="3"/>
  <c r="G31" i="3" a="1"/>
  <c r="H31" i="3" a="1"/>
  <c r="I31" i="3" a="1"/>
  <c r="J31" i="3" a="1"/>
  <c r="K31" i="3" a="1"/>
  <c r="L31" i="3" a="1"/>
  <c r="P18" i="3"/>
  <c r="M31" i="3" a="1"/>
  <c r="N31" i="3" a="1"/>
  <c r="O31" i="3" a="1"/>
  <c r="P31" i="3" a="1"/>
  <c r="Q31" i="3" a="1"/>
  <c r="R31" i="3" a="1"/>
  <c r="S31" i="3" a="1"/>
  <c r="T31" i="3" a="1"/>
  <c r="Q18" i="3"/>
  <c r="U31" i="3" a="1"/>
  <c r="V31" i="3" a="1"/>
  <c r="W31" i="3" a="1"/>
  <c r="X31" i="3" a="1"/>
  <c r="Y31" i="3" a="1"/>
  <c r="Z31" i="3" a="1"/>
  <c r="AA31" i="3" a="1"/>
  <c r="AB31" i="3" a="1"/>
  <c r="R18" i="3"/>
  <c r="AC31" i="3" a="1"/>
  <c r="AD31" i="3" a="1"/>
  <c r="AE31" i="3" a="1"/>
  <c r="AF31" i="3" a="1"/>
  <c r="AG31" i="3" a="1"/>
  <c r="AH31" i="3" a="1"/>
  <c r="AI31" i="3" a="1"/>
  <c r="AJ31" i="3" a="1"/>
  <c r="S18" i="3"/>
  <c r="M17" i="3"/>
  <c r="N17" i="3" a="1"/>
  <c r="N17" i="3"/>
  <c r="S17" i="3"/>
  <c r="AK31" i="3" a="1"/>
  <c r="M19" i="3"/>
  <c r="N19" i="3" a="1"/>
  <c r="N19" i="3"/>
  <c r="S19" i="3"/>
  <c r="AL31" i="3" a="1"/>
  <c r="M20" i="3"/>
  <c r="N20" i="3" a="1"/>
  <c r="N20" i="3"/>
  <c r="S20" i="3"/>
  <c r="AM31" i="3" a="1"/>
  <c r="M21" i="3"/>
  <c r="N21" i="3" a="1"/>
  <c r="N21" i="3"/>
  <c r="S21" i="3"/>
  <c r="AN31" i="3" a="1"/>
  <c r="M22" i="3"/>
  <c r="N22" i="3" a="1"/>
  <c r="N22" i="3"/>
  <c r="S22" i="3"/>
  <c r="AO31" i="3" a="1"/>
  <c r="M23" i="3"/>
  <c r="N23" i="3" a="1"/>
  <c r="N23" i="3"/>
  <c r="S23" i="3"/>
  <c r="AP31" i="3" a="1"/>
  <c r="M24" i="3"/>
  <c r="N24" i="3" a="1"/>
  <c r="N24" i="3"/>
  <c r="S24" i="3"/>
  <c r="AQ31" i="3" a="1"/>
  <c r="M25" i="3"/>
  <c r="N25" i="3" a="1"/>
  <c r="N25" i="3"/>
  <c r="S25" i="3"/>
  <c r="AR31" i="3" a="1"/>
  <c r="T18" i="3"/>
  <c r="AS31" i="3" a="1"/>
  <c r="AT31" i="3" a="1"/>
  <c r="AU31" i="3" a="1"/>
  <c r="AV31" i="3" a="1"/>
  <c r="AW31" i="3" a="1"/>
  <c r="AX31" i="3" a="1"/>
  <c r="AY31" i="3" a="1"/>
  <c r="AZ31" i="3" a="1"/>
  <c r="U18" i="3"/>
  <c r="U17" i="3"/>
  <c r="BA31" i="3" a="1"/>
  <c r="U19" i="3"/>
  <c r="BB31" i="3" a="1"/>
  <c r="U20" i="3"/>
  <c r="BC31" i="3" a="1"/>
  <c r="U21" i="3"/>
  <c r="BD31" i="3" a="1"/>
  <c r="U22" i="3"/>
  <c r="BE31" i="3" a="1"/>
  <c r="U23" i="3"/>
  <c r="BF31" i="3" a="1"/>
  <c r="U24" i="3"/>
  <c r="BG31" i="3" a="1"/>
  <c r="U25" i="3"/>
  <c r="BH31" i="3" a="1"/>
  <c r="V18" i="3"/>
  <c r="BI31" i="3" a="1"/>
  <c r="BJ31" i="3" a="1"/>
  <c r="BK31" i="3" a="1"/>
  <c r="BL31" i="3" a="1"/>
  <c r="BM31" i="3" a="1"/>
  <c r="BN31" i="3" a="1"/>
  <c r="BO31" i="3" a="1"/>
  <c r="BP31" i="3" a="1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AA18" i="3"/>
  <c r="E42" i="3" a="1"/>
  <c r="E42" i="3"/>
  <c r="F42" i="3" a="1"/>
  <c r="F42" i="3"/>
  <c r="G42" i="3" a="1"/>
  <c r="H42" i="3" a="1"/>
  <c r="I42" i="3" a="1"/>
  <c r="J42" i="3" a="1"/>
  <c r="K42" i="3" a="1"/>
  <c r="L42" i="3" a="1"/>
  <c r="M42" i="3" a="1"/>
  <c r="N42" i="3" a="1"/>
  <c r="O42" i="3" a="1"/>
  <c r="P42" i="3" a="1"/>
  <c r="Q42" i="3" a="1"/>
  <c r="R42" i="3" a="1"/>
  <c r="S42" i="3" a="1"/>
  <c r="T42" i="3" a="1"/>
  <c r="U42" i="3" a="1"/>
  <c r="V42" i="3" a="1"/>
  <c r="W42" i="3" a="1"/>
  <c r="X42" i="3" a="1"/>
  <c r="Y42" i="3" a="1"/>
  <c r="Z42" i="3" a="1"/>
  <c r="AA42" i="3" a="1"/>
  <c r="AB42" i="3" a="1"/>
  <c r="AC42" i="3" a="1"/>
  <c r="AD42" i="3" a="1"/>
  <c r="AE42" i="3" a="1"/>
  <c r="AF42" i="3" a="1"/>
  <c r="AG42" i="3" a="1"/>
  <c r="AH42" i="3" a="1"/>
  <c r="AI42" i="3" a="1"/>
  <c r="AJ42" i="3" a="1"/>
  <c r="AK42" i="3" a="1"/>
  <c r="AL42" i="3" a="1"/>
  <c r="AM42" i="3" a="1"/>
  <c r="AN42" i="3" a="1"/>
  <c r="AO42" i="3" a="1"/>
  <c r="AP42" i="3" a="1"/>
  <c r="AQ42" i="3" a="1"/>
  <c r="AR42" i="3" a="1"/>
  <c r="AS42" i="3" a="1"/>
  <c r="AT42" i="3" a="1"/>
  <c r="AU42" i="3" a="1"/>
  <c r="AV42" i="3" a="1"/>
  <c r="AW42" i="3" a="1"/>
  <c r="AX42" i="3" a="1"/>
  <c r="AY42" i="3" a="1"/>
  <c r="AZ42" i="3" a="1"/>
  <c r="BA42" i="3" a="1"/>
  <c r="BB42" i="3" a="1"/>
  <c r="BC42" i="3" a="1"/>
  <c r="BD42" i="3" a="1"/>
  <c r="BE42" i="3" a="1"/>
  <c r="BF42" i="3" a="1"/>
  <c r="BG42" i="3" a="1"/>
  <c r="BH42" i="3" a="1"/>
  <c r="BI42" i="3" a="1"/>
  <c r="BJ42" i="3" a="1"/>
  <c r="BK42" i="3" a="1"/>
  <c r="BL42" i="3" a="1"/>
  <c r="BM42" i="3" a="1"/>
  <c r="BN42" i="3" a="1"/>
  <c r="BO42" i="3" a="1"/>
  <c r="BP42" i="3" a="1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AB18" i="3"/>
  <c r="E53" i="3" a="1"/>
  <c r="E53" i="3"/>
  <c r="F53" i="3" a="1"/>
  <c r="F53" i="3"/>
  <c r="G53" i="3" a="1"/>
  <c r="H53" i="3" a="1"/>
  <c r="I53" i="3" a="1"/>
  <c r="J53" i="3" a="1"/>
  <c r="K53" i="3" a="1"/>
  <c r="L53" i="3" a="1"/>
  <c r="M53" i="3" a="1"/>
  <c r="N53" i="3" a="1"/>
  <c r="O53" i="3" a="1"/>
  <c r="P53" i="3" a="1"/>
  <c r="Q53" i="3" a="1"/>
  <c r="R53" i="3" a="1"/>
  <c r="S53" i="3" a="1"/>
  <c r="T53" i="3" a="1"/>
  <c r="U53" i="3" a="1"/>
  <c r="V53" i="3" a="1"/>
  <c r="W53" i="3" a="1"/>
  <c r="X53" i="3" a="1"/>
  <c r="Y53" i="3" a="1"/>
  <c r="Z53" i="3" a="1"/>
  <c r="AA53" i="3" a="1"/>
  <c r="AB53" i="3" a="1"/>
  <c r="AC53" i="3" a="1"/>
  <c r="AD53" i="3" a="1"/>
  <c r="AE53" i="3" a="1"/>
  <c r="AF53" i="3" a="1"/>
  <c r="AG53" i="3" a="1"/>
  <c r="AH53" i="3" a="1"/>
  <c r="AI53" i="3" a="1"/>
  <c r="AJ53" i="3" a="1"/>
  <c r="AK53" i="3" a="1"/>
  <c r="AL53" i="3" a="1"/>
  <c r="AM53" i="3" a="1"/>
  <c r="AN53" i="3" a="1"/>
  <c r="AO53" i="3" a="1"/>
  <c r="AP53" i="3" a="1"/>
  <c r="AQ53" i="3" a="1"/>
  <c r="AR53" i="3" a="1"/>
  <c r="AS53" i="3" a="1"/>
  <c r="AT53" i="3" a="1"/>
  <c r="AU53" i="3" a="1"/>
  <c r="AV53" i="3" a="1"/>
  <c r="AW53" i="3" a="1"/>
  <c r="AX53" i="3" a="1"/>
  <c r="AY53" i="3" a="1"/>
  <c r="AZ53" i="3" a="1"/>
  <c r="BA53" i="3" a="1"/>
  <c r="BB53" i="3" a="1"/>
  <c r="BC53" i="3" a="1"/>
  <c r="BD53" i="3" a="1"/>
  <c r="BE53" i="3" a="1"/>
  <c r="BF53" i="3" a="1"/>
  <c r="BG53" i="3" a="1"/>
  <c r="BH53" i="3" a="1"/>
  <c r="BI53" i="3" a="1"/>
  <c r="BJ53" i="3" a="1"/>
  <c r="BK53" i="3" a="1"/>
  <c r="BL53" i="3" a="1"/>
  <c r="BM53" i="3" a="1"/>
  <c r="BN53" i="3" a="1"/>
  <c r="BO53" i="3" a="1"/>
  <c r="BP53" i="3" a="1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AC18" i="3"/>
  <c r="W18" i="3"/>
  <c r="O17" i="3"/>
  <c r="E30" i="3" a="1"/>
  <c r="E30" i="3"/>
  <c r="F30" i="3" a="1"/>
  <c r="F30" i="3"/>
  <c r="G30" i="3" a="1"/>
  <c r="H30" i="3" a="1"/>
  <c r="I30" i="3" a="1"/>
  <c r="J30" i="3" a="1"/>
  <c r="K30" i="3" a="1"/>
  <c r="L30" i="3" a="1"/>
  <c r="P17" i="3"/>
  <c r="M30" i="3" a="1"/>
  <c r="N30" i="3" a="1"/>
  <c r="O30" i="3" a="1"/>
  <c r="P30" i="3" a="1"/>
  <c r="Q30" i="3" a="1"/>
  <c r="R30" i="3" a="1"/>
  <c r="S30" i="3" a="1"/>
  <c r="T30" i="3" a="1"/>
  <c r="Q17" i="3"/>
  <c r="U30" i="3" a="1"/>
  <c r="V30" i="3" a="1"/>
  <c r="W30" i="3" a="1"/>
  <c r="X30" i="3" a="1"/>
  <c r="Y30" i="3" a="1"/>
  <c r="Z30" i="3" a="1"/>
  <c r="AA30" i="3" a="1"/>
  <c r="AB30" i="3" a="1"/>
  <c r="R17" i="3"/>
  <c r="AC30" i="3" a="1"/>
  <c r="AD30" i="3" a="1"/>
  <c r="AE30" i="3" a="1"/>
  <c r="AF30" i="3" a="1"/>
  <c r="AG30" i="3" a="1"/>
  <c r="AH30" i="3" a="1"/>
  <c r="AI30" i="3" a="1"/>
  <c r="AJ30" i="3" a="1"/>
  <c r="AK30" i="3" a="1"/>
  <c r="AL30" i="3" a="1"/>
  <c r="AM30" i="3" a="1"/>
  <c r="AN30" i="3" a="1"/>
  <c r="AO30" i="3" a="1"/>
  <c r="AP30" i="3" a="1"/>
  <c r="AQ30" i="3" a="1"/>
  <c r="AR30" i="3" a="1"/>
  <c r="T17" i="3"/>
  <c r="AS30" i="3" a="1"/>
  <c r="AT30" i="3" a="1"/>
  <c r="AU30" i="3" a="1"/>
  <c r="AV30" i="3" a="1"/>
  <c r="AW30" i="3" a="1"/>
  <c r="AX30" i="3" a="1"/>
  <c r="AY30" i="3" a="1"/>
  <c r="AZ30" i="3" a="1"/>
  <c r="BA30" i="3" a="1"/>
  <c r="BB30" i="3" a="1"/>
  <c r="BC30" i="3" a="1"/>
  <c r="BD30" i="3" a="1"/>
  <c r="BE30" i="3" a="1"/>
  <c r="BF30" i="3" a="1"/>
  <c r="BG30" i="3" a="1"/>
  <c r="BH30" i="3" a="1"/>
  <c r="V17" i="3"/>
  <c r="BI30" i="3" a="1"/>
  <c r="BJ30" i="3" a="1"/>
  <c r="BK30" i="3" a="1"/>
  <c r="BL30" i="3" a="1"/>
  <c r="BM30" i="3" a="1"/>
  <c r="BN30" i="3" a="1"/>
  <c r="BO30" i="3" a="1"/>
  <c r="BP30" i="3" a="1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AA17" i="3"/>
  <c r="E41" i="3" a="1"/>
  <c r="E41" i="3"/>
  <c r="F41" i="3" a="1"/>
  <c r="F41" i="3"/>
  <c r="G41" i="3" a="1"/>
  <c r="H41" i="3" a="1"/>
  <c r="I41" i="3" a="1"/>
  <c r="J41" i="3" a="1"/>
  <c r="K41" i="3" a="1"/>
  <c r="L41" i="3" a="1"/>
  <c r="M41" i="3" a="1"/>
  <c r="N41" i="3" a="1"/>
  <c r="O41" i="3" a="1"/>
  <c r="P41" i="3" a="1"/>
  <c r="Q41" i="3" a="1"/>
  <c r="R41" i="3" a="1"/>
  <c r="S41" i="3" a="1"/>
  <c r="T41" i="3" a="1"/>
  <c r="U41" i="3" a="1"/>
  <c r="V41" i="3" a="1"/>
  <c r="W41" i="3" a="1"/>
  <c r="X41" i="3" a="1"/>
  <c r="Y41" i="3" a="1"/>
  <c r="Z41" i="3" a="1"/>
  <c r="AA41" i="3" a="1"/>
  <c r="AB41" i="3" a="1"/>
  <c r="AC41" i="3" a="1"/>
  <c r="AD41" i="3" a="1"/>
  <c r="AE41" i="3" a="1"/>
  <c r="AF41" i="3" a="1"/>
  <c r="AG41" i="3" a="1"/>
  <c r="AH41" i="3" a="1"/>
  <c r="AI41" i="3" a="1"/>
  <c r="AJ41" i="3" a="1"/>
  <c r="AK41" i="3" a="1"/>
  <c r="AL41" i="3" a="1"/>
  <c r="AM41" i="3" a="1"/>
  <c r="AN41" i="3" a="1"/>
  <c r="AO41" i="3" a="1"/>
  <c r="AP41" i="3" a="1"/>
  <c r="AQ41" i="3" a="1"/>
  <c r="AR41" i="3" a="1"/>
  <c r="AS41" i="3" a="1"/>
  <c r="AT41" i="3" a="1"/>
  <c r="AU41" i="3" a="1"/>
  <c r="AV41" i="3" a="1"/>
  <c r="AW41" i="3" a="1"/>
  <c r="AX41" i="3" a="1"/>
  <c r="AY41" i="3" a="1"/>
  <c r="AZ41" i="3" a="1"/>
  <c r="BA41" i="3" a="1"/>
  <c r="BB41" i="3" a="1"/>
  <c r="BC41" i="3" a="1"/>
  <c r="BD41" i="3" a="1"/>
  <c r="BE41" i="3" a="1"/>
  <c r="BF41" i="3" a="1"/>
  <c r="BG41" i="3" a="1"/>
  <c r="BH41" i="3" a="1"/>
  <c r="BI41" i="3" a="1"/>
  <c r="BJ41" i="3" a="1"/>
  <c r="BK41" i="3" a="1"/>
  <c r="BL41" i="3" a="1"/>
  <c r="BM41" i="3" a="1"/>
  <c r="BN41" i="3" a="1"/>
  <c r="BO41" i="3" a="1"/>
  <c r="BP41" i="3" a="1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AB17" i="3"/>
  <c r="E52" i="3" a="1"/>
  <c r="E52" i="3"/>
  <c r="F52" i="3" a="1"/>
  <c r="F52" i="3"/>
  <c r="G52" i="3" a="1"/>
  <c r="H52" i="3" a="1"/>
  <c r="I52" i="3" a="1"/>
  <c r="J52" i="3" a="1"/>
  <c r="K52" i="3" a="1"/>
  <c r="L52" i="3" a="1"/>
  <c r="M52" i="3" a="1"/>
  <c r="N52" i="3" a="1"/>
  <c r="O52" i="3" a="1"/>
  <c r="P52" i="3" a="1"/>
  <c r="Q52" i="3" a="1"/>
  <c r="R52" i="3" a="1"/>
  <c r="S52" i="3" a="1"/>
  <c r="T52" i="3" a="1"/>
  <c r="U52" i="3" a="1"/>
  <c r="V52" i="3" a="1"/>
  <c r="W52" i="3" a="1"/>
  <c r="X52" i="3" a="1"/>
  <c r="Y52" i="3" a="1"/>
  <c r="Z52" i="3" a="1"/>
  <c r="AA52" i="3" a="1"/>
  <c r="AB52" i="3" a="1"/>
  <c r="AC52" i="3" a="1"/>
  <c r="AD52" i="3" a="1"/>
  <c r="AE52" i="3" a="1"/>
  <c r="AF52" i="3" a="1"/>
  <c r="AG52" i="3" a="1"/>
  <c r="AH52" i="3" a="1"/>
  <c r="AI52" i="3" a="1"/>
  <c r="AJ52" i="3" a="1"/>
  <c r="AK52" i="3" a="1"/>
  <c r="AL52" i="3" a="1"/>
  <c r="AM52" i="3" a="1"/>
  <c r="AN52" i="3" a="1"/>
  <c r="AO52" i="3" a="1"/>
  <c r="AP52" i="3" a="1"/>
  <c r="AQ52" i="3" a="1"/>
  <c r="AR52" i="3" a="1"/>
  <c r="AS52" i="3" a="1"/>
  <c r="AT52" i="3" a="1"/>
  <c r="AU52" i="3" a="1"/>
  <c r="AV52" i="3" a="1"/>
  <c r="AW52" i="3" a="1"/>
  <c r="AX52" i="3" a="1"/>
  <c r="AY52" i="3" a="1"/>
  <c r="AZ52" i="3" a="1"/>
  <c r="BA52" i="3" a="1"/>
  <c r="BB52" i="3" a="1"/>
  <c r="BC52" i="3" a="1"/>
  <c r="BD52" i="3" a="1"/>
  <c r="BE52" i="3" a="1"/>
  <c r="BF52" i="3" a="1"/>
  <c r="BG52" i="3" a="1"/>
  <c r="BH52" i="3" a="1"/>
  <c r="BI52" i="3" a="1"/>
  <c r="BJ52" i="3" a="1"/>
  <c r="BK52" i="3" a="1"/>
  <c r="BL52" i="3" a="1"/>
  <c r="BM52" i="3" a="1"/>
  <c r="BN52" i="3" a="1"/>
  <c r="BO52" i="3" a="1"/>
  <c r="BP52" i="3" a="1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AC17" i="3"/>
  <c r="W17" i="3"/>
  <c r="O19" i="3"/>
  <c r="E32" i="3" a="1"/>
  <c r="E32" i="3"/>
  <c r="F32" i="3" a="1"/>
  <c r="F32" i="3"/>
  <c r="G32" i="3" a="1"/>
  <c r="H32" i="3" a="1"/>
  <c r="I32" i="3" a="1"/>
  <c r="J32" i="3" a="1"/>
  <c r="K32" i="3" a="1"/>
  <c r="L32" i="3" a="1"/>
  <c r="P19" i="3"/>
  <c r="M32" i="3" a="1"/>
  <c r="N32" i="3" a="1"/>
  <c r="O32" i="3" a="1"/>
  <c r="P32" i="3" a="1"/>
  <c r="Q32" i="3" a="1"/>
  <c r="R32" i="3" a="1"/>
  <c r="S32" i="3" a="1"/>
  <c r="T32" i="3" a="1"/>
  <c r="Q19" i="3"/>
  <c r="U32" i="3" a="1"/>
  <c r="V32" i="3" a="1"/>
  <c r="W32" i="3" a="1"/>
  <c r="X32" i="3" a="1"/>
  <c r="Y32" i="3" a="1"/>
  <c r="Z32" i="3" a="1"/>
  <c r="AA32" i="3" a="1"/>
  <c r="AB32" i="3" a="1"/>
  <c r="R19" i="3"/>
  <c r="AC32" i="3" a="1"/>
  <c r="AD32" i="3" a="1"/>
  <c r="AE32" i="3" a="1"/>
  <c r="AF32" i="3" a="1"/>
  <c r="AG32" i="3" a="1"/>
  <c r="AH32" i="3" a="1"/>
  <c r="AI32" i="3" a="1"/>
  <c r="AJ32" i="3" a="1"/>
  <c r="AK32" i="3" a="1"/>
  <c r="AL32" i="3" a="1"/>
  <c r="AM32" i="3" a="1"/>
  <c r="AN32" i="3" a="1"/>
  <c r="AO32" i="3" a="1"/>
  <c r="AP32" i="3" a="1"/>
  <c r="AQ32" i="3" a="1"/>
  <c r="AR32" i="3" a="1"/>
  <c r="T19" i="3"/>
  <c r="AS32" i="3" a="1"/>
  <c r="AT32" i="3" a="1"/>
  <c r="AU32" i="3" a="1"/>
  <c r="AV32" i="3" a="1"/>
  <c r="AW32" i="3" a="1"/>
  <c r="AX32" i="3" a="1"/>
  <c r="AY32" i="3" a="1"/>
  <c r="AZ32" i="3" a="1"/>
  <c r="BA32" i="3" a="1"/>
  <c r="BB32" i="3" a="1"/>
  <c r="BC32" i="3" a="1"/>
  <c r="BD32" i="3" a="1"/>
  <c r="BE32" i="3" a="1"/>
  <c r="BF32" i="3" a="1"/>
  <c r="BG32" i="3" a="1"/>
  <c r="BH32" i="3" a="1"/>
  <c r="V19" i="3"/>
  <c r="BI32" i="3" a="1"/>
  <c r="BJ32" i="3" a="1"/>
  <c r="BK32" i="3" a="1"/>
  <c r="BL32" i="3" a="1"/>
  <c r="BM32" i="3" a="1"/>
  <c r="BN32" i="3" a="1"/>
  <c r="BO32" i="3" a="1"/>
  <c r="BP32" i="3" a="1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AA19" i="3"/>
  <c r="E43" i="3" a="1"/>
  <c r="E43" i="3"/>
  <c r="F43" i="3" a="1"/>
  <c r="F43" i="3"/>
  <c r="G43" i="3" a="1"/>
  <c r="H43" i="3" a="1"/>
  <c r="I43" i="3" a="1"/>
  <c r="J43" i="3" a="1"/>
  <c r="K43" i="3" a="1"/>
  <c r="L43" i="3" a="1"/>
  <c r="M43" i="3" a="1"/>
  <c r="N43" i="3" a="1"/>
  <c r="O43" i="3" a="1"/>
  <c r="P43" i="3" a="1"/>
  <c r="Q43" i="3" a="1"/>
  <c r="R43" i="3" a="1"/>
  <c r="S43" i="3" a="1"/>
  <c r="T43" i="3" a="1"/>
  <c r="U43" i="3" a="1"/>
  <c r="V43" i="3" a="1"/>
  <c r="W43" i="3" a="1"/>
  <c r="X43" i="3" a="1"/>
  <c r="Y43" i="3" a="1"/>
  <c r="Z43" i="3" a="1"/>
  <c r="AA43" i="3" a="1"/>
  <c r="AB43" i="3" a="1"/>
  <c r="AC43" i="3" a="1"/>
  <c r="AD43" i="3" a="1"/>
  <c r="AE43" i="3" a="1"/>
  <c r="AF43" i="3" a="1"/>
  <c r="AG43" i="3" a="1"/>
  <c r="AH43" i="3" a="1"/>
  <c r="AI43" i="3" a="1"/>
  <c r="AJ43" i="3" a="1"/>
  <c r="AK43" i="3" a="1"/>
  <c r="AL43" i="3" a="1"/>
  <c r="AM43" i="3" a="1"/>
  <c r="AN43" i="3" a="1"/>
  <c r="AO43" i="3" a="1"/>
  <c r="AP43" i="3" a="1"/>
  <c r="AQ43" i="3" a="1"/>
  <c r="AR43" i="3" a="1"/>
  <c r="AS43" i="3" a="1"/>
  <c r="AT43" i="3" a="1"/>
  <c r="AU43" i="3" a="1"/>
  <c r="AV43" i="3" a="1"/>
  <c r="AW43" i="3" a="1"/>
  <c r="AX43" i="3" a="1"/>
  <c r="AY43" i="3" a="1"/>
  <c r="AZ43" i="3" a="1"/>
  <c r="BA43" i="3" a="1"/>
  <c r="BB43" i="3" a="1"/>
  <c r="BC43" i="3" a="1"/>
  <c r="BD43" i="3" a="1"/>
  <c r="BE43" i="3" a="1"/>
  <c r="BF43" i="3" a="1"/>
  <c r="BG43" i="3" a="1"/>
  <c r="BH43" i="3" a="1"/>
  <c r="BI43" i="3" a="1"/>
  <c r="BJ43" i="3" a="1"/>
  <c r="BK43" i="3" a="1"/>
  <c r="BL43" i="3" a="1"/>
  <c r="BM43" i="3" a="1"/>
  <c r="BN43" i="3" a="1"/>
  <c r="BO43" i="3" a="1"/>
  <c r="BP43" i="3" a="1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AB19" i="3"/>
  <c r="E54" i="3" a="1"/>
  <c r="E54" i="3"/>
  <c r="F54" i="3" a="1"/>
  <c r="F54" i="3"/>
  <c r="G54" i="3" a="1"/>
  <c r="H54" i="3" a="1"/>
  <c r="I54" i="3" a="1"/>
  <c r="J54" i="3" a="1"/>
  <c r="K54" i="3" a="1"/>
  <c r="L54" i="3" a="1"/>
  <c r="M54" i="3" a="1"/>
  <c r="N54" i="3" a="1"/>
  <c r="O54" i="3" a="1"/>
  <c r="P54" i="3" a="1"/>
  <c r="Q54" i="3" a="1"/>
  <c r="R54" i="3" a="1"/>
  <c r="S54" i="3" a="1"/>
  <c r="T54" i="3" a="1"/>
  <c r="U54" i="3" a="1"/>
  <c r="V54" i="3" a="1"/>
  <c r="W54" i="3" a="1"/>
  <c r="X54" i="3" a="1"/>
  <c r="Y54" i="3" a="1"/>
  <c r="Z54" i="3" a="1"/>
  <c r="AA54" i="3" a="1"/>
  <c r="AB54" i="3" a="1"/>
  <c r="AC54" i="3" a="1"/>
  <c r="AD54" i="3" a="1"/>
  <c r="AE54" i="3" a="1"/>
  <c r="AF54" i="3" a="1"/>
  <c r="AG54" i="3" a="1"/>
  <c r="AH54" i="3" a="1"/>
  <c r="AI54" i="3" a="1"/>
  <c r="AJ54" i="3" a="1"/>
  <c r="AK54" i="3" a="1"/>
  <c r="AL54" i="3" a="1"/>
  <c r="AM54" i="3" a="1"/>
  <c r="AN54" i="3" a="1"/>
  <c r="AO54" i="3" a="1"/>
  <c r="AP54" i="3" a="1"/>
  <c r="AQ54" i="3" a="1"/>
  <c r="AR54" i="3" a="1"/>
  <c r="AS54" i="3" a="1"/>
  <c r="AT54" i="3" a="1"/>
  <c r="AU54" i="3" a="1"/>
  <c r="AV54" i="3" a="1"/>
  <c r="AW54" i="3" a="1"/>
  <c r="AX54" i="3" a="1"/>
  <c r="AY54" i="3" a="1"/>
  <c r="AZ54" i="3" a="1"/>
  <c r="BA54" i="3" a="1"/>
  <c r="BB54" i="3" a="1"/>
  <c r="BC54" i="3" a="1"/>
  <c r="BD54" i="3" a="1"/>
  <c r="BE54" i="3" a="1"/>
  <c r="BF54" i="3" a="1"/>
  <c r="BG54" i="3" a="1"/>
  <c r="BH54" i="3" a="1"/>
  <c r="BI54" i="3" a="1"/>
  <c r="BJ54" i="3" a="1"/>
  <c r="BK54" i="3" a="1"/>
  <c r="BL54" i="3" a="1"/>
  <c r="BM54" i="3" a="1"/>
  <c r="BN54" i="3" a="1"/>
  <c r="BO54" i="3" a="1"/>
  <c r="BP54" i="3" a="1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AC19" i="3"/>
  <c r="W19" i="3"/>
  <c r="O20" i="3"/>
  <c r="E33" i="3" a="1"/>
  <c r="E33" i="3"/>
  <c r="F33" i="3" a="1"/>
  <c r="F33" i="3"/>
  <c r="G33" i="3" a="1"/>
  <c r="H33" i="3" a="1"/>
  <c r="I33" i="3" a="1"/>
  <c r="J33" i="3" a="1"/>
  <c r="K33" i="3" a="1"/>
  <c r="L33" i="3" a="1"/>
  <c r="P20" i="3"/>
  <c r="M33" i="3" a="1"/>
  <c r="N33" i="3" a="1"/>
  <c r="O33" i="3" a="1"/>
  <c r="P33" i="3" a="1"/>
  <c r="Q33" i="3" a="1"/>
  <c r="R33" i="3" a="1"/>
  <c r="S33" i="3" a="1"/>
  <c r="T33" i="3" a="1"/>
  <c r="Q20" i="3"/>
  <c r="U33" i="3" a="1"/>
  <c r="V33" i="3" a="1"/>
  <c r="W33" i="3" a="1"/>
  <c r="X33" i="3" a="1"/>
  <c r="Y33" i="3" a="1"/>
  <c r="Z33" i="3" a="1"/>
  <c r="AA33" i="3" a="1"/>
  <c r="AB33" i="3" a="1"/>
  <c r="R20" i="3"/>
  <c r="AC33" i="3" a="1"/>
  <c r="AD33" i="3" a="1"/>
  <c r="AE33" i="3" a="1"/>
  <c r="AF33" i="3" a="1"/>
  <c r="AG33" i="3" a="1"/>
  <c r="AH33" i="3" a="1"/>
  <c r="AI33" i="3" a="1"/>
  <c r="AJ33" i="3" a="1"/>
  <c r="AK33" i="3" a="1"/>
  <c r="AL33" i="3" a="1"/>
  <c r="AM33" i="3" a="1"/>
  <c r="AN33" i="3" a="1"/>
  <c r="AO33" i="3" a="1"/>
  <c r="AP33" i="3" a="1"/>
  <c r="AQ33" i="3" a="1"/>
  <c r="AR33" i="3" a="1"/>
  <c r="T20" i="3"/>
  <c r="AS33" i="3" a="1"/>
  <c r="AT33" i="3" a="1"/>
  <c r="AU33" i="3" a="1"/>
  <c r="AV33" i="3" a="1"/>
  <c r="AW33" i="3" a="1"/>
  <c r="AX33" i="3" a="1"/>
  <c r="AY33" i="3" a="1"/>
  <c r="AZ33" i="3" a="1"/>
  <c r="BA33" i="3" a="1"/>
  <c r="BB33" i="3" a="1"/>
  <c r="BC33" i="3" a="1"/>
  <c r="BD33" i="3" a="1"/>
  <c r="BE33" i="3" a="1"/>
  <c r="BF33" i="3" a="1"/>
  <c r="BG33" i="3" a="1"/>
  <c r="BH33" i="3" a="1"/>
  <c r="V20" i="3"/>
  <c r="BI33" i="3" a="1"/>
  <c r="BJ33" i="3" a="1"/>
  <c r="BK33" i="3" a="1"/>
  <c r="BL33" i="3" a="1"/>
  <c r="BM33" i="3" a="1"/>
  <c r="BN33" i="3" a="1"/>
  <c r="BO33" i="3" a="1"/>
  <c r="BP33" i="3" a="1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AA20" i="3"/>
  <c r="E44" i="3" a="1"/>
  <c r="E44" i="3"/>
  <c r="F44" i="3" a="1"/>
  <c r="F44" i="3"/>
  <c r="G44" i="3" a="1"/>
  <c r="H44" i="3" a="1"/>
  <c r="I44" i="3" a="1"/>
  <c r="J44" i="3" a="1"/>
  <c r="K44" i="3" a="1"/>
  <c r="L44" i="3" a="1"/>
  <c r="M44" i="3" a="1"/>
  <c r="N44" i="3" a="1"/>
  <c r="O44" i="3" a="1"/>
  <c r="P44" i="3" a="1"/>
  <c r="Q44" i="3" a="1"/>
  <c r="R44" i="3" a="1"/>
  <c r="S44" i="3" a="1"/>
  <c r="T44" i="3" a="1"/>
  <c r="U44" i="3" a="1"/>
  <c r="V44" i="3" a="1"/>
  <c r="W44" i="3" a="1"/>
  <c r="X44" i="3" a="1"/>
  <c r="Y44" i="3" a="1"/>
  <c r="Z44" i="3" a="1"/>
  <c r="AA44" i="3" a="1"/>
  <c r="AB44" i="3" a="1"/>
  <c r="AC44" i="3" a="1"/>
  <c r="AD44" i="3" a="1"/>
  <c r="AE44" i="3" a="1"/>
  <c r="AF44" i="3" a="1"/>
  <c r="AG44" i="3" a="1"/>
  <c r="AH44" i="3" a="1"/>
  <c r="AI44" i="3" a="1"/>
  <c r="AJ44" i="3" a="1"/>
  <c r="AK44" i="3" a="1"/>
  <c r="AL44" i="3" a="1"/>
  <c r="AM44" i="3" a="1"/>
  <c r="AN44" i="3" a="1"/>
  <c r="AO44" i="3" a="1"/>
  <c r="AP44" i="3" a="1"/>
  <c r="AQ44" i="3" a="1"/>
  <c r="AR44" i="3" a="1"/>
  <c r="AS44" i="3" a="1"/>
  <c r="AT44" i="3" a="1"/>
  <c r="AU44" i="3" a="1"/>
  <c r="AV44" i="3" a="1"/>
  <c r="AW44" i="3" a="1"/>
  <c r="AX44" i="3" a="1"/>
  <c r="AY44" i="3" a="1"/>
  <c r="AZ44" i="3" a="1"/>
  <c r="BA44" i="3" a="1"/>
  <c r="BB44" i="3" a="1"/>
  <c r="BC44" i="3" a="1"/>
  <c r="BD44" i="3" a="1"/>
  <c r="BE44" i="3" a="1"/>
  <c r="BF44" i="3" a="1"/>
  <c r="BG44" i="3" a="1"/>
  <c r="BH44" i="3" a="1"/>
  <c r="BI44" i="3" a="1"/>
  <c r="BJ44" i="3" a="1"/>
  <c r="BK44" i="3" a="1"/>
  <c r="BL44" i="3" a="1"/>
  <c r="BM44" i="3" a="1"/>
  <c r="BN44" i="3" a="1"/>
  <c r="BO44" i="3" a="1"/>
  <c r="BP44" i="3" a="1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AB20" i="3"/>
  <c r="E55" i="3" a="1"/>
  <c r="E55" i="3"/>
  <c r="F55" i="3" a="1"/>
  <c r="F55" i="3"/>
  <c r="G55" i="3" a="1"/>
  <c r="H55" i="3" a="1"/>
  <c r="I55" i="3" a="1"/>
  <c r="J55" i="3" a="1"/>
  <c r="K55" i="3" a="1"/>
  <c r="L55" i="3" a="1"/>
  <c r="M55" i="3" a="1"/>
  <c r="N55" i="3" a="1"/>
  <c r="O55" i="3" a="1"/>
  <c r="P55" i="3" a="1"/>
  <c r="Q55" i="3" a="1"/>
  <c r="R55" i="3" a="1"/>
  <c r="S55" i="3" a="1"/>
  <c r="T55" i="3" a="1"/>
  <c r="U55" i="3" a="1"/>
  <c r="V55" i="3" a="1"/>
  <c r="W55" i="3" a="1"/>
  <c r="X55" i="3" a="1"/>
  <c r="Y55" i="3" a="1"/>
  <c r="Z55" i="3" a="1"/>
  <c r="AA55" i="3" a="1"/>
  <c r="AB55" i="3" a="1"/>
  <c r="AC55" i="3" a="1"/>
  <c r="AD55" i="3" a="1"/>
  <c r="AE55" i="3" a="1"/>
  <c r="AF55" i="3" a="1"/>
  <c r="AG55" i="3" a="1"/>
  <c r="AH55" i="3" a="1"/>
  <c r="AI55" i="3" a="1"/>
  <c r="AJ55" i="3" a="1"/>
  <c r="AK55" i="3" a="1"/>
  <c r="AL55" i="3" a="1"/>
  <c r="AM55" i="3" a="1"/>
  <c r="AN55" i="3" a="1"/>
  <c r="AO55" i="3" a="1"/>
  <c r="AP55" i="3" a="1"/>
  <c r="AQ55" i="3" a="1"/>
  <c r="AR55" i="3" a="1"/>
  <c r="AS55" i="3" a="1"/>
  <c r="AT55" i="3" a="1"/>
  <c r="AU55" i="3" a="1"/>
  <c r="AV55" i="3" a="1"/>
  <c r="AW55" i="3" a="1"/>
  <c r="AX55" i="3" a="1"/>
  <c r="AY55" i="3" a="1"/>
  <c r="AZ55" i="3" a="1"/>
  <c r="BA55" i="3" a="1"/>
  <c r="BB55" i="3" a="1"/>
  <c r="BC55" i="3" a="1"/>
  <c r="BD55" i="3" a="1"/>
  <c r="BE55" i="3" a="1"/>
  <c r="BF55" i="3" a="1"/>
  <c r="BG55" i="3" a="1"/>
  <c r="BH55" i="3" a="1"/>
  <c r="BI55" i="3" a="1"/>
  <c r="BJ55" i="3" a="1"/>
  <c r="BK55" i="3" a="1"/>
  <c r="BL55" i="3" a="1"/>
  <c r="BM55" i="3" a="1"/>
  <c r="BN55" i="3" a="1"/>
  <c r="BO55" i="3" a="1"/>
  <c r="BP55" i="3" a="1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AC20" i="3"/>
  <c r="W20" i="3"/>
  <c r="O21" i="3"/>
  <c r="E34" i="3" a="1"/>
  <c r="E34" i="3"/>
  <c r="F34" i="3" a="1"/>
  <c r="F34" i="3"/>
  <c r="G34" i="3" a="1"/>
  <c r="H34" i="3" a="1"/>
  <c r="I34" i="3" a="1"/>
  <c r="J34" i="3" a="1"/>
  <c r="K34" i="3" a="1"/>
  <c r="L34" i="3" a="1"/>
  <c r="P21" i="3"/>
  <c r="M34" i="3" a="1"/>
  <c r="N34" i="3" a="1"/>
  <c r="O34" i="3" a="1"/>
  <c r="P34" i="3" a="1"/>
  <c r="Q34" i="3" a="1"/>
  <c r="R34" i="3" a="1"/>
  <c r="S34" i="3" a="1"/>
  <c r="T34" i="3" a="1"/>
  <c r="Q21" i="3"/>
  <c r="U34" i="3" a="1"/>
  <c r="V34" i="3" a="1"/>
  <c r="W34" i="3" a="1"/>
  <c r="X34" i="3" a="1"/>
  <c r="Y34" i="3" a="1"/>
  <c r="Z34" i="3" a="1"/>
  <c r="AA34" i="3" a="1"/>
  <c r="AB34" i="3" a="1"/>
  <c r="R21" i="3"/>
  <c r="AC34" i="3" a="1"/>
  <c r="AD34" i="3" a="1"/>
  <c r="AE34" i="3" a="1"/>
  <c r="AF34" i="3" a="1"/>
  <c r="AG34" i="3" a="1"/>
  <c r="AH34" i="3" a="1"/>
  <c r="AI34" i="3" a="1"/>
  <c r="AJ34" i="3" a="1"/>
  <c r="AK34" i="3" a="1"/>
  <c r="AL34" i="3" a="1"/>
  <c r="AM34" i="3" a="1"/>
  <c r="AN34" i="3" a="1"/>
  <c r="AO34" i="3" a="1"/>
  <c r="AP34" i="3" a="1"/>
  <c r="AQ34" i="3" a="1"/>
  <c r="AR34" i="3" a="1"/>
  <c r="T21" i="3"/>
  <c r="AS34" i="3" a="1"/>
  <c r="AT34" i="3" a="1"/>
  <c r="AU34" i="3" a="1"/>
  <c r="AV34" i="3" a="1"/>
  <c r="AW34" i="3" a="1"/>
  <c r="AX34" i="3" a="1"/>
  <c r="AY34" i="3" a="1"/>
  <c r="AZ34" i="3" a="1"/>
  <c r="BA34" i="3" a="1"/>
  <c r="BB34" i="3" a="1"/>
  <c r="BC34" i="3" a="1"/>
  <c r="BD34" i="3" a="1"/>
  <c r="BE34" i="3" a="1"/>
  <c r="BF34" i="3" a="1"/>
  <c r="BG34" i="3" a="1"/>
  <c r="BH34" i="3" a="1"/>
  <c r="V21" i="3"/>
  <c r="BI34" i="3" a="1"/>
  <c r="BJ34" i="3" a="1"/>
  <c r="BK34" i="3" a="1"/>
  <c r="BL34" i="3" a="1"/>
  <c r="BM34" i="3" a="1"/>
  <c r="BN34" i="3" a="1"/>
  <c r="BO34" i="3" a="1"/>
  <c r="BP34" i="3" a="1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AA21" i="3"/>
  <c r="E45" i="3" a="1"/>
  <c r="E45" i="3"/>
  <c r="F45" i="3" a="1"/>
  <c r="F45" i="3"/>
  <c r="G45" i="3" a="1"/>
  <c r="H45" i="3" a="1"/>
  <c r="I45" i="3" a="1"/>
  <c r="J45" i="3" a="1"/>
  <c r="K45" i="3" a="1"/>
  <c r="L45" i="3" a="1"/>
  <c r="M45" i="3" a="1"/>
  <c r="N45" i="3" a="1"/>
  <c r="O45" i="3" a="1"/>
  <c r="P45" i="3" a="1"/>
  <c r="Q45" i="3" a="1"/>
  <c r="R45" i="3" a="1"/>
  <c r="S45" i="3" a="1"/>
  <c r="T45" i="3" a="1"/>
  <c r="U45" i="3" a="1"/>
  <c r="V45" i="3" a="1"/>
  <c r="W45" i="3" a="1"/>
  <c r="X45" i="3" a="1"/>
  <c r="Y45" i="3" a="1"/>
  <c r="Z45" i="3" a="1"/>
  <c r="AA45" i="3" a="1"/>
  <c r="AB45" i="3" a="1"/>
  <c r="AC45" i="3" a="1"/>
  <c r="AD45" i="3" a="1"/>
  <c r="AE45" i="3" a="1"/>
  <c r="AF45" i="3" a="1"/>
  <c r="AG45" i="3" a="1"/>
  <c r="AH45" i="3" a="1"/>
  <c r="AI45" i="3" a="1"/>
  <c r="AJ45" i="3" a="1"/>
  <c r="AK45" i="3" a="1"/>
  <c r="AL45" i="3" a="1"/>
  <c r="AM45" i="3" a="1"/>
  <c r="AN45" i="3" a="1"/>
  <c r="AO45" i="3" a="1"/>
  <c r="AP45" i="3" a="1"/>
  <c r="AQ45" i="3" a="1"/>
  <c r="AR45" i="3" a="1"/>
  <c r="AS45" i="3" a="1"/>
  <c r="AT45" i="3" a="1"/>
  <c r="AU45" i="3" a="1"/>
  <c r="AV45" i="3" a="1"/>
  <c r="AW45" i="3" a="1"/>
  <c r="AX45" i="3" a="1"/>
  <c r="AY45" i="3" a="1"/>
  <c r="AZ45" i="3" a="1"/>
  <c r="BA45" i="3" a="1"/>
  <c r="BB45" i="3" a="1"/>
  <c r="BC45" i="3" a="1"/>
  <c r="BD45" i="3" a="1"/>
  <c r="BE45" i="3" a="1"/>
  <c r="BF45" i="3" a="1"/>
  <c r="BG45" i="3" a="1"/>
  <c r="BH45" i="3" a="1"/>
  <c r="BI45" i="3" a="1"/>
  <c r="BJ45" i="3" a="1"/>
  <c r="BK45" i="3" a="1"/>
  <c r="BL45" i="3" a="1"/>
  <c r="BM45" i="3" a="1"/>
  <c r="BN45" i="3" a="1"/>
  <c r="BO45" i="3" a="1"/>
  <c r="BP45" i="3" a="1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AB21" i="3"/>
  <c r="E56" i="3" a="1"/>
  <c r="E56" i="3"/>
  <c r="F56" i="3" a="1"/>
  <c r="F56" i="3"/>
  <c r="G56" i="3" a="1"/>
  <c r="H56" i="3" a="1"/>
  <c r="I56" i="3" a="1"/>
  <c r="J56" i="3" a="1"/>
  <c r="K56" i="3" a="1"/>
  <c r="L56" i="3" a="1"/>
  <c r="M56" i="3" a="1"/>
  <c r="N56" i="3" a="1"/>
  <c r="O56" i="3" a="1"/>
  <c r="P56" i="3" a="1"/>
  <c r="Q56" i="3" a="1"/>
  <c r="R56" i="3" a="1"/>
  <c r="S56" i="3" a="1"/>
  <c r="T56" i="3" a="1"/>
  <c r="U56" i="3" a="1"/>
  <c r="V56" i="3" a="1"/>
  <c r="W56" i="3" a="1"/>
  <c r="X56" i="3" a="1"/>
  <c r="Y56" i="3" a="1"/>
  <c r="Z56" i="3" a="1"/>
  <c r="AA56" i="3" a="1"/>
  <c r="AB56" i="3" a="1"/>
  <c r="AC56" i="3" a="1"/>
  <c r="AD56" i="3" a="1"/>
  <c r="AE56" i="3" a="1"/>
  <c r="AF56" i="3" a="1"/>
  <c r="AG56" i="3" a="1"/>
  <c r="AH56" i="3" a="1"/>
  <c r="AI56" i="3" a="1"/>
  <c r="AJ56" i="3" a="1"/>
  <c r="AK56" i="3" a="1"/>
  <c r="AL56" i="3" a="1"/>
  <c r="AM56" i="3" a="1"/>
  <c r="AN56" i="3" a="1"/>
  <c r="AO56" i="3" a="1"/>
  <c r="AP56" i="3" a="1"/>
  <c r="AQ56" i="3" a="1"/>
  <c r="AR56" i="3" a="1"/>
  <c r="AS56" i="3" a="1"/>
  <c r="AT56" i="3" a="1"/>
  <c r="AU56" i="3" a="1"/>
  <c r="AV56" i="3" a="1"/>
  <c r="AW56" i="3" a="1"/>
  <c r="AX56" i="3" a="1"/>
  <c r="AY56" i="3" a="1"/>
  <c r="AZ56" i="3" a="1"/>
  <c r="BA56" i="3" a="1"/>
  <c r="BB56" i="3" a="1"/>
  <c r="BC56" i="3" a="1"/>
  <c r="BD56" i="3" a="1"/>
  <c r="BE56" i="3" a="1"/>
  <c r="BF56" i="3" a="1"/>
  <c r="BG56" i="3" a="1"/>
  <c r="BH56" i="3" a="1"/>
  <c r="BI56" i="3" a="1"/>
  <c r="BJ56" i="3" a="1"/>
  <c r="BK56" i="3" a="1"/>
  <c r="BL56" i="3" a="1"/>
  <c r="BM56" i="3" a="1"/>
  <c r="BN56" i="3" a="1"/>
  <c r="BO56" i="3" a="1"/>
  <c r="BP56" i="3" a="1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AC21" i="3"/>
  <c r="W21" i="3"/>
  <c r="O22" i="3"/>
  <c r="E35" i="3" a="1"/>
  <c r="E35" i="3"/>
  <c r="F35" i="3" a="1"/>
  <c r="F35" i="3"/>
  <c r="G35" i="3" a="1"/>
  <c r="H35" i="3" a="1"/>
  <c r="I35" i="3" a="1"/>
  <c r="J35" i="3" a="1"/>
  <c r="K35" i="3" a="1"/>
  <c r="L35" i="3" a="1"/>
  <c r="P22" i="3"/>
  <c r="M35" i="3" a="1"/>
  <c r="N35" i="3" a="1"/>
  <c r="O35" i="3" a="1"/>
  <c r="P35" i="3" a="1"/>
  <c r="Q35" i="3" a="1"/>
  <c r="R35" i="3" a="1"/>
  <c r="S35" i="3" a="1"/>
  <c r="T35" i="3" a="1"/>
  <c r="Q22" i="3"/>
  <c r="U35" i="3" a="1"/>
  <c r="V35" i="3" a="1"/>
  <c r="W35" i="3" a="1"/>
  <c r="X35" i="3" a="1"/>
  <c r="Y35" i="3" a="1"/>
  <c r="Z35" i="3" a="1"/>
  <c r="AA35" i="3" a="1"/>
  <c r="AB35" i="3" a="1"/>
  <c r="R22" i="3"/>
  <c r="AC35" i="3" a="1"/>
  <c r="AD35" i="3" a="1"/>
  <c r="AE35" i="3" a="1"/>
  <c r="AF35" i="3" a="1"/>
  <c r="AG35" i="3" a="1"/>
  <c r="AH35" i="3" a="1"/>
  <c r="AI35" i="3" a="1"/>
  <c r="AJ35" i="3" a="1"/>
  <c r="AK35" i="3" a="1"/>
  <c r="AL35" i="3" a="1"/>
  <c r="AM35" i="3" a="1"/>
  <c r="AN35" i="3" a="1"/>
  <c r="AO35" i="3" a="1"/>
  <c r="AP35" i="3" a="1"/>
  <c r="AQ35" i="3" a="1"/>
  <c r="AR35" i="3" a="1"/>
  <c r="T22" i="3"/>
  <c r="AS35" i="3" a="1"/>
  <c r="AT35" i="3" a="1"/>
  <c r="AU35" i="3" a="1"/>
  <c r="AV35" i="3" a="1"/>
  <c r="AW35" i="3" a="1"/>
  <c r="AX35" i="3" a="1"/>
  <c r="AY35" i="3" a="1"/>
  <c r="AZ35" i="3" a="1"/>
  <c r="BA35" i="3" a="1"/>
  <c r="BB35" i="3" a="1"/>
  <c r="BC35" i="3" a="1"/>
  <c r="BD35" i="3" a="1"/>
  <c r="BE35" i="3" a="1"/>
  <c r="BF35" i="3" a="1"/>
  <c r="BG35" i="3" a="1"/>
  <c r="BH35" i="3" a="1"/>
  <c r="V22" i="3"/>
  <c r="BI35" i="3" a="1"/>
  <c r="BJ35" i="3" a="1"/>
  <c r="BK35" i="3" a="1"/>
  <c r="BL35" i="3" a="1"/>
  <c r="BM35" i="3" a="1"/>
  <c r="BN35" i="3" a="1"/>
  <c r="BO35" i="3" a="1"/>
  <c r="BP35" i="3" a="1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AA22" i="3"/>
  <c r="E46" i="3" a="1"/>
  <c r="E46" i="3"/>
  <c r="F46" i="3" a="1"/>
  <c r="F46" i="3"/>
  <c r="G46" i="3" a="1"/>
  <c r="H46" i="3" a="1"/>
  <c r="I46" i="3" a="1"/>
  <c r="J46" i="3" a="1"/>
  <c r="K46" i="3" a="1"/>
  <c r="L46" i="3" a="1"/>
  <c r="M46" i="3" a="1"/>
  <c r="N46" i="3" a="1"/>
  <c r="O46" i="3" a="1"/>
  <c r="P46" i="3" a="1"/>
  <c r="Q46" i="3" a="1"/>
  <c r="R46" i="3" a="1"/>
  <c r="S46" i="3" a="1"/>
  <c r="T46" i="3" a="1"/>
  <c r="U46" i="3" a="1"/>
  <c r="V46" i="3" a="1"/>
  <c r="W46" i="3" a="1"/>
  <c r="X46" i="3" a="1"/>
  <c r="Y46" i="3" a="1"/>
  <c r="Z46" i="3" a="1"/>
  <c r="AA46" i="3" a="1"/>
  <c r="AB46" i="3" a="1"/>
  <c r="AC46" i="3" a="1"/>
  <c r="AD46" i="3" a="1"/>
  <c r="AE46" i="3" a="1"/>
  <c r="AF46" i="3" a="1"/>
  <c r="AG46" i="3" a="1"/>
  <c r="AH46" i="3" a="1"/>
  <c r="AI46" i="3" a="1"/>
  <c r="AJ46" i="3" a="1"/>
  <c r="AK46" i="3" a="1"/>
  <c r="AL46" i="3" a="1"/>
  <c r="AM46" i="3" a="1"/>
  <c r="AN46" i="3" a="1"/>
  <c r="AO46" i="3" a="1"/>
  <c r="AP46" i="3" a="1"/>
  <c r="AQ46" i="3" a="1"/>
  <c r="AR46" i="3" a="1"/>
  <c r="AS46" i="3" a="1"/>
  <c r="AT46" i="3" a="1"/>
  <c r="AU46" i="3" a="1"/>
  <c r="AV46" i="3" a="1"/>
  <c r="AW46" i="3" a="1"/>
  <c r="AX46" i="3" a="1"/>
  <c r="AY46" i="3" a="1"/>
  <c r="AZ46" i="3" a="1"/>
  <c r="BA46" i="3" a="1"/>
  <c r="BB46" i="3" a="1"/>
  <c r="BC46" i="3" a="1"/>
  <c r="BD46" i="3" a="1"/>
  <c r="BE46" i="3" a="1"/>
  <c r="BF46" i="3" a="1"/>
  <c r="BG46" i="3" a="1"/>
  <c r="BH46" i="3" a="1"/>
  <c r="BI46" i="3" a="1"/>
  <c r="BJ46" i="3" a="1"/>
  <c r="BK46" i="3" a="1"/>
  <c r="BL46" i="3" a="1"/>
  <c r="BM46" i="3" a="1"/>
  <c r="BN46" i="3" a="1"/>
  <c r="BO46" i="3" a="1"/>
  <c r="BP46" i="3" a="1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AB22" i="3"/>
  <c r="E57" i="3" a="1"/>
  <c r="E57" i="3"/>
  <c r="F57" i="3" a="1"/>
  <c r="F57" i="3"/>
  <c r="G57" i="3" a="1"/>
  <c r="H57" i="3" a="1"/>
  <c r="I57" i="3" a="1"/>
  <c r="J57" i="3" a="1"/>
  <c r="K57" i="3" a="1"/>
  <c r="L57" i="3" a="1"/>
  <c r="M57" i="3" a="1"/>
  <c r="N57" i="3" a="1"/>
  <c r="O57" i="3" a="1"/>
  <c r="P57" i="3" a="1"/>
  <c r="Q57" i="3" a="1"/>
  <c r="R57" i="3" a="1"/>
  <c r="S57" i="3" a="1"/>
  <c r="T57" i="3" a="1"/>
  <c r="U57" i="3" a="1"/>
  <c r="V57" i="3" a="1"/>
  <c r="W57" i="3" a="1"/>
  <c r="X57" i="3" a="1"/>
  <c r="Y57" i="3" a="1"/>
  <c r="Z57" i="3" a="1"/>
  <c r="AA57" i="3" a="1"/>
  <c r="AB57" i="3" a="1"/>
  <c r="AC57" i="3" a="1"/>
  <c r="AD57" i="3" a="1"/>
  <c r="AE57" i="3" a="1"/>
  <c r="AF57" i="3" a="1"/>
  <c r="AG57" i="3" a="1"/>
  <c r="AH57" i="3" a="1"/>
  <c r="AI57" i="3" a="1"/>
  <c r="AJ57" i="3" a="1"/>
  <c r="AK57" i="3" a="1"/>
  <c r="AL57" i="3" a="1"/>
  <c r="AM57" i="3" a="1"/>
  <c r="AN57" i="3" a="1"/>
  <c r="AO57" i="3" a="1"/>
  <c r="AP57" i="3" a="1"/>
  <c r="AQ57" i="3" a="1"/>
  <c r="AR57" i="3" a="1"/>
  <c r="AS57" i="3" a="1"/>
  <c r="AT57" i="3" a="1"/>
  <c r="AU57" i="3" a="1"/>
  <c r="AV57" i="3" a="1"/>
  <c r="AW57" i="3" a="1"/>
  <c r="AX57" i="3" a="1"/>
  <c r="AY57" i="3" a="1"/>
  <c r="AZ57" i="3" a="1"/>
  <c r="BA57" i="3" a="1"/>
  <c r="BB57" i="3" a="1"/>
  <c r="BC57" i="3" a="1"/>
  <c r="BD57" i="3" a="1"/>
  <c r="BE57" i="3" a="1"/>
  <c r="BF57" i="3" a="1"/>
  <c r="BG57" i="3" a="1"/>
  <c r="BH57" i="3" a="1"/>
  <c r="BI57" i="3" a="1"/>
  <c r="BJ57" i="3" a="1"/>
  <c r="BK57" i="3" a="1"/>
  <c r="BL57" i="3" a="1"/>
  <c r="BM57" i="3" a="1"/>
  <c r="BN57" i="3" a="1"/>
  <c r="BO57" i="3" a="1"/>
  <c r="BP57" i="3" a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AC22" i="3"/>
  <c r="W22" i="3"/>
  <c r="O23" i="3"/>
  <c r="E36" i="3" a="1"/>
  <c r="E36" i="3"/>
  <c r="F36" i="3" a="1"/>
  <c r="F36" i="3"/>
  <c r="G36" i="3" a="1"/>
  <c r="H36" i="3" a="1"/>
  <c r="I36" i="3" a="1"/>
  <c r="J36" i="3" a="1"/>
  <c r="K36" i="3" a="1"/>
  <c r="L36" i="3" a="1"/>
  <c r="P23" i="3"/>
  <c r="M36" i="3" a="1"/>
  <c r="N36" i="3" a="1"/>
  <c r="O36" i="3" a="1"/>
  <c r="P36" i="3" a="1"/>
  <c r="Q36" i="3" a="1"/>
  <c r="R36" i="3" a="1"/>
  <c r="S36" i="3" a="1"/>
  <c r="T36" i="3" a="1"/>
  <c r="Q23" i="3"/>
  <c r="U36" i="3" a="1"/>
  <c r="V36" i="3" a="1"/>
  <c r="W36" i="3" a="1"/>
  <c r="X36" i="3" a="1"/>
  <c r="Y36" i="3" a="1"/>
  <c r="Z36" i="3" a="1"/>
  <c r="AA36" i="3" a="1"/>
  <c r="AB36" i="3" a="1"/>
  <c r="R23" i="3"/>
  <c r="AC36" i="3" a="1"/>
  <c r="AD36" i="3" a="1"/>
  <c r="AE36" i="3" a="1"/>
  <c r="AF36" i="3" a="1"/>
  <c r="AG36" i="3" a="1"/>
  <c r="AH36" i="3" a="1"/>
  <c r="AI36" i="3" a="1"/>
  <c r="AJ36" i="3" a="1"/>
  <c r="AK36" i="3" a="1"/>
  <c r="AL36" i="3" a="1"/>
  <c r="AM36" i="3" a="1"/>
  <c r="AN36" i="3" a="1"/>
  <c r="AO36" i="3" a="1"/>
  <c r="AP36" i="3" a="1"/>
  <c r="AQ36" i="3" a="1"/>
  <c r="AR36" i="3" a="1"/>
  <c r="T23" i="3"/>
  <c r="AS36" i="3" a="1"/>
  <c r="AT36" i="3" a="1"/>
  <c r="AU36" i="3" a="1"/>
  <c r="AV36" i="3" a="1"/>
  <c r="AW36" i="3" a="1"/>
  <c r="AX36" i="3" a="1"/>
  <c r="AY36" i="3" a="1"/>
  <c r="AZ36" i="3" a="1"/>
  <c r="BA36" i="3" a="1"/>
  <c r="BB36" i="3" a="1"/>
  <c r="BC36" i="3" a="1"/>
  <c r="BD36" i="3" a="1"/>
  <c r="BE36" i="3" a="1"/>
  <c r="BF36" i="3" a="1"/>
  <c r="BG36" i="3" a="1"/>
  <c r="BH36" i="3" a="1"/>
  <c r="V23" i="3"/>
  <c r="BI36" i="3" a="1"/>
  <c r="BJ36" i="3" a="1"/>
  <c r="BK36" i="3" a="1"/>
  <c r="BL36" i="3" a="1"/>
  <c r="BM36" i="3" a="1"/>
  <c r="BN36" i="3" a="1"/>
  <c r="BO36" i="3" a="1"/>
  <c r="BP36" i="3" a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AA23" i="3"/>
  <c r="E47" i="3" a="1"/>
  <c r="E47" i="3"/>
  <c r="F47" i="3" a="1"/>
  <c r="F47" i="3"/>
  <c r="G47" i="3" a="1"/>
  <c r="H47" i="3" a="1"/>
  <c r="I47" i="3" a="1"/>
  <c r="J47" i="3" a="1"/>
  <c r="K47" i="3" a="1"/>
  <c r="L47" i="3" a="1"/>
  <c r="M47" i="3" a="1"/>
  <c r="N47" i="3" a="1"/>
  <c r="O47" i="3" a="1"/>
  <c r="P47" i="3" a="1"/>
  <c r="Q47" i="3" a="1"/>
  <c r="R47" i="3" a="1"/>
  <c r="S47" i="3" a="1"/>
  <c r="T47" i="3" a="1"/>
  <c r="U47" i="3" a="1"/>
  <c r="V47" i="3" a="1"/>
  <c r="W47" i="3" a="1"/>
  <c r="X47" i="3" a="1"/>
  <c r="Y47" i="3" a="1"/>
  <c r="Z47" i="3" a="1"/>
  <c r="AA47" i="3" a="1"/>
  <c r="AB47" i="3" a="1"/>
  <c r="AC47" i="3" a="1"/>
  <c r="AD47" i="3" a="1"/>
  <c r="AE47" i="3" a="1"/>
  <c r="AF47" i="3" a="1"/>
  <c r="AG47" i="3" a="1"/>
  <c r="AH47" i="3" a="1"/>
  <c r="AI47" i="3" a="1"/>
  <c r="AJ47" i="3" a="1"/>
  <c r="AK47" i="3" a="1"/>
  <c r="AL47" i="3" a="1"/>
  <c r="AM47" i="3" a="1"/>
  <c r="AN47" i="3" a="1"/>
  <c r="AO47" i="3" a="1"/>
  <c r="AP47" i="3" a="1"/>
  <c r="AQ47" i="3" a="1"/>
  <c r="AR47" i="3" a="1"/>
  <c r="AS47" i="3" a="1"/>
  <c r="AT47" i="3" a="1"/>
  <c r="AU47" i="3" a="1"/>
  <c r="AV47" i="3" a="1"/>
  <c r="AW47" i="3" a="1"/>
  <c r="AX47" i="3" a="1"/>
  <c r="AY47" i="3" a="1"/>
  <c r="AZ47" i="3" a="1"/>
  <c r="BA47" i="3" a="1"/>
  <c r="BB47" i="3" a="1"/>
  <c r="BC47" i="3" a="1"/>
  <c r="BD47" i="3" a="1"/>
  <c r="BE47" i="3" a="1"/>
  <c r="BF47" i="3" a="1"/>
  <c r="BG47" i="3" a="1"/>
  <c r="BH47" i="3" a="1"/>
  <c r="BI47" i="3" a="1"/>
  <c r="BJ47" i="3" a="1"/>
  <c r="BK47" i="3" a="1"/>
  <c r="BL47" i="3" a="1"/>
  <c r="BM47" i="3" a="1"/>
  <c r="BN47" i="3" a="1"/>
  <c r="BO47" i="3" a="1"/>
  <c r="BP47" i="3" a="1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AB23" i="3"/>
  <c r="E58" i="3" a="1"/>
  <c r="E58" i="3"/>
  <c r="F58" i="3" a="1"/>
  <c r="F58" i="3"/>
  <c r="G58" i="3" a="1"/>
  <c r="H58" i="3" a="1"/>
  <c r="I58" i="3" a="1"/>
  <c r="J58" i="3" a="1"/>
  <c r="K58" i="3" a="1"/>
  <c r="L58" i="3" a="1"/>
  <c r="M58" i="3" a="1"/>
  <c r="N58" i="3" a="1"/>
  <c r="O58" i="3" a="1"/>
  <c r="P58" i="3" a="1"/>
  <c r="Q58" i="3" a="1"/>
  <c r="R58" i="3" a="1"/>
  <c r="S58" i="3" a="1"/>
  <c r="T58" i="3" a="1"/>
  <c r="U58" i="3" a="1"/>
  <c r="V58" i="3" a="1"/>
  <c r="W58" i="3" a="1"/>
  <c r="X58" i="3" a="1"/>
  <c r="Y58" i="3" a="1"/>
  <c r="Z58" i="3" a="1"/>
  <c r="AA58" i="3" a="1"/>
  <c r="AB58" i="3" a="1"/>
  <c r="AC58" i="3" a="1"/>
  <c r="AD58" i="3" a="1"/>
  <c r="AE58" i="3" a="1"/>
  <c r="AF58" i="3" a="1"/>
  <c r="AG58" i="3" a="1"/>
  <c r="AH58" i="3" a="1"/>
  <c r="AI58" i="3" a="1"/>
  <c r="AJ58" i="3" a="1"/>
  <c r="AK58" i="3" a="1"/>
  <c r="AL58" i="3" a="1"/>
  <c r="AM58" i="3" a="1"/>
  <c r="AN58" i="3" a="1"/>
  <c r="AO58" i="3" a="1"/>
  <c r="AP58" i="3" a="1"/>
  <c r="AQ58" i="3" a="1"/>
  <c r="AR58" i="3" a="1"/>
  <c r="AS58" i="3" a="1"/>
  <c r="AT58" i="3" a="1"/>
  <c r="AU58" i="3" a="1"/>
  <c r="AV58" i="3" a="1"/>
  <c r="AW58" i="3" a="1"/>
  <c r="AX58" i="3" a="1"/>
  <c r="AY58" i="3" a="1"/>
  <c r="AZ58" i="3" a="1"/>
  <c r="BA58" i="3" a="1"/>
  <c r="BB58" i="3" a="1"/>
  <c r="BC58" i="3" a="1"/>
  <c r="BD58" i="3" a="1"/>
  <c r="BE58" i="3" a="1"/>
  <c r="BF58" i="3" a="1"/>
  <c r="BG58" i="3" a="1"/>
  <c r="BH58" i="3" a="1"/>
  <c r="BI58" i="3" a="1"/>
  <c r="BJ58" i="3" a="1"/>
  <c r="BK58" i="3" a="1"/>
  <c r="BL58" i="3" a="1"/>
  <c r="BM58" i="3" a="1"/>
  <c r="BN58" i="3" a="1"/>
  <c r="BO58" i="3" a="1"/>
  <c r="BP58" i="3" a="1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AC23" i="3"/>
  <c r="W23" i="3"/>
  <c r="O24" i="3"/>
  <c r="E37" i="3" a="1"/>
  <c r="E37" i="3"/>
  <c r="F37" i="3" a="1"/>
  <c r="F37" i="3"/>
  <c r="G37" i="3" a="1"/>
  <c r="H37" i="3" a="1"/>
  <c r="I37" i="3" a="1"/>
  <c r="J37" i="3" a="1"/>
  <c r="K37" i="3" a="1"/>
  <c r="O25" i="3"/>
  <c r="L37" i="3" a="1"/>
  <c r="P24" i="3"/>
  <c r="M37" i="3" a="1"/>
  <c r="N37" i="3" a="1"/>
  <c r="O37" i="3" a="1"/>
  <c r="P37" i="3" a="1"/>
  <c r="Q37" i="3" a="1"/>
  <c r="R37" i="3" a="1"/>
  <c r="S37" i="3" a="1"/>
  <c r="P25" i="3"/>
  <c r="T37" i="3" a="1"/>
  <c r="Q24" i="3"/>
  <c r="U37" i="3" a="1"/>
  <c r="V37" i="3" a="1"/>
  <c r="W37" i="3" a="1"/>
  <c r="X37" i="3" a="1"/>
  <c r="Y37" i="3" a="1"/>
  <c r="Z37" i="3" a="1"/>
  <c r="AA37" i="3" a="1"/>
  <c r="Q25" i="3"/>
  <c r="AB37" i="3" a="1"/>
  <c r="R24" i="3"/>
  <c r="AC37" i="3" a="1"/>
  <c r="AD37" i="3" a="1"/>
  <c r="AE37" i="3" a="1"/>
  <c r="AF37" i="3" a="1"/>
  <c r="AG37" i="3" a="1"/>
  <c r="AH37" i="3" a="1"/>
  <c r="AI37" i="3" a="1"/>
  <c r="R25" i="3"/>
  <c r="AJ37" i="3" a="1"/>
  <c r="AK37" i="3" a="1"/>
  <c r="AL37" i="3" a="1"/>
  <c r="AM37" i="3" a="1"/>
  <c r="AN37" i="3" a="1"/>
  <c r="AO37" i="3" a="1"/>
  <c r="AP37" i="3" a="1"/>
  <c r="AQ37" i="3" a="1"/>
  <c r="AR37" i="3" a="1"/>
  <c r="T24" i="3"/>
  <c r="AS37" i="3" a="1"/>
  <c r="AT37" i="3" a="1"/>
  <c r="AU37" i="3" a="1"/>
  <c r="AV37" i="3" a="1"/>
  <c r="AW37" i="3" a="1"/>
  <c r="AX37" i="3" a="1"/>
  <c r="AY37" i="3" a="1"/>
  <c r="T25" i="3"/>
  <c r="AZ37" i="3" a="1"/>
  <c r="BA37" i="3" a="1"/>
  <c r="BB37" i="3" a="1"/>
  <c r="BC37" i="3" a="1"/>
  <c r="BD37" i="3" a="1"/>
  <c r="BE37" i="3" a="1"/>
  <c r="BF37" i="3" a="1"/>
  <c r="BG37" i="3" a="1"/>
  <c r="BH37" i="3" a="1"/>
  <c r="V24" i="3"/>
  <c r="BI37" i="3" a="1"/>
  <c r="BJ37" i="3" a="1"/>
  <c r="BK37" i="3" a="1"/>
  <c r="BL37" i="3" a="1"/>
  <c r="BM37" i="3" a="1"/>
  <c r="BN37" i="3" a="1"/>
  <c r="BO37" i="3" a="1"/>
  <c r="V25" i="3"/>
  <c r="BP37" i="3" a="1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AA24" i="3"/>
  <c r="E48" i="3" a="1"/>
  <c r="E48" i="3"/>
  <c r="F48" i="3" a="1"/>
  <c r="F48" i="3"/>
  <c r="G48" i="3" a="1"/>
  <c r="H48" i="3" a="1"/>
  <c r="I48" i="3" a="1"/>
  <c r="J48" i="3" a="1"/>
  <c r="K48" i="3" a="1"/>
  <c r="L48" i="3" a="1"/>
  <c r="M48" i="3" a="1"/>
  <c r="N48" i="3" a="1"/>
  <c r="O48" i="3" a="1"/>
  <c r="P48" i="3" a="1"/>
  <c r="Q48" i="3" a="1"/>
  <c r="R48" i="3" a="1"/>
  <c r="S48" i="3" a="1"/>
  <c r="T48" i="3" a="1"/>
  <c r="U48" i="3" a="1"/>
  <c r="V48" i="3" a="1"/>
  <c r="W48" i="3" a="1"/>
  <c r="X48" i="3" a="1"/>
  <c r="Y48" i="3" a="1"/>
  <c r="Z48" i="3" a="1"/>
  <c r="AA48" i="3" a="1"/>
  <c r="AB48" i="3" a="1"/>
  <c r="AC48" i="3" a="1"/>
  <c r="AD48" i="3" a="1"/>
  <c r="AE48" i="3" a="1"/>
  <c r="AF48" i="3" a="1"/>
  <c r="AG48" i="3" a="1"/>
  <c r="AH48" i="3" a="1"/>
  <c r="AI48" i="3" a="1"/>
  <c r="AJ48" i="3" a="1"/>
  <c r="AK48" i="3" a="1"/>
  <c r="AL48" i="3" a="1"/>
  <c r="AM48" i="3" a="1"/>
  <c r="AN48" i="3" a="1"/>
  <c r="AO48" i="3" a="1"/>
  <c r="AP48" i="3" a="1"/>
  <c r="AQ48" i="3" a="1"/>
  <c r="AR48" i="3" a="1"/>
  <c r="AS48" i="3" a="1"/>
  <c r="AT48" i="3" a="1"/>
  <c r="AU48" i="3" a="1"/>
  <c r="AV48" i="3" a="1"/>
  <c r="AW48" i="3" a="1"/>
  <c r="AX48" i="3" a="1"/>
  <c r="AY48" i="3" a="1"/>
  <c r="AZ48" i="3" a="1"/>
  <c r="BA48" i="3" a="1"/>
  <c r="BB48" i="3" a="1"/>
  <c r="BC48" i="3" a="1"/>
  <c r="BD48" i="3" a="1"/>
  <c r="BE48" i="3" a="1"/>
  <c r="BF48" i="3" a="1"/>
  <c r="BG48" i="3" a="1"/>
  <c r="BH48" i="3" a="1"/>
  <c r="BI48" i="3" a="1"/>
  <c r="BJ48" i="3" a="1"/>
  <c r="BK48" i="3" a="1"/>
  <c r="BL48" i="3" a="1"/>
  <c r="BM48" i="3" a="1"/>
  <c r="BN48" i="3" a="1"/>
  <c r="BO48" i="3" a="1"/>
  <c r="BP48" i="3" a="1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AB24" i="3"/>
  <c r="E59" i="3" a="1"/>
  <c r="E59" i="3"/>
  <c r="F59" i="3" a="1"/>
  <c r="F59" i="3"/>
  <c r="G59" i="3" a="1"/>
  <c r="H59" i="3" a="1"/>
  <c r="I59" i="3" a="1"/>
  <c r="J59" i="3" a="1"/>
  <c r="K59" i="3" a="1"/>
  <c r="L59" i="3" a="1"/>
  <c r="M59" i="3" a="1"/>
  <c r="N59" i="3" a="1"/>
  <c r="O59" i="3" a="1"/>
  <c r="P59" i="3" a="1"/>
  <c r="Q59" i="3" a="1"/>
  <c r="R59" i="3" a="1"/>
  <c r="S59" i="3" a="1"/>
  <c r="T59" i="3" a="1"/>
  <c r="U59" i="3" a="1"/>
  <c r="V59" i="3" a="1"/>
  <c r="W59" i="3" a="1"/>
  <c r="X59" i="3" a="1"/>
  <c r="Y59" i="3" a="1"/>
  <c r="Z59" i="3" a="1"/>
  <c r="AA59" i="3" a="1"/>
  <c r="AB59" i="3" a="1"/>
  <c r="AC59" i="3" a="1"/>
  <c r="AD59" i="3" a="1"/>
  <c r="AE59" i="3" a="1"/>
  <c r="AF59" i="3" a="1"/>
  <c r="AG59" i="3" a="1"/>
  <c r="AH59" i="3" a="1"/>
  <c r="AI59" i="3" a="1"/>
  <c r="AJ59" i="3" a="1"/>
  <c r="AK59" i="3" a="1"/>
  <c r="AL59" i="3" a="1"/>
  <c r="AM59" i="3" a="1"/>
  <c r="AN59" i="3" a="1"/>
  <c r="AO59" i="3" a="1"/>
  <c r="AP59" i="3" a="1"/>
  <c r="AQ59" i="3" a="1"/>
  <c r="AR59" i="3" a="1"/>
  <c r="AS59" i="3" a="1"/>
  <c r="AT59" i="3" a="1"/>
  <c r="AU59" i="3" a="1"/>
  <c r="AV59" i="3" a="1"/>
  <c r="AW59" i="3" a="1"/>
  <c r="AX59" i="3" a="1"/>
  <c r="AY59" i="3" a="1"/>
  <c r="AZ59" i="3" a="1"/>
  <c r="BA59" i="3" a="1"/>
  <c r="BB59" i="3" a="1"/>
  <c r="BC59" i="3" a="1"/>
  <c r="BD59" i="3" a="1"/>
  <c r="BE59" i="3" a="1"/>
  <c r="BF59" i="3" a="1"/>
  <c r="BG59" i="3" a="1"/>
  <c r="BH59" i="3" a="1"/>
  <c r="BI59" i="3" a="1"/>
  <c r="BJ59" i="3" a="1"/>
  <c r="BK59" i="3" a="1"/>
  <c r="BL59" i="3" a="1"/>
  <c r="BM59" i="3" a="1"/>
  <c r="BN59" i="3" a="1"/>
  <c r="BO59" i="3" a="1"/>
  <c r="BP59" i="3" a="1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AC24" i="3"/>
  <c r="W24" i="3"/>
  <c r="E38" i="3" a="1"/>
  <c r="E38" i="3"/>
  <c r="F38" i="3" a="1"/>
  <c r="F38" i="3"/>
  <c r="G38" i="3" a="1"/>
  <c r="H38" i="3" a="1"/>
  <c r="I38" i="3" a="1"/>
  <c r="J38" i="3" a="1"/>
  <c r="K38" i="3" a="1"/>
  <c r="L38" i="3" a="1"/>
  <c r="M38" i="3" a="1"/>
  <c r="N38" i="3" a="1"/>
  <c r="O38" i="3" a="1"/>
  <c r="P38" i="3" a="1"/>
  <c r="Q38" i="3" a="1"/>
  <c r="R38" i="3" a="1"/>
  <c r="S38" i="3" a="1"/>
  <c r="T38" i="3" a="1"/>
  <c r="U38" i="3" a="1"/>
  <c r="V38" i="3" a="1"/>
  <c r="W38" i="3" a="1"/>
  <c r="X38" i="3" a="1"/>
  <c r="Y38" i="3" a="1"/>
  <c r="Z38" i="3" a="1"/>
  <c r="AA38" i="3" a="1"/>
  <c r="AB38" i="3" a="1"/>
  <c r="AC38" i="3" a="1"/>
  <c r="AD38" i="3" a="1"/>
  <c r="AE38" i="3" a="1"/>
  <c r="AF38" i="3" a="1"/>
  <c r="AG38" i="3" a="1"/>
  <c r="AH38" i="3" a="1"/>
  <c r="AI38" i="3" a="1"/>
  <c r="AJ38" i="3" a="1"/>
  <c r="AK38" i="3" a="1"/>
  <c r="AL38" i="3" a="1"/>
  <c r="AM38" i="3" a="1"/>
  <c r="AN38" i="3" a="1"/>
  <c r="AO38" i="3" a="1"/>
  <c r="AP38" i="3" a="1"/>
  <c r="AQ38" i="3" a="1"/>
  <c r="AR38" i="3" a="1"/>
  <c r="AS38" i="3" a="1"/>
  <c r="AT38" i="3" a="1"/>
  <c r="AU38" i="3" a="1"/>
  <c r="AV38" i="3" a="1"/>
  <c r="AW38" i="3" a="1"/>
  <c r="AX38" i="3" a="1"/>
  <c r="AY38" i="3" a="1"/>
  <c r="AZ38" i="3" a="1"/>
  <c r="BA38" i="3" a="1"/>
  <c r="BB38" i="3" a="1"/>
  <c r="BC38" i="3" a="1"/>
  <c r="BD38" i="3" a="1"/>
  <c r="BE38" i="3" a="1"/>
  <c r="BF38" i="3" a="1"/>
  <c r="BG38" i="3" a="1"/>
  <c r="BH38" i="3" a="1"/>
  <c r="BI38" i="3" a="1"/>
  <c r="BJ38" i="3" a="1"/>
  <c r="BK38" i="3" a="1"/>
  <c r="BL38" i="3" a="1"/>
  <c r="BM38" i="3" a="1"/>
  <c r="BN38" i="3" a="1"/>
  <c r="BO38" i="3" a="1"/>
  <c r="BP38" i="3" a="1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AA25" i="3"/>
  <c r="E49" i="3" a="1"/>
  <c r="E49" i="3"/>
  <c r="F49" i="3" a="1"/>
  <c r="F49" i="3"/>
  <c r="G49" i="3" a="1"/>
  <c r="H49" i="3" a="1"/>
  <c r="I49" i="3" a="1"/>
  <c r="J49" i="3" a="1"/>
  <c r="K49" i="3" a="1"/>
  <c r="L49" i="3" a="1"/>
  <c r="M49" i="3" a="1"/>
  <c r="N49" i="3" a="1"/>
  <c r="O49" i="3" a="1"/>
  <c r="P49" i="3" a="1"/>
  <c r="Q49" i="3" a="1"/>
  <c r="R49" i="3" a="1"/>
  <c r="S49" i="3" a="1"/>
  <c r="T49" i="3" a="1"/>
  <c r="U49" i="3" a="1"/>
  <c r="V49" i="3" a="1"/>
  <c r="W49" i="3" a="1"/>
  <c r="X49" i="3" a="1"/>
  <c r="Y49" i="3" a="1"/>
  <c r="Z49" i="3" a="1"/>
  <c r="AA49" i="3" a="1"/>
  <c r="AB49" i="3" a="1"/>
  <c r="AC49" i="3" a="1"/>
  <c r="AD49" i="3" a="1"/>
  <c r="AE49" i="3" a="1"/>
  <c r="AF49" i="3" a="1"/>
  <c r="AG49" i="3" a="1"/>
  <c r="AH49" i="3" a="1"/>
  <c r="AI49" i="3" a="1"/>
  <c r="AJ49" i="3" a="1"/>
  <c r="AK49" i="3" a="1"/>
  <c r="AL49" i="3" a="1"/>
  <c r="AM49" i="3" a="1"/>
  <c r="AN49" i="3" a="1"/>
  <c r="AO49" i="3" a="1"/>
  <c r="AP49" i="3" a="1"/>
  <c r="AQ49" i="3" a="1"/>
  <c r="AR49" i="3" a="1"/>
  <c r="AS49" i="3" a="1"/>
  <c r="AT49" i="3" a="1"/>
  <c r="AU49" i="3" a="1"/>
  <c r="AV49" i="3" a="1"/>
  <c r="AW49" i="3" a="1"/>
  <c r="AX49" i="3" a="1"/>
  <c r="AY49" i="3" a="1"/>
  <c r="AZ49" i="3" a="1"/>
  <c r="BA49" i="3" a="1"/>
  <c r="BB49" i="3" a="1"/>
  <c r="BC49" i="3" a="1"/>
  <c r="BD49" i="3" a="1"/>
  <c r="BE49" i="3" a="1"/>
  <c r="BF49" i="3" a="1"/>
  <c r="BG49" i="3" a="1"/>
  <c r="BH49" i="3" a="1"/>
  <c r="BI49" i="3" a="1"/>
  <c r="BJ49" i="3" a="1"/>
  <c r="BK49" i="3" a="1"/>
  <c r="BL49" i="3" a="1"/>
  <c r="BM49" i="3" a="1"/>
  <c r="BN49" i="3" a="1"/>
  <c r="BO49" i="3" a="1"/>
  <c r="BP49" i="3" a="1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AB25" i="3"/>
  <c r="E60" i="3" a="1"/>
  <c r="E60" i="3"/>
  <c r="F60" i="3" a="1"/>
  <c r="F60" i="3"/>
  <c r="G60" i="3" a="1"/>
  <c r="H60" i="3" a="1"/>
  <c r="I60" i="3" a="1"/>
  <c r="J60" i="3" a="1"/>
  <c r="K60" i="3" a="1"/>
  <c r="L60" i="3" a="1"/>
  <c r="M60" i="3" a="1"/>
  <c r="N60" i="3" a="1"/>
  <c r="O60" i="3" a="1"/>
  <c r="P60" i="3" a="1"/>
  <c r="Q60" i="3" a="1"/>
  <c r="R60" i="3" a="1"/>
  <c r="S60" i="3" a="1"/>
  <c r="T60" i="3" a="1"/>
  <c r="U60" i="3" a="1"/>
  <c r="V60" i="3" a="1"/>
  <c r="W60" i="3" a="1"/>
  <c r="X60" i="3" a="1"/>
  <c r="Y60" i="3" a="1"/>
  <c r="Z60" i="3" a="1"/>
  <c r="AA60" i="3" a="1"/>
  <c r="AB60" i="3" a="1"/>
  <c r="AC60" i="3" a="1"/>
  <c r="AD60" i="3" a="1"/>
  <c r="AE60" i="3" a="1"/>
  <c r="AF60" i="3" a="1"/>
  <c r="AG60" i="3" a="1"/>
  <c r="AH60" i="3" a="1"/>
  <c r="AI60" i="3" a="1"/>
  <c r="AJ60" i="3" a="1"/>
  <c r="AK60" i="3" a="1"/>
  <c r="AL60" i="3" a="1"/>
  <c r="AM60" i="3" a="1"/>
  <c r="AN60" i="3" a="1"/>
  <c r="AO60" i="3" a="1"/>
  <c r="AP60" i="3" a="1"/>
  <c r="AQ60" i="3" a="1"/>
  <c r="AR60" i="3" a="1"/>
  <c r="AS60" i="3" a="1"/>
  <c r="AT60" i="3" a="1"/>
  <c r="AU60" i="3" a="1"/>
  <c r="AV60" i="3" a="1"/>
  <c r="AW60" i="3" a="1"/>
  <c r="AX60" i="3" a="1"/>
  <c r="AY60" i="3" a="1"/>
  <c r="AZ60" i="3" a="1"/>
  <c r="BA60" i="3" a="1"/>
  <c r="BB60" i="3" a="1"/>
  <c r="BC60" i="3" a="1"/>
  <c r="BD60" i="3" a="1"/>
  <c r="BE60" i="3" a="1"/>
  <c r="BF60" i="3" a="1"/>
  <c r="BG60" i="3" a="1"/>
  <c r="BH60" i="3" a="1"/>
  <c r="BI60" i="3" a="1"/>
  <c r="BJ60" i="3" a="1"/>
  <c r="BK60" i="3" a="1"/>
  <c r="BL60" i="3" a="1"/>
  <c r="BM60" i="3" a="1"/>
  <c r="BN60" i="3" a="1"/>
  <c r="BO60" i="3" a="1"/>
  <c r="BP60" i="3" a="1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AC25" i="3"/>
  <c r="W25" i="3"/>
  <c r="AG18" i="3"/>
  <c r="AH18" i="3"/>
  <c r="Z17" i="3"/>
  <c r="AG19" i="3"/>
  <c r="AG20" i="3"/>
  <c r="AG21" i="3"/>
  <c r="AG22" i="3"/>
  <c r="AG23" i="3"/>
  <c r="AG24" i="3"/>
  <c r="AG25" i="3"/>
  <c r="Z19" i="3"/>
  <c r="Z21" i="3"/>
  <c r="Z22" i="3"/>
  <c r="Z23" i="3"/>
  <c r="Z25" i="3"/>
  <c r="Z24" i="3"/>
  <c r="O3" i="3"/>
  <c r="P3" i="3"/>
  <c r="Q3" i="3"/>
  <c r="R3" i="3"/>
  <c r="S3" i="3"/>
  <c r="T3" i="3"/>
  <c r="U3" i="3"/>
  <c r="V3" i="3"/>
  <c r="Q4" i="3"/>
  <c r="AG3" i="3"/>
  <c r="AG4" i="3"/>
  <c r="AI4" i="3"/>
  <c r="AG5" i="3"/>
  <c r="AI5" i="3"/>
  <c r="AG6" i="3"/>
  <c r="AI6" i="3"/>
  <c r="AG7" i="3"/>
  <c r="AI7" i="3"/>
  <c r="AG8" i="3"/>
  <c r="AI8" i="3"/>
  <c r="AG9" i="3"/>
  <c r="AI9" i="3"/>
  <c r="AG10" i="3"/>
  <c r="AI10" i="3"/>
  <c r="AG11" i="3"/>
  <c r="AI11" i="3"/>
  <c r="AG12" i="3"/>
  <c r="AI12" i="3"/>
  <c r="X17" i="3"/>
  <c r="X18" i="3"/>
  <c r="X19" i="3"/>
  <c r="X20" i="3"/>
  <c r="X21" i="3"/>
  <c r="X22" i="3"/>
  <c r="X23" i="3"/>
  <c r="X24" i="3"/>
  <c r="X25" i="3"/>
  <c r="E4" i="3"/>
  <c r="E5" i="3"/>
  <c r="E6" i="3"/>
  <c r="E7" i="3"/>
  <c r="E8" i="3"/>
  <c r="E9" i="3"/>
  <c r="E10" i="3"/>
  <c r="E11" i="3"/>
  <c r="E12" i="3"/>
  <c r="AJ4" i="3"/>
  <c r="AJ5" i="3"/>
  <c r="AJ6" i="3"/>
  <c r="AJ7" i="3"/>
  <c r="AJ8" i="3"/>
  <c r="AJ9" i="3"/>
  <c r="AJ10" i="3"/>
  <c r="AJ11" i="3"/>
  <c r="AJ12" i="3"/>
  <c r="AK4" i="3"/>
  <c r="AK5" i="3"/>
  <c r="AK6" i="3"/>
  <c r="AK7" i="3"/>
  <c r="AK8" i="3"/>
  <c r="AK9" i="3"/>
  <c r="AK10" i="3"/>
  <c r="AK11" i="3"/>
  <c r="AK12" i="3"/>
  <c r="AH12" i="3"/>
  <c r="AH11" i="3"/>
  <c r="AH10" i="3"/>
  <c r="AH9" i="3"/>
  <c r="AH8" i="3"/>
  <c r="AH7" i="3"/>
  <c r="AH6" i="3"/>
  <c r="AH5" i="3"/>
  <c r="AH4" i="3"/>
  <c r="O4" i="3"/>
  <c r="W3" i="3"/>
  <c r="W4" i="3"/>
  <c r="Y4" i="3"/>
  <c r="W5" i="3"/>
  <c r="Z18" i="3"/>
  <c r="Y5" i="3"/>
  <c r="W6" i="3"/>
  <c r="Y6" i="3"/>
  <c r="W7" i="3"/>
  <c r="Z20" i="3"/>
  <c r="Y7" i="3"/>
  <c r="W8" i="3"/>
  <c r="Y8" i="3"/>
  <c r="W9" i="3"/>
  <c r="Y9" i="3"/>
  <c r="W10" i="3"/>
  <c r="Y10" i="3"/>
  <c r="W11" i="3"/>
  <c r="Y11" i="3"/>
  <c r="W12" i="3"/>
  <c r="Y12" i="3"/>
  <c r="Z4" i="3"/>
  <c r="Z5" i="3"/>
  <c r="Z6" i="3"/>
  <c r="Z7" i="3"/>
  <c r="Z8" i="3"/>
  <c r="Z9" i="3"/>
  <c r="Z10" i="3"/>
  <c r="Z11" i="3"/>
  <c r="Z12" i="3"/>
  <c r="AA4" i="3"/>
  <c r="AA5" i="3"/>
  <c r="AA6" i="3"/>
  <c r="AA7" i="3"/>
  <c r="AA8" i="3"/>
  <c r="AA9" i="3"/>
  <c r="X5" i="3"/>
  <c r="D4" i="3"/>
  <c r="D5" i="3"/>
  <c r="D6" i="3"/>
  <c r="D7" i="3"/>
  <c r="D8" i="3"/>
  <c r="D9" i="3"/>
  <c r="D10" i="3"/>
  <c r="D11" i="3"/>
  <c r="D12" i="3"/>
  <c r="C4" i="3"/>
  <c r="C5" i="3"/>
  <c r="C6" i="3"/>
  <c r="C7" i="3"/>
  <c r="C8" i="3"/>
  <c r="C9" i="3"/>
  <c r="C10" i="3"/>
  <c r="C11" i="3"/>
  <c r="C12" i="3"/>
  <c r="X6" i="3"/>
  <c r="X7" i="3"/>
  <c r="X8" i="3"/>
  <c r="X9" i="3"/>
  <c r="AA10" i="3"/>
  <c r="X10" i="3"/>
  <c r="AA11" i="3"/>
  <c r="X11" i="3"/>
  <c r="AA12" i="3"/>
  <c r="X12" i="3"/>
  <c r="R4" i="3"/>
  <c r="AL3" i="3"/>
  <c r="AL4" i="3"/>
  <c r="AN4" i="3"/>
  <c r="AL5" i="3"/>
  <c r="AN5" i="3"/>
  <c r="AL6" i="3"/>
  <c r="AN6" i="3"/>
  <c r="AL7" i="3"/>
  <c r="AN7" i="3"/>
  <c r="AL8" i="3"/>
  <c r="AN8" i="3"/>
  <c r="AL9" i="3"/>
  <c r="AN9" i="3"/>
  <c r="AL10" i="3"/>
  <c r="AN10" i="3"/>
  <c r="AL11" i="3"/>
  <c r="AN11" i="3"/>
  <c r="AL12" i="3"/>
  <c r="AN12" i="3"/>
  <c r="AO4" i="3"/>
  <c r="AO5" i="3"/>
  <c r="AO6" i="3"/>
  <c r="AO7" i="3"/>
  <c r="AO8" i="3"/>
  <c r="AO9" i="3"/>
  <c r="AO10" i="3"/>
  <c r="AO11" i="3"/>
  <c r="AO12" i="3"/>
  <c r="AP4" i="3"/>
  <c r="AP5" i="3"/>
  <c r="AP6" i="3"/>
  <c r="AP7" i="3"/>
  <c r="AP8" i="3"/>
  <c r="AP9" i="3"/>
  <c r="AP10" i="3"/>
  <c r="AP11" i="3"/>
  <c r="AP12" i="3"/>
  <c r="AM12" i="3"/>
  <c r="AM11" i="3"/>
  <c r="AM10" i="3"/>
  <c r="AM9" i="3"/>
  <c r="AM8" i="3"/>
  <c r="AM7" i="3"/>
  <c r="AM6" i="3"/>
  <c r="AM5" i="3"/>
  <c r="AM4" i="3"/>
  <c r="P4" i="3"/>
  <c r="AB3" i="3"/>
  <c r="AB4" i="3"/>
  <c r="AD4" i="3"/>
  <c r="AB5" i="3"/>
  <c r="AD5" i="3"/>
  <c r="AB6" i="3"/>
  <c r="AD6" i="3"/>
  <c r="AB7" i="3"/>
  <c r="AD7" i="3"/>
  <c r="AB8" i="3"/>
  <c r="AD8" i="3"/>
  <c r="AB9" i="3"/>
  <c r="AD9" i="3"/>
  <c r="AB10" i="3"/>
  <c r="AD10" i="3"/>
  <c r="AB11" i="3"/>
  <c r="AD11" i="3"/>
  <c r="AB12" i="3"/>
  <c r="AD12" i="3"/>
  <c r="AE4" i="3"/>
  <c r="AE5" i="3"/>
  <c r="AE6" i="3"/>
  <c r="AE7" i="3"/>
  <c r="AE8" i="3"/>
  <c r="AE9" i="3"/>
  <c r="AE10" i="3"/>
  <c r="AE11" i="3"/>
  <c r="AE12" i="3"/>
  <c r="AF4" i="3"/>
  <c r="AF5" i="3"/>
  <c r="AF6" i="3"/>
  <c r="AF7" i="3"/>
  <c r="AF8" i="3"/>
  <c r="AF9" i="3"/>
  <c r="AF10" i="3"/>
  <c r="AF11" i="3"/>
  <c r="AF12" i="3"/>
  <c r="AC12" i="3"/>
  <c r="AC11" i="3"/>
  <c r="AC10" i="3"/>
  <c r="AC9" i="3"/>
  <c r="AC8" i="3"/>
  <c r="AC7" i="3"/>
  <c r="AC6" i="3"/>
  <c r="AC5" i="3"/>
  <c r="AC4" i="3"/>
  <c r="X4" i="3"/>
  <c r="AD17" i="3"/>
  <c r="AG17" i="3"/>
  <c r="AH17" i="3"/>
  <c r="E24" i="3"/>
  <c r="E25" i="3"/>
  <c r="E23" i="3"/>
  <c r="E22" i="3"/>
  <c r="E21" i="3"/>
  <c r="E20" i="3"/>
  <c r="E19" i="3"/>
  <c r="AD25" i="3"/>
  <c r="AH25" i="3"/>
  <c r="AD24" i="3"/>
  <c r="AH24" i="3"/>
  <c r="AD23" i="3"/>
  <c r="AH23" i="3"/>
  <c r="AD22" i="3"/>
  <c r="AH22" i="3"/>
  <c r="AD21" i="3"/>
  <c r="AH21" i="3"/>
  <c r="AD20" i="3"/>
  <c r="AH20" i="3"/>
  <c r="AD19" i="3"/>
  <c r="AH19" i="3"/>
  <c r="K4" i="3"/>
  <c r="K13" i="3"/>
  <c r="C52" i="10"/>
  <c r="B52" i="10"/>
  <c r="C51" i="10"/>
  <c r="B51" i="10"/>
  <c r="C50" i="10"/>
  <c r="B50" i="10"/>
  <c r="C49" i="10"/>
  <c r="B49" i="10"/>
  <c r="C48" i="10"/>
  <c r="B48" i="10"/>
  <c r="C47" i="10"/>
  <c r="B47" i="10"/>
  <c r="C46" i="10"/>
  <c r="B46" i="10"/>
  <c r="C45" i="10"/>
  <c r="B45" i="10"/>
  <c r="C44" i="10"/>
  <c r="B44" i="10"/>
  <c r="C28" i="10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C8" i="10"/>
  <c r="M10" i="6"/>
  <c r="M11" i="6"/>
  <c r="M12" i="6"/>
  <c r="M13" i="6"/>
  <c r="M14" i="6"/>
  <c r="M15" i="6"/>
  <c r="M16" i="6"/>
  <c r="M17" i="6"/>
  <c r="M18" i="6"/>
  <c r="L10" i="6"/>
  <c r="L11" i="6"/>
  <c r="L12" i="6"/>
  <c r="L13" i="6"/>
  <c r="L14" i="6"/>
  <c r="B8" i="10"/>
  <c r="AO11" i="6"/>
  <c r="AO59" i="6"/>
  <c r="AO12" i="6"/>
  <c r="AO60" i="6"/>
  <c r="AO13" i="6"/>
  <c r="AO61" i="6"/>
  <c r="AO14" i="6"/>
  <c r="AO62" i="6"/>
  <c r="AO15" i="6"/>
  <c r="AO63" i="6"/>
  <c r="AO16" i="6"/>
  <c r="AO64" i="6"/>
  <c r="AO17" i="6"/>
  <c r="AO65" i="6"/>
  <c r="AO18" i="6"/>
  <c r="AO66" i="6"/>
  <c r="AO10" i="6"/>
  <c r="AO58" i="6"/>
  <c r="AO35" i="6"/>
  <c r="AO36" i="6"/>
  <c r="AO37" i="6"/>
  <c r="AO38" i="6"/>
  <c r="AO39" i="6"/>
  <c r="AO40" i="6"/>
  <c r="AO41" i="6"/>
  <c r="AO42" i="6"/>
  <c r="AO34" i="6"/>
  <c r="X8" i="6"/>
  <c r="X56" i="6"/>
  <c r="Y8" i="6"/>
  <c r="Y56" i="6"/>
  <c r="Z8" i="6"/>
  <c r="Z56" i="6"/>
  <c r="AA8" i="6"/>
  <c r="AA56" i="6"/>
  <c r="AB8" i="6"/>
  <c r="AB56" i="6"/>
  <c r="AC8" i="6"/>
  <c r="AC56" i="6"/>
  <c r="AD8" i="6"/>
  <c r="AD56" i="6"/>
  <c r="AE8" i="6"/>
  <c r="AE56" i="6"/>
  <c r="W8" i="6"/>
  <c r="AF8" i="6"/>
  <c r="AF56" i="6"/>
  <c r="AG8" i="6"/>
  <c r="AG56" i="6"/>
  <c r="AH8" i="6"/>
  <c r="AH56" i="6"/>
  <c r="AI8" i="6"/>
  <c r="AI56" i="6"/>
  <c r="AJ8" i="6"/>
  <c r="AJ56" i="6"/>
  <c r="AK8" i="6"/>
  <c r="AK56" i="6"/>
  <c r="AL8" i="6"/>
  <c r="AL56" i="6"/>
  <c r="AM8" i="6"/>
  <c r="AM56" i="6"/>
  <c r="AN8" i="6"/>
  <c r="AN56" i="6"/>
  <c r="W56" i="6"/>
  <c r="AF32" i="6"/>
  <c r="AG32" i="6"/>
  <c r="AH32" i="6"/>
  <c r="AI32" i="6"/>
  <c r="AJ32" i="6"/>
  <c r="AK32" i="6"/>
  <c r="AL32" i="6"/>
  <c r="AM32" i="6"/>
  <c r="AN32" i="6"/>
  <c r="X32" i="6"/>
  <c r="Y32" i="6"/>
  <c r="Z32" i="6"/>
  <c r="AA32" i="6"/>
  <c r="AB32" i="6"/>
  <c r="AC32" i="6"/>
  <c r="AD32" i="6"/>
  <c r="AE32" i="6"/>
  <c r="W32" i="6"/>
  <c r="AG9" i="6"/>
  <c r="AG57" i="6"/>
  <c r="AH9" i="6"/>
  <c r="AH57" i="6"/>
  <c r="AI9" i="6"/>
  <c r="AI57" i="6"/>
  <c r="AJ9" i="6"/>
  <c r="AJ57" i="6"/>
  <c r="AK9" i="6"/>
  <c r="AK57" i="6"/>
  <c r="AL9" i="6"/>
  <c r="AL57" i="6"/>
  <c r="AM9" i="6"/>
  <c r="AM57" i="6"/>
  <c r="AN9" i="6"/>
  <c r="AN57" i="6"/>
  <c r="X9" i="6"/>
  <c r="X57" i="6"/>
  <c r="Y9" i="6"/>
  <c r="Y57" i="6"/>
  <c r="Z9" i="6"/>
  <c r="Z57" i="6"/>
  <c r="AA9" i="6"/>
  <c r="AA57" i="6"/>
  <c r="AB9" i="6"/>
  <c r="AB57" i="6"/>
  <c r="AC9" i="6"/>
  <c r="AC57" i="6"/>
  <c r="AD9" i="6"/>
  <c r="AD57" i="6"/>
  <c r="AE9" i="6"/>
  <c r="AE57" i="6"/>
  <c r="W9" i="6"/>
  <c r="W57" i="6"/>
  <c r="AF9" i="6"/>
  <c r="AF57" i="6"/>
  <c r="AG33" i="6"/>
  <c r="AH33" i="6"/>
  <c r="AI33" i="6"/>
  <c r="AJ33" i="6"/>
  <c r="AK33" i="6"/>
  <c r="AL33" i="6"/>
  <c r="AM33" i="6"/>
  <c r="AN33" i="6"/>
  <c r="AF33" i="6"/>
  <c r="X33" i="6"/>
  <c r="Y33" i="6"/>
  <c r="Z33" i="6"/>
  <c r="AA33" i="6"/>
  <c r="AB33" i="6"/>
  <c r="AC33" i="6"/>
  <c r="AD33" i="6"/>
  <c r="AE33" i="6"/>
  <c r="W33" i="6"/>
  <c r="AM18" i="6"/>
  <c r="AM42" i="6"/>
  <c r="AM66" i="6"/>
  <c r="AL18" i="6"/>
  <c r="AL42" i="6"/>
  <c r="AL66" i="6"/>
  <c r="AK18" i="6"/>
  <c r="AK42" i="6"/>
  <c r="AK66" i="6"/>
  <c r="AJ18" i="6"/>
  <c r="AJ42" i="6"/>
  <c r="AJ66" i="6"/>
  <c r="AI18" i="6"/>
  <c r="AI42" i="6"/>
  <c r="AI66" i="6"/>
  <c r="AH18" i="6"/>
  <c r="AH42" i="6"/>
  <c r="AH66" i="6"/>
  <c r="AG18" i="6"/>
  <c r="AG42" i="6"/>
  <c r="AG66" i="6"/>
  <c r="AF18" i="6"/>
  <c r="AF42" i="6"/>
  <c r="AF66" i="6"/>
  <c r="AN17" i="6"/>
  <c r="AN41" i="6"/>
  <c r="AN65" i="6"/>
  <c r="AL17" i="6"/>
  <c r="AL41" i="6"/>
  <c r="AL65" i="6"/>
  <c r="AK17" i="6"/>
  <c r="AK41" i="6"/>
  <c r="AK65" i="6"/>
  <c r="AJ17" i="6"/>
  <c r="AJ41" i="6"/>
  <c r="AJ65" i="6"/>
  <c r="AI17" i="6"/>
  <c r="AI41" i="6"/>
  <c r="AI65" i="6"/>
  <c r="AH17" i="6"/>
  <c r="AH41" i="6"/>
  <c r="AH65" i="6"/>
  <c r="AG17" i="6"/>
  <c r="AG41" i="6"/>
  <c r="AG65" i="6"/>
  <c r="AF17" i="6"/>
  <c r="AF41" i="6"/>
  <c r="AF65" i="6"/>
  <c r="AN16" i="6"/>
  <c r="AN40" i="6"/>
  <c r="AN64" i="6"/>
  <c r="AM16" i="6"/>
  <c r="AM40" i="6"/>
  <c r="AM64" i="6"/>
  <c r="AK16" i="6"/>
  <c r="AK40" i="6"/>
  <c r="AK64" i="6"/>
  <c r="AJ16" i="6"/>
  <c r="AJ40" i="6"/>
  <c r="AJ64" i="6"/>
  <c r="AI16" i="6"/>
  <c r="AI40" i="6"/>
  <c r="AI64" i="6"/>
  <c r="AH16" i="6"/>
  <c r="AH40" i="6"/>
  <c r="AH64" i="6"/>
  <c r="AG16" i="6"/>
  <c r="AG40" i="6"/>
  <c r="AG64" i="6"/>
  <c r="AF16" i="6"/>
  <c r="AF40" i="6"/>
  <c r="AF64" i="6"/>
  <c r="AN15" i="6"/>
  <c r="AN39" i="6"/>
  <c r="AN63" i="6"/>
  <c r="AM15" i="6"/>
  <c r="AM39" i="6"/>
  <c r="AM63" i="6"/>
  <c r="AL15" i="6"/>
  <c r="AL39" i="6"/>
  <c r="AL63" i="6"/>
  <c r="AJ15" i="6"/>
  <c r="AJ39" i="6"/>
  <c r="AJ63" i="6"/>
  <c r="AI15" i="6"/>
  <c r="AI39" i="6"/>
  <c r="AI63" i="6"/>
  <c r="AH15" i="6"/>
  <c r="AH39" i="6"/>
  <c r="AH63" i="6"/>
  <c r="AG15" i="6"/>
  <c r="AG39" i="6"/>
  <c r="AG63" i="6"/>
  <c r="AF15" i="6"/>
  <c r="AF39" i="6"/>
  <c r="AF63" i="6"/>
  <c r="AN14" i="6"/>
  <c r="AN38" i="6"/>
  <c r="AN62" i="6"/>
  <c r="AM14" i="6"/>
  <c r="AM38" i="6"/>
  <c r="AM62" i="6"/>
  <c r="AL14" i="6"/>
  <c r="AL38" i="6"/>
  <c r="AL62" i="6"/>
  <c r="AK14" i="6"/>
  <c r="AK38" i="6"/>
  <c r="AK62" i="6"/>
  <c r="AI14" i="6"/>
  <c r="AI38" i="6"/>
  <c r="AI62" i="6"/>
  <c r="AH14" i="6"/>
  <c r="AH38" i="6"/>
  <c r="AH62" i="6"/>
  <c r="AG14" i="6"/>
  <c r="AG38" i="6"/>
  <c r="AG62" i="6"/>
  <c r="AF14" i="6"/>
  <c r="AF38" i="6"/>
  <c r="AF62" i="6"/>
  <c r="AN13" i="6"/>
  <c r="AN37" i="6"/>
  <c r="AN61" i="6"/>
  <c r="AM13" i="6"/>
  <c r="AM37" i="6"/>
  <c r="AM61" i="6"/>
  <c r="AL13" i="6"/>
  <c r="AL37" i="6"/>
  <c r="AL61" i="6"/>
  <c r="AK13" i="6"/>
  <c r="AK37" i="6"/>
  <c r="AK61" i="6"/>
  <c r="AJ13" i="6"/>
  <c r="AJ37" i="6"/>
  <c r="AJ61" i="6"/>
  <c r="AH13" i="6"/>
  <c r="AH37" i="6"/>
  <c r="AH61" i="6"/>
  <c r="AG13" i="6"/>
  <c r="AG37" i="6"/>
  <c r="AG61" i="6"/>
  <c r="AF13" i="6"/>
  <c r="AF37" i="6"/>
  <c r="AF61" i="6"/>
  <c r="AN12" i="6"/>
  <c r="AN36" i="6"/>
  <c r="AN60" i="6"/>
  <c r="AM12" i="6"/>
  <c r="AM36" i="6"/>
  <c r="AM60" i="6"/>
  <c r="AL12" i="6"/>
  <c r="AL36" i="6"/>
  <c r="AL60" i="6"/>
  <c r="AK12" i="6"/>
  <c r="AK36" i="6"/>
  <c r="AK60" i="6"/>
  <c r="AJ12" i="6"/>
  <c r="AJ36" i="6"/>
  <c r="AJ60" i="6"/>
  <c r="AI12" i="6"/>
  <c r="AI36" i="6"/>
  <c r="AI60" i="6"/>
  <c r="AG12" i="6"/>
  <c r="AG36" i="6"/>
  <c r="AG60" i="6"/>
  <c r="AF12" i="6"/>
  <c r="AF36" i="6"/>
  <c r="AF60" i="6"/>
  <c r="AN11" i="6"/>
  <c r="AN35" i="6"/>
  <c r="AN59" i="6"/>
  <c r="AM11" i="6"/>
  <c r="AM35" i="6"/>
  <c r="AM59" i="6"/>
  <c r="AL11" i="6"/>
  <c r="AL35" i="6"/>
  <c r="AL59" i="6"/>
  <c r="AK11" i="6"/>
  <c r="AK35" i="6"/>
  <c r="AK59" i="6"/>
  <c r="AJ11" i="6"/>
  <c r="AJ35" i="6"/>
  <c r="AJ59" i="6"/>
  <c r="AI11" i="6"/>
  <c r="AI35" i="6"/>
  <c r="AI59" i="6"/>
  <c r="AH11" i="6"/>
  <c r="AH35" i="6"/>
  <c r="AH59" i="6"/>
  <c r="AF11" i="6"/>
  <c r="AF35" i="6"/>
  <c r="AF59" i="6"/>
  <c r="AN10" i="6"/>
  <c r="AN34" i="6"/>
  <c r="AN58" i="6"/>
  <c r="AM10" i="6"/>
  <c r="AM34" i="6"/>
  <c r="AM58" i="6"/>
  <c r="AL10" i="6"/>
  <c r="AL34" i="6"/>
  <c r="AL58" i="6"/>
  <c r="AK10" i="6"/>
  <c r="AK34" i="6"/>
  <c r="AK58" i="6"/>
  <c r="AJ10" i="6"/>
  <c r="AJ34" i="6"/>
  <c r="AJ58" i="6"/>
  <c r="AI10" i="6"/>
  <c r="AI34" i="6"/>
  <c r="AI58" i="6"/>
  <c r="AH10" i="6"/>
  <c r="AH34" i="6"/>
  <c r="AH58" i="6"/>
  <c r="AG10" i="6"/>
  <c r="AG34" i="6"/>
  <c r="AG58" i="6"/>
  <c r="V18" i="6"/>
  <c r="V42" i="6"/>
  <c r="V66" i="6"/>
  <c r="U18" i="6"/>
  <c r="U42" i="6"/>
  <c r="U66" i="6"/>
  <c r="T18" i="6"/>
  <c r="T42" i="6"/>
  <c r="T66" i="6"/>
  <c r="R18" i="6"/>
  <c r="R42" i="6"/>
  <c r="R66" i="6"/>
  <c r="Q18" i="6"/>
  <c r="Q42" i="6"/>
  <c r="Q66" i="6"/>
  <c r="P18" i="6"/>
  <c r="P42" i="6"/>
  <c r="P66" i="6"/>
  <c r="O18" i="6"/>
  <c r="O42" i="6"/>
  <c r="O66" i="6"/>
  <c r="N18" i="6"/>
  <c r="N42" i="6"/>
  <c r="N66" i="6"/>
  <c r="AD18" i="6"/>
  <c r="AD42" i="6"/>
  <c r="AD66" i="6"/>
  <c r="AC18" i="6"/>
  <c r="AC42" i="6"/>
  <c r="AC66" i="6"/>
  <c r="AB18" i="6"/>
  <c r="AB42" i="6"/>
  <c r="AB66" i="6"/>
  <c r="AA18" i="6"/>
  <c r="AA42" i="6"/>
  <c r="AA66" i="6"/>
  <c r="Z18" i="6"/>
  <c r="Z42" i="6"/>
  <c r="Z66" i="6"/>
  <c r="Y18" i="6"/>
  <c r="Y42" i="6"/>
  <c r="Y66" i="6"/>
  <c r="X18" i="6"/>
  <c r="X42" i="6"/>
  <c r="X66" i="6"/>
  <c r="W18" i="6"/>
  <c r="W42" i="6"/>
  <c r="W66" i="6"/>
  <c r="L15" i="6"/>
  <c r="L16" i="6"/>
  <c r="L17" i="6"/>
  <c r="L18" i="6"/>
  <c r="L42" i="6"/>
  <c r="L66" i="6"/>
  <c r="V17" i="6"/>
  <c r="V41" i="6"/>
  <c r="V65" i="6"/>
  <c r="U17" i="6"/>
  <c r="U41" i="6"/>
  <c r="U65" i="6"/>
  <c r="T17" i="6"/>
  <c r="T41" i="6"/>
  <c r="T65" i="6"/>
  <c r="R17" i="6"/>
  <c r="R41" i="6"/>
  <c r="R65" i="6"/>
  <c r="Q17" i="6"/>
  <c r="Q41" i="6"/>
  <c r="Q65" i="6"/>
  <c r="P17" i="6"/>
  <c r="P41" i="6"/>
  <c r="P65" i="6"/>
  <c r="O17" i="6"/>
  <c r="O41" i="6"/>
  <c r="O65" i="6"/>
  <c r="N17" i="6"/>
  <c r="N41" i="6"/>
  <c r="N65" i="6"/>
  <c r="AE17" i="6"/>
  <c r="AE41" i="6"/>
  <c r="AE65" i="6"/>
  <c r="AC17" i="6"/>
  <c r="AC41" i="6"/>
  <c r="AC65" i="6"/>
  <c r="AB17" i="6"/>
  <c r="AB41" i="6"/>
  <c r="AB65" i="6"/>
  <c r="AA17" i="6"/>
  <c r="AA41" i="6"/>
  <c r="AA65" i="6"/>
  <c r="Z17" i="6"/>
  <c r="Z41" i="6"/>
  <c r="Z65" i="6"/>
  <c r="Y17" i="6"/>
  <c r="Y41" i="6"/>
  <c r="Y65" i="6"/>
  <c r="X17" i="6"/>
  <c r="X41" i="6"/>
  <c r="X65" i="6"/>
  <c r="W17" i="6"/>
  <c r="W41" i="6"/>
  <c r="W65" i="6"/>
  <c r="L41" i="6"/>
  <c r="L65" i="6"/>
  <c r="V16" i="6"/>
  <c r="V40" i="6"/>
  <c r="V64" i="6"/>
  <c r="U16" i="6"/>
  <c r="U40" i="6"/>
  <c r="U64" i="6"/>
  <c r="T16" i="6"/>
  <c r="T40" i="6"/>
  <c r="T64" i="6"/>
  <c r="R16" i="6"/>
  <c r="R40" i="6"/>
  <c r="R64" i="6"/>
  <c r="Q16" i="6"/>
  <c r="Q40" i="6"/>
  <c r="Q64" i="6"/>
  <c r="P16" i="6"/>
  <c r="P40" i="6"/>
  <c r="P64" i="6"/>
  <c r="O16" i="6"/>
  <c r="O40" i="6"/>
  <c r="O64" i="6"/>
  <c r="N16" i="6"/>
  <c r="N40" i="6"/>
  <c r="N64" i="6"/>
  <c r="AE16" i="6"/>
  <c r="AE40" i="6"/>
  <c r="AE64" i="6"/>
  <c r="AD16" i="6"/>
  <c r="AD40" i="6"/>
  <c r="AD64" i="6"/>
  <c r="AB16" i="6"/>
  <c r="AB40" i="6"/>
  <c r="AB64" i="6"/>
  <c r="AA16" i="6"/>
  <c r="AA40" i="6"/>
  <c r="AA64" i="6"/>
  <c r="Z16" i="6"/>
  <c r="Z40" i="6"/>
  <c r="Z64" i="6"/>
  <c r="Y16" i="6"/>
  <c r="Y40" i="6"/>
  <c r="Y64" i="6"/>
  <c r="X16" i="6"/>
  <c r="X40" i="6"/>
  <c r="X64" i="6"/>
  <c r="W16" i="6"/>
  <c r="W40" i="6"/>
  <c r="W64" i="6"/>
  <c r="L40" i="6"/>
  <c r="L64" i="6"/>
  <c r="V15" i="6"/>
  <c r="V39" i="6"/>
  <c r="V63" i="6"/>
  <c r="U15" i="6"/>
  <c r="U39" i="6"/>
  <c r="U63" i="6"/>
  <c r="T15" i="6"/>
  <c r="T39" i="6"/>
  <c r="T63" i="6"/>
  <c r="R15" i="6"/>
  <c r="R39" i="6"/>
  <c r="R63" i="6"/>
  <c r="Q15" i="6"/>
  <c r="Q39" i="6"/>
  <c r="Q63" i="6"/>
  <c r="P15" i="6"/>
  <c r="P39" i="6"/>
  <c r="P63" i="6"/>
  <c r="O15" i="6"/>
  <c r="O39" i="6"/>
  <c r="O63" i="6"/>
  <c r="N15" i="6"/>
  <c r="N39" i="6"/>
  <c r="N63" i="6"/>
  <c r="AE15" i="6"/>
  <c r="AE39" i="6"/>
  <c r="AE63" i="6"/>
  <c r="AD15" i="6"/>
  <c r="AD39" i="6"/>
  <c r="AD63" i="6"/>
  <c r="AC15" i="6"/>
  <c r="AC39" i="6"/>
  <c r="AC63" i="6"/>
  <c r="AA15" i="6"/>
  <c r="AA39" i="6"/>
  <c r="AA63" i="6"/>
  <c r="Z15" i="6"/>
  <c r="Z39" i="6"/>
  <c r="Z63" i="6"/>
  <c r="Y15" i="6"/>
  <c r="Y39" i="6"/>
  <c r="Y63" i="6"/>
  <c r="X15" i="6"/>
  <c r="X39" i="6"/>
  <c r="X63" i="6"/>
  <c r="W15" i="6"/>
  <c r="W39" i="6"/>
  <c r="W63" i="6"/>
  <c r="L39" i="6"/>
  <c r="L63" i="6"/>
  <c r="V14" i="6"/>
  <c r="V38" i="6"/>
  <c r="V62" i="6"/>
  <c r="U14" i="6"/>
  <c r="U38" i="6"/>
  <c r="U62" i="6"/>
  <c r="T14" i="6"/>
  <c r="T38" i="6"/>
  <c r="T62" i="6"/>
  <c r="R14" i="6"/>
  <c r="R38" i="6"/>
  <c r="R62" i="6"/>
  <c r="Q14" i="6"/>
  <c r="Q38" i="6"/>
  <c r="Q62" i="6"/>
  <c r="P14" i="6"/>
  <c r="P38" i="6"/>
  <c r="P62" i="6"/>
  <c r="O14" i="6"/>
  <c r="O38" i="6"/>
  <c r="O62" i="6"/>
  <c r="N14" i="6"/>
  <c r="N38" i="6"/>
  <c r="N62" i="6"/>
  <c r="AE14" i="6"/>
  <c r="AE38" i="6"/>
  <c r="AE62" i="6"/>
  <c r="AD14" i="6"/>
  <c r="AD38" i="6"/>
  <c r="AD62" i="6"/>
  <c r="AC14" i="6"/>
  <c r="AC38" i="6"/>
  <c r="AC62" i="6"/>
  <c r="AB14" i="6"/>
  <c r="AB38" i="6"/>
  <c r="AB62" i="6"/>
  <c r="Z14" i="6"/>
  <c r="Z38" i="6"/>
  <c r="Z62" i="6"/>
  <c r="Y14" i="6"/>
  <c r="Y38" i="6"/>
  <c r="Y62" i="6"/>
  <c r="X14" i="6"/>
  <c r="X38" i="6"/>
  <c r="X62" i="6"/>
  <c r="W14" i="6"/>
  <c r="W38" i="6"/>
  <c r="W62" i="6"/>
  <c r="L38" i="6"/>
  <c r="L62" i="6"/>
  <c r="V13" i="6"/>
  <c r="V37" i="6"/>
  <c r="V61" i="6"/>
  <c r="U13" i="6"/>
  <c r="U37" i="6"/>
  <c r="U61" i="6"/>
  <c r="T13" i="6"/>
  <c r="T37" i="6"/>
  <c r="T61" i="6"/>
  <c r="R13" i="6"/>
  <c r="R37" i="6"/>
  <c r="R61" i="6"/>
  <c r="Q13" i="6"/>
  <c r="Q37" i="6"/>
  <c r="Q61" i="6"/>
  <c r="P13" i="6"/>
  <c r="P37" i="6"/>
  <c r="P61" i="6"/>
  <c r="O13" i="6"/>
  <c r="O37" i="6"/>
  <c r="O61" i="6"/>
  <c r="N13" i="6"/>
  <c r="N37" i="6"/>
  <c r="N61" i="6"/>
  <c r="AE13" i="6"/>
  <c r="AE37" i="6"/>
  <c r="AE61" i="6"/>
  <c r="AD13" i="6"/>
  <c r="AD37" i="6"/>
  <c r="AD61" i="6"/>
  <c r="AC13" i="6"/>
  <c r="AC37" i="6"/>
  <c r="AC61" i="6"/>
  <c r="AB13" i="6"/>
  <c r="AB37" i="6"/>
  <c r="AB61" i="6"/>
  <c r="AA13" i="6"/>
  <c r="AA37" i="6"/>
  <c r="AA61" i="6"/>
  <c r="Y13" i="6"/>
  <c r="Y37" i="6"/>
  <c r="Y61" i="6"/>
  <c r="X13" i="6"/>
  <c r="X37" i="6"/>
  <c r="X61" i="6"/>
  <c r="W13" i="6"/>
  <c r="W37" i="6"/>
  <c r="W61" i="6"/>
  <c r="L37" i="6"/>
  <c r="L61" i="6"/>
  <c r="V12" i="6"/>
  <c r="V36" i="6"/>
  <c r="V60" i="6"/>
  <c r="U12" i="6"/>
  <c r="U36" i="6"/>
  <c r="U60" i="6"/>
  <c r="T12" i="6"/>
  <c r="T36" i="6"/>
  <c r="T60" i="6"/>
  <c r="R12" i="6"/>
  <c r="R36" i="6"/>
  <c r="R60" i="6"/>
  <c r="Q12" i="6"/>
  <c r="Q36" i="6"/>
  <c r="Q60" i="6"/>
  <c r="P12" i="6"/>
  <c r="P36" i="6"/>
  <c r="P60" i="6"/>
  <c r="O12" i="6"/>
  <c r="O36" i="6"/>
  <c r="O60" i="6"/>
  <c r="N12" i="6"/>
  <c r="N36" i="6"/>
  <c r="N60" i="6"/>
  <c r="AE12" i="6"/>
  <c r="AE36" i="6"/>
  <c r="AE60" i="6"/>
  <c r="AD12" i="6"/>
  <c r="AD36" i="6"/>
  <c r="AD60" i="6"/>
  <c r="AC12" i="6"/>
  <c r="AC36" i="6"/>
  <c r="AC60" i="6"/>
  <c r="AB12" i="6"/>
  <c r="AB36" i="6"/>
  <c r="AB60" i="6"/>
  <c r="AA12" i="6"/>
  <c r="AA36" i="6"/>
  <c r="AA60" i="6"/>
  <c r="Z12" i="6"/>
  <c r="Z36" i="6"/>
  <c r="Z60" i="6"/>
  <c r="X12" i="6"/>
  <c r="X36" i="6"/>
  <c r="X60" i="6"/>
  <c r="W12" i="6"/>
  <c r="W36" i="6"/>
  <c r="W60" i="6"/>
  <c r="L36" i="6"/>
  <c r="L60" i="6"/>
  <c r="V11" i="6"/>
  <c r="V35" i="6"/>
  <c r="V59" i="6"/>
  <c r="U11" i="6"/>
  <c r="U35" i="6"/>
  <c r="U59" i="6"/>
  <c r="T11" i="6"/>
  <c r="T35" i="6"/>
  <c r="T59" i="6"/>
  <c r="R11" i="6"/>
  <c r="R35" i="6"/>
  <c r="R59" i="6"/>
  <c r="Q11" i="6"/>
  <c r="Q35" i="6"/>
  <c r="Q59" i="6"/>
  <c r="P11" i="6"/>
  <c r="P35" i="6"/>
  <c r="P59" i="6"/>
  <c r="O11" i="6"/>
  <c r="O35" i="6"/>
  <c r="O59" i="6"/>
  <c r="N11" i="6"/>
  <c r="N35" i="6"/>
  <c r="N59" i="6"/>
  <c r="AE11" i="6"/>
  <c r="AE35" i="6"/>
  <c r="AE59" i="6"/>
  <c r="AD11" i="6"/>
  <c r="AD35" i="6"/>
  <c r="AD59" i="6"/>
  <c r="AC11" i="6"/>
  <c r="AC35" i="6"/>
  <c r="AC59" i="6"/>
  <c r="AB11" i="6"/>
  <c r="AB35" i="6"/>
  <c r="AB59" i="6"/>
  <c r="AA11" i="6"/>
  <c r="AA35" i="6"/>
  <c r="AA59" i="6"/>
  <c r="Z11" i="6"/>
  <c r="Z35" i="6"/>
  <c r="Z59" i="6"/>
  <c r="Y11" i="6"/>
  <c r="Y35" i="6"/>
  <c r="Y59" i="6"/>
  <c r="W11" i="6"/>
  <c r="W35" i="6"/>
  <c r="W59" i="6"/>
  <c r="L35" i="6"/>
  <c r="L59" i="6"/>
  <c r="V10" i="6"/>
  <c r="V34" i="6"/>
  <c r="V58" i="6"/>
  <c r="U10" i="6"/>
  <c r="U34" i="6"/>
  <c r="U58" i="6"/>
  <c r="T10" i="6"/>
  <c r="T34" i="6"/>
  <c r="T58" i="6"/>
  <c r="R10" i="6"/>
  <c r="R34" i="6"/>
  <c r="R58" i="6"/>
  <c r="Q10" i="6"/>
  <c r="Q34" i="6"/>
  <c r="Q58" i="6"/>
  <c r="P10" i="6"/>
  <c r="P34" i="6"/>
  <c r="P58" i="6"/>
  <c r="O10" i="6"/>
  <c r="O34" i="6"/>
  <c r="O58" i="6"/>
  <c r="N10" i="6"/>
  <c r="N34" i="6"/>
  <c r="N58" i="6"/>
  <c r="AE10" i="6"/>
  <c r="AE34" i="6"/>
  <c r="AE58" i="6"/>
  <c r="AD10" i="6"/>
  <c r="AD34" i="6"/>
  <c r="AD58" i="6"/>
  <c r="AC10" i="6"/>
  <c r="AC34" i="6"/>
  <c r="AC58" i="6"/>
  <c r="AB10" i="6"/>
  <c r="AB34" i="6"/>
  <c r="AB58" i="6"/>
  <c r="AA10" i="6"/>
  <c r="AA34" i="6"/>
  <c r="AA58" i="6"/>
  <c r="Z10" i="6"/>
  <c r="Z34" i="6"/>
  <c r="Z58" i="6"/>
  <c r="Y10" i="6"/>
  <c r="Y34" i="6"/>
  <c r="Y58" i="6"/>
  <c r="X10" i="6"/>
  <c r="X34" i="6"/>
  <c r="X58" i="6"/>
  <c r="M42" i="6"/>
  <c r="M66" i="6"/>
  <c r="M41" i="6"/>
  <c r="M65" i="6"/>
  <c r="M40" i="6"/>
  <c r="M64" i="6"/>
  <c r="M39" i="6"/>
  <c r="M63" i="6"/>
  <c r="M38" i="6"/>
  <c r="M62" i="6"/>
  <c r="M37" i="6"/>
  <c r="M61" i="6"/>
  <c r="M36" i="6"/>
  <c r="M60" i="6"/>
  <c r="M35" i="6"/>
  <c r="M59" i="6"/>
  <c r="M34" i="6"/>
  <c r="M58" i="6"/>
  <c r="C9" i="10"/>
  <c r="E9" i="10"/>
  <c r="C10" i="10"/>
  <c r="E10" i="10"/>
  <c r="C11" i="10"/>
  <c r="E11" i="10"/>
  <c r="C12" i="10"/>
  <c r="E12" i="10"/>
  <c r="C13" i="10"/>
  <c r="E13" i="10"/>
  <c r="C14" i="10"/>
  <c r="E14" i="10"/>
  <c r="C15" i="10"/>
  <c r="E15" i="10"/>
  <c r="C16" i="10"/>
  <c r="E16" i="10"/>
  <c r="D9" i="10"/>
  <c r="D10" i="10"/>
  <c r="D11" i="10"/>
  <c r="D12" i="10"/>
  <c r="D13" i="10"/>
  <c r="D14" i="10"/>
  <c r="D15" i="10"/>
  <c r="D16" i="10"/>
  <c r="D8" i="10"/>
  <c r="G8" i="10"/>
  <c r="G16" i="10"/>
  <c r="G15" i="10"/>
  <c r="G14" i="10"/>
  <c r="G13" i="10"/>
  <c r="G12" i="10"/>
  <c r="G11" i="10"/>
  <c r="G10" i="10"/>
  <c r="G9" i="10"/>
  <c r="H7" i="10"/>
  <c r="H6" i="10"/>
  <c r="P7" i="10"/>
  <c r="P6" i="10"/>
  <c r="O7" i="10"/>
  <c r="O6" i="10"/>
  <c r="N7" i="10"/>
  <c r="N6" i="10"/>
  <c r="M7" i="10"/>
  <c r="M6" i="10"/>
  <c r="L7" i="10"/>
  <c r="L6" i="10"/>
  <c r="K7" i="10"/>
  <c r="K6" i="10"/>
  <c r="J7" i="10"/>
  <c r="J6" i="10"/>
  <c r="I7" i="10"/>
  <c r="I6" i="10"/>
  <c r="E28" i="10"/>
  <c r="D28" i="10"/>
  <c r="E27" i="10"/>
  <c r="D27" i="10"/>
  <c r="E26" i="10"/>
  <c r="D26" i="10"/>
  <c r="E25" i="10"/>
  <c r="D25" i="10"/>
  <c r="E24" i="10"/>
  <c r="D24" i="10"/>
  <c r="E23" i="10"/>
  <c r="D23" i="10"/>
  <c r="E22" i="10"/>
  <c r="D22" i="10"/>
  <c r="E21" i="10"/>
  <c r="D21" i="10"/>
  <c r="E20" i="10"/>
  <c r="D20" i="10"/>
  <c r="E52" i="10"/>
  <c r="D52" i="10"/>
  <c r="E51" i="10"/>
  <c r="D51" i="10"/>
  <c r="E50" i="10"/>
  <c r="D50" i="10"/>
  <c r="E49" i="10"/>
  <c r="D49" i="10"/>
  <c r="E48" i="10"/>
  <c r="D48" i="10"/>
  <c r="E47" i="10"/>
  <c r="D47" i="10"/>
  <c r="E46" i="10"/>
  <c r="D46" i="10"/>
  <c r="E45" i="10"/>
  <c r="D45" i="10"/>
  <c r="E44" i="10"/>
  <c r="D44" i="10"/>
  <c r="C32" i="10"/>
  <c r="D32" i="10"/>
  <c r="C40" i="10"/>
  <c r="E40" i="10"/>
  <c r="D40" i="10"/>
  <c r="C39" i="10"/>
  <c r="E39" i="10"/>
  <c r="D39" i="10"/>
  <c r="C38" i="10"/>
  <c r="E38" i="10"/>
  <c r="D38" i="10"/>
  <c r="C37" i="10"/>
  <c r="E37" i="10"/>
  <c r="D37" i="10"/>
  <c r="C36" i="10"/>
  <c r="E36" i="10"/>
  <c r="D36" i="10"/>
  <c r="C35" i="10"/>
  <c r="E35" i="10"/>
  <c r="D35" i="10"/>
  <c r="C34" i="10"/>
  <c r="E34" i="10"/>
  <c r="D34" i="10"/>
  <c r="C33" i="10"/>
  <c r="E33" i="10"/>
  <c r="D33" i="10"/>
  <c r="E32" i="10"/>
  <c r="G20" i="10"/>
  <c r="G28" i="10"/>
  <c r="G27" i="10"/>
  <c r="G26" i="10"/>
  <c r="G25" i="10"/>
  <c r="G24" i="10"/>
  <c r="G23" i="10"/>
  <c r="G22" i="10"/>
  <c r="G21" i="10"/>
  <c r="G44" i="10"/>
  <c r="G52" i="10"/>
  <c r="G51" i="10"/>
  <c r="G50" i="10"/>
  <c r="G49" i="10"/>
  <c r="G48" i="10"/>
  <c r="G47" i="10"/>
  <c r="G46" i="10"/>
  <c r="G45" i="10"/>
  <c r="G32" i="10"/>
  <c r="G40" i="10"/>
  <c r="G39" i="10"/>
  <c r="G38" i="10"/>
  <c r="G37" i="10"/>
  <c r="G36" i="10"/>
  <c r="G35" i="10"/>
  <c r="G34" i="10"/>
  <c r="G33" i="10"/>
  <c r="H19" i="10"/>
  <c r="H18" i="10"/>
  <c r="I19" i="10"/>
  <c r="I18" i="10"/>
  <c r="J19" i="10"/>
  <c r="J18" i="10"/>
  <c r="K19" i="10"/>
  <c r="K18" i="10"/>
  <c r="L19" i="10"/>
  <c r="L18" i="10"/>
  <c r="M19" i="10"/>
  <c r="M18" i="10"/>
  <c r="N19" i="10"/>
  <c r="N18" i="10"/>
  <c r="O19" i="10"/>
  <c r="O18" i="10"/>
  <c r="P19" i="10"/>
  <c r="P18" i="10"/>
  <c r="H31" i="10"/>
  <c r="H30" i="10"/>
  <c r="I31" i="10"/>
  <c r="I30" i="10"/>
  <c r="J31" i="10"/>
  <c r="J30" i="10"/>
  <c r="K31" i="10"/>
  <c r="K30" i="10"/>
  <c r="L31" i="10"/>
  <c r="L30" i="10"/>
  <c r="M31" i="10"/>
  <c r="M30" i="10"/>
  <c r="N31" i="10"/>
  <c r="N30" i="10"/>
  <c r="O31" i="10"/>
  <c r="O30" i="10"/>
  <c r="P31" i="10"/>
  <c r="P30" i="10"/>
  <c r="H43" i="10"/>
  <c r="H42" i="10"/>
  <c r="I43" i="10"/>
  <c r="I42" i="10"/>
  <c r="J43" i="10"/>
  <c r="J42" i="10"/>
  <c r="K43" i="10"/>
  <c r="K42" i="10"/>
  <c r="L43" i="10"/>
  <c r="L42" i="10"/>
  <c r="M43" i="10"/>
  <c r="M42" i="10"/>
  <c r="N43" i="10"/>
  <c r="N42" i="10"/>
  <c r="O43" i="10"/>
  <c r="O42" i="10"/>
  <c r="P43" i="10"/>
  <c r="P42" i="10"/>
  <c r="Q7" i="10"/>
  <c r="Q6" i="10"/>
  <c r="R7" i="10"/>
  <c r="R6" i="10"/>
  <c r="S7" i="10"/>
  <c r="S6" i="10"/>
  <c r="T7" i="10"/>
  <c r="T6" i="10"/>
  <c r="U7" i="10"/>
  <c r="U6" i="10"/>
  <c r="V7" i="10"/>
  <c r="V6" i="10"/>
  <c r="W7" i="10"/>
  <c r="W6" i="10"/>
  <c r="X7" i="10"/>
  <c r="X6" i="10"/>
  <c r="Y7" i="10"/>
  <c r="Y6" i="10"/>
  <c r="Q19" i="10"/>
  <c r="Q18" i="10"/>
  <c r="R19" i="10"/>
  <c r="R18" i="10"/>
  <c r="S19" i="10"/>
  <c r="S18" i="10"/>
  <c r="T19" i="10"/>
  <c r="T18" i="10"/>
  <c r="U19" i="10"/>
  <c r="U18" i="10"/>
  <c r="V19" i="10"/>
  <c r="V18" i="10"/>
  <c r="W19" i="10"/>
  <c r="W18" i="10"/>
  <c r="X19" i="10"/>
  <c r="X18" i="10"/>
  <c r="Y19" i="10"/>
  <c r="Y18" i="10"/>
  <c r="Q31" i="10"/>
  <c r="Q30" i="10"/>
  <c r="R31" i="10"/>
  <c r="R30" i="10"/>
  <c r="S31" i="10"/>
  <c r="S30" i="10"/>
  <c r="T31" i="10"/>
  <c r="T30" i="10"/>
  <c r="U31" i="10"/>
  <c r="U30" i="10"/>
  <c r="V31" i="10"/>
  <c r="V30" i="10"/>
  <c r="W31" i="10"/>
  <c r="W30" i="10"/>
  <c r="X31" i="10"/>
  <c r="X30" i="10"/>
  <c r="Y31" i="10"/>
  <c r="Y30" i="10"/>
  <c r="Q43" i="10"/>
  <c r="Q42" i="10"/>
  <c r="R43" i="10"/>
  <c r="R42" i="10"/>
  <c r="S43" i="10"/>
  <c r="S42" i="10"/>
  <c r="T43" i="10"/>
  <c r="T42" i="10"/>
  <c r="U43" i="10"/>
  <c r="U42" i="10"/>
  <c r="V43" i="10"/>
  <c r="V42" i="10"/>
  <c r="W43" i="10"/>
  <c r="W42" i="10"/>
  <c r="X43" i="10"/>
  <c r="X42" i="10"/>
  <c r="Y43" i="10"/>
  <c r="Y42" i="10"/>
  <c r="Z8" i="10"/>
  <c r="Z16" i="10"/>
  <c r="Z15" i="10"/>
  <c r="Z14" i="10"/>
  <c r="Z13" i="10"/>
  <c r="Z12" i="10"/>
  <c r="Z11" i="10"/>
  <c r="Z10" i="10"/>
  <c r="Z9" i="10"/>
  <c r="Z20" i="10"/>
  <c r="Z21" i="10"/>
  <c r="Z22" i="10"/>
  <c r="Z23" i="10"/>
  <c r="Z24" i="10"/>
  <c r="Z25" i="10"/>
  <c r="Z26" i="10"/>
  <c r="Z27" i="10"/>
  <c r="Z28" i="10"/>
  <c r="Z32" i="10"/>
  <c r="Z33" i="10"/>
  <c r="Z34" i="10"/>
  <c r="Z35" i="10"/>
  <c r="Z36" i="10"/>
  <c r="Z37" i="10"/>
  <c r="Z38" i="10"/>
  <c r="Z39" i="10"/>
  <c r="Z40" i="10"/>
  <c r="Z44" i="10"/>
  <c r="Z45" i="10"/>
  <c r="Z46" i="10"/>
  <c r="Z47" i="10"/>
  <c r="Z48" i="10"/>
  <c r="Z49" i="10"/>
  <c r="Z50" i="10"/>
  <c r="Z51" i="10"/>
  <c r="Z52" i="10"/>
  <c r="I8" i="10"/>
  <c r="J8" i="10"/>
  <c r="K8" i="10"/>
  <c r="L8" i="10"/>
  <c r="M8" i="10"/>
  <c r="N8" i="10"/>
  <c r="O8" i="10"/>
  <c r="P8" i="10"/>
  <c r="R8" i="10"/>
  <c r="S8" i="10"/>
  <c r="T8" i="10"/>
  <c r="U8" i="10"/>
  <c r="V8" i="10"/>
  <c r="W8" i="10"/>
  <c r="X8" i="10"/>
  <c r="Y8" i="10"/>
  <c r="H9" i="10"/>
  <c r="J9" i="10"/>
  <c r="K9" i="10"/>
  <c r="L9" i="10"/>
  <c r="M9" i="10"/>
  <c r="N9" i="10"/>
  <c r="O9" i="10"/>
  <c r="P9" i="10"/>
  <c r="Q9" i="10"/>
  <c r="S9" i="10"/>
  <c r="T9" i="10"/>
  <c r="U9" i="10"/>
  <c r="V9" i="10"/>
  <c r="W9" i="10"/>
  <c r="X9" i="10"/>
  <c r="Y9" i="10"/>
  <c r="H10" i="10"/>
  <c r="I10" i="10"/>
  <c r="K10" i="10"/>
  <c r="L10" i="10"/>
  <c r="M10" i="10"/>
  <c r="N10" i="10"/>
  <c r="O10" i="10"/>
  <c r="P10" i="10"/>
  <c r="Q10" i="10"/>
  <c r="R10" i="10"/>
  <c r="T10" i="10"/>
  <c r="U10" i="10"/>
  <c r="V10" i="10"/>
  <c r="W10" i="10"/>
  <c r="X10" i="10"/>
  <c r="Y10" i="10"/>
  <c r="H11" i="10"/>
  <c r="I11" i="10"/>
  <c r="J11" i="10"/>
  <c r="L11" i="10"/>
  <c r="M11" i="10"/>
  <c r="N11" i="10"/>
  <c r="O11" i="10"/>
  <c r="P11" i="10"/>
  <c r="Q11" i="10"/>
  <c r="R11" i="10"/>
  <c r="S11" i="10"/>
  <c r="U11" i="10"/>
  <c r="V11" i="10"/>
  <c r="W11" i="10"/>
  <c r="X11" i="10"/>
  <c r="Y11" i="10"/>
  <c r="H12" i="10"/>
  <c r="I12" i="10"/>
  <c r="J12" i="10"/>
  <c r="K12" i="10"/>
  <c r="M12" i="10"/>
  <c r="N12" i="10"/>
  <c r="O12" i="10"/>
  <c r="P12" i="10"/>
  <c r="Q12" i="10"/>
  <c r="R12" i="10"/>
  <c r="S12" i="10"/>
  <c r="T12" i="10"/>
  <c r="V12" i="10"/>
  <c r="W12" i="10"/>
  <c r="X12" i="10"/>
  <c r="Y12" i="10"/>
  <c r="H13" i="10"/>
  <c r="I13" i="10"/>
  <c r="J13" i="10"/>
  <c r="K13" i="10"/>
  <c r="L13" i="10"/>
  <c r="N13" i="10"/>
  <c r="O13" i="10"/>
  <c r="P13" i="10"/>
  <c r="Q13" i="10"/>
  <c r="R13" i="10"/>
  <c r="S13" i="10"/>
  <c r="T13" i="10"/>
  <c r="U13" i="10"/>
  <c r="W13" i="10"/>
  <c r="X13" i="10"/>
  <c r="Y13" i="10"/>
  <c r="H14" i="10"/>
  <c r="I14" i="10"/>
  <c r="J14" i="10"/>
  <c r="K14" i="10"/>
  <c r="L14" i="10"/>
  <c r="M14" i="10"/>
  <c r="O14" i="10"/>
  <c r="P14" i="10"/>
  <c r="Q14" i="10"/>
  <c r="R14" i="10"/>
  <c r="S14" i="10"/>
  <c r="T14" i="10"/>
  <c r="U14" i="10"/>
  <c r="V14" i="10"/>
  <c r="X14" i="10"/>
  <c r="Y14" i="10"/>
  <c r="H15" i="10"/>
  <c r="I15" i="10"/>
  <c r="J15" i="10"/>
  <c r="K15" i="10"/>
  <c r="L15" i="10"/>
  <c r="M15" i="10"/>
  <c r="N15" i="10"/>
  <c r="P15" i="10"/>
  <c r="Q15" i="10"/>
  <c r="R15" i="10"/>
  <c r="S15" i="10"/>
  <c r="T15" i="10"/>
  <c r="U15" i="10"/>
  <c r="V15" i="10"/>
  <c r="W15" i="10"/>
  <c r="Y15" i="10"/>
  <c r="H16" i="10"/>
  <c r="I16" i="10"/>
  <c r="J16" i="10"/>
  <c r="K16" i="10"/>
  <c r="L16" i="10"/>
  <c r="M16" i="10"/>
  <c r="N16" i="10"/>
  <c r="O16" i="10"/>
  <c r="Q16" i="10"/>
  <c r="R16" i="10"/>
  <c r="S16" i="10"/>
  <c r="T16" i="10"/>
  <c r="U16" i="10"/>
  <c r="V16" i="10"/>
  <c r="W16" i="10"/>
  <c r="X16" i="10"/>
  <c r="I20" i="10"/>
  <c r="J20" i="10"/>
  <c r="K20" i="10"/>
  <c r="L20" i="10"/>
  <c r="M20" i="10"/>
  <c r="N20" i="10"/>
  <c r="O20" i="10"/>
  <c r="P20" i="10"/>
  <c r="R20" i="10"/>
  <c r="S20" i="10"/>
  <c r="T20" i="10"/>
  <c r="U20" i="10"/>
  <c r="V20" i="10"/>
  <c r="W20" i="10"/>
  <c r="X20" i="10"/>
  <c r="Y20" i="10"/>
  <c r="H21" i="10"/>
  <c r="J21" i="10"/>
  <c r="K21" i="10"/>
  <c r="L21" i="10"/>
  <c r="M21" i="10"/>
  <c r="N21" i="10"/>
  <c r="O21" i="10"/>
  <c r="P21" i="10"/>
  <c r="Q21" i="10"/>
  <c r="S21" i="10"/>
  <c r="T21" i="10"/>
  <c r="U21" i="10"/>
  <c r="V21" i="10"/>
  <c r="W21" i="10"/>
  <c r="X21" i="10"/>
  <c r="Y21" i="10"/>
  <c r="H22" i="10"/>
  <c r="I22" i="10"/>
  <c r="K22" i="10"/>
  <c r="L22" i="10"/>
  <c r="M22" i="10"/>
  <c r="N22" i="10"/>
  <c r="O22" i="10"/>
  <c r="P22" i="10"/>
  <c r="Q22" i="10"/>
  <c r="R22" i="10"/>
  <c r="T22" i="10"/>
  <c r="U22" i="10"/>
  <c r="V22" i="10"/>
  <c r="W22" i="10"/>
  <c r="X22" i="10"/>
  <c r="Y22" i="10"/>
  <c r="H23" i="10"/>
  <c r="I23" i="10"/>
  <c r="J23" i="10"/>
  <c r="L23" i="10"/>
  <c r="M23" i="10"/>
  <c r="N23" i="10"/>
  <c r="O23" i="10"/>
  <c r="P23" i="10"/>
  <c r="Q23" i="10"/>
  <c r="R23" i="10"/>
  <c r="S23" i="10"/>
  <c r="U23" i="10"/>
  <c r="V23" i="10"/>
  <c r="W23" i="10"/>
  <c r="X23" i="10"/>
  <c r="Y23" i="10"/>
  <c r="H24" i="10"/>
  <c r="I24" i="10"/>
  <c r="J24" i="10"/>
  <c r="K24" i="10"/>
  <c r="M24" i="10"/>
  <c r="N24" i="10"/>
  <c r="O24" i="10"/>
  <c r="P24" i="10"/>
  <c r="Q24" i="10"/>
  <c r="R24" i="10"/>
  <c r="S24" i="10"/>
  <c r="T24" i="10"/>
  <c r="V24" i="10"/>
  <c r="W24" i="10"/>
  <c r="X24" i="10"/>
  <c r="Y24" i="10"/>
  <c r="H25" i="10"/>
  <c r="I25" i="10"/>
  <c r="J25" i="10"/>
  <c r="K25" i="10"/>
  <c r="L25" i="10"/>
  <c r="N25" i="10"/>
  <c r="O25" i="10"/>
  <c r="P25" i="10"/>
  <c r="Q25" i="10"/>
  <c r="R25" i="10"/>
  <c r="S25" i="10"/>
  <c r="T25" i="10"/>
  <c r="U25" i="10"/>
  <c r="W25" i="10"/>
  <c r="X25" i="10"/>
  <c r="Y25" i="10"/>
  <c r="H26" i="10"/>
  <c r="I26" i="10"/>
  <c r="J26" i="10"/>
  <c r="K26" i="10"/>
  <c r="L26" i="10"/>
  <c r="M26" i="10"/>
  <c r="O26" i="10"/>
  <c r="P26" i="10"/>
  <c r="Q26" i="10"/>
  <c r="R26" i="10"/>
  <c r="S26" i="10"/>
  <c r="T26" i="10"/>
  <c r="U26" i="10"/>
  <c r="V26" i="10"/>
  <c r="X26" i="10"/>
  <c r="Y26" i="10"/>
  <c r="H27" i="10"/>
  <c r="I27" i="10"/>
  <c r="J27" i="10"/>
  <c r="K27" i="10"/>
  <c r="L27" i="10"/>
  <c r="M27" i="10"/>
  <c r="N27" i="10"/>
  <c r="P27" i="10"/>
  <c r="Q27" i="10"/>
  <c r="R27" i="10"/>
  <c r="S27" i="10"/>
  <c r="T27" i="10"/>
  <c r="U27" i="10"/>
  <c r="V27" i="10"/>
  <c r="W27" i="10"/>
  <c r="Y27" i="10"/>
  <c r="H28" i="10"/>
  <c r="I28" i="10"/>
  <c r="J28" i="10"/>
  <c r="K28" i="10"/>
  <c r="L28" i="10"/>
  <c r="M28" i="10"/>
  <c r="N28" i="10"/>
  <c r="O28" i="10"/>
  <c r="Q28" i="10"/>
  <c r="R28" i="10"/>
  <c r="S28" i="10"/>
  <c r="T28" i="10"/>
  <c r="U28" i="10"/>
  <c r="V28" i="10"/>
  <c r="W28" i="10"/>
  <c r="X28" i="10"/>
  <c r="I32" i="10"/>
  <c r="J32" i="10"/>
  <c r="K32" i="10"/>
  <c r="L32" i="10"/>
  <c r="M32" i="10"/>
  <c r="N32" i="10"/>
  <c r="O32" i="10"/>
  <c r="P32" i="10"/>
  <c r="R32" i="10"/>
  <c r="S32" i="10"/>
  <c r="T32" i="10"/>
  <c r="U32" i="10"/>
  <c r="V32" i="10"/>
  <c r="W32" i="10"/>
  <c r="X32" i="10"/>
  <c r="Y32" i="10"/>
  <c r="H33" i="10"/>
  <c r="J33" i="10"/>
  <c r="K33" i="10"/>
  <c r="L33" i="10"/>
  <c r="M33" i="10"/>
  <c r="N33" i="10"/>
  <c r="O33" i="10"/>
  <c r="P33" i="10"/>
  <c r="Q33" i="10"/>
  <c r="S33" i="10"/>
  <c r="T33" i="10"/>
  <c r="U33" i="10"/>
  <c r="V33" i="10"/>
  <c r="W33" i="10"/>
  <c r="X33" i="10"/>
  <c r="Y33" i="10"/>
  <c r="H34" i="10"/>
  <c r="I34" i="10"/>
  <c r="K34" i="10"/>
  <c r="L34" i="10"/>
  <c r="M34" i="10"/>
  <c r="N34" i="10"/>
  <c r="O34" i="10"/>
  <c r="P34" i="10"/>
  <c r="Q34" i="10"/>
  <c r="R34" i="10"/>
  <c r="T34" i="10"/>
  <c r="U34" i="10"/>
  <c r="V34" i="10"/>
  <c r="W34" i="10"/>
  <c r="X34" i="10"/>
  <c r="Y34" i="10"/>
  <c r="H35" i="10"/>
  <c r="I35" i="10"/>
  <c r="J35" i="10"/>
  <c r="L35" i="10"/>
  <c r="M35" i="10"/>
  <c r="N35" i="10"/>
  <c r="O35" i="10"/>
  <c r="P35" i="10"/>
  <c r="Q35" i="10"/>
  <c r="R35" i="10"/>
  <c r="S35" i="10"/>
  <c r="U35" i="10"/>
  <c r="V35" i="10"/>
  <c r="W35" i="10"/>
  <c r="X35" i="10"/>
  <c r="Y35" i="10"/>
  <c r="H36" i="10"/>
  <c r="I36" i="10"/>
  <c r="J36" i="10"/>
  <c r="K36" i="10"/>
  <c r="M36" i="10"/>
  <c r="N36" i="10"/>
  <c r="O36" i="10"/>
  <c r="P36" i="10"/>
  <c r="Q36" i="10"/>
  <c r="R36" i="10"/>
  <c r="S36" i="10"/>
  <c r="T36" i="10"/>
  <c r="V36" i="10"/>
  <c r="W36" i="10"/>
  <c r="X36" i="10"/>
  <c r="Y36" i="10"/>
  <c r="H37" i="10"/>
  <c r="I37" i="10"/>
  <c r="J37" i="10"/>
  <c r="K37" i="10"/>
  <c r="L37" i="10"/>
  <c r="N37" i="10"/>
  <c r="O37" i="10"/>
  <c r="P37" i="10"/>
  <c r="Q37" i="10"/>
  <c r="R37" i="10"/>
  <c r="S37" i="10"/>
  <c r="T37" i="10"/>
  <c r="U37" i="10"/>
  <c r="W37" i="10"/>
  <c r="X37" i="10"/>
  <c r="Y37" i="10"/>
  <c r="H38" i="10"/>
  <c r="I38" i="10"/>
  <c r="J38" i="10"/>
  <c r="K38" i="10"/>
  <c r="L38" i="10"/>
  <c r="M38" i="10"/>
  <c r="O38" i="10"/>
  <c r="P38" i="10"/>
  <c r="Q38" i="10"/>
  <c r="R38" i="10"/>
  <c r="S38" i="10"/>
  <c r="T38" i="10"/>
  <c r="U38" i="10"/>
  <c r="V38" i="10"/>
  <c r="X38" i="10"/>
  <c r="Y38" i="10"/>
  <c r="H39" i="10"/>
  <c r="I39" i="10"/>
  <c r="J39" i="10"/>
  <c r="K39" i="10"/>
  <c r="L39" i="10"/>
  <c r="M39" i="10"/>
  <c r="N39" i="10"/>
  <c r="P39" i="10"/>
  <c r="Q39" i="10"/>
  <c r="R39" i="10"/>
  <c r="S39" i="10"/>
  <c r="T39" i="10"/>
  <c r="U39" i="10"/>
  <c r="V39" i="10"/>
  <c r="W39" i="10"/>
  <c r="Y39" i="10"/>
  <c r="H40" i="10"/>
  <c r="I40" i="10"/>
  <c r="J40" i="10"/>
  <c r="K40" i="10"/>
  <c r="L40" i="10"/>
  <c r="M40" i="10"/>
  <c r="N40" i="10"/>
  <c r="O40" i="10"/>
  <c r="Q40" i="10"/>
  <c r="R40" i="10"/>
  <c r="S40" i="10"/>
  <c r="T40" i="10"/>
  <c r="U40" i="10"/>
  <c r="V40" i="10"/>
  <c r="W40" i="10"/>
  <c r="X40" i="10"/>
  <c r="I44" i="10"/>
  <c r="J44" i="10"/>
  <c r="K44" i="10"/>
  <c r="L44" i="10"/>
  <c r="M44" i="10"/>
  <c r="N44" i="10"/>
  <c r="O44" i="10"/>
  <c r="P44" i="10"/>
  <c r="R44" i="10"/>
  <c r="S44" i="10"/>
  <c r="T44" i="10"/>
  <c r="U44" i="10"/>
  <c r="V44" i="10"/>
  <c r="W44" i="10"/>
  <c r="X44" i="10"/>
  <c r="Y44" i="10"/>
  <c r="H45" i="10"/>
  <c r="J45" i="10"/>
  <c r="K45" i="10"/>
  <c r="L45" i="10"/>
  <c r="M45" i="10"/>
  <c r="N45" i="10"/>
  <c r="O45" i="10"/>
  <c r="P45" i="10"/>
  <c r="Q45" i="10"/>
  <c r="S45" i="10"/>
  <c r="T45" i="10"/>
  <c r="U45" i="10"/>
  <c r="V45" i="10"/>
  <c r="W45" i="10"/>
  <c r="X45" i="10"/>
  <c r="Y45" i="10"/>
  <c r="H46" i="10"/>
  <c r="I46" i="10"/>
  <c r="K46" i="10"/>
  <c r="L46" i="10"/>
  <c r="M46" i="10"/>
  <c r="N46" i="10"/>
  <c r="O46" i="10"/>
  <c r="P46" i="10"/>
  <c r="Q46" i="10"/>
  <c r="R46" i="10"/>
  <c r="T46" i="10"/>
  <c r="U46" i="10"/>
  <c r="V46" i="10"/>
  <c r="W46" i="10"/>
  <c r="X46" i="10"/>
  <c r="Y46" i="10"/>
  <c r="H47" i="10"/>
  <c r="I47" i="10"/>
  <c r="J47" i="10"/>
  <c r="L47" i="10"/>
  <c r="M47" i="10"/>
  <c r="N47" i="10"/>
  <c r="O47" i="10"/>
  <c r="P47" i="10"/>
  <c r="Q47" i="10"/>
  <c r="R47" i="10"/>
  <c r="S47" i="10"/>
  <c r="U47" i="10"/>
  <c r="V47" i="10"/>
  <c r="W47" i="10"/>
  <c r="X47" i="10"/>
  <c r="Y47" i="10"/>
  <c r="H48" i="10"/>
  <c r="I48" i="10"/>
  <c r="J48" i="10"/>
  <c r="K48" i="10"/>
  <c r="M48" i="10"/>
  <c r="N48" i="10"/>
  <c r="O48" i="10"/>
  <c r="P48" i="10"/>
  <c r="Q48" i="10"/>
  <c r="R48" i="10"/>
  <c r="S48" i="10"/>
  <c r="T48" i="10"/>
  <c r="V48" i="10"/>
  <c r="W48" i="10"/>
  <c r="X48" i="10"/>
  <c r="Y48" i="10"/>
  <c r="H49" i="10"/>
  <c r="I49" i="10"/>
  <c r="J49" i="10"/>
  <c r="K49" i="10"/>
  <c r="L49" i="10"/>
  <c r="N49" i="10"/>
  <c r="O49" i="10"/>
  <c r="P49" i="10"/>
  <c r="Q49" i="10"/>
  <c r="R49" i="10"/>
  <c r="S49" i="10"/>
  <c r="T49" i="10"/>
  <c r="U49" i="10"/>
  <c r="W49" i="10"/>
  <c r="X49" i="10"/>
  <c r="Y49" i="10"/>
  <c r="H50" i="10"/>
  <c r="I50" i="10"/>
  <c r="J50" i="10"/>
  <c r="K50" i="10"/>
  <c r="L50" i="10"/>
  <c r="M50" i="10"/>
  <c r="O50" i="10"/>
  <c r="P50" i="10"/>
  <c r="Q50" i="10"/>
  <c r="R50" i="10"/>
  <c r="S50" i="10"/>
  <c r="T50" i="10"/>
  <c r="U50" i="10"/>
  <c r="V50" i="10"/>
  <c r="X50" i="10"/>
  <c r="Y50" i="10"/>
  <c r="H51" i="10"/>
  <c r="I51" i="10"/>
  <c r="J51" i="10"/>
  <c r="K51" i="10"/>
  <c r="L51" i="10"/>
  <c r="M51" i="10"/>
  <c r="N51" i="10"/>
  <c r="P51" i="10"/>
  <c r="Q51" i="10"/>
  <c r="R51" i="10"/>
  <c r="S51" i="10"/>
  <c r="T51" i="10"/>
  <c r="U51" i="10"/>
  <c r="V51" i="10"/>
  <c r="W51" i="10"/>
  <c r="Y51" i="10"/>
  <c r="H52" i="10"/>
  <c r="I52" i="10"/>
  <c r="J52" i="10"/>
  <c r="K52" i="10"/>
  <c r="L52" i="10"/>
  <c r="M52" i="10"/>
  <c r="N52" i="10"/>
  <c r="O52" i="10"/>
  <c r="Q52" i="10"/>
  <c r="R52" i="10"/>
  <c r="S52" i="10"/>
  <c r="T52" i="10"/>
  <c r="U52" i="10"/>
  <c r="V52" i="10"/>
  <c r="W52" i="10"/>
  <c r="X52" i="10"/>
  <c r="B16" i="10"/>
  <c r="B15" i="10"/>
  <c r="B14" i="10"/>
  <c r="B13" i="10"/>
  <c r="B12" i="10"/>
  <c r="B11" i="10"/>
  <c r="B10" i="10"/>
  <c r="B9" i="10"/>
  <c r="B32" i="10"/>
  <c r="B33" i="10"/>
  <c r="B34" i="10"/>
  <c r="B35" i="10"/>
  <c r="B36" i="10"/>
  <c r="B37" i="10"/>
  <c r="B38" i="10"/>
  <c r="B39" i="10"/>
  <c r="B40" i="10"/>
  <c r="D17" i="3"/>
  <c r="L34" i="6"/>
  <c r="L58" i="6"/>
  <c r="L9" i="6"/>
  <c r="L33" i="6"/>
  <c r="L57" i="6"/>
  <c r="E8" i="10"/>
  <c r="F8" i="10"/>
  <c r="F9" i="10"/>
  <c r="F10" i="10"/>
  <c r="F11" i="10"/>
  <c r="F12" i="10"/>
  <c r="F13" i="10"/>
  <c r="F14" i="10"/>
  <c r="F15" i="10"/>
  <c r="F16" i="10"/>
  <c r="F20" i="10"/>
  <c r="F21" i="10"/>
  <c r="F22" i="10"/>
  <c r="F23" i="10"/>
  <c r="F24" i="10"/>
  <c r="F25" i="10"/>
  <c r="F26" i="10"/>
  <c r="F27" i="10"/>
  <c r="F28" i="10"/>
  <c r="F32" i="10"/>
  <c r="F33" i="10"/>
  <c r="F34" i="10"/>
  <c r="F35" i="10"/>
  <c r="F36" i="10"/>
  <c r="F37" i="10"/>
  <c r="F38" i="10"/>
  <c r="F39" i="10"/>
  <c r="F40" i="10"/>
  <c r="F44" i="10"/>
  <c r="F45" i="10"/>
  <c r="F46" i="10"/>
  <c r="F47" i="10"/>
  <c r="F48" i="10"/>
  <c r="F49" i="10"/>
  <c r="F50" i="10"/>
  <c r="F51" i="10"/>
  <c r="F52" i="10"/>
</calcChain>
</file>

<file path=xl/sharedStrings.xml><?xml version="1.0" encoding="utf-8"?>
<sst xmlns="http://schemas.openxmlformats.org/spreadsheetml/2006/main" count="827" uniqueCount="283">
  <si>
    <t>Nr.</t>
  </si>
  <si>
    <t>Spielpaarung</t>
  </si>
  <si>
    <t>Ergebnis</t>
  </si>
  <si>
    <t>Tore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</si>
  <si>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</si>
  <si>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</si>
  <si>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</si>
  <si>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</si>
  <si>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</si>
  <si>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</si>
  <si>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</si>
  <si>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</si>
  <si>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</si>
  <si>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</si>
  <si>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</si>
  <si>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</si>
  <si>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</si>
  <si>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</si>
  <si>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</si>
  <si>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</si>
  <si>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</si>
  <si>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</si>
  <si>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</si>
  <si>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</si>
  <si>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</si>
  <si>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</si>
  <si>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</si>
  <si>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</si>
  <si>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</si>
  <si>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</si>
  <si>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</si>
  <si>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</si>
  <si>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</si>
  <si>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</si>
  <si>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</si>
  <si>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</si>
  <si>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</si>
  <si>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</si>
  <si>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</si>
  <si>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</si>
  <si>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</si>
  <si>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</si>
  <si>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</si>
  <si>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</si>
  <si>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</si>
  <si>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</si>
  <si>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</si>
  <si>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</si>
  <si>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</si>
  <si>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</si>
  <si>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</si>
  <si>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</si>
  <si>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</si>
  <si>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</si>
  <si>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</si>
  <si>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</si>
  <si>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</si>
  <si>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</si>
  <si>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</si>
  <si>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</si>
  <si>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Sind zwei oder mehr Mannschaften nicht unterscheidbar und wird eine Fairplay- oder Losentscheidung getroffen, genügt es, für die bevorzugte Mannschaft einen Bonuspunkt einzutragen.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</si>
  <si>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</si>
  <si>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</si>
  <si>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</si>
  <si>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</si>
  <si>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</si>
  <si>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</si>
  <si>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</si>
  <si>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</si>
  <si>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</si>
  <si>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</si>
  <si>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</si>
  <si>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</si>
  <si>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</si>
  <si>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</si>
  <si>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</si>
  <si>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</si>
  <si>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</si>
  <si>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</si>
  <si>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</si>
  <si>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</si>
  <si>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</si>
  <si>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</si>
  <si>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</si>
  <si>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</si>
  <si>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</si>
  <si>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</si>
  <si>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</si>
  <si>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</si>
  <si>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</si>
  <si>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</si>
  <si>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</si>
  <si>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</si>
  <si>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</si>
  <si>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</si>
  <si>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</si>
  <si>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</si>
  <si>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</si>
  <si>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</si>
  <si>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</si>
  <si>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</si>
  <si>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</si>
  <si>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</si>
  <si>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FP-Lot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</si>
  <si>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</si>
  <si>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</si>
  <si>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</si>
  <si>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</si>
  <si>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</si>
  <si>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</si>
  <si>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</si>
  <si>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</si>
  <si>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</si>
  <si>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</si>
  <si>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</si>
  <si>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</si>
  <si>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</si>
  <si>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</si>
  <si>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</si>
  <si>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</si>
  <si>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</si>
  <si>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</si>
  <si>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</si>
  <si>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</si>
  <si>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</si>
  <si>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Fair play - lot</t>
  </si>
  <si>
    <t>If two or more teams cannot be distinguished and fair play or lot decides, it is sufficient to enter a bonus point for the preferred team.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</si>
  <si>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</si>
  <si>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</si>
  <si>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</si>
  <si>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</si>
  <si>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</si>
  <si>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</si>
  <si>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</si>
  <si>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</si>
  <si>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</si>
  <si>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</si>
  <si>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</si>
  <si>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</si>
  <si>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</si>
  <si>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</si>
  <si>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</si>
  <si>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</si>
  <si>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</si>
  <si>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</si>
  <si>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</si>
  <si>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</si>
  <si>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</si>
  <si>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</si>
  <si>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</si>
  <si>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</si>
  <si>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English</t>
  </si>
  <si>
    <t>Deutsch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</si>
  <si>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</si>
  <si>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</si>
  <si>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</si>
  <si>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</si>
  <si>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</si>
  <si>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</si>
  <si>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</si>
  <si>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</si>
  <si>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</si>
  <si>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</si>
  <si>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</si>
  <si>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</si>
  <si>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</si>
  <si>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</si>
  <si>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</si>
  <si>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Fair Play - Los</t>
  </si>
  <si>
    <t>Display direct comparisons</t>
  </si>
  <si>
    <t>erz. Tore</t>
  </si>
  <si>
    <t>Rote Schrift bedeutet, dass die Rangfolge auch mit dem direkten Vergleich nicht geklärt ist. Fair Play oder Los muss hier entscheiden.</t>
  </si>
  <si>
    <t>Red font means that the ranking is not clear even with the direct comparison. Fair play or lot has to decide here.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</si>
  <si>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</si>
  <si>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</si>
  <si>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</si>
  <si>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</si>
  <si>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</si>
  <si>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</si>
  <si>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</si>
  <si>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</si>
  <si>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</si>
  <si>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</si>
  <si>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</si>
  <si>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</si>
  <si>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</si>
  <si>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</si>
  <si>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</si>
  <si>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</si>
  <si>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</si>
  <si>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</si>
  <si>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</si>
  <si>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</si>
  <si>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</si>
  <si>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</si>
  <si>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</si>
  <si>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</si>
  <si>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</si>
  <si>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</si>
  <si>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</si>
  <si>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</si>
  <si>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</si>
  <si>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</si>
  <si>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DirC + FP-Lot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</si>
  <si>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</si>
  <si>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</si>
  <si>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</si>
  <si>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</si>
  <si>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</si>
  <si>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</si>
  <si>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</si>
  <si>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</si>
  <si>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</si>
  <si>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</si>
  <si>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</si>
  <si>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</si>
  <si>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</si>
  <si>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</si>
  <si>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</si>
  <si>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</si>
  <si>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</si>
  <si>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</si>
  <si>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GD+ GF</t>
  </si>
  <si>
    <t>DirC</t>
  </si>
  <si>
    <t>Direct comparison over goal difference and goals forced</t>
  </si>
  <si>
    <t>Direkte Vergleiche bei Gleichstand in Punkten, Tordifferenz und erzielten Toren (FIFA-Modus)</t>
  </si>
  <si>
    <t>Direct comparisons in case of a tie in points (UEFA mode)</t>
  </si>
  <si>
    <t>Direkte Vergleiche bei Gleichstand in Punkten (UEFA-Modus)</t>
  </si>
  <si>
    <t>Direct comparisons in case of a tie in points, goal difference and goals scored (FIFA mode)</t>
  </si>
  <si>
    <t>Modus für direkte Vergleiche:</t>
  </si>
  <si>
    <t>Direct comparison mode:</t>
  </si>
  <si>
    <t>Modus 1</t>
  </si>
  <si>
    <t>Modus 2</t>
  </si>
  <si>
    <t>Mode 1</t>
  </si>
  <si>
    <t>Mode 2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</si>
  <si>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</si>
  <si>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</si>
  <si>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</si>
  <si>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</si>
  <si>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</si>
  <si>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</si>
  <si>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</si>
  <si>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</si>
  <si>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</si>
  <si>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</si>
  <si>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</si>
  <si>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</si>
  <si>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</si>
  <si>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</si>
  <si>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</si>
  <si>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</si>
  <si>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</si>
  <si>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</si>
  <si>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</si>
  <si>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</si>
  <si>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</si>
  <si>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</si>
  <si>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</si>
  <si>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</si>
  <si>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</si>
  <si>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</si>
  <si>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</si>
  <si>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</si>
  <si>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</si>
  <si>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(max. 4)</t>
  </si>
  <si>
    <t>number of matches</t>
  </si>
  <si>
    <t>number of matches / 2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</si>
  <si>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</si>
  <si>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</si>
  <si>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</si>
  <si>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</si>
  <si>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</si>
  <si>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</si>
  <si>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</si>
  <si>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 xml:space="preserve"> Spielplatz gespielt werden.</t>
  </si>
  <si>
    <t xml:space="preserve"> pitch.</t>
  </si>
  <si>
    <t>GDz</t>
  </si>
  <si>
    <t>Version  1.12</t>
  </si>
  <si>
    <t>Version 1.12
23.04.2024</t>
  </si>
  <si>
    <t>International tournament U10 on Apr. 25th, 2024</t>
  </si>
  <si>
    <t>Organizer:  1. FC Riedwald</t>
  </si>
  <si>
    <t>Sports hall Wiesengrund, Wendiger Str. 51, 65432 Riedwald</t>
  </si>
  <si>
    <t>Start: 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</si>
</sst>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0.0"/>
    <numFmt numFmtId="167" formatCode="h:mm;@"/>
    <numFmt numFmtId="168" formatCode="0.000000"/>
  </numFmts>
  <fonts count="71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theme="8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sz val="12"/>
      <color theme="2" tint="-0.74999237037263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</fills>
  <borders count="2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9.9948118533890809E-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570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vertical="center"/>
      <protection hidden="1"/>
    </xf>
    <xf numFmtId="0" fontId="8" fillId="0" borderId="10" xfId="0" applyNumberFormat="1" applyFont="1" applyFill="1" applyBorder="1" applyAlignment="1" applyProtection="1">
      <alignment vertical="center"/>
      <protection hidden="1"/>
    </xf>
    <xf numFmtId="0" fontId="8" fillId="0" borderId="11" xfId="0" applyNumberFormat="1" applyFont="1" applyFill="1" applyBorder="1" applyAlignment="1" applyProtection="1">
      <alignment vertical="center"/>
      <protection hidden="1"/>
    </xf>
    <xf numFmtId="0" fontId="8" fillId="0" borderId="12" xfId="0" applyNumberFormat="1" applyFont="1" applyFill="1" applyBorder="1" applyAlignment="1" applyProtection="1">
      <alignment vertical="center"/>
      <protection hidden="1"/>
    </xf>
    <xf numFmtId="0" fontId="8" fillId="0" borderId="13" xfId="0" applyNumberFormat="1" applyFont="1" applyFill="1" applyBorder="1" applyAlignment="1" applyProtection="1">
      <alignment vertical="center"/>
      <protection hidden="1"/>
    </xf>
    <xf numFmtId="0" fontId="8" fillId="0" borderId="14" xfId="0" applyNumberFormat="1" applyFont="1" applyFill="1" applyBorder="1" applyAlignment="1" applyProtection="1">
      <alignment vertical="center"/>
      <protection hidden="1"/>
    </xf>
    <xf numFmtId="0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11" fillId="0" borderId="16" xfId="0" applyNumberFormat="1" applyFont="1" applyFill="1" applyBorder="1" applyAlignment="1" applyProtection="1">
      <alignment horizontal="center" vertical="center"/>
      <protection hidden="1"/>
    </xf>
    <xf numFmtId="0" fontId="11" fillId="0" borderId="17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9" xfId="0" applyNumberFormat="1" applyFont="1" applyFill="1" applyBorder="1" applyAlignment="1" applyProtection="1">
      <alignment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vertical="center"/>
      <protection hidden="1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vertical="center"/>
      <protection hidden="1"/>
    </xf>
    <xf numFmtId="0" fontId="8" fillId="0" borderId="25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/>
    <xf numFmtId="0" fontId="16" fillId="0" borderId="0" xfId="0" applyFont="1"/>
    <xf numFmtId="0" fontId="8" fillId="0" borderId="32" xfId="0" applyNumberFormat="1" applyFont="1" applyFill="1" applyBorder="1" applyAlignment="1" applyProtection="1">
      <alignment horizontal="right" vertical="center" indent="1"/>
      <protection hidden="1"/>
    </xf>
    <xf numFmtId="0" fontId="8" fillId="0" borderId="35" xfId="0" applyNumberFormat="1" applyFont="1" applyFill="1" applyBorder="1" applyAlignment="1" applyProtection="1">
      <alignment horizontal="right" vertical="center" indent="1"/>
      <protection hidden="1"/>
    </xf>
    <xf numFmtId="0" fontId="8" fillId="0" borderId="37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55" xfId="0" applyFont="1" applyBorder="1" applyAlignment="1">
      <alignment horizontal="center" vertical="center"/>
    </xf>
    <xf numFmtId="0" fontId="22" fillId="0" borderId="69" xfId="0" applyFont="1" applyBorder="1" applyAlignment="1">
      <alignment horizontal="left" vertical="center"/>
    </xf>
    <xf numFmtId="0" fontId="22" fillId="0" borderId="50" xfId="0" applyFont="1" applyBorder="1" applyAlignment="1">
      <alignment horizontal="right" vertical="center"/>
    </xf>
    <xf numFmtId="0" fontId="23" fillId="10" borderId="55" xfId="0" applyFont="1" applyFill="1" applyBorder="1" applyAlignment="1">
      <alignment horizontal="center" vertical="center"/>
    </xf>
    <xf numFmtId="0" fontId="23" fillId="10" borderId="50" xfId="0" applyFont="1" applyFill="1" applyBorder="1" applyAlignment="1" applyProtection="1">
      <alignment vertical="center"/>
      <protection locked="0"/>
    </xf>
    <xf numFmtId="0" fontId="23" fillId="10" borderId="49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/>
    <xf numFmtId="0" fontId="8" fillId="0" borderId="0" xfId="0" quotePrefix="1" applyNumberFormat="1" applyFont="1" applyFill="1" applyBorder="1" applyAlignment="1" applyProtection="1">
      <alignment vertical="center"/>
      <protection hidden="1"/>
    </xf>
    <xf numFmtId="0" fontId="8" fillId="0" borderId="72" xfId="0" applyNumberFormat="1" applyFont="1" applyFill="1" applyBorder="1" applyAlignment="1" applyProtection="1">
      <alignment vertical="center"/>
      <protection hidden="1"/>
    </xf>
    <xf numFmtId="0" fontId="8" fillId="0" borderId="73" xfId="0" applyNumberFormat="1" applyFont="1" applyFill="1" applyBorder="1" applyAlignment="1" applyProtection="1">
      <alignment vertical="center"/>
      <protection hidden="1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8" fillId="0" borderId="75" xfId="0" applyNumberFormat="1" applyFont="1" applyFill="1" applyBorder="1" applyAlignment="1" applyProtection="1">
      <alignment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78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34" xfId="0" applyNumberFormat="1" applyFont="1" applyFill="1" applyBorder="1" applyAlignment="1" applyProtection="1">
      <alignment horizontal="left" vertical="center"/>
      <protection hidden="1"/>
    </xf>
    <xf numFmtId="0" fontId="8" fillId="0" borderId="36" xfId="0" applyNumberFormat="1" applyFont="1" applyFill="1" applyBorder="1" applyAlignment="1" applyProtection="1">
      <alignment horizontal="left" vertical="center"/>
      <protection hidden="1"/>
    </xf>
    <xf numFmtId="0" fontId="8" fillId="0" borderId="38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83" xfId="0" applyNumberFormat="1" applyFont="1" applyFill="1" applyBorder="1" applyAlignment="1" applyProtection="1">
      <alignment horizontal="right" vertical="center" indent="1"/>
      <protection hidden="1"/>
    </xf>
    <xf numFmtId="0" fontId="8" fillId="0" borderId="84" xfId="0" applyNumberFormat="1" applyFont="1" applyFill="1" applyBorder="1" applyAlignment="1" applyProtection="1">
      <alignment horizontal="right" vertical="center" indent="1"/>
      <protection hidden="1"/>
    </xf>
    <xf numFmtId="0" fontId="8" fillId="0" borderId="85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3" borderId="98" xfId="0" applyFill="1" applyBorder="1" applyAlignment="1" applyProtection="1">
      <alignment horizontal="left" indent="1"/>
      <protection locked="0"/>
    </xf>
    <xf numFmtId="0" fontId="0" fillId="14" borderId="99" xfId="0" applyFill="1" applyBorder="1" applyAlignment="1" applyProtection="1">
      <alignment horizontal="left" indent="1"/>
      <protection locked="0"/>
    </xf>
    <xf numFmtId="0" fontId="0" fillId="15" borderId="100" xfId="0" applyFill="1" applyBorder="1" applyAlignment="1" applyProtection="1">
      <alignment horizontal="left" indent="1"/>
      <protection locked="0"/>
    </xf>
    <xf numFmtId="0" fontId="41" fillId="0" borderId="93" xfId="0" applyFont="1" applyFill="1" applyBorder="1" applyAlignment="1">
      <alignment horizontal="left" indent="1"/>
    </xf>
    <xf numFmtId="0" fontId="0" fillId="0" borderId="94" xfId="0" applyBorder="1" applyAlignment="1">
      <alignment horizontal="left" indent="1"/>
    </xf>
    <xf numFmtId="0" fontId="0" fillId="0" borderId="101" xfId="0" applyBorder="1" applyAlignment="1">
      <alignment horizontal="left" indent="1"/>
    </xf>
    <xf numFmtId="0" fontId="41" fillId="0" borderId="96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92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5" borderId="100" xfId="0" applyFill="1" applyBorder="1" applyAlignment="1" applyProtection="1">
      <alignment horizontal="left" vertical="top" wrapText="1" indent="1"/>
      <protection locked="0"/>
    </xf>
    <xf numFmtId="0" fontId="0" fillId="13" borderId="98" xfId="0" applyFill="1" applyBorder="1" applyAlignment="1" applyProtection="1">
      <alignment horizontal="left" vertical="top" wrapText="1" indent="1"/>
      <protection locked="0"/>
    </xf>
    <xf numFmtId="0" fontId="0" fillId="14" borderId="99" xfId="0" applyFill="1" applyBorder="1" applyAlignment="1" applyProtection="1">
      <alignment horizontal="left" vertical="top" wrapText="1" indent="1"/>
      <protection locked="0"/>
    </xf>
    <xf numFmtId="0" fontId="0" fillId="14" borderId="103" xfId="0" applyFill="1" applyBorder="1" applyAlignment="1" applyProtection="1">
      <alignment horizontal="left" vertical="top" wrapText="1" indent="1"/>
      <protection locked="0"/>
    </xf>
    <xf numFmtId="0" fontId="0" fillId="14" borderId="97" xfId="0" applyFill="1" applyBorder="1" applyAlignment="1" applyProtection="1">
      <alignment horizontal="left" vertical="top" indent="1"/>
      <protection locked="0"/>
    </xf>
    <xf numFmtId="0" fontId="4" fillId="13" borderId="98" xfId="0" applyFont="1" applyFill="1" applyBorder="1" applyAlignment="1" applyProtection="1">
      <alignment horizontal="left" vertical="center" indent="1"/>
      <protection locked="0"/>
    </xf>
    <xf numFmtId="0" fontId="4" fillId="15" borderId="100" xfId="0" applyFont="1" applyFill="1" applyBorder="1" applyAlignment="1" applyProtection="1">
      <alignment horizontal="left" vertical="center" indent="1"/>
      <protection locked="0"/>
    </xf>
    <xf numFmtId="0" fontId="4" fillId="15" borderId="100" xfId="0" applyFont="1" applyFill="1" applyBorder="1" applyAlignment="1" applyProtection="1">
      <alignment horizontal="left" vertical="top" wrapText="1" indent="1"/>
      <protection locked="0"/>
    </xf>
    <xf numFmtId="0" fontId="4" fillId="13" borderId="98" xfId="0" applyFont="1" applyFill="1" applyBorder="1" applyAlignment="1" applyProtection="1">
      <alignment horizontal="left" indent="1"/>
      <protection locked="0"/>
    </xf>
    <xf numFmtId="0" fontId="4" fillId="15" borderId="100" xfId="0" applyFont="1" applyFill="1" applyBorder="1" applyAlignment="1" applyProtection="1">
      <alignment horizontal="left" indent="1"/>
      <protection locked="0"/>
    </xf>
    <xf numFmtId="0" fontId="4" fillId="15" borderId="100" xfId="0" applyFont="1" applyFill="1" applyBorder="1" applyAlignment="1">
      <alignment horizontal="left" indent="1"/>
    </xf>
    <xf numFmtId="0" fontId="4" fillId="14" borderId="99" xfId="0" applyFont="1" applyFill="1" applyBorder="1" applyAlignment="1" applyProtection="1">
      <alignment horizontal="left" indent="1"/>
      <protection locked="0"/>
    </xf>
    <xf numFmtId="0" fontId="4" fillId="13" borderId="102" xfId="0" applyFont="1" applyFill="1" applyBorder="1" applyAlignment="1" applyProtection="1">
      <alignment horizontal="left" vertical="top" indent="1"/>
      <protection locked="0"/>
    </xf>
    <xf numFmtId="0" fontId="4" fillId="15" borderId="100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29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3" borderId="104" xfId="0" applyFont="1" applyFill="1" applyBorder="1" applyAlignment="1" applyProtection="1">
      <alignment horizontal="left" vertical="top" indent="1"/>
      <protection locked="0"/>
    </xf>
    <xf numFmtId="0" fontId="1" fillId="14" borderId="91" xfId="0" applyFont="1" applyFill="1" applyBorder="1" applyAlignment="1" applyProtection="1">
      <alignment horizontal="center" vertical="center"/>
      <protection locked="0"/>
    </xf>
    <xf numFmtId="0" fontId="4" fillId="15" borderId="96" xfId="0" applyFont="1" applyFill="1" applyBorder="1" applyAlignment="1" applyProtection="1">
      <alignment horizontal="left" vertical="top" indent="1"/>
      <protection locked="0"/>
    </xf>
    <xf numFmtId="0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Fill="1" applyBorder="1" applyAlignment="1" applyProtection="1">
      <alignment horizontal="center" vertical="center"/>
      <protection hidden="1"/>
    </xf>
    <xf numFmtId="0" fontId="21" fillId="0" borderId="112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33" fillId="14" borderId="11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1" fillId="0" borderId="30" xfId="0" applyNumberFormat="1" applyFont="1" applyBorder="1" applyAlignment="1">
      <alignment horizontal="center" vertical="center"/>
    </xf>
    <xf numFmtId="164" fontId="21" fillId="0" borderId="31" xfId="0" applyNumberFormat="1" applyFont="1" applyBorder="1" applyAlignment="1">
      <alignment horizontal="center" vertical="center"/>
    </xf>
    <xf numFmtId="0" fontId="19" fillId="14" borderId="29" xfId="0" applyFont="1" applyFill="1" applyBorder="1"/>
    <xf numFmtId="3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8" borderId="44" xfId="0" applyFont="1" applyFill="1" applyBorder="1" applyAlignment="1">
      <alignment horizontal="center" vertical="center"/>
    </xf>
    <xf numFmtId="0" fontId="21" fillId="8" borderId="116" xfId="0" applyFont="1" applyFill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33" fillId="14" borderId="117" xfId="0" applyFont="1" applyFill="1" applyBorder="1" applyAlignment="1">
      <alignment horizontal="left" vertical="center" indent="1"/>
    </xf>
    <xf numFmtId="0" fontId="21" fillId="0" borderId="118" xfId="0" applyFont="1" applyBorder="1" applyAlignment="1">
      <alignment horizontal="left" vertical="center" indent="1"/>
    </xf>
    <xf numFmtId="0" fontId="21" fillId="0" borderId="119" xfId="0" applyFont="1" applyBorder="1" applyAlignment="1">
      <alignment horizontal="left" vertical="center" indent="1"/>
    </xf>
    <xf numFmtId="0" fontId="21" fillId="0" borderId="120" xfId="0" applyFont="1" applyBorder="1" applyAlignment="1">
      <alignment horizontal="left" vertical="center" indent="1"/>
    </xf>
    <xf numFmtId="0" fontId="33" fillId="14" borderId="115" xfId="0" applyFont="1" applyFill="1" applyBorder="1" applyAlignment="1">
      <alignment horizontal="center" vertical="center"/>
    </xf>
    <xf numFmtId="0" fontId="46" fillId="0" borderId="116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51" xfId="0" applyFont="1" applyBorder="1" applyAlignment="1">
      <alignment horizontal="center" vertical="center"/>
    </xf>
    <xf numFmtId="0" fontId="21" fillId="0" borderId="121" xfId="0" applyFont="1" applyBorder="1" applyAlignment="1">
      <alignment horizontal="center" vertical="center"/>
    </xf>
    <xf numFmtId="0" fontId="21" fillId="0" borderId="122" xfId="0" applyFont="1" applyBorder="1" applyAlignment="1">
      <alignment horizontal="center" vertical="center"/>
    </xf>
    <xf numFmtId="0" fontId="21" fillId="8" borderId="123" xfId="0" applyFont="1" applyFill="1" applyBorder="1" applyAlignment="1">
      <alignment horizontal="center" vertical="center"/>
    </xf>
    <xf numFmtId="165" fontId="22" fillId="14" borderId="124" xfId="0" applyNumberFormat="1" applyFont="1" applyFill="1" applyBorder="1" applyAlignment="1">
      <alignment horizontal="center" vertical="center"/>
    </xf>
    <xf numFmtId="165" fontId="22" fillId="14" borderId="113" xfId="0" applyNumberFormat="1" applyFont="1" applyFill="1" applyBorder="1" applyAlignment="1">
      <alignment horizontal="center" vertical="center"/>
    </xf>
    <xf numFmtId="165" fontId="22" fillId="14" borderId="125" xfId="0" applyNumberFormat="1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8" borderId="127" xfId="0" applyFont="1" applyFill="1" applyBorder="1" applyAlignment="1">
      <alignment horizontal="center" vertical="center"/>
    </xf>
    <xf numFmtId="0" fontId="21" fillId="0" borderId="128" xfId="0" applyFont="1" applyBorder="1" applyAlignment="1">
      <alignment horizontal="center" vertical="center"/>
    </xf>
    <xf numFmtId="0" fontId="21" fillId="0" borderId="13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3" borderId="0" xfId="0" applyNumberFormat="1" applyFont="1" applyFill="1" applyAlignment="1">
      <alignment horizontal="center"/>
    </xf>
    <xf numFmtId="0" fontId="19" fillId="0" borderId="137" xfId="0" applyNumberFormat="1" applyFont="1" applyBorder="1" applyAlignment="1">
      <alignment horizontal="center" vertical="center"/>
    </xf>
    <xf numFmtId="0" fontId="4" fillId="13" borderId="98" xfId="0" applyFont="1" applyFill="1" applyBorder="1" applyAlignment="1" applyProtection="1">
      <alignment horizontal="left" vertical="top" wrapText="1" indent="1"/>
      <protection locked="0"/>
    </xf>
    <xf numFmtId="0" fontId="8" fillId="0" borderId="33" xfId="0" applyNumberFormat="1" applyFont="1" applyFill="1" applyBorder="1" applyAlignment="1" applyProtection="1">
      <alignment horizontal="center" vertical="center"/>
      <protection hidden="1"/>
    </xf>
    <xf numFmtId="0" fontId="8" fillId="0" borderId="34" xfId="0" applyNumberFormat="1" applyFont="1" applyFill="1" applyBorder="1" applyAlignment="1" applyProtection="1">
      <alignment horizontal="center" vertical="center"/>
      <protection hidden="1"/>
    </xf>
    <xf numFmtId="0" fontId="8" fillId="0" borderId="36" xfId="0" applyNumberFormat="1" applyFont="1" applyFill="1" applyBorder="1" applyAlignment="1" applyProtection="1">
      <alignment horizontal="center" vertical="center"/>
      <protection hidden="1"/>
    </xf>
    <xf numFmtId="0" fontId="8" fillId="0" borderId="71" xfId="0" applyNumberFormat="1" applyFont="1" applyFill="1" applyBorder="1" applyAlignment="1" applyProtection="1">
      <alignment horizontal="center" vertical="center"/>
      <protection hidden="1"/>
    </xf>
    <xf numFmtId="0" fontId="8" fillId="0" borderId="38" xfId="0" applyNumberFormat="1" applyFont="1" applyFill="1" applyBorder="1" applyAlignment="1" applyProtection="1">
      <alignment horizontal="center" vertical="center"/>
      <protection hidden="1"/>
    </xf>
    <xf numFmtId="0" fontId="8" fillId="0" borderId="71" xfId="0" applyNumberFormat="1" applyFont="1" applyFill="1" applyBorder="1" applyAlignment="1" applyProtection="1">
      <alignment vertical="center"/>
      <protection hidden="1"/>
    </xf>
    <xf numFmtId="0" fontId="8" fillId="0" borderId="32" xfId="0" applyNumberFormat="1" applyFont="1" applyFill="1" applyBorder="1" applyAlignment="1" applyProtection="1">
      <alignment horizontal="center" vertical="center"/>
      <protection hidden="1"/>
    </xf>
    <xf numFmtId="0" fontId="8" fillId="0" borderId="35" xfId="0" applyNumberFormat="1" applyFont="1" applyFill="1" applyBorder="1" applyAlignment="1" applyProtection="1">
      <alignment horizontal="center" vertical="center"/>
      <protection hidden="1"/>
    </xf>
    <xf numFmtId="0" fontId="8" fillId="0" borderId="37" xfId="0" applyNumberFormat="1" applyFont="1" applyFill="1" applyBorder="1" applyAlignment="1" applyProtection="1">
      <alignment horizontal="center" vertical="center"/>
      <protection hidden="1"/>
    </xf>
    <xf numFmtId="0" fontId="33" fillId="14" borderId="138" xfId="0" applyFont="1" applyFill="1" applyBorder="1" applyAlignment="1">
      <alignment horizontal="left" vertical="center" indent="1"/>
    </xf>
    <xf numFmtId="0" fontId="33" fillId="14" borderId="124" xfId="0" applyFont="1" applyFill="1" applyBorder="1" applyAlignment="1">
      <alignment horizontal="center" vertical="center"/>
    </xf>
    <xf numFmtId="0" fontId="33" fillId="14" borderId="138" xfId="0" applyFont="1" applyFill="1" applyBorder="1" applyAlignment="1">
      <alignment horizontal="center" vertical="center"/>
    </xf>
    <xf numFmtId="0" fontId="21" fillId="0" borderId="126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165" fontId="22" fillId="14" borderId="142" xfId="0" applyNumberFormat="1" applyFont="1" applyFill="1" applyBorder="1" applyAlignment="1">
      <alignment horizontal="center" vertical="center"/>
    </xf>
    <xf numFmtId="0" fontId="21" fillId="0" borderId="143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8" borderId="48" xfId="0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71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 wrapText="1"/>
      <protection locked="0"/>
    </xf>
    <xf numFmtId="0" fontId="4" fillId="13" borderId="104" xfId="0" applyFont="1" applyFill="1" applyBorder="1" applyAlignment="1" applyProtection="1">
      <alignment horizontal="left" vertical="top" wrapText="1" indent="1"/>
      <protection locked="0"/>
    </xf>
    <xf numFmtId="0" fontId="4" fillId="15" borderId="96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19" fillId="12" borderId="86" xfId="0" applyFont="1" applyFill="1" applyBorder="1" applyProtection="1"/>
    <xf numFmtId="0" fontId="19" fillId="12" borderId="87" xfId="0" applyFont="1" applyFill="1" applyBorder="1" applyProtection="1"/>
    <xf numFmtId="0" fontId="19" fillId="0" borderId="88" xfId="0" applyFont="1" applyFill="1" applyBorder="1" applyProtection="1"/>
    <xf numFmtId="0" fontId="19" fillId="0" borderId="88" xfId="0" applyFont="1" applyFill="1" applyBorder="1" applyAlignment="1" applyProtection="1">
      <alignment vertical="center"/>
    </xf>
    <xf numFmtId="0" fontId="32" fillId="0" borderId="88" xfId="3" applyFill="1" applyBorder="1" applyAlignment="1" applyProtection="1">
      <alignment vertical="center"/>
    </xf>
    <xf numFmtId="0" fontId="19" fillId="12" borderId="105" xfId="0" applyFont="1" applyFill="1" applyBorder="1" applyProtection="1"/>
    <xf numFmtId="0" fontId="19" fillId="12" borderId="106" xfId="0" applyFont="1" applyFill="1" applyBorder="1" applyProtection="1"/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43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46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43" xfId="0" applyFont="1" applyBorder="1" applyAlignment="1">
      <alignment horizontal="center" vertical="center"/>
    </xf>
    <xf numFmtId="167" fontId="21" fillId="0" borderId="44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left" vertical="center" indent="1"/>
    </xf>
    <xf numFmtId="0" fontId="21" fillId="0" borderId="46" xfId="0" applyFont="1" applyBorder="1" applyAlignment="1">
      <alignment horizontal="center" vertical="center"/>
    </xf>
    <xf numFmtId="167" fontId="21" fillId="0" borderId="47" xfId="0" applyNumberFormat="1" applyFont="1" applyBorder="1" applyAlignment="1">
      <alignment horizontal="center" vertical="center"/>
    </xf>
    <xf numFmtId="0" fontId="21" fillId="0" borderId="48" xfId="0" applyFont="1" applyBorder="1" applyAlignment="1">
      <alignment horizontal="left" vertical="center" indent="1"/>
    </xf>
    <xf numFmtId="0" fontId="21" fillId="0" borderId="57" xfId="0" applyFont="1" applyBorder="1" applyAlignment="1">
      <alignment horizontal="center" vertical="center"/>
    </xf>
    <xf numFmtId="167" fontId="21" fillId="0" borderId="161" xfId="0" applyNumberFormat="1" applyFont="1" applyBorder="1" applyAlignment="1">
      <alignment horizontal="center" vertical="center"/>
    </xf>
    <xf numFmtId="0" fontId="33" fillId="14" borderId="162" xfId="0" applyFont="1" applyFill="1" applyBorder="1" applyAlignment="1">
      <alignment horizontal="center" vertical="center"/>
    </xf>
    <xf numFmtId="0" fontId="33" fillId="14" borderId="163" xfId="0" applyFont="1" applyFill="1" applyBorder="1" applyAlignment="1">
      <alignment horizontal="center" vertical="center"/>
    </xf>
    <xf numFmtId="0" fontId="33" fillId="14" borderId="164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44" xfId="0" applyNumberFormat="1" applyFont="1" applyBorder="1" applyAlignment="1">
      <alignment horizontal="center" vertical="center"/>
    </xf>
    <xf numFmtId="0" fontId="24" fillId="0" borderId="112" xfId="0" applyNumberFormat="1" applyFont="1" applyBorder="1" applyAlignment="1">
      <alignment horizontal="center" vertical="center"/>
    </xf>
    <xf numFmtId="0" fontId="24" fillId="0" borderId="44" xfId="0" applyNumberFormat="1" applyFont="1" applyBorder="1" applyAlignment="1">
      <alignment horizontal="center" vertical="center"/>
    </xf>
    <xf numFmtId="167" fontId="24" fillId="0" borderId="47" xfId="0" applyNumberFormat="1" applyFont="1" applyBorder="1" applyAlignment="1">
      <alignment horizontal="center" vertical="center"/>
    </xf>
    <xf numFmtId="0" fontId="23" fillId="10" borderId="52" xfId="0" applyFont="1" applyFill="1" applyBorder="1" applyAlignment="1" applyProtection="1">
      <alignment vertical="center"/>
      <protection locked="0"/>
    </xf>
    <xf numFmtId="0" fontId="23" fillId="10" borderId="56" xfId="0" applyFont="1" applyFill="1" applyBorder="1" applyAlignment="1">
      <alignment horizontal="center" vertical="center"/>
    </xf>
    <xf numFmtId="0" fontId="23" fillId="10" borderId="51" xfId="0" applyFont="1" applyFill="1" applyBorder="1" applyAlignment="1" applyProtection="1">
      <alignment horizontal="left" vertical="center"/>
      <protection locked="0"/>
    </xf>
    <xf numFmtId="0" fontId="22" fillId="0" borderId="56" xfId="0" applyFont="1" applyBorder="1" applyAlignment="1">
      <alignment horizontal="center" vertical="center"/>
    </xf>
    <xf numFmtId="164" fontId="24" fillId="0" borderId="57" xfId="0" applyNumberFormat="1" applyFont="1" applyBorder="1" applyAlignment="1">
      <alignment horizontal="center" vertical="center"/>
    </xf>
    <xf numFmtId="0" fontId="23" fillId="10" borderId="168" xfId="0" applyFont="1" applyFill="1" applyBorder="1" applyAlignment="1" applyProtection="1">
      <alignment vertical="center"/>
      <protection locked="0"/>
    </xf>
    <xf numFmtId="0" fontId="23" fillId="10" borderId="169" xfId="0" applyFont="1" applyFill="1" applyBorder="1" applyAlignment="1">
      <alignment horizontal="center" vertical="center"/>
    </xf>
    <xf numFmtId="0" fontId="23" fillId="10" borderId="170" xfId="0" applyFont="1" applyFill="1" applyBorder="1" applyAlignment="1" applyProtection="1">
      <alignment horizontal="left" vertical="center"/>
      <protection locked="0"/>
    </xf>
    <xf numFmtId="0" fontId="22" fillId="0" borderId="168" xfId="0" applyFont="1" applyBorder="1" applyAlignment="1">
      <alignment horizontal="right" vertical="center"/>
    </xf>
    <xf numFmtId="0" fontId="22" fillId="0" borderId="169" xfId="0" applyFont="1" applyBorder="1" applyAlignment="1">
      <alignment horizontal="center" vertical="center"/>
    </xf>
    <xf numFmtId="0" fontId="22" fillId="0" borderId="171" xfId="0" applyFont="1" applyBorder="1" applyAlignment="1">
      <alignment horizontal="left" vertical="center"/>
    </xf>
    <xf numFmtId="0" fontId="20" fillId="9" borderId="172" xfId="0" applyFont="1" applyFill="1" applyBorder="1" applyAlignment="1">
      <alignment horizontal="center"/>
    </xf>
    <xf numFmtId="0" fontId="20" fillId="9" borderId="115" xfId="0" applyFont="1" applyFill="1" applyBorder="1" applyAlignment="1">
      <alignment horizontal="center"/>
    </xf>
    <xf numFmtId="167" fontId="24" fillId="0" borderId="112" xfId="0" applyNumberFormat="1" applyFont="1" applyBorder="1" applyAlignment="1">
      <alignment horizontal="center" vertical="center"/>
    </xf>
    <xf numFmtId="0" fontId="33" fillId="14" borderId="173" xfId="0" applyFont="1" applyFill="1" applyBorder="1" applyAlignment="1">
      <alignment horizontal="center" vertical="center"/>
    </xf>
    <xf numFmtId="0" fontId="21" fillId="0" borderId="150" xfId="0" applyFont="1" applyBorder="1" applyAlignment="1">
      <alignment horizontal="left" vertical="center" indent="1"/>
    </xf>
    <xf numFmtId="0" fontId="21" fillId="0" borderId="168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9" fillId="12" borderId="174" xfId="0" applyFont="1" applyFill="1" applyBorder="1" applyProtection="1"/>
    <xf numFmtId="0" fontId="19" fillId="12" borderId="175" xfId="0" applyFont="1" applyFill="1" applyBorder="1" applyProtection="1"/>
    <xf numFmtId="0" fontId="21" fillId="0" borderId="0" xfId="0" applyFont="1" applyProtection="1">
      <protection locked="0"/>
    </xf>
    <xf numFmtId="0" fontId="21" fillId="0" borderId="140" xfId="0" applyFont="1" applyBorder="1" applyAlignment="1">
      <alignment horizontal="left" vertical="center"/>
    </xf>
    <xf numFmtId="0" fontId="21" fillId="0" borderId="129" xfId="0" applyFont="1" applyBorder="1" applyAlignment="1">
      <alignment horizontal="left" vertical="center"/>
    </xf>
    <xf numFmtId="0" fontId="21" fillId="0" borderId="141" xfId="0" applyFont="1" applyBorder="1" applyAlignment="1">
      <alignment horizontal="left" vertical="center"/>
    </xf>
    <xf numFmtId="0" fontId="60" fillId="0" borderId="0" xfId="0" applyNumberFormat="1" applyFont="1" applyAlignment="1">
      <alignment horizontal="center" vertical="center"/>
    </xf>
    <xf numFmtId="0" fontId="0" fillId="0" borderId="176" xfId="0" applyBorder="1"/>
    <xf numFmtId="0" fontId="0" fillId="0" borderId="177" xfId="0" applyBorder="1" applyAlignment="1">
      <alignment horizontal="left" indent="1"/>
    </xf>
    <xf numFmtId="0" fontId="0" fillId="0" borderId="107" xfId="0" applyBorder="1"/>
    <xf numFmtId="0" fontId="0" fillId="0" borderId="108" xfId="0" applyBorder="1" applyAlignment="1">
      <alignment horizontal="left" indent="1"/>
    </xf>
    <xf numFmtId="0" fontId="0" fillId="0" borderId="109" xfId="0" applyBorder="1"/>
    <xf numFmtId="0" fontId="0" fillId="0" borderId="111" xfId="0" applyBorder="1" applyAlignment="1">
      <alignment horizontal="left" indent="1"/>
    </xf>
    <xf numFmtId="0" fontId="8" fillId="0" borderId="179" xfId="0" applyNumberFormat="1" applyFont="1" applyFill="1" applyBorder="1" applyAlignment="1" applyProtection="1">
      <alignment vertical="center"/>
      <protection hidden="1"/>
    </xf>
    <xf numFmtId="0" fontId="8" fillId="0" borderId="178" xfId="0" applyNumberFormat="1" applyFont="1" applyFill="1" applyBorder="1" applyAlignment="1" applyProtection="1">
      <alignment horizontal="center" vertical="center"/>
      <protection hidden="1"/>
    </xf>
    <xf numFmtId="0" fontId="6" fillId="0" borderId="44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31" xfId="0" applyFont="1" applyBorder="1" applyAlignment="1">
      <alignment horizontal="center" vertical="center" shrinkToFit="1"/>
    </xf>
    <xf numFmtId="0" fontId="30" fillId="0" borderId="132" xfId="0" applyFont="1" applyBorder="1" applyAlignment="1">
      <alignment horizontal="center" vertical="center" shrinkToFit="1"/>
    </xf>
    <xf numFmtId="0" fontId="30" fillId="0" borderId="133" xfId="0" applyFont="1" applyBorder="1" applyAlignment="1">
      <alignment horizontal="center" vertical="center" shrinkToFit="1"/>
    </xf>
    <xf numFmtId="0" fontId="30" fillId="0" borderId="134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61" xfId="0" applyFont="1" applyFill="1" applyBorder="1" applyAlignment="1">
      <alignment horizontal="center" vertical="center" shrinkToFit="1"/>
    </xf>
    <xf numFmtId="0" fontId="15" fillId="9" borderId="70" xfId="0" applyFont="1" applyFill="1" applyBorder="1" applyAlignment="1">
      <alignment horizontal="center" vertical="center" shrinkToFit="1"/>
    </xf>
    <xf numFmtId="0" fontId="15" fillId="9" borderId="53" xfId="0" applyFont="1" applyFill="1" applyBorder="1" applyAlignment="1">
      <alignment horizontal="center" vertical="center" shrinkToFit="1"/>
    </xf>
    <xf numFmtId="0" fontId="15" fillId="9" borderId="65" xfId="0" applyFont="1" applyFill="1" applyBorder="1" applyAlignment="1">
      <alignment horizontal="center" vertical="center" shrinkToFit="1"/>
    </xf>
    <xf numFmtId="165" fontId="15" fillId="9" borderId="61" xfId="0" applyNumberFormat="1" applyFont="1" applyFill="1" applyBorder="1" applyAlignment="1">
      <alignment vertical="center" shrinkToFit="1"/>
    </xf>
    <xf numFmtId="165" fontId="15" fillId="9" borderId="70" xfId="0" applyNumberFormat="1" applyFont="1" applyFill="1" applyBorder="1" applyAlignment="1">
      <alignment vertical="center" shrinkToFit="1"/>
    </xf>
    <xf numFmtId="165" fontId="15" fillId="9" borderId="65" xfId="0" applyNumberFormat="1" applyFont="1" applyFill="1" applyBorder="1" applyAlignment="1">
      <alignment vertical="center" shrinkToFit="1"/>
    </xf>
    <xf numFmtId="164" fontId="6" fillId="0" borderId="144" xfId="0" applyNumberFormat="1" applyFont="1" applyBorder="1" applyAlignment="1">
      <alignment vertical="center" shrinkToFit="1"/>
    </xf>
    <xf numFmtId="0" fontId="6" fillId="0" borderId="145" xfId="0" applyFont="1" applyBorder="1" applyAlignment="1">
      <alignment horizontal="left" vertical="center" shrinkToFit="1"/>
    </xf>
    <xf numFmtId="0" fontId="6" fillId="0" borderId="146" xfId="0" applyFont="1" applyBorder="1" applyAlignment="1">
      <alignment horizontal="center" vertical="center" shrinkToFit="1"/>
    </xf>
    <xf numFmtId="0" fontId="6" fillId="0" borderId="147" xfId="0" applyFont="1" applyBorder="1" applyAlignment="1">
      <alignment horizontal="center" vertical="center" shrinkToFit="1"/>
    </xf>
    <xf numFmtId="0" fontId="6" fillId="0" borderId="148" xfId="0" applyFont="1" applyBorder="1" applyAlignment="1">
      <alignment horizontal="center" vertical="center" shrinkToFit="1"/>
    </xf>
    <xf numFmtId="0" fontId="6" fillId="0" borderId="148" xfId="0" applyFont="1" applyBorder="1" applyAlignment="1">
      <alignment horizontal="right" vertical="center" shrinkToFit="1"/>
    </xf>
    <xf numFmtId="0" fontId="6" fillId="0" borderId="149" xfId="0" applyFont="1" applyBorder="1" applyAlignment="1">
      <alignment horizontal="center" vertical="center" shrinkToFit="1"/>
    </xf>
    <xf numFmtId="0" fontId="6" fillId="0" borderId="146" xfId="0" applyFont="1" applyBorder="1" applyAlignment="1">
      <alignment horizontal="left" vertical="center" shrinkToFit="1"/>
    </xf>
    <xf numFmtId="0" fontId="17" fillId="0" borderId="150" xfId="0" applyFont="1" applyBorder="1" applyAlignment="1">
      <alignment horizontal="center" vertical="center" shrinkToFit="1"/>
    </xf>
    <xf numFmtId="0" fontId="6" fillId="8" borderId="151" xfId="0" applyFont="1" applyFill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35" xfId="0" applyFont="1" applyBorder="1" applyAlignment="1">
      <alignment horizontal="left" vertical="center" shrinkToFit="1"/>
    </xf>
    <xf numFmtId="164" fontId="6" fillId="0" borderId="39" xfId="0" applyNumberFormat="1" applyFont="1" applyBorder="1" applyAlignment="1">
      <alignment vertical="center" shrinkToFit="1"/>
    </xf>
    <xf numFmtId="0" fontId="6" fillId="0" borderId="40" xfId="0" applyFont="1" applyBorder="1" applyAlignment="1">
      <alignment horizontal="left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right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left" vertical="center" shrinkToFit="1"/>
    </xf>
    <xf numFmtId="0" fontId="17" fillId="0" borderId="45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8" borderId="44" xfId="0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136" xfId="0" applyFont="1" applyBorder="1" applyAlignment="1">
      <alignment horizontal="left" vertical="center" shrinkToFit="1"/>
    </xf>
    <xf numFmtId="164" fontId="6" fillId="0" borderId="41" xfId="0" applyNumberFormat="1" applyFont="1" applyBorder="1" applyAlignment="1">
      <alignment vertical="center" shrinkToFit="1"/>
    </xf>
    <xf numFmtId="0" fontId="6" fillId="0" borderId="42" xfId="0" applyFont="1" applyBorder="1" applyAlignment="1">
      <alignment horizontal="left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right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left" vertical="center" shrinkToFit="1"/>
    </xf>
    <xf numFmtId="0" fontId="17" fillId="0" borderId="48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8" borderId="48" xfId="0" applyFont="1" applyFill="1" applyBorder="1" applyAlignment="1">
      <alignment horizontal="center" vertical="center" shrinkToFit="1"/>
    </xf>
    <xf numFmtId="0" fontId="6" fillId="0" borderId="152" xfId="0" applyFont="1" applyBorder="1" applyAlignment="1">
      <alignment horizontal="left" vertical="center" shrinkToFit="1"/>
    </xf>
    <xf numFmtId="0" fontId="30" fillId="0" borderId="131" xfId="0" applyFont="1" applyBorder="1" applyAlignment="1">
      <alignment vertical="center" shrinkToFit="1"/>
    </xf>
    <xf numFmtId="0" fontId="30" fillId="0" borderId="132" xfId="0" applyFont="1" applyBorder="1" applyAlignment="1">
      <alignment vertical="center" shrinkToFit="1"/>
    </xf>
    <xf numFmtId="0" fontId="30" fillId="0" borderId="133" xfId="0" applyFont="1" applyBorder="1" applyAlignment="1">
      <alignment vertical="center" shrinkToFit="1"/>
    </xf>
    <xf numFmtId="0" fontId="30" fillId="0" borderId="134" xfId="0" applyFont="1" applyBorder="1" applyAlignment="1">
      <alignment vertical="center" shrinkToFit="1"/>
    </xf>
    <xf numFmtId="0" fontId="26" fillId="0" borderId="0" xfId="0" applyFont="1" applyAlignment="1"/>
    <xf numFmtId="0" fontId="44" fillId="15" borderId="0" xfId="0" applyFont="1" applyFill="1" applyAlignment="1">
      <alignment horizontal="center"/>
    </xf>
    <xf numFmtId="0" fontId="0" fillId="14" borderId="92" xfId="0" applyFill="1" applyBorder="1" applyAlignment="1" applyProtection="1">
      <alignment horizontal="left" indent="1"/>
      <protection locked="0"/>
    </xf>
    <xf numFmtId="0" fontId="32" fillId="0" borderId="0" xfId="3"/>
    <xf numFmtId="0" fontId="33" fillId="16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62" fillId="0" borderId="0" xfId="0" applyFont="1"/>
    <xf numFmtId="0" fontId="44" fillId="17" borderId="182" xfId="0" applyFont="1" applyFill="1" applyBorder="1" applyAlignment="1" applyProtection="1">
      <alignment horizontal="center"/>
      <protection locked="0"/>
    </xf>
    <xf numFmtId="0" fontId="22" fillId="0" borderId="183" xfId="0" applyFont="1" applyBorder="1" applyAlignment="1">
      <alignment horizontal="right" vertical="center"/>
    </xf>
    <xf numFmtId="0" fontId="22" fillId="0" borderId="38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0" fontId="8" fillId="0" borderId="185" xfId="0" applyNumberFormat="1" applyFont="1" applyFill="1" applyBorder="1" applyAlignment="1" applyProtection="1">
      <alignment horizontal="center" vertical="center"/>
      <protection hidden="1"/>
    </xf>
    <xf numFmtId="0" fontId="64" fillId="0" borderId="185" xfId="2" applyNumberFormat="1" applyFont="1" applyFill="1" applyBorder="1" applyAlignment="1" applyProtection="1">
      <alignment horizontal="center" vertical="center" readingOrder="1"/>
    </xf>
    <xf numFmtId="168" fontId="11" fillId="0" borderId="15" xfId="0" applyNumberFormat="1" applyFont="1" applyFill="1" applyBorder="1" applyAlignment="1" applyProtection="1">
      <alignment horizontal="center" vertical="center"/>
      <protection hidden="1"/>
    </xf>
    <xf numFmtId="168" fontId="11" fillId="0" borderId="16" xfId="0" applyNumberFormat="1" applyFont="1" applyFill="1" applyBorder="1" applyAlignment="1" applyProtection="1">
      <alignment horizontal="center" vertical="center"/>
      <protection hidden="1"/>
    </xf>
    <xf numFmtId="168" fontId="11" fillId="0" borderId="17" xfId="0" applyNumberFormat="1" applyFont="1" applyFill="1" applyBorder="1" applyAlignment="1" applyProtection="1">
      <alignment horizontal="center" vertical="center"/>
      <protection hidden="1"/>
    </xf>
    <xf numFmtId="0" fontId="10" fillId="6" borderId="186" xfId="2" applyNumberFormat="1" applyBorder="1" applyAlignment="1" applyProtection="1">
      <alignment horizontal="center" vertical="center" readingOrder="1"/>
    </xf>
    <xf numFmtId="0" fontId="8" fillId="14" borderId="190" xfId="0" applyNumberFormat="1" applyFont="1" applyFill="1" applyBorder="1" applyAlignment="1" applyProtection="1">
      <alignment horizontal="center" vertical="center"/>
      <protection hidden="1"/>
    </xf>
    <xf numFmtId="0" fontId="4" fillId="15" borderId="191" xfId="0" applyFont="1" applyFill="1" applyBorder="1" applyAlignment="1" applyProtection="1">
      <alignment horizontal="left" vertical="top" wrapText="1" indent="1"/>
      <protection locked="0"/>
    </xf>
    <xf numFmtId="0" fontId="4" fillId="13" borderId="192" xfId="0" applyFont="1" applyFill="1" applyBorder="1" applyAlignment="1" applyProtection="1">
      <alignment horizontal="left" vertical="top" wrapText="1" indent="1"/>
      <protection locked="0"/>
    </xf>
    <xf numFmtId="0" fontId="4" fillId="15" borderId="193" xfId="0" applyFont="1" applyFill="1" applyBorder="1" applyAlignment="1" applyProtection="1">
      <alignment horizontal="left" vertical="top" wrapText="1" indent="1"/>
      <protection locked="0"/>
    </xf>
    <xf numFmtId="0" fontId="4" fillId="13" borderId="194" xfId="0" applyFont="1" applyFill="1" applyBorder="1" applyAlignment="1" applyProtection="1">
      <alignment horizontal="left" vertical="top" wrapText="1" indent="1"/>
      <protection locked="0"/>
    </xf>
    <xf numFmtId="0" fontId="0" fillId="14" borderId="195" xfId="0" applyFill="1" applyBorder="1" applyAlignment="1" applyProtection="1">
      <alignment horizontal="left" vertical="top" wrapText="1" indent="1"/>
      <protection locked="0"/>
    </xf>
    <xf numFmtId="0" fontId="0" fillId="15" borderId="193" xfId="0" applyFill="1" applyBorder="1" applyAlignment="1" applyProtection="1">
      <alignment horizontal="left" vertical="top" indent="1"/>
      <protection locked="0"/>
    </xf>
    <xf numFmtId="0" fontId="0" fillId="13" borderId="198" xfId="0" applyFill="1" applyBorder="1" applyAlignment="1" applyProtection="1">
      <alignment horizontal="left" vertical="top" indent="1"/>
      <protection locked="0"/>
    </xf>
    <xf numFmtId="0" fontId="0" fillId="14" borderId="199" xfId="0" applyFill="1" applyBorder="1" applyAlignment="1" applyProtection="1">
      <alignment horizontal="left" vertical="top" wrapText="1" indent="1"/>
      <protection locked="0"/>
    </xf>
    <xf numFmtId="0" fontId="0" fillId="15" borderId="200" xfId="0" applyFill="1" applyBorder="1" applyAlignment="1" applyProtection="1">
      <alignment horizontal="left" vertical="top" indent="1"/>
      <protection locked="0"/>
    </xf>
    <xf numFmtId="0" fontId="0" fillId="14" borderId="201" xfId="0" applyFill="1" applyBorder="1" applyAlignment="1" applyProtection="1">
      <alignment horizontal="left" vertical="top" wrapText="1" indent="1"/>
      <protection locked="0"/>
    </xf>
    <xf numFmtId="0" fontId="0" fillId="15" borderId="193" xfId="0" applyFill="1" applyBorder="1" applyAlignment="1" applyProtection="1">
      <alignment horizontal="left" vertical="top" wrapText="1" indent="1"/>
      <protection locked="0"/>
    </xf>
    <xf numFmtId="0" fontId="0" fillId="13" borderId="197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/>
    <xf numFmtId="0" fontId="0" fillId="15" borderId="202" xfId="0" applyFill="1" applyBorder="1" applyAlignment="1" applyProtection="1">
      <alignment horizontal="left" vertical="top" wrapText="1" indent="1"/>
      <protection locked="0"/>
    </xf>
    <xf numFmtId="0" fontId="0" fillId="13" borderId="203" xfId="0" applyFill="1" applyBorder="1" applyAlignment="1" applyProtection="1">
      <alignment horizontal="left" vertical="top" wrapText="1" indent="1"/>
      <protection locked="0"/>
    </xf>
    <xf numFmtId="0" fontId="0" fillId="14" borderId="204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right"/>
    </xf>
    <xf numFmtId="0" fontId="65" fillId="17" borderId="182" xfId="0" applyFont="1" applyFill="1" applyBorder="1" applyAlignment="1" applyProtection="1">
      <alignment horizontal="left" vertical="center" indent="1"/>
      <protection locked="0"/>
    </xf>
    <xf numFmtId="0" fontId="44" fillId="0" borderId="0" xfId="0" applyFont="1"/>
    <xf numFmtId="0" fontId="44" fillId="0" borderId="0" xfId="0" applyFont="1" applyAlignment="1"/>
    <xf numFmtId="0" fontId="44" fillId="0" borderId="0" xfId="0" applyFont="1" applyAlignment="1">
      <alignment horizontal="right"/>
    </xf>
    <xf numFmtId="0" fontId="66" fillId="0" borderId="0" xfId="0" applyFont="1"/>
    <xf numFmtId="0" fontId="4" fillId="13" borderId="196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205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206" xfId="4" applyFont="1" applyBorder="1" applyAlignment="1">
      <alignment horizontal="center" vertical="center"/>
    </xf>
    <xf numFmtId="0" fontId="4" fillId="0" borderId="137" xfId="4" applyBorder="1"/>
    <xf numFmtId="0" fontId="4" fillId="0" borderId="137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0" fontId="24" fillId="0" borderId="207" xfId="0" applyNumberFormat="1" applyFont="1" applyBorder="1" applyAlignment="1">
      <alignment horizontal="center" vertic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0" fontId="22" fillId="10" borderId="135" xfId="0" applyFont="1" applyFill="1" applyBorder="1" applyAlignment="1" applyProtection="1">
      <alignment horizontal="center" vertical="center"/>
      <protection locked="0"/>
    </xf>
    <xf numFmtId="0" fontId="22" fillId="10" borderId="136" xfId="0" applyFont="1" applyFill="1" applyBorder="1" applyAlignment="1" applyProtection="1">
      <alignment horizontal="center" vertical="center"/>
      <protection locked="0"/>
    </xf>
    <xf numFmtId="0" fontId="22" fillId="10" borderId="208" xfId="0" applyFont="1" applyFill="1" applyBorder="1" applyAlignment="1" applyProtection="1">
      <alignment horizontal="center" vertical="center"/>
      <protection locked="0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5" borderId="77" xfId="0" applyFont="1" applyFill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NumberFormat="1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33" fillId="0" borderId="2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8" fillId="0" borderId="176" xfId="1" applyNumberFormat="1" applyFont="1" applyFill="1" applyBorder="1" applyAlignment="1" applyProtection="1">
      <alignment vertical="center"/>
      <protection hidden="1"/>
    </xf>
    <xf numFmtId="0" fontId="8" fillId="0" borderId="159" xfId="1" applyNumberFormat="1" applyFont="1" applyFill="1" applyBorder="1" applyAlignment="1" applyProtection="1">
      <alignment vertical="center"/>
      <protection hidden="1"/>
    </xf>
    <xf numFmtId="0" fontId="8" fillId="0" borderId="159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77" xfId="1" applyNumberFormat="1" applyFont="1" applyFill="1" applyBorder="1" applyAlignment="1" applyProtection="1">
      <alignment horizontal="center" vertical="center"/>
      <protection hidden="1"/>
    </xf>
    <xf numFmtId="0" fontId="8" fillId="0" borderId="107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08" xfId="1" applyNumberFormat="1" applyFont="1" applyFill="1" applyBorder="1" applyAlignment="1" applyProtection="1">
      <alignment horizontal="center" vertical="center"/>
      <protection hidden="1"/>
    </xf>
    <xf numFmtId="0" fontId="8" fillId="0" borderId="109" xfId="1" applyNumberFormat="1" applyFont="1" applyFill="1" applyBorder="1" applyAlignment="1" applyProtection="1">
      <alignment vertical="center"/>
      <protection hidden="1"/>
    </xf>
    <xf numFmtId="0" fontId="8" fillId="0" borderId="110" xfId="1" applyNumberFormat="1" applyFont="1" applyFill="1" applyBorder="1" applyAlignment="1" applyProtection="1">
      <alignment vertical="center"/>
      <protection hidden="1"/>
    </xf>
    <xf numFmtId="0" fontId="8" fillId="0" borderId="110" xfId="1" applyNumberFormat="1" applyFont="1" applyFill="1" applyBorder="1" applyAlignment="1" applyProtection="1">
      <alignment horizontal="center" vertical="center"/>
      <protection hidden="1"/>
    </xf>
    <xf numFmtId="0" fontId="8" fillId="0" borderId="111" xfId="1" applyNumberFormat="1" applyFont="1" applyFill="1" applyBorder="1" applyAlignment="1" applyProtection="1">
      <alignment horizontal="center" vertical="center"/>
      <protection hidden="1"/>
    </xf>
    <xf numFmtId="166" fontId="8" fillId="0" borderId="110" xfId="1" applyNumberFormat="1" applyFont="1" applyFill="1" applyBorder="1" applyAlignment="1" applyProtection="1">
      <alignment horizontal="center" vertical="center"/>
      <protection hidden="1"/>
    </xf>
    <xf numFmtId="0" fontId="19" fillId="0" borderId="131" xfId="0" applyFont="1" applyBorder="1" applyAlignment="1">
      <alignment horizontal="left" vertical="center"/>
    </xf>
    <xf numFmtId="0" fontId="19" fillId="0" borderId="132" xfId="0" applyFont="1" applyBorder="1" applyAlignment="1">
      <alignment horizontal="left" vertical="center"/>
    </xf>
    <xf numFmtId="0" fontId="19" fillId="0" borderId="134" xfId="0" applyFont="1" applyBorder="1" applyAlignment="1">
      <alignment horizontal="left" vertical="center"/>
    </xf>
    <xf numFmtId="0" fontId="19" fillId="0" borderId="139" xfId="0" applyFont="1" applyBorder="1" applyAlignment="1">
      <alignment horizontal="left" vertical="center"/>
    </xf>
    <xf numFmtId="0" fontId="33" fillId="11" borderId="172" xfId="0" applyFont="1" applyFill="1" applyBorder="1" applyAlignment="1">
      <alignment horizontal="center" vertical="center"/>
    </xf>
    <xf numFmtId="0" fontId="33" fillId="11" borderId="113" xfId="0" applyFont="1" applyFill="1" applyBorder="1" applyAlignment="1">
      <alignment horizontal="left" vertical="center" indent="1"/>
    </xf>
    <xf numFmtId="0" fontId="33" fillId="11" borderId="142" xfId="0" applyFont="1" applyFill="1" applyBorder="1" applyAlignment="1">
      <alignment horizontal="center" vertical="center"/>
    </xf>
    <xf numFmtId="0" fontId="22" fillId="0" borderId="219" xfId="0" applyFont="1" applyBorder="1" applyAlignment="1">
      <alignment horizontal="center" vertical="center"/>
    </xf>
    <xf numFmtId="0" fontId="21" fillId="0" borderId="112" xfId="0" applyFont="1" applyBorder="1" applyAlignment="1">
      <alignment horizontal="left" vertical="center" indent="1"/>
    </xf>
    <xf numFmtId="0" fontId="21" fillId="10" borderId="143" xfId="0" applyFont="1" applyFill="1" applyBorder="1" applyAlignment="1" applyProtection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left" vertical="center" indent="1"/>
    </xf>
    <xf numFmtId="0" fontId="21" fillId="10" borderId="45" xfId="0" applyFont="1" applyFill="1" applyBorder="1" applyAlignment="1" applyProtection="1">
      <alignment horizontal="center" vertical="center"/>
      <protection locked="0"/>
    </xf>
    <xf numFmtId="0" fontId="22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left" vertical="center" indent="1"/>
    </xf>
    <xf numFmtId="0" fontId="21" fillId="10" borderId="48" xfId="0" applyFont="1" applyFill="1" applyBorder="1" applyAlignment="1" applyProtection="1">
      <alignment horizontal="center" vertical="center"/>
      <protection locked="0"/>
    </xf>
    <xf numFmtId="0" fontId="15" fillId="9" borderId="172" xfId="0" applyFont="1" applyFill="1" applyBorder="1" applyAlignment="1">
      <alignment horizontal="center" vertical="center"/>
    </xf>
    <xf numFmtId="0" fontId="15" fillId="9" borderId="113" xfId="0" applyFont="1" applyFill="1" applyBorder="1" applyAlignment="1">
      <alignment horizontal="center" vertical="center"/>
    </xf>
    <xf numFmtId="0" fontId="6" fillId="0" borderId="219" xfId="0" applyFont="1" applyBorder="1" applyAlignment="1">
      <alignment horizontal="center" vertical="center" shrinkToFit="1"/>
    </xf>
    <xf numFmtId="0" fontId="6" fillId="0" borderId="220" xfId="0" applyFont="1" applyBorder="1" applyAlignment="1">
      <alignment vertical="center" shrinkToFit="1"/>
    </xf>
    <xf numFmtId="0" fontId="6" fillId="0" borderId="126" xfId="0" applyFont="1" applyBorder="1" applyAlignment="1">
      <alignment horizontal="center" vertical="center" shrinkToFit="1"/>
    </xf>
    <xf numFmtId="0" fontId="6" fillId="0" borderId="116" xfId="0" applyFont="1" applyBorder="1" applyAlignment="1">
      <alignment vertical="center" shrinkToFit="1"/>
    </xf>
    <xf numFmtId="0" fontId="6" fillId="10" borderId="220" xfId="0" applyFont="1" applyFill="1" applyBorder="1" applyAlignment="1" applyProtection="1">
      <alignment horizontal="right" vertical="center" shrinkToFit="1"/>
      <protection locked="0"/>
    </xf>
    <xf numFmtId="0" fontId="6" fillId="10" borderId="126" xfId="0" applyFont="1" applyFill="1" applyBorder="1" applyAlignment="1">
      <alignment horizontal="center" vertical="center"/>
    </xf>
    <xf numFmtId="0" fontId="6" fillId="10" borderId="221" xfId="0" applyFont="1" applyFill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>
      <alignment vertical="center" shrinkToFit="1"/>
    </xf>
    <xf numFmtId="0" fontId="6" fillId="0" borderId="49" xfId="0" applyFont="1" applyBorder="1" applyAlignment="1">
      <alignment vertical="center" shrinkToFit="1"/>
    </xf>
    <xf numFmtId="0" fontId="6" fillId="10" borderId="50" xfId="0" applyFont="1" applyFill="1" applyBorder="1" applyAlignment="1" applyProtection="1">
      <alignment horizontal="right" vertical="center" shrinkToFit="1"/>
      <protection locked="0"/>
    </xf>
    <xf numFmtId="0" fontId="6" fillId="10" borderId="55" xfId="0" applyFont="1" applyFill="1" applyBorder="1" applyAlignment="1">
      <alignment horizontal="center" vertical="center"/>
    </xf>
    <xf numFmtId="0" fontId="6" fillId="10" borderId="69" xfId="0" applyFont="1" applyFill="1" applyBorder="1" applyAlignment="1" applyProtection="1">
      <alignment horizontal="left" vertical="center" shrinkToFit="1"/>
      <protection locked="0"/>
    </xf>
    <xf numFmtId="0" fontId="6" fillId="0" borderId="52" xfId="0" applyFont="1" applyBorder="1" applyAlignment="1">
      <alignment vertical="center" shrinkToFit="1"/>
    </xf>
    <xf numFmtId="0" fontId="6" fillId="0" borderId="51" xfId="0" applyFont="1" applyBorder="1" applyAlignment="1">
      <alignment vertical="center" shrinkToFit="1"/>
    </xf>
    <xf numFmtId="0" fontId="6" fillId="10" borderId="52" xfId="0" applyFont="1" applyFill="1" applyBorder="1" applyAlignment="1" applyProtection="1">
      <alignment horizontal="right" vertical="center" shrinkToFit="1"/>
      <protection locked="0"/>
    </xf>
    <xf numFmtId="0" fontId="6" fillId="10" borderId="56" xfId="0" applyFont="1" applyFill="1" applyBorder="1" applyAlignment="1">
      <alignment horizontal="center" vertical="center"/>
    </xf>
    <xf numFmtId="0" fontId="6" fillId="10" borderId="222" xfId="0" applyFont="1" applyFill="1" applyBorder="1" applyAlignment="1" applyProtection="1">
      <alignment horizontal="left" vertical="center" shrinkToFit="1"/>
      <protection locked="0"/>
    </xf>
    <xf numFmtId="167" fontId="70" fillId="0" borderId="112" xfId="0" applyNumberFormat="1" applyFont="1" applyBorder="1" applyAlignment="1">
      <alignment horizontal="center" vertical="center" shrinkToFit="1"/>
    </xf>
    <xf numFmtId="0" fontId="70" fillId="0" borderId="112" xfId="0" applyFont="1" applyBorder="1" applyAlignment="1">
      <alignment horizontal="center" vertical="center" shrinkToFit="1"/>
    </xf>
    <xf numFmtId="167" fontId="70" fillId="0" borderId="44" xfId="0" applyNumberFormat="1" applyFont="1" applyBorder="1" applyAlignment="1">
      <alignment horizontal="center" vertical="center" shrinkToFit="1"/>
    </xf>
    <xf numFmtId="0" fontId="70" fillId="0" borderId="44" xfId="0" applyFont="1" applyBorder="1" applyAlignment="1">
      <alignment horizontal="center" vertical="center" shrinkToFit="1"/>
    </xf>
    <xf numFmtId="167" fontId="70" fillId="0" borderId="47" xfId="0" applyNumberFormat="1" applyFont="1" applyBorder="1" applyAlignment="1">
      <alignment horizontal="center" vertical="center" shrinkToFit="1"/>
    </xf>
    <xf numFmtId="0" fontId="70" fillId="0" borderId="47" xfId="0" applyFont="1" applyBorder="1" applyAlignment="1">
      <alignment horizontal="center" vertical="center" shrinkToFit="1"/>
    </xf>
    <xf numFmtId="0" fontId="25" fillId="0" borderId="59" xfId="0" applyNumberFormat="1" applyFont="1" applyBorder="1" applyAlignment="1">
      <alignment horizontal="center" vertical="center"/>
    </xf>
    <xf numFmtId="0" fontId="25" fillId="0" borderId="57" xfId="0" applyNumberFormat="1" applyFont="1" applyBorder="1" applyAlignment="1">
      <alignment horizontal="center" vertical="center"/>
    </xf>
    <xf numFmtId="0" fontId="20" fillId="9" borderId="65" xfId="0" applyFont="1" applyFill="1" applyBorder="1" applyAlignment="1">
      <alignment horizontal="left" vertical="center"/>
    </xf>
    <xf numFmtId="0" fontId="20" fillId="9" borderId="66" xfId="0" applyFont="1" applyFill="1" applyBorder="1" applyAlignment="1">
      <alignment horizontal="left" vertical="center"/>
    </xf>
    <xf numFmtId="0" fontId="21" fillId="10" borderId="64" xfId="0" applyFont="1" applyFill="1" applyBorder="1" applyAlignment="1" applyProtection="1">
      <alignment horizontal="left" vertical="center"/>
      <protection locked="0"/>
    </xf>
    <xf numFmtId="0" fontId="21" fillId="10" borderId="58" xfId="0" applyFont="1" applyFill="1" applyBorder="1" applyAlignment="1" applyProtection="1">
      <alignment horizontal="left" vertical="center"/>
      <protection locked="0"/>
    </xf>
    <xf numFmtId="0" fontId="21" fillId="10" borderId="63" xfId="0" applyFont="1" applyFill="1" applyBorder="1" applyAlignment="1" applyProtection="1">
      <alignment horizontal="left" vertical="center"/>
      <protection locked="0"/>
    </xf>
    <xf numFmtId="0" fontId="20" fillId="9" borderId="61" xfId="0" applyFont="1" applyFill="1" applyBorder="1" applyAlignment="1">
      <alignment horizontal="center" vertical="center"/>
    </xf>
    <xf numFmtId="0" fontId="20" fillId="9" borderId="62" xfId="0" applyFont="1" applyFill="1" applyBorder="1" applyAlignment="1">
      <alignment horizontal="center" vertical="center"/>
    </xf>
    <xf numFmtId="0" fontId="25" fillId="0" borderId="60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 wrapText="1"/>
    </xf>
    <xf numFmtId="0" fontId="21" fillId="10" borderId="68" xfId="0" applyFont="1" applyFill="1" applyBorder="1" applyAlignment="1" applyProtection="1">
      <alignment horizontal="left" vertical="center"/>
      <protection locked="0"/>
    </xf>
    <xf numFmtId="0" fontId="25" fillId="0" borderId="67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158" xfId="0" applyFont="1" applyBorder="1" applyAlignment="1">
      <alignment horizontal="left" vertical="center" indent="1"/>
    </xf>
    <xf numFmtId="0" fontId="22" fillId="0" borderId="37" xfId="0" applyFont="1" applyBorder="1" applyAlignment="1">
      <alignment horizontal="left" vertical="center" indent="1"/>
    </xf>
    <xf numFmtId="167" fontId="21" fillId="0" borderId="159" xfId="0" applyNumberFormat="1" applyFont="1" applyBorder="1" applyAlignment="1">
      <alignment horizontal="right" vertical="center" indent="1"/>
    </xf>
    <xf numFmtId="167" fontId="21" fillId="0" borderId="71" xfId="0" applyNumberFormat="1" applyFont="1" applyBorder="1" applyAlignment="1">
      <alignment horizontal="right" vertical="center" indent="1"/>
    </xf>
    <xf numFmtId="0" fontId="21" fillId="0" borderId="160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2" fillId="0" borderId="156" xfId="0" applyFont="1" applyBorder="1" applyAlignment="1">
      <alignment horizontal="left" vertical="center" indent="1"/>
    </xf>
    <xf numFmtId="0" fontId="22" fillId="0" borderId="157" xfId="0" applyFont="1" applyBorder="1" applyAlignment="1">
      <alignment horizontal="left" vertical="center" indent="1"/>
    </xf>
    <xf numFmtId="0" fontId="20" fillId="9" borderId="113" xfId="0" applyFont="1" applyFill="1" applyBorder="1" applyAlignment="1">
      <alignment horizontal="center"/>
    </xf>
    <xf numFmtId="0" fontId="20" fillId="9" borderId="142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71" xfId="0" applyNumberFormat="1" applyFont="1" applyBorder="1" applyAlignment="1">
      <alignment horizontal="center" wrapText="1"/>
    </xf>
    <xf numFmtId="0" fontId="22" fillId="0" borderId="153" xfId="0" applyFont="1" applyBorder="1" applyAlignment="1">
      <alignment horizontal="left" vertical="center" indent="1"/>
    </xf>
    <xf numFmtId="167" fontId="21" fillId="10" borderId="154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55" xfId="0" applyNumberFormat="1" applyFont="1" applyFill="1" applyBorder="1" applyAlignment="1" applyProtection="1">
      <alignment horizontal="right" vertical="center" indent="1"/>
      <protection locked="0"/>
    </xf>
    <xf numFmtId="0" fontId="21" fillId="10" borderId="55" xfId="0" applyFont="1" applyFill="1" applyBorder="1" applyAlignment="1" applyProtection="1">
      <alignment horizontal="right" vertical="center" indent="1"/>
      <protection locked="0"/>
    </xf>
    <xf numFmtId="0" fontId="21" fillId="10" borderId="80" xfId="0" applyFont="1" applyFill="1" applyBorder="1" applyAlignment="1" applyProtection="1">
      <alignment horizontal="right" vertical="center" indent="1"/>
      <protection locked="0"/>
    </xf>
    <xf numFmtId="0" fontId="68" fillId="0" borderId="0" xfId="0" applyFont="1" applyAlignment="1" applyProtection="1">
      <alignment horizontal="center"/>
    </xf>
    <xf numFmtId="0" fontId="67" fillId="0" borderId="33" xfId="0" applyNumberFormat="1" applyFont="1" applyBorder="1" applyAlignment="1" applyProtection="1">
      <alignment horizontal="center" wrapText="1"/>
    </xf>
    <xf numFmtId="0" fontId="67" fillId="0" borderId="0" xfId="0" applyNumberFormat="1" applyFont="1" applyAlignment="1" applyProtection="1">
      <alignment horizontal="center" wrapText="1"/>
    </xf>
    <xf numFmtId="0" fontId="64" fillId="0" borderId="0" xfId="0" applyNumberFormat="1" applyFont="1" applyBorder="1" applyAlignment="1">
      <alignment horizontal="center" wrapText="1"/>
    </xf>
    <xf numFmtId="0" fontId="64" fillId="0" borderId="110" xfId="0" applyNumberFormat="1" applyFont="1" applyBorder="1" applyAlignment="1">
      <alignment horizontal="center" wrapText="1"/>
    </xf>
    <xf numFmtId="0" fontId="29" fillId="0" borderId="0" xfId="0" applyFont="1" applyAlignment="1">
      <alignment horizontal="right" vertical="center" indent="1"/>
    </xf>
    <xf numFmtId="14" fontId="29" fillId="0" borderId="0" xfId="0" applyNumberFormat="1" applyFont="1" applyAlignment="1">
      <alignment horizontal="right" vertical="top" indent="1"/>
    </xf>
    <xf numFmtId="0" fontId="21" fillId="0" borderId="155" xfId="0" applyFont="1" applyBorder="1" applyAlignment="1">
      <alignment horizontal="left" vertical="center"/>
    </xf>
    <xf numFmtId="0" fontId="21" fillId="0" borderId="69" xfId="0" applyFont="1" applyBorder="1" applyAlignment="1">
      <alignment horizontal="left" vertical="center"/>
    </xf>
    <xf numFmtId="0" fontId="21" fillId="0" borderId="82" xfId="0" applyFont="1" applyBorder="1" applyAlignment="1">
      <alignment horizontal="left" vertical="center"/>
    </xf>
    <xf numFmtId="165" fontId="36" fillId="0" borderId="33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47" fillId="0" borderId="0" xfId="0" applyNumberFormat="1" applyFont="1" applyBorder="1" applyAlignment="1">
      <alignment horizontal="center"/>
    </xf>
    <xf numFmtId="0" fontId="14" fillId="9" borderId="32" xfId="0" applyFont="1" applyFill="1" applyBorder="1" applyAlignment="1">
      <alignment horizontal="center" vertical="center" shrinkToFit="1"/>
    </xf>
    <xf numFmtId="0" fontId="14" fillId="9" borderId="34" xfId="0" applyFont="1" applyFill="1" applyBorder="1" applyAlignment="1">
      <alignment horizontal="center" vertical="center" shrinkToFit="1"/>
    </xf>
    <xf numFmtId="0" fontId="27" fillId="10" borderId="215" xfId="0" applyFont="1" applyFill="1" applyBorder="1" applyAlignment="1" applyProtection="1">
      <alignment horizontal="center" vertical="center"/>
      <protection locked="0"/>
    </xf>
    <xf numFmtId="0" fontId="27" fillId="10" borderId="216" xfId="0" applyFont="1" applyFill="1" applyBorder="1" applyAlignment="1" applyProtection="1">
      <alignment horizontal="center" vertical="center"/>
      <protection locked="0"/>
    </xf>
    <xf numFmtId="0" fontId="27" fillId="10" borderId="217" xfId="0" applyFont="1" applyFill="1" applyBorder="1" applyAlignment="1" applyProtection="1">
      <alignment horizontal="center" vertical="center"/>
      <protection locked="0"/>
    </xf>
    <xf numFmtId="0" fontId="15" fillId="9" borderId="53" xfId="0" applyFont="1" applyFill="1" applyBorder="1" applyAlignment="1">
      <alignment horizontal="center" vertical="center" shrinkToFit="1"/>
    </xf>
    <xf numFmtId="0" fontId="15" fillId="9" borderId="33" xfId="0" applyFont="1" applyFill="1" applyBorder="1" applyAlignment="1">
      <alignment horizontal="center" vertical="center" shrinkToFit="1"/>
    </xf>
    <xf numFmtId="0" fontId="15" fillId="9" borderId="54" xfId="0" applyFont="1" applyFill="1" applyBorder="1" applyAlignment="1">
      <alignment horizontal="center" vertical="center" shrinkToFit="1"/>
    </xf>
    <xf numFmtId="0" fontId="15" fillId="9" borderId="113" xfId="0" applyFont="1" applyFill="1" applyBorder="1" applyAlignment="1">
      <alignment horizontal="center" vertical="center"/>
    </xf>
    <xf numFmtId="0" fontId="15" fillId="9" borderId="142" xfId="0" applyFont="1" applyFill="1" applyBorder="1" applyAlignment="1">
      <alignment horizontal="center" vertical="center"/>
    </xf>
    <xf numFmtId="0" fontId="55" fillId="0" borderId="71" xfId="0" applyFont="1" applyBorder="1" applyAlignment="1" applyProtection="1">
      <alignment horizontal="center"/>
      <protection locked="0"/>
    </xf>
    <xf numFmtId="0" fontId="18" fillId="10" borderId="209" xfId="0" applyFont="1" applyFill="1" applyBorder="1" applyAlignment="1" applyProtection="1">
      <alignment horizontal="center" vertical="center"/>
      <protection locked="0"/>
    </xf>
    <xf numFmtId="0" fontId="18" fillId="10" borderId="210" xfId="0" applyFont="1" applyFill="1" applyBorder="1" applyAlignment="1" applyProtection="1">
      <alignment horizontal="center" vertical="center"/>
      <protection locked="0"/>
    </xf>
    <xf numFmtId="0" fontId="18" fillId="10" borderId="211" xfId="0" applyFont="1" applyFill="1" applyBorder="1" applyAlignment="1" applyProtection="1">
      <alignment horizontal="center" vertical="center"/>
      <protection locked="0"/>
    </xf>
    <xf numFmtId="0" fontId="27" fillId="10" borderId="212" xfId="0" applyFont="1" applyFill="1" applyBorder="1" applyAlignment="1" applyProtection="1">
      <alignment horizontal="center" vertical="center"/>
      <protection locked="0"/>
    </xf>
    <xf numFmtId="0" fontId="27" fillId="10" borderId="213" xfId="0" applyFont="1" applyFill="1" applyBorder="1" applyAlignment="1" applyProtection="1">
      <alignment horizontal="center" vertical="center"/>
      <protection locked="0"/>
    </xf>
    <xf numFmtId="0" fontId="27" fillId="10" borderId="214" xfId="0" applyFont="1" applyFill="1" applyBorder="1" applyAlignment="1" applyProtection="1">
      <alignment horizontal="center" vertical="center"/>
      <protection locked="0"/>
    </xf>
    <xf numFmtId="0" fontId="69" fillId="0" borderId="0" xfId="0" applyFont="1" applyAlignment="1" applyProtection="1">
      <alignment horizontal="right" vertical="top" wrapText="1" indent="1"/>
    </xf>
    <xf numFmtId="0" fontId="43" fillId="0" borderId="0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56" fillId="0" borderId="165" xfId="0" applyFont="1" applyBorder="1" applyAlignment="1">
      <alignment horizontal="center" vertical="center"/>
    </xf>
    <xf numFmtId="0" fontId="56" fillId="0" borderId="166" xfId="0" applyFont="1" applyBorder="1" applyAlignment="1">
      <alignment horizontal="center" vertical="center"/>
    </xf>
    <xf numFmtId="0" fontId="56" fillId="0" borderId="167" xfId="0" applyFont="1" applyBorder="1" applyAlignment="1">
      <alignment horizontal="center" vertical="center"/>
    </xf>
    <xf numFmtId="0" fontId="22" fillId="0" borderId="79" xfId="0" applyFont="1" applyBorder="1" applyAlignment="1" applyProtection="1">
      <alignment horizontal="left" vertical="top" wrapText="1"/>
      <protection locked="0"/>
    </xf>
    <xf numFmtId="0" fontId="22" fillId="0" borderId="80" xfId="0" applyFont="1" applyBorder="1" applyAlignment="1" applyProtection="1">
      <alignment horizontal="left" vertical="top" wrapText="1"/>
      <protection locked="0"/>
    </xf>
    <xf numFmtId="0" fontId="22" fillId="0" borderId="81" xfId="0" applyFont="1" applyBorder="1" applyAlignment="1" applyProtection="1">
      <alignment horizontal="left" vertical="top" wrapText="1"/>
      <protection locked="0"/>
    </xf>
    <xf numFmtId="0" fontId="22" fillId="0" borderId="168" xfId="0" applyFont="1" applyBorder="1" applyAlignment="1" applyProtection="1">
      <alignment horizontal="left" vertical="top" wrapText="1"/>
      <protection locked="0"/>
    </xf>
    <xf numFmtId="0" fontId="22" fillId="0" borderId="169" xfId="0" applyFont="1" applyBorder="1" applyAlignment="1" applyProtection="1">
      <alignment horizontal="left" vertical="top" wrapText="1"/>
      <protection locked="0"/>
    </xf>
    <xf numFmtId="0" fontId="22" fillId="0" borderId="170" xfId="0" applyFont="1" applyBorder="1" applyAlignment="1" applyProtection="1">
      <alignment horizontal="left" vertical="top" wrapText="1"/>
      <protection locked="0"/>
    </xf>
    <xf numFmtId="0" fontId="40" fillId="14" borderId="95" xfId="0" applyFont="1" applyFill="1" applyBorder="1" applyAlignment="1">
      <alignment horizontal="center" vertical="center" wrapText="1"/>
    </xf>
    <xf numFmtId="0" fontId="40" fillId="14" borderId="97" xfId="0" applyFont="1" applyFill="1" applyBorder="1" applyAlignment="1">
      <alignment horizontal="center" vertical="center"/>
    </xf>
    <xf numFmtId="0" fontId="39" fillId="0" borderId="90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92" xfId="0" applyBorder="1" applyAlignment="1" applyProtection="1">
      <alignment horizontal="center"/>
      <protection locked="0"/>
    </xf>
    <xf numFmtId="0" fontId="44" fillId="15" borderId="93" xfId="0" applyFont="1" applyFill="1" applyBorder="1" applyAlignment="1">
      <alignment horizontal="center" vertical="center" wrapText="1"/>
    </xf>
    <xf numFmtId="0" fontId="44" fillId="15" borderId="96" xfId="0" applyFont="1" applyFill="1" applyBorder="1" applyAlignment="1">
      <alignment horizontal="center" vertical="center"/>
    </xf>
    <xf numFmtId="0" fontId="44" fillId="13" borderId="180" xfId="0" applyFont="1" applyFill="1" applyBorder="1" applyAlignment="1">
      <alignment horizontal="center" vertical="center" wrapText="1"/>
    </xf>
    <xf numFmtId="0" fontId="44" fillId="13" borderId="181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textRotation="90"/>
    </xf>
    <xf numFmtId="0" fontId="61" fillId="0" borderId="0" xfId="0" applyFont="1" applyAlignment="1">
      <alignment horizontal="center" vertical="top" textRotation="90"/>
    </xf>
    <xf numFmtId="0" fontId="0" fillId="0" borderId="137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37" xfId="0" applyBorder="1" applyAlignment="1">
      <alignment horizontal="center" vertical="center" textRotation="90"/>
    </xf>
    <xf numFmtId="0" fontId="0" fillId="0" borderId="184" xfId="0" applyBorder="1" applyAlignment="1">
      <alignment horizontal="center" vertical="center" textRotation="90"/>
    </xf>
    <xf numFmtId="0" fontId="19" fillId="12" borderId="88" xfId="0" applyFont="1" applyFill="1" applyBorder="1" applyAlignment="1" applyProtection="1">
      <alignment horizontal="center" vertical="center"/>
    </xf>
    <xf numFmtId="0" fontId="19" fillId="12" borderId="0" xfId="0" applyFont="1" applyFill="1" applyBorder="1" applyAlignment="1" applyProtection="1">
      <alignment horizontal="center" vertical="center"/>
    </xf>
    <xf numFmtId="0" fontId="19" fillId="12" borderId="89" xfId="0" applyFont="1" applyFill="1" applyBorder="1" applyAlignment="1" applyProtection="1">
      <alignment horizontal="center" vertical="center"/>
    </xf>
    <xf numFmtId="0" fontId="32" fillId="12" borderId="88" xfId="3" applyFill="1" applyBorder="1" applyAlignment="1" applyProtection="1">
      <alignment horizontal="center" vertical="center"/>
      <protection locked="0"/>
    </xf>
    <xf numFmtId="0" fontId="32" fillId="12" borderId="0" xfId="3" applyFill="1" applyBorder="1" applyAlignment="1" applyProtection="1">
      <alignment horizontal="center" vertical="center"/>
      <protection locked="0"/>
    </xf>
    <xf numFmtId="0" fontId="32" fillId="12" borderId="89" xfId="3" applyFill="1" applyBorder="1" applyAlignment="1" applyProtection="1">
      <alignment horizontal="center" vertical="center"/>
      <protection locked="0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48" fillId="0" borderId="71" xfId="0" applyNumberFormat="1" applyFont="1" applyFill="1" applyBorder="1" applyAlignment="1" applyProtection="1">
      <alignment horizontal="center" vertical="center"/>
      <protection hidden="1"/>
    </xf>
    <xf numFmtId="3" fontId="8" fillId="0" borderId="114" xfId="0" applyNumberFormat="1" applyFont="1" applyFill="1" applyBorder="1" applyAlignment="1" applyProtection="1">
      <alignment horizontal="center" vertical="center"/>
      <protection hidden="1"/>
    </xf>
    <xf numFmtId="0" fontId="8" fillId="0" borderId="114" xfId="0" applyNumberFormat="1" applyFont="1" applyFill="1" applyBorder="1" applyAlignment="1" applyProtection="1">
      <alignment horizontal="center" vertical="center"/>
      <protection hidden="1"/>
    </xf>
    <xf numFmtId="0" fontId="60" fillId="0" borderId="187" xfId="0" applyNumberFormat="1" applyFont="1" applyBorder="1" applyAlignment="1">
      <alignment horizontal="center" vertical="center"/>
    </xf>
    <xf numFmtId="0" fontId="60" fillId="0" borderId="188" xfId="0" applyNumberFormat="1" applyFont="1" applyBorder="1" applyAlignment="1">
      <alignment horizontal="center" vertical="center"/>
    </xf>
    <xf numFmtId="0" fontId="60" fillId="0" borderId="189" xfId="0" applyNumberFormat="1" applyFont="1" applyBorder="1" applyAlignment="1">
      <alignment horizontal="center" vertical="center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67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numFmt numFmtId="30" formatCode="@"/>
    </dxf>
    <dxf>
      <font>
        <color rgb="FF00B050"/>
      </font>
      <numFmt numFmtId="30" formatCode="@"/>
    </dxf>
    <dxf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30" formatCode="@"/>
    </dxf>
    <dxf>
      <font>
        <color rgb="FF00B050"/>
      </font>
      <numFmt numFmtId="30" formatCode="@"/>
    </dxf>
    <dxf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font>
        <color rgb="FFC00000"/>
      </font>
    </dxf>
    <dxf>
      <font>
        <color rgb="FFDA0000"/>
      </font>
    </dxf>
    <dxf>
      <font>
        <color theme="2" tint="-0.24994659260841701"/>
      </font>
    </dxf>
    <dxf>
      <font>
        <color rgb="FFDA0000"/>
      </font>
    </dxf>
    <dxf>
      <numFmt numFmtId="165" formatCode=";;;"/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FFFFCC"/>
      <color rgb="FFDA0000"/>
      <color rgb="FFFDECE3"/>
      <color rgb="FF00B050"/>
      <color rgb="FF5E913B"/>
      <color rgb="FFF8F8F8"/>
      <color rgb="FFE7FFE7"/>
      <color rgb="FFCCFFCC"/>
      <color rgb="FFEAEAEA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X4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3</xdr:row>
          <xdr:rowOff>0</xdr:rowOff>
        </xdr:from>
        <xdr:to>
          <xdr:col>13</xdr:col>
          <xdr:colOff>628650</xdr:colOff>
          <xdr:row>4</xdr:row>
          <xdr:rowOff>0</xdr:rowOff>
        </xdr:to>
        <xdr:sp macro="" textlink="">
          <xdr:nvSpPr>
            <xdr:cNvPr id="2050" name="Check Box 2" descr=" ABC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85725</xdr:rowOff>
    </xdr:from>
    <xdr:to>
      <xdr:col>4</xdr:col>
      <xdr:colOff>514351</xdr:colOff>
      <xdr:row>5</xdr:row>
      <xdr:rowOff>127482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247650"/>
          <a:ext cx="1304926" cy="17372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2</xdr:row>
      <xdr:rowOff>66675</xdr:rowOff>
    </xdr:from>
    <xdr:to>
      <xdr:col>7</xdr:col>
      <xdr:colOff>742950</xdr:colOff>
      <xdr:row>18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52475" y="390525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Planning</a:t>
          </a:r>
          <a:r>
            <a:rPr lang="de-DE" sz="1400"/>
            <a:t>' spreadsheet;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results on the "</a:t>
          </a:r>
          <a:r>
            <a:rPr lang="de-DE" sz="1400" b="1"/>
            <a:t>Results</a:t>
          </a:r>
          <a:r>
            <a:rPr lang="de-DE" sz="1400"/>
            <a:t>" spreadsheet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0</xdr:col>
      <xdr:colOff>752475</xdr:colOff>
      <xdr:row>20</xdr:row>
      <xdr:rowOff>9523</xdr:rowOff>
    </xdr:from>
    <xdr:to>
      <xdr:col>7</xdr:col>
      <xdr:colOff>742950</xdr:colOff>
      <xdr:row>75</xdr:row>
      <xdr:rowOff>152399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752475" y="3248023"/>
          <a:ext cx="5324475" cy="9048751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K7:K78 and M7:M78.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Kick-off times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depends on which mode is selected in the '</a:t>
          </a:r>
          <a:r>
            <a:rPr lang="de-DE" sz="1400" b="1"/>
            <a:t>Settings</a:t>
          </a:r>
          <a:r>
            <a:rPr lang="de-DE" sz="1400"/>
            <a:t>' sheet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</a:rPr>
            <a:t>Criteria mode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/>
            <a:t>Number of points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 b="0"/>
            <a:t>Goal difference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/>
            <a:t>Number of goals scored in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/>
            <a:t>Number of points from direct encounters between teams with the same points and goals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/>
            <a:t>Goal difference from the direct encounters of the teams with the same point and goal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/>
            <a:t>Number of goals scored in direct encounters between teams with equal points and goals</a:t>
          </a: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Criteria mode 2:</a:t>
          </a:r>
          <a:endParaRPr lang="de-DE" sz="12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the direct encounters of the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all group matches</a:t>
          </a:r>
          <a:endParaRPr lang="de-DE" sz="1000">
            <a:effectLst/>
          </a:endParaRP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247648</xdr:colOff>
      <xdr:row>2</xdr:row>
      <xdr:rowOff>66675</xdr:rowOff>
    </xdr:from>
    <xdr:to>
      <xdr:col>16</xdr:col>
      <xdr:colOff>9525</xdr:colOff>
      <xdr:row>18</xdr:row>
      <xdr:rowOff>9525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6343648" y="390525"/>
          <a:ext cx="5343527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Auf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dem Tabellenblatt '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Planning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' g</a:t>
          </a:r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anz links die Namen der Teilnehmer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Auf dem Tabellenblatt "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Results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" die Spielergebnisse eintragen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247649</xdr:colOff>
      <xdr:row>20</xdr:row>
      <xdr:rowOff>9523</xdr:rowOff>
    </xdr:from>
    <xdr:to>
      <xdr:col>16</xdr:col>
      <xdr:colOff>9525</xdr:colOff>
      <xdr:row>75</xdr:row>
      <xdr:rowOff>152400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6343649" y="3248023"/>
          <a:ext cx="5343526" cy="9048752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Wer seine eigenen Spielpaarungen manuell eintragen möchte, muss zuerst die beiden Matrixformeln löschen, die die Bereiche K7:K78 und M7:M78 überdecken.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Dasselbe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 mit der Zelle M7 durchführen.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Kick-off times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hängt davon ab, welcher Modus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Settings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gewählt wurde.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Kriterien Modus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allen Gruppenspielen erzielten Tore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den Direktbegegnungen der punkt- und torgleichen Teams erzielten Tore</a:t>
          </a: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Kriterien Modus 2:</a:t>
          </a:r>
        </a:p>
        <a:p>
          <a:endParaRPr lang="de-DE" sz="8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den Direktbegegnungen der punktgleichen Teams erzielten Tore</a:t>
          </a: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allen Gruppenspielen erzielten Tore</a:t>
          </a:r>
          <a:endParaRPr lang="de-DE" sz="1000">
            <a:effectLst/>
          </a:endParaRPr>
        </a:p>
        <a:p>
          <a:endParaRPr lang="de-DE" sz="1000">
            <a:effectLst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CS150"/>
  <sheetViews>
    <sheetView showGridLines="0" showRowColHeaders="0" zoomScaleNormal="100" workbookViewId="0">
      <selection activeCell="C8" sqref="C8:C9"/>
    </sheetView>
  </sheetViews>
  <sheetFormatPr baseColWidth="10" defaultColWidth="0" defaultRowHeight="15.75" zeroHeight="1" x14ac:dyDescent="0.25"/>
  <cols>
    <col min="1" max="1" width="11.42578125" style="49" customWidth="1"/>
    <col min="2" max="2" width="6.7109375" style="49" customWidth="1"/>
    <col min="3" max="3" width="29.85546875" style="49" customWidth="1"/>
    <col min="4" max="6" width="11.42578125" style="49" hidden="1" customWidth="1"/>
    <col min="7" max="7" width="11.42578125" style="49" customWidth="1"/>
    <col min="8" max="9" width="9.85546875" style="49" customWidth="1"/>
    <col min="10" max="10" width="7.28515625" style="49" customWidth="1"/>
    <col min="11" max="11" width="4.7109375" style="49" customWidth="1"/>
    <col min="12" max="12" width="3" style="49" customWidth="1"/>
    <col min="13" max="13" width="4.7109375" style="49" customWidth="1"/>
    <col min="14" max="14" width="20.7109375" style="49" customWidth="1"/>
    <col min="15" max="15" width="3.85546875" style="49" customWidth="1"/>
    <col min="16" max="16" width="20.7109375" style="49" customWidth="1"/>
    <col min="17" max="17" width="9.85546875" style="49" customWidth="1"/>
    <col min="18" max="18" width="11.42578125" style="49" customWidth="1"/>
    <col min="19" max="19" width="28.85546875" style="197" customWidth="1"/>
    <col min="20" max="20" width="13.85546875" style="197" customWidth="1"/>
    <col min="21" max="22" width="11.42578125" style="197" customWidth="1"/>
    <col min="23" max="23" width="10.28515625" style="197" hidden="1" customWidth="1"/>
    <col min="24" max="24" width="11.42578125" style="201" hidden="1" customWidth="1"/>
    <col min="25" max="96" width="11.42578125" style="49" hidden="1" customWidth="1"/>
    <col min="97" max="97" width="5.85546875" style="49" hidden="1" customWidth="1"/>
    <col min="98" max="16384" width="11.42578125" style="49" hidden="1"/>
  </cols>
  <sheetData>
    <row r="1" spans="1:94" x14ac:dyDescent="0.25">
      <c r="A1" s="183"/>
      <c r="U1" s="496" t="s">
        <v>277</v>
      </c>
      <c r="V1" s="496"/>
    </row>
    <row r="2" spans="1:94" ht="33.75" x14ac:dyDescent="0.5">
      <c r="A2" s="182"/>
      <c r="B2" s="319"/>
      <c r="C2" s="319"/>
      <c r="D2" s="319"/>
      <c r="E2" s="319"/>
      <c r="F2" s="319"/>
      <c r="G2" s="319"/>
      <c r="H2" s="473" t="str">
        <f>Language!$E$30</f>
        <v>Participants and schedule</v>
      </c>
      <c r="I2" s="473"/>
      <c r="J2" s="473"/>
      <c r="K2" s="473"/>
      <c r="L2" s="473"/>
      <c r="M2" s="473"/>
      <c r="N2" s="473"/>
      <c r="O2" s="473"/>
      <c r="P2" s="473"/>
      <c r="Q2" s="364"/>
      <c r="R2" s="319"/>
      <c r="S2" s="319"/>
      <c r="T2" s="319"/>
      <c r="U2" s="497">
        <v>45405</v>
      </c>
      <c r="V2" s="497"/>
    </row>
    <row r="3" spans="1:94" x14ac:dyDescent="0.25">
      <c r="X3" s="201" t="b">
        <f ca="1">OR($T$6="",$T$8="",$T$10="",$T$12="",$D$6&gt;2,$D$6=0,Calc!$F$13=0)</f>
        <v>0</v>
      </c>
      <c r="Y3" s="49" t="s">
        <v>248</v>
      </c>
    </row>
    <row r="4" spans="1:94" ht="26.25" x14ac:dyDescent="0.4">
      <c r="B4" s="45" t="str">
        <f>Language!$E$31</f>
        <v>Participants</v>
      </c>
      <c r="E4" s="404" t="s">
        <v>265</v>
      </c>
      <c r="F4" s="404" t="s">
        <v>266</v>
      </c>
      <c r="H4" s="45" t="str">
        <f>Language!$E$32</f>
        <v>Schedule</v>
      </c>
      <c r="I4" s="45"/>
      <c r="J4" s="45"/>
      <c r="N4" s="484" t="str">
        <f>Language!$E$20</f>
        <v>With second legs</v>
      </c>
      <c r="O4" s="484"/>
      <c r="P4" s="484"/>
      <c r="Q4" s="365"/>
      <c r="R4" s="333"/>
      <c r="S4" s="45" t="str">
        <f>Language!$E$41</f>
        <v>Playing times</v>
      </c>
      <c r="X4" s="332" t="b">
        <v>1</v>
      </c>
    </row>
    <row r="5" spans="1:94" ht="29.25" customHeight="1" thickBot="1" x14ac:dyDescent="0.3">
      <c r="D5" s="71"/>
      <c r="E5" s="324">
        <f ca="1">IF($D$6=2,E6*(E6-1),IF($D$6=1,E6*(E6-1)/2,0))</f>
        <v>42</v>
      </c>
      <c r="F5" s="324">
        <f ca="1">IF($D$6=2,E5/2,0)</f>
        <v>21</v>
      </c>
      <c r="G5" s="206" t="str">
        <f>Language!$E$65</f>
        <v>Time conflict</v>
      </c>
      <c r="H5" s="485" t="str">
        <f>Language!$E$59</f>
        <v>Double match pairings and matches against oneself
lead to incorrect values in the overall table!</v>
      </c>
      <c r="I5" s="485"/>
      <c r="J5" s="485"/>
      <c r="K5" s="485"/>
      <c r="L5" s="485"/>
      <c r="M5" s="485"/>
      <c r="N5" s="485"/>
      <c r="O5" s="485"/>
      <c r="P5" s="485"/>
      <c r="Q5" s="494" t="str">
        <f>Language!$E$53</f>
        <v>Addit. Pause (min)</v>
      </c>
    </row>
    <row r="6" spans="1:94" ht="15.95" customHeight="1" thickTop="1" thickBot="1" x14ac:dyDescent="0.3">
      <c r="A6" s="76">
        <f>MAX($A$8:$A$25)</f>
        <v>1</v>
      </c>
      <c r="B6" s="467" t="str">
        <f>Language!$E$9</f>
        <v>No.</v>
      </c>
      <c r="C6" s="462" t="str">
        <f>Language!$E$10</f>
        <v>Participant or team</v>
      </c>
      <c r="D6" s="160">
        <f ca="1">MAX($D$7:$D$78)</f>
        <v>2</v>
      </c>
      <c r="E6" s="323">
        <f>Calc!$F$13</f>
        <v>7</v>
      </c>
      <c r="F6" s="71" t="s">
        <v>174</v>
      </c>
      <c r="G6" s="71"/>
      <c r="H6" s="242" t="str">
        <f>Language!$E$33</f>
        <v>Game no.</v>
      </c>
      <c r="I6" s="243" t="str">
        <f>Language!$E$39</f>
        <v>Start</v>
      </c>
      <c r="J6" s="243" t="str">
        <f>Language!$E$48</f>
        <v>Field</v>
      </c>
      <c r="K6" s="482" t="str">
        <f>Language!$E$34</f>
        <v>Pairings</v>
      </c>
      <c r="L6" s="482"/>
      <c r="M6" s="482"/>
      <c r="N6" s="482" t="str">
        <f>Language!$E$31</f>
        <v>Participants</v>
      </c>
      <c r="O6" s="482"/>
      <c r="P6" s="483"/>
      <c r="Q6" s="495"/>
      <c r="S6" s="486" t="str">
        <f>Language!$E$39</f>
        <v>Start</v>
      </c>
      <c r="T6" s="487">
        <v>0.375</v>
      </c>
      <c r="U6" s="498" t="str">
        <f>Language!$E$45</f>
        <v xml:space="preserve"> </v>
      </c>
      <c r="V6" s="203"/>
      <c r="W6" s="202" t="s">
        <v>259</v>
      </c>
      <c r="X6" s="201" t="s">
        <v>260</v>
      </c>
      <c r="Y6" s="389">
        <v>1</v>
      </c>
      <c r="Z6" s="390" t="s">
        <v>261</v>
      </c>
      <c r="AA6" s="390" t="s">
        <v>262</v>
      </c>
      <c r="AB6" s="391" t="s">
        <v>263</v>
      </c>
      <c r="AC6" s="390" t="s">
        <v>262</v>
      </c>
      <c r="AD6" s="390" t="s">
        <v>261</v>
      </c>
      <c r="AE6" s="202"/>
      <c r="AF6" s="201" t="s">
        <v>260</v>
      </c>
      <c r="AG6" s="389">
        <v>2</v>
      </c>
      <c r="AH6" s="390" t="s">
        <v>261</v>
      </c>
      <c r="AI6" s="390" t="s">
        <v>262</v>
      </c>
      <c r="AJ6" s="391" t="s">
        <v>263</v>
      </c>
      <c r="AK6" s="390" t="s">
        <v>262</v>
      </c>
      <c r="AL6" s="390" t="s">
        <v>261</v>
      </c>
      <c r="AN6" s="201" t="s">
        <v>260</v>
      </c>
      <c r="AO6" s="389">
        <v>3</v>
      </c>
      <c r="AP6" s="390" t="s">
        <v>261</v>
      </c>
      <c r="AQ6" s="390" t="s">
        <v>262</v>
      </c>
      <c r="AR6" s="391" t="s">
        <v>263</v>
      </c>
      <c r="AS6" s="390" t="s">
        <v>262</v>
      </c>
      <c r="AT6" s="390" t="s">
        <v>261</v>
      </c>
      <c r="AU6" s="202"/>
      <c r="AV6" s="201" t="s">
        <v>260</v>
      </c>
      <c r="AW6" s="389">
        <v>4</v>
      </c>
      <c r="AX6" s="390" t="s">
        <v>261</v>
      </c>
      <c r="AY6" s="390" t="s">
        <v>262</v>
      </c>
      <c r="AZ6" s="391" t="s">
        <v>263</v>
      </c>
      <c r="BA6" s="390" t="s">
        <v>262</v>
      </c>
      <c r="BB6" s="390" t="s">
        <v>261</v>
      </c>
      <c r="BD6" s="201" t="s">
        <v>260</v>
      </c>
      <c r="BE6" s="389">
        <v>5</v>
      </c>
      <c r="BF6" s="390" t="s">
        <v>261</v>
      </c>
      <c r="BG6" s="390" t="s">
        <v>262</v>
      </c>
      <c r="BH6" s="391" t="s">
        <v>263</v>
      </c>
      <c r="BI6" s="390" t="s">
        <v>262</v>
      </c>
      <c r="BJ6" s="390" t="s">
        <v>261</v>
      </c>
      <c r="BK6" s="202"/>
      <c r="BL6" s="201" t="s">
        <v>260</v>
      </c>
      <c r="BM6" s="389">
        <v>6</v>
      </c>
      <c r="BN6" s="390" t="s">
        <v>261</v>
      </c>
      <c r="BO6" s="390" t="s">
        <v>262</v>
      </c>
      <c r="BP6" s="391" t="s">
        <v>263</v>
      </c>
      <c r="BQ6" s="390" t="s">
        <v>262</v>
      </c>
      <c r="BR6" s="390" t="s">
        <v>261</v>
      </c>
      <c r="BT6" s="201" t="s">
        <v>260</v>
      </c>
      <c r="BU6" s="389">
        <v>7</v>
      </c>
      <c r="BV6" s="390" t="s">
        <v>261</v>
      </c>
      <c r="BW6" s="390" t="s">
        <v>262</v>
      </c>
      <c r="BX6" s="391" t="s">
        <v>263</v>
      </c>
      <c r="BY6" s="390" t="s">
        <v>262</v>
      </c>
      <c r="BZ6" s="390" t="s">
        <v>261</v>
      </c>
      <c r="CA6" s="202"/>
      <c r="CB6" s="201" t="s">
        <v>260</v>
      </c>
      <c r="CC6" s="389">
        <v>8</v>
      </c>
      <c r="CD6" s="390" t="s">
        <v>261</v>
      </c>
      <c r="CE6" s="390" t="s">
        <v>262</v>
      </c>
      <c r="CF6" s="391" t="s">
        <v>263</v>
      </c>
      <c r="CG6" s="390" t="s">
        <v>262</v>
      </c>
      <c r="CH6" s="390" t="s">
        <v>261</v>
      </c>
      <c r="CJ6" s="201" t="s">
        <v>260</v>
      </c>
      <c r="CK6" s="389">
        <v>9</v>
      </c>
      <c r="CL6" s="390" t="s">
        <v>261</v>
      </c>
      <c r="CM6" s="390" t="s">
        <v>262</v>
      </c>
      <c r="CN6" s="391" t="s">
        <v>263</v>
      </c>
      <c r="CO6" s="390" t="s">
        <v>262</v>
      </c>
      <c r="CP6" s="390" t="s">
        <v>261</v>
      </c>
    </row>
    <row r="7" spans="1:94" ht="15.95" customHeight="1" x14ac:dyDescent="0.2">
      <c r="A7" s="76"/>
      <c r="B7" s="468"/>
      <c r="C7" s="463"/>
      <c r="D7" s="159">
        <f ca="1">IF($E7="",0,IF(OR(QUOTIENT($E7,10)=MOD($E7,10),COUNTIF($E$7:$E$78,$E7)&gt;1),100,COUNTIF($E$7:$E$150,$E7)))</f>
        <v>2</v>
      </c>
      <c r="E7" s="159">
        <f ca="1">IF(OR($K7="",$M7=""),"",VALUE($K7&amp;$M7))</f>
        <v>72</v>
      </c>
      <c r="F7" s="159">
        <f ca="1">IF($E7="",0,COUNTIF($E$7:$E7,INDEX($E$79:$E$150,ROW($A1))))</f>
        <v>0</v>
      </c>
      <c r="G7" s="205"/>
      <c r="H7" s="235">
        <v>1</v>
      </c>
      <c r="I7" s="244">
        <f ca="1">IF(OR($X$3,$H7&gt;Calc!$B$13/2*$D$6),"",$T$6+QUOTIENT(($H7-1),$T$22)*($T$8+$T$10)/1440)</f>
        <v>0.375</v>
      </c>
      <c r="J7" s="228">
        <f ca="1">IF(OR($X$3,$H7&gt;Calc!$B$13/2*$D$6),"",MOD(($H7-1),$T$22)+1)</f>
        <v>1</v>
      </c>
      <c r="K7" s="236">
        <f t="array" aca="1" ref="K7:K78" ca="1">IF(Calc!$F$13&lt;3,"",IF(OFFSET(Spielpaarungen!$A$1,0,(Calc!$F$13-2)*4-1+($X$4=FALSE)*30,72,1)="","",OFFSET(Spielpaarungen!$A$1,0,(Calc!$F$13-2)*4-1+($X$4=FALSE)*30,72,1)))</f>
        <v>7</v>
      </c>
      <c r="L7" s="237" t="s">
        <v>5</v>
      </c>
      <c r="M7" s="238">
        <f t="array" aca="1" ref="M7:M78" ca="1">IF(Calc!$F$13&lt;3,"",IF(OFFSET(Spielpaarungen!$A$1,0,(Calc!$F$13-2)*4+($X$4=FALSE)*30,72,1)="","",OFFSET(Spielpaarungen!$A$1,0,(Calc!$F$13-2)*4+($X$4=FALSE)*30,72,1)))</f>
        <v>2</v>
      </c>
      <c r="N7" s="239" t="str">
        <f ca="1">IF($K7="","",IF(VLOOKUP($K7,$B$8:$C$25,2,0)="","",VLOOKUP($K7,$B$8:$C$25,2,0)))</f>
        <v>SSV Wildbach</v>
      </c>
      <c r="O7" s="240" t="s">
        <v>5</v>
      </c>
      <c r="P7" s="241" t="str">
        <f ca="1">IF($M7="","",IF(VLOOKUP($M7,$B$8:$C$25,2,0)="","",VLOOKUP($M7,$B$8:$C$25,2,0)))</f>
        <v>FC Barcelona</v>
      </c>
      <c r="Q7" s="380"/>
      <c r="S7" s="480"/>
      <c r="T7" s="488"/>
      <c r="U7" s="499"/>
      <c r="V7" s="203"/>
      <c r="W7" s="202">
        <v>0</v>
      </c>
      <c r="X7" s="392">
        <v>0</v>
      </c>
      <c r="Y7" s="393">
        <f ca="1">IF(Z7&gt;9,99999,$I7)</f>
        <v>99999</v>
      </c>
      <c r="Z7" s="202" t="str">
        <f t="shared" ref="Z7:Z70" ca="1" si="0">IF($K7=Y$6,$M7,IF($M7=Y$6,$K7,""))</f>
        <v/>
      </c>
      <c r="AA7" s="202" t="str">
        <f ca="1">IF(Z7&gt;9,"",$J7)</f>
        <v/>
      </c>
      <c r="AB7" s="394">
        <f t="shared" ref="AB7:AB70" ca="1" si="1">SMALL(Y$7:Y$78,ROW($A1))</f>
        <v>0.3923611111111111</v>
      </c>
      <c r="AC7" s="394">
        <f t="shared" ref="AC7:AC38" ca="1" si="2">IFERROR(VLOOKUP(AB7,Y$7:AA$78,3,0),"")</f>
        <v>1</v>
      </c>
      <c r="AD7" s="395" t="str">
        <f t="shared" ref="AD7:AD38" ca="1" si="3">IFERROR(VLOOKUP(VLOOKUP(AB7,Y$7:Z$78,2,0),$B$8:$C$25,2,0),"")</f>
        <v>SSV Wildbach</v>
      </c>
      <c r="AE7" s="202"/>
      <c r="AF7" s="392">
        <v>0</v>
      </c>
      <c r="AG7" s="393">
        <f ca="1">IF(AH7&gt;9,99999,$I7)</f>
        <v>0.375</v>
      </c>
      <c r="AH7" s="202">
        <f ca="1">IF($K7=AG$6,$M7,IF($M7=AG$6,$K7,""))</f>
        <v>7</v>
      </c>
      <c r="AI7" s="202">
        <f ca="1">IF(AH7&gt;9,"",$J7)</f>
        <v>1</v>
      </c>
      <c r="AJ7" s="394">
        <f t="shared" ref="AJ7:AJ70" ca="1" si="4">SMALL(AG$7:AG$78,ROW($A1))</f>
        <v>0.375</v>
      </c>
      <c r="AK7" s="394">
        <f t="shared" ref="AK7:AK38" ca="1" si="5">IFERROR(VLOOKUP(AJ7,AG$7:AI$78,3,0),"")</f>
        <v>1</v>
      </c>
      <c r="AL7" s="395" t="str">
        <f t="shared" ref="AL7:AL38" ca="1" si="6">IFERROR(VLOOKUP(VLOOKUP(AJ7,AG$7:AH$78,2,0),$B$8:$C$25,2,0),"")</f>
        <v>SSV Wildbach</v>
      </c>
      <c r="AN7" s="392">
        <v>0</v>
      </c>
      <c r="AO7" s="393">
        <f ca="1">IF(AP7&gt;9,99999,$I7)</f>
        <v>99999</v>
      </c>
      <c r="AP7" s="202" t="str">
        <f ca="1">IF($K7=AO$6,$M7,IF($M7=AO$6,$K7,""))</f>
        <v/>
      </c>
      <c r="AQ7" s="202" t="str">
        <f ca="1">IF(AP7&gt;9,"",$J7)</f>
        <v/>
      </c>
      <c r="AR7" s="394">
        <f t="shared" ref="AR7:AR70" ca="1" si="7">SMALL(AO$7:AO$78,ROW($A1))</f>
        <v>0.375</v>
      </c>
      <c r="AS7" s="394">
        <f t="shared" ref="AS7:AS38" ca="1" si="8">IFERROR(VLOOKUP(AR7,AO$7:AQ$78,3,0),"")</f>
        <v>2</v>
      </c>
      <c r="AT7" s="395" t="str">
        <f t="shared" ref="AT7:AT38" ca="1" si="9">IFERROR(VLOOKUP(VLOOKUP(AR7,AO$7:AP$78,2,0),$B$8:$C$25,2,0),"")</f>
        <v>Inter Mailand</v>
      </c>
      <c r="AU7" s="202"/>
      <c r="AV7" s="392">
        <v>0</v>
      </c>
      <c r="AW7" s="393">
        <f ca="1">IF(AX7&gt;9,99999,$I7)</f>
        <v>99999</v>
      </c>
      <c r="AX7" s="202" t="str">
        <f ca="1">IF($K7=AW$6,$M7,IF($M7=AW$6,$K7,""))</f>
        <v/>
      </c>
      <c r="AY7" s="202" t="str">
        <f ca="1">IF(AX7&gt;9,"",$J7)</f>
        <v/>
      </c>
      <c r="AZ7" s="394">
        <f t="shared" ref="AZ7:AZ70" ca="1" si="10">SMALL(AW$7:AW$78,ROW($A1))</f>
        <v>0.375</v>
      </c>
      <c r="BA7" s="394">
        <f t="shared" ref="BA7:BA38" ca="1" si="11">IFERROR(VLOOKUP(AZ7,AW$7:AY$78,3,0),"")</f>
        <v>3</v>
      </c>
      <c r="BB7" s="395" t="str">
        <f t="shared" ref="BB7:BB38" ca="1" si="12">IFERROR(VLOOKUP(VLOOKUP(AZ7,AW$7:AX$78,2,0),$B$8:$C$25,2,0),"")</f>
        <v>VFB Essenheim</v>
      </c>
      <c r="BD7" s="392">
        <v>0</v>
      </c>
      <c r="BE7" s="393">
        <f ca="1">IF(BF7&gt;9,99999,$I7)</f>
        <v>99999</v>
      </c>
      <c r="BF7" s="202" t="str">
        <f ca="1">IF($K7=BE$6,$M7,IF($M7=BE$6,$K7,""))</f>
        <v/>
      </c>
      <c r="BG7" s="202" t="str">
        <f ca="1">IF(BF7&gt;9,"",$J7)</f>
        <v/>
      </c>
      <c r="BH7" s="394">
        <f t="shared" ref="BH7:BH70" ca="1" si="13">SMALL(BE$7:BE$78,ROW($A1))</f>
        <v>0.375</v>
      </c>
      <c r="BI7" s="394">
        <f t="shared" ref="BI7:BI38" ca="1" si="14">IFERROR(VLOOKUP(BH7,BE$7:BG$78,3,0),"")</f>
        <v>3</v>
      </c>
      <c r="BJ7" s="395" t="str">
        <f t="shared" ref="BJ7:BJ38" ca="1" si="15">IFERROR(VLOOKUP(VLOOKUP(BH7,BE$7:BF$78,2,0),$B$8:$C$25,2,0),"")</f>
        <v>Maibach 1822 eV</v>
      </c>
      <c r="BK7" s="202"/>
      <c r="BL7" s="392">
        <v>0</v>
      </c>
      <c r="BM7" s="393">
        <f ca="1">IF(BN7&gt;9,99999,$I7)</f>
        <v>99999</v>
      </c>
      <c r="BN7" s="202" t="str">
        <f ca="1">IF($K7=BM$6,$M7,IF($M7=BM$6,$K7,""))</f>
        <v/>
      </c>
      <c r="BO7" s="202" t="str">
        <f ca="1">IF(BN7&gt;9,"",$J7)</f>
        <v/>
      </c>
      <c r="BP7" s="394">
        <f t="shared" ref="BP7:BP70" ca="1" si="16">SMALL(BM$7:BM$78,ROW($A1))</f>
        <v>0.375</v>
      </c>
      <c r="BQ7" s="394">
        <f t="shared" ref="BQ7:BQ38" ca="1" si="17">IFERROR(VLOOKUP(BP7,BM$7:BO$78,3,0),"")</f>
        <v>2</v>
      </c>
      <c r="BR7" s="395" t="str">
        <f t="shared" ref="BR7:BR38" ca="1" si="18">IFERROR(VLOOKUP(VLOOKUP(BP7,BM$7:BN$78,2,0),$B$8:$C$25,2,0),"")</f>
        <v>Eintracht Frankfurt</v>
      </c>
      <c r="BT7" s="392">
        <v>0</v>
      </c>
      <c r="BU7" s="393">
        <f ca="1">IF(BV7&gt;9,99999,$I7)</f>
        <v>0.375</v>
      </c>
      <c r="BV7" s="202">
        <f ca="1">IF($K7=BU$6,$M7,IF($M7=BU$6,$K7,""))</f>
        <v>2</v>
      </c>
      <c r="BW7" s="202">
        <f ca="1">IF(BV7&gt;9,"",$J7)</f>
        <v>1</v>
      </c>
      <c r="BX7" s="394">
        <f t="shared" ref="BX7:BX70" ca="1" si="19">SMALL(BU$7:BU$78,ROW($A1))</f>
        <v>0.375</v>
      </c>
      <c r="BY7" s="394">
        <f t="shared" ref="BY7:BY38" ca="1" si="20">IFERROR(VLOOKUP(BX7,BU$7:BW$78,3,0),"")</f>
        <v>1</v>
      </c>
      <c r="BZ7" s="395" t="str">
        <f t="shared" ref="BZ7:BZ38" ca="1" si="21">IFERROR(VLOOKUP(VLOOKUP(BX7,BU$7:BV$78,2,0),$B$8:$C$25,2,0),"")</f>
        <v>FC Barcelona</v>
      </c>
      <c r="CA7" s="202"/>
      <c r="CB7" s="392">
        <v>0</v>
      </c>
      <c r="CC7" s="393">
        <f ca="1">IF(CD7&gt;9,99999,$I7)</f>
        <v>99999</v>
      </c>
      <c r="CD7" s="202" t="str">
        <f ca="1">IF($K7=CC$6,$M7,IF($M7=CC$6,$K7,""))</f>
        <v/>
      </c>
      <c r="CE7" s="202" t="str">
        <f ca="1">IF(CD7&gt;9,"",$J7)</f>
        <v/>
      </c>
      <c r="CF7" s="394">
        <f t="shared" ref="CF7:CF70" ca="1" si="22">SMALL(CC$7:CC$78,ROW($A1))</f>
        <v>99999</v>
      </c>
      <c r="CG7" s="394" t="str">
        <f t="shared" ref="CG7:CG38" ca="1" si="23">IFERROR(VLOOKUP(CF7,CC$7:CE$78,3,0),"")</f>
        <v/>
      </c>
      <c r="CH7" s="395" t="str">
        <f t="shared" ref="CH7:CH38" ca="1" si="24">IFERROR(VLOOKUP(VLOOKUP(CF7,CC$7:CD$78,2,0),$B$8:$C$25,2,0),"")</f>
        <v/>
      </c>
      <c r="CJ7" s="392">
        <v>0</v>
      </c>
      <c r="CK7" s="393">
        <f ca="1">IF(CL7&gt;9,99999,$I7)</f>
        <v>99999</v>
      </c>
      <c r="CL7" s="202" t="str">
        <f ca="1">IF($K7=CK$6,$M7,IF($M7=CK$6,$K7,""))</f>
        <v/>
      </c>
      <c r="CM7" s="202" t="str">
        <f ca="1">IF(CL7&gt;9,"",$J7)</f>
        <v/>
      </c>
      <c r="CN7" s="394">
        <f t="shared" ref="CN7:CN70" ca="1" si="25">SMALL(CK$7:CK$78,ROW($A1))</f>
        <v>99999</v>
      </c>
      <c r="CO7" s="394" t="str">
        <f t="shared" ref="CO7:CO38" ca="1" si="26">IFERROR(VLOOKUP(CN7,CK$7:CM$78,3,0),"")</f>
        <v/>
      </c>
      <c r="CP7" s="395" t="str">
        <f t="shared" ref="CP7:CP38" ca="1" si="27">IFERROR(VLOOKUP(VLOOKUP(CN7,CK$7:CL$78,2,0),$B$8:$C$25,2,0),"")</f>
        <v/>
      </c>
    </row>
    <row r="8" spans="1:94" ht="15.95" customHeight="1" x14ac:dyDescent="0.2">
      <c r="A8" s="76">
        <f>COUNTIF($C$8:$C$25,$C$8)</f>
        <v>1</v>
      </c>
      <c r="B8" s="469">
        <v>1</v>
      </c>
      <c r="C8" s="464" t="s">
        <v>267</v>
      </c>
      <c r="D8" s="159">
        <f t="shared" ref="D8:D71" ca="1" si="28">IF($E8="",0,IF(OR(QUOTIENT($E8,10)=MOD($E8,10),COUNTIF($E$7:$E$78,$E8)&gt;1),100,COUNTIF($E$7:$E$150,$E8)))</f>
        <v>2</v>
      </c>
      <c r="E8" s="159">
        <f t="shared" ref="E8:E71" ca="1" si="29">IF(OR($K8="",$M8=""),"",VALUE($K8&amp;$M8))</f>
        <v>36</v>
      </c>
      <c r="F8" s="159">
        <f ca="1">IF($E8="",0,COUNTIF($E$7:$E8,INDEX($E$79:$E$150,ROW($A2))))</f>
        <v>0</v>
      </c>
      <c r="G8" s="205"/>
      <c r="H8" s="200">
        <v>2</v>
      </c>
      <c r="I8" s="227">
        <f ca="1">IF(OR($X$3,$H8&gt;Calc!$B$13/2*$D$6),"",$T$6+QUOTIENT(($H8-1),$T$22)*($T$8+$T$10)/1440+SUM($Q$7:$Q7)/1440)</f>
        <v>0.375</v>
      </c>
      <c r="J8" s="229">
        <f ca="1">IF(OR($X$3,$H8&gt;Calc!$B$13/2*$D$6),"",MOD(($H8-1),$T$22)+1)</f>
        <v>2</v>
      </c>
      <c r="K8" s="54">
        <f ca="1"/>
        <v>3</v>
      </c>
      <c r="L8" s="53" t="s">
        <v>5</v>
      </c>
      <c r="M8" s="55">
        <f ca="1"/>
        <v>6</v>
      </c>
      <c r="N8" s="52" t="str">
        <f t="shared" ref="N8:N71" ca="1" si="30">IF($K8="","",IF(VLOOKUP($K8,$B$8:$C$25,2,0)="","",VLOOKUP($K8,$B$8:$C$25,2,0)))</f>
        <v>Eintracht Frankfurt</v>
      </c>
      <c r="O8" s="50" t="s">
        <v>5</v>
      </c>
      <c r="P8" s="51" t="str">
        <f t="shared" ref="P8:P71" ca="1" si="31">IF($M8="","",IF(VLOOKUP($M8,$B$8:$C$25,2,0)="","",VLOOKUP($M8,$B$8:$C$25,2,0)))</f>
        <v>Inter Mailand</v>
      </c>
      <c r="Q8" s="381"/>
      <c r="S8" s="480" t="str">
        <f>Language!$E$42</f>
        <v>Playing time per match</v>
      </c>
      <c r="T8" s="489">
        <v>20</v>
      </c>
      <c r="U8" s="499" t="s">
        <v>188</v>
      </c>
      <c r="V8" s="203"/>
      <c r="W8" s="202">
        <f ca="1">X8+AF8+AN8+AV8+BD8+BL8+BT8+CB8+CJ8</f>
        <v>0</v>
      </c>
      <c r="X8" s="396">
        <f ca="1">IF(AND(Y8&lt;99999,OR(Y8=Y7,Y8=Y6,Y8=Y5,)),1,0)</f>
        <v>0</v>
      </c>
      <c r="Y8" s="393">
        <f t="shared" ref="Y8:Y71" ca="1" si="32">IF(Z8&gt;9,99999,$I8)</f>
        <v>99999</v>
      </c>
      <c r="Z8" s="202" t="str">
        <f t="shared" ca="1" si="0"/>
        <v/>
      </c>
      <c r="AA8" s="202" t="str">
        <f t="shared" ref="AA8:AA11" ca="1" si="33">IF(Z8&gt;9,"",$J8)</f>
        <v/>
      </c>
      <c r="AB8" s="394">
        <f t="shared" ca="1" si="1"/>
        <v>0.40972222222222221</v>
      </c>
      <c r="AC8" s="394">
        <f t="shared" ca="1" si="2"/>
        <v>1</v>
      </c>
      <c r="AD8" s="395" t="str">
        <f t="shared" ca="1" si="3"/>
        <v>Inter Mailand</v>
      </c>
      <c r="AE8" s="202"/>
      <c r="AF8" s="396">
        <f ca="1">IF(AND(AG8&lt;99999,OR(AG8=AG7,AG8=AG6,AG8=AG5,)),1,0)</f>
        <v>0</v>
      </c>
      <c r="AG8" s="393">
        <f t="shared" ref="AG8:AG71" ca="1" si="34">IF(AH8&gt;9,99999,$I8)</f>
        <v>99999</v>
      </c>
      <c r="AH8" s="202" t="str">
        <f t="shared" ref="AH8:AH71" ca="1" si="35">IF($K8=AG$6,$M8,IF($M8=AG$6,$K8,""))</f>
        <v/>
      </c>
      <c r="AI8" s="202" t="str">
        <f t="shared" ref="AI8:AI11" ca="1" si="36">IF(AH8&gt;9,"",$J8)</f>
        <v/>
      </c>
      <c r="AJ8" s="394">
        <f t="shared" ca="1" si="4"/>
        <v>0.3923611111111111</v>
      </c>
      <c r="AK8" s="394">
        <f t="shared" ca="1" si="5"/>
        <v>2</v>
      </c>
      <c r="AL8" s="395" t="str">
        <f t="shared" ca="1" si="6"/>
        <v>VFB Essenheim</v>
      </c>
      <c r="AN8" s="396">
        <f ca="1">IF(AND(AO8&lt;99999,OR(AO8=AO7,AO8=AO6,AO8=AO5,)),1,0)</f>
        <v>0</v>
      </c>
      <c r="AO8" s="393">
        <f t="shared" ref="AO8:AO71" ca="1" si="37">IF(AP8&gt;9,99999,$I8)</f>
        <v>0.375</v>
      </c>
      <c r="AP8" s="202">
        <f t="shared" ref="AP8:AP71" ca="1" si="38">IF($K8=AO$6,$M8,IF($M8=AO$6,$K8,""))</f>
        <v>6</v>
      </c>
      <c r="AQ8" s="202">
        <f t="shared" ref="AQ8:AQ11" ca="1" si="39">IF(AP8&gt;9,"",$J8)</f>
        <v>2</v>
      </c>
      <c r="AR8" s="394">
        <f t="shared" ca="1" si="7"/>
        <v>0.3923611111111111</v>
      </c>
      <c r="AS8" s="394">
        <f t="shared" ca="1" si="8"/>
        <v>3</v>
      </c>
      <c r="AT8" s="395" t="str">
        <f t="shared" ca="1" si="9"/>
        <v>Maibach 1822 eV</v>
      </c>
      <c r="AU8" s="202"/>
      <c r="AV8" s="396">
        <f ca="1">IF(AND(AW8&lt;99999,OR(AW8=AW7,AW8=AW6,AW8=AW5,)),1,0)</f>
        <v>0</v>
      </c>
      <c r="AW8" s="393">
        <f t="shared" ref="AW8:AW71" ca="1" si="40">IF(AX8&gt;9,99999,$I8)</f>
        <v>99999</v>
      </c>
      <c r="AX8" s="202" t="str">
        <f t="shared" ref="AX8:AX71" ca="1" si="41">IF($K8=AW$6,$M8,IF($M8=AW$6,$K8,""))</f>
        <v/>
      </c>
      <c r="AY8" s="202" t="str">
        <f t="shared" ref="AY8:AY11" ca="1" si="42">IF(AX8&gt;9,"",$J8)</f>
        <v/>
      </c>
      <c r="AZ8" s="394">
        <f t="shared" ca="1" si="10"/>
        <v>0.3923611111111111</v>
      </c>
      <c r="BA8" s="394">
        <f t="shared" ca="1" si="11"/>
        <v>3</v>
      </c>
      <c r="BB8" s="395" t="str">
        <f t="shared" ca="1" si="12"/>
        <v>Eintracht Frankfurt</v>
      </c>
      <c r="BD8" s="396">
        <f ca="1">IF(AND(BE8&lt;99999,OR(BE8=BE7,BE8=BE6,BE8=BE5,)),1,0)</f>
        <v>0</v>
      </c>
      <c r="BE8" s="393">
        <f t="shared" ref="BE8:BE71" ca="1" si="43">IF(BF8&gt;9,99999,$I8)</f>
        <v>99999</v>
      </c>
      <c r="BF8" s="202" t="str">
        <f t="shared" ref="BF8:BF71" ca="1" si="44">IF($K8=BE$6,$M8,IF($M8=BE$6,$K8,""))</f>
        <v/>
      </c>
      <c r="BG8" s="202" t="str">
        <f t="shared" ref="BG8:BG11" ca="1" si="45">IF(BF8&gt;9,"",$J8)</f>
        <v/>
      </c>
      <c r="BH8" s="394">
        <f t="shared" ca="1" si="13"/>
        <v>0.3923611111111111</v>
      </c>
      <c r="BI8" s="394">
        <f t="shared" ca="1" si="14"/>
        <v>2</v>
      </c>
      <c r="BJ8" s="395" t="str">
        <f t="shared" ca="1" si="15"/>
        <v>FC Barcelona</v>
      </c>
      <c r="BK8" s="202"/>
      <c r="BL8" s="396">
        <f ca="1">IF(AND(BM8&lt;99999,OR(BM8=BM7,BM8=BM6,BM8=BM5,)),1,0)</f>
        <v>0</v>
      </c>
      <c r="BM8" s="393">
        <f t="shared" ref="BM8:BM71" ca="1" si="46">IF(BN8&gt;9,99999,$I8)</f>
        <v>0.375</v>
      </c>
      <c r="BN8" s="202">
        <f t="shared" ref="BN8:BN71" ca="1" si="47">IF($K8=BM$6,$M8,IF($M8=BM$6,$K8,""))</f>
        <v>3</v>
      </c>
      <c r="BO8" s="202">
        <f t="shared" ref="BO8:BO11" ca="1" si="48">IF(BN8&gt;9,"",$J8)</f>
        <v>2</v>
      </c>
      <c r="BP8" s="394">
        <f t="shared" ca="1" si="16"/>
        <v>0.40972222222222221</v>
      </c>
      <c r="BQ8" s="394">
        <f t="shared" ca="1" si="17"/>
        <v>1</v>
      </c>
      <c r="BR8" s="395" t="str">
        <f t="shared" ca="1" si="18"/>
        <v>1. FC Riedwald</v>
      </c>
      <c r="BT8" s="396">
        <f ca="1">IF(AND(BU8&lt;99999,OR(BU8=BU7,BU8=BU6,BU8=BU5,)),1,0)</f>
        <v>0</v>
      </c>
      <c r="BU8" s="393">
        <f t="shared" ref="BU8:BU71" ca="1" si="49">IF(BV8&gt;9,99999,$I8)</f>
        <v>99999</v>
      </c>
      <c r="BV8" s="202" t="str">
        <f t="shared" ref="BV8:BV71" ca="1" si="50">IF($K8=BU$6,$M8,IF($M8=BU$6,$K8,""))</f>
        <v/>
      </c>
      <c r="BW8" s="202" t="str">
        <f t="shared" ref="BW8:BW11" ca="1" si="51">IF(BV8&gt;9,"",$J8)</f>
        <v/>
      </c>
      <c r="BX8" s="394">
        <f t="shared" ca="1" si="19"/>
        <v>0.3923611111111111</v>
      </c>
      <c r="BY8" s="394">
        <f t="shared" ca="1" si="20"/>
        <v>1</v>
      </c>
      <c r="BZ8" s="395" t="str">
        <f t="shared" ca="1" si="21"/>
        <v>1. FC Riedwald</v>
      </c>
      <c r="CA8" s="202"/>
      <c r="CB8" s="396">
        <f ca="1">IF(AND(CC8&lt;99999,OR(CC8=CC7,CC8=CC6,CC8=CC5,)),1,0)</f>
        <v>0</v>
      </c>
      <c r="CC8" s="393">
        <f t="shared" ref="CC8:CC71" ca="1" si="52">IF(CD8&gt;9,99999,$I8)</f>
        <v>99999</v>
      </c>
      <c r="CD8" s="202" t="str">
        <f t="shared" ref="CD8:CD71" ca="1" si="53">IF($K8=CC$6,$M8,IF($M8=CC$6,$K8,""))</f>
        <v/>
      </c>
      <c r="CE8" s="202" t="str">
        <f t="shared" ref="CE8:CE11" ca="1" si="54">IF(CD8&gt;9,"",$J8)</f>
        <v/>
      </c>
      <c r="CF8" s="394">
        <f t="shared" ca="1" si="22"/>
        <v>99999</v>
      </c>
      <c r="CG8" s="394" t="str">
        <f t="shared" ca="1" si="23"/>
        <v/>
      </c>
      <c r="CH8" s="395" t="str">
        <f t="shared" ca="1" si="24"/>
        <v/>
      </c>
      <c r="CJ8" s="396">
        <f ca="1">IF(AND(CK8&lt;99999,OR(CK8=CK7,CK8=CK6,CK8=CK5,)),1,0)</f>
        <v>0</v>
      </c>
      <c r="CK8" s="393">
        <f t="shared" ref="CK8:CK71" ca="1" si="55">IF(CL8&gt;9,99999,$I8)</f>
        <v>99999</v>
      </c>
      <c r="CL8" s="202" t="str">
        <f t="shared" ref="CL8:CL71" ca="1" si="56">IF($K8=CK$6,$M8,IF($M8=CK$6,$K8,""))</f>
        <v/>
      </c>
      <c r="CM8" s="202" t="str">
        <f t="shared" ref="CM8:CM11" ca="1" si="57">IF(CL8&gt;9,"",$J8)</f>
        <v/>
      </c>
      <c r="CN8" s="394">
        <f t="shared" ca="1" si="25"/>
        <v>99999</v>
      </c>
      <c r="CO8" s="394" t="str">
        <f t="shared" ca="1" si="26"/>
        <v/>
      </c>
      <c r="CP8" s="395" t="str">
        <f t="shared" ca="1" si="27"/>
        <v/>
      </c>
    </row>
    <row r="9" spans="1:94" ht="15.95" customHeight="1" x14ac:dyDescent="0.2">
      <c r="A9" s="76"/>
      <c r="B9" s="461"/>
      <c r="C9" s="465"/>
      <c r="D9" s="159">
        <f t="shared" ca="1" si="28"/>
        <v>2</v>
      </c>
      <c r="E9" s="159">
        <f t="shared" ca="1" si="29"/>
        <v>54</v>
      </c>
      <c r="F9" s="159">
        <f ca="1">IF($E9="",0,COUNTIF($E$7:$E9,INDEX($E$79:$E$150,ROW($A3))))</f>
        <v>0</v>
      </c>
      <c r="G9" s="205"/>
      <c r="H9" s="200">
        <v>3</v>
      </c>
      <c r="I9" s="227">
        <f ca="1">IF(OR($X$3,$H9&gt;Calc!$B$13/2*$D$6),"",$T$6+QUOTIENT(($H9-1),$T$22)*($T$8+$T$10)/1440+SUM($Q$7:$Q8)/1440)</f>
        <v>0.375</v>
      </c>
      <c r="J9" s="229">
        <f ca="1">IF(OR($X$3,$H9&gt;Calc!$B$13/2*$D$6),"",MOD(($H9-1),$T$22)+1)</f>
        <v>3</v>
      </c>
      <c r="K9" s="54">
        <f ca="1"/>
        <v>5</v>
      </c>
      <c r="L9" s="53" t="s">
        <v>5</v>
      </c>
      <c r="M9" s="55">
        <f ca="1"/>
        <v>4</v>
      </c>
      <c r="N9" s="52" t="str">
        <f t="shared" ca="1" si="30"/>
        <v>VFB Essenheim</v>
      </c>
      <c r="O9" s="50" t="s">
        <v>5</v>
      </c>
      <c r="P9" s="51" t="str">
        <f t="shared" ca="1" si="31"/>
        <v>Maibach 1822 eV</v>
      </c>
      <c r="Q9" s="381"/>
      <c r="S9" s="480"/>
      <c r="T9" s="489"/>
      <c r="U9" s="499"/>
      <c r="V9" s="203"/>
      <c r="W9" s="202">
        <f t="shared" ref="W9:W72" ca="1" si="58">X9+AF9+AN9+AV9+BD9+BL9+BT9+CB9+CJ9</f>
        <v>0</v>
      </c>
      <c r="X9" s="396">
        <f ca="1">IF(AND(Y9&lt;99999,OR(Y9=Y8,Y9=Y7,Y9=Y6,)),1,0)</f>
        <v>0</v>
      </c>
      <c r="Y9" s="393">
        <f t="shared" ca="1" si="32"/>
        <v>99999</v>
      </c>
      <c r="Z9" s="202" t="str">
        <f t="shared" ca="1" si="0"/>
        <v/>
      </c>
      <c r="AA9" s="202" t="str">
        <f t="shared" ca="1" si="33"/>
        <v/>
      </c>
      <c r="AB9" s="394">
        <f t="shared" ca="1" si="1"/>
        <v>0.42708333333333331</v>
      </c>
      <c r="AC9" s="394">
        <f t="shared" ca="1" si="2"/>
        <v>1</v>
      </c>
      <c r="AD9" s="395" t="str">
        <f t="shared" ca="1" si="3"/>
        <v>VFB Essenheim</v>
      </c>
      <c r="AE9" s="202"/>
      <c r="AF9" s="396">
        <f t="shared" ref="AF9:AF72" ca="1" si="59">IF(AND(AG9&lt;99999,OR(AG9=AG8,AG9=AG7,AG9=AG6,)),1,0)</f>
        <v>0</v>
      </c>
      <c r="AG9" s="393">
        <f t="shared" ca="1" si="34"/>
        <v>99999</v>
      </c>
      <c r="AH9" s="202" t="str">
        <f t="shared" ca="1" si="35"/>
        <v/>
      </c>
      <c r="AI9" s="202" t="str">
        <f t="shared" ca="1" si="36"/>
        <v/>
      </c>
      <c r="AJ9" s="394">
        <f t="shared" ca="1" si="4"/>
        <v>0.40972222222222221</v>
      </c>
      <c r="AK9" s="394">
        <f t="shared" ca="1" si="5"/>
        <v>3</v>
      </c>
      <c r="AL9" s="395" t="str">
        <f t="shared" ca="1" si="6"/>
        <v>Eintracht Frankfurt</v>
      </c>
      <c r="AN9" s="396">
        <f t="shared" ref="AN9:AN72" ca="1" si="60">IF(AND(AO9&lt;99999,OR(AO9=AO8,AO9=AO7,AO9=AO6,)),1,0)</f>
        <v>0</v>
      </c>
      <c r="AO9" s="393">
        <f t="shared" ca="1" si="37"/>
        <v>99999</v>
      </c>
      <c r="AP9" s="202" t="str">
        <f t="shared" ca="1" si="38"/>
        <v/>
      </c>
      <c r="AQ9" s="202" t="str">
        <f t="shared" ca="1" si="39"/>
        <v/>
      </c>
      <c r="AR9" s="394">
        <f t="shared" ca="1" si="7"/>
        <v>0.40972222222222221</v>
      </c>
      <c r="AS9" s="394">
        <f t="shared" ca="1" si="8"/>
        <v>3</v>
      </c>
      <c r="AT9" s="395" t="str">
        <f t="shared" ca="1" si="9"/>
        <v>FC Barcelona</v>
      </c>
      <c r="AU9" s="202"/>
      <c r="AV9" s="396">
        <f t="shared" ref="AV9:AV72" ca="1" si="61">IF(AND(AW9&lt;99999,OR(AW9=AW8,AW9=AW7,AW9=AW6,)),1,0)</f>
        <v>0</v>
      </c>
      <c r="AW9" s="393">
        <f t="shared" ca="1" si="40"/>
        <v>0.375</v>
      </c>
      <c r="AX9" s="202">
        <f t="shared" ca="1" si="41"/>
        <v>5</v>
      </c>
      <c r="AY9" s="202">
        <f t="shared" ca="1" si="42"/>
        <v>3</v>
      </c>
      <c r="AZ9" s="394">
        <f t="shared" ca="1" si="10"/>
        <v>0.42708333333333331</v>
      </c>
      <c r="BA9" s="394">
        <f t="shared" ca="1" si="11"/>
        <v>2</v>
      </c>
      <c r="BB9" s="395" t="str">
        <f t="shared" ca="1" si="12"/>
        <v>Inter Mailand</v>
      </c>
      <c r="BD9" s="396">
        <f t="shared" ref="BD9:BD72" ca="1" si="62">IF(AND(BE9&lt;99999,OR(BE9=BE8,BE9=BE7,BE9=BE6,)),1,0)</f>
        <v>0</v>
      </c>
      <c r="BE9" s="393">
        <f t="shared" ca="1" si="43"/>
        <v>0.375</v>
      </c>
      <c r="BF9" s="202">
        <f t="shared" ca="1" si="44"/>
        <v>4</v>
      </c>
      <c r="BG9" s="202">
        <f t="shared" ca="1" si="45"/>
        <v>3</v>
      </c>
      <c r="BH9" s="394">
        <f t="shared" ca="1" si="13"/>
        <v>0.40972222222222221</v>
      </c>
      <c r="BI9" s="394">
        <f t="shared" ca="1" si="14"/>
        <v>2</v>
      </c>
      <c r="BJ9" s="395" t="str">
        <f t="shared" ca="1" si="15"/>
        <v>SSV Wildbach</v>
      </c>
      <c r="BK9" s="202"/>
      <c r="BL9" s="396">
        <f t="shared" ref="BL9:BL72" ca="1" si="63">IF(AND(BM9&lt;99999,OR(BM9=BM8,BM9=BM7,BM9=BM6,)),1,0)</f>
        <v>0</v>
      </c>
      <c r="BM9" s="393">
        <f t="shared" ca="1" si="46"/>
        <v>99999</v>
      </c>
      <c r="BN9" s="202" t="str">
        <f t="shared" ca="1" si="47"/>
        <v/>
      </c>
      <c r="BO9" s="202" t="str">
        <f t="shared" ca="1" si="48"/>
        <v/>
      </c>
      <c r="BP9" s="394">
        <f t="shared" ca="1" si="16"/>
        <v>0.42708333333333331</v>
      </c>
      <c r="BQ9" s="394">
        <f t="shared" ca="1" si="17"/>
        <v>2</v>
      </c>
      <c r="BR9" s="395" t="str">
        <f t="shared" ca="1" si="18"/>
        <v>Maibach 1822 eV</v>
      </c>
      <c r="BT9" s="396">
        <f t="shared" ref="BT9:BT72" ca="1" si="64">IF(AND(BU9&lt;99999,OR(BU9=BU8,BU9=BU7,BU9=BU6,)),1,0)</f>
        <v>0</v>
      </c>
      <c r="BU9" s="393">
        <f t="shared" ca="1" si="49"/>
        <v>99999</v>
      </c>
      <c r="BV9" s="202" t="str">
        <f t="shared" ca="1" si="50"/>
        <v/>
      </c>
      <c r="BW9" s="202" t="str">
        <f t="shared" ca="1" si="51"/>
        <v/>
      </c>
      <c r="BX9" s="394">
        <f t="shared" ca="1" si="19"/>
        <v>0.40972222222222221</v>
      </c>
      <c r="BY9" s="394">
        <f t="shared" ca="1" si="20"/>
        <v>2</v>
      </c>
      <c r="BZ9" s="395" t="str">
        <f t="shared" ca="1" si="21"/>
        <v>VFB Essenheim</v>
      </c>
      <c r="CA9" s="202"/>
      <c r="CB9" s="396">
        <f t="shared" ref="CB9:CB72" ca="1" si="65">IF(AND(CC9&lt;99999,OR(CC9=CC8,CC9=CC7,CC9=CC6,)),1,0)</f>
        <v>0</v>
      </c>
      <c r="CC9" s="393">
        <f t="shared" ca="1" si="52"/>
        <v>99999</v>
      </c>
      <c r="CD9" s="202" t="str">
        <f t="shared" ca="1" si="53"/>
        <v/>
      </c>
      <c r="CE9" s="202" t="str">
        <f t="shared" ca="1" si="54"/>
        <v/>
      </c>
      <c r="CF9" s="394">
        <f t="shared" ca="1" si="22"/>
        <v>99999</v>
      </c>
      <c r="CG9" s="394" t="str">
        <f t="shared" ca="1" si="23"/>
        <v/>
      </c>
      <c r="CH9" s="395" t="str">
        <f t="shared" ca="1" si="24"/>
        <v/>
      </c>
      <c r="CJ9" s="396">
        <f t="shared" ref="CJ9:CJ72" ca="1" si="66">IF(AND(CK9&lt;99999,OR(CK9=CK8,CK9=CK7,CK9=CK6,)),1,0)</f>
        <v>0</v>
      </c>
      <c r="CK9" s="393">
        <f t="shared" ca="1" si="55"/>
        <v>99999</v>
      </c>
      <c r="CL9" s="202" t="str">
        <f t="shared" ca="1" si="56"/>
        <v/>
      </c>
      <c r="CM9" s="202" t="str">
        <f t="shared" ca="1" si="57"/>
        <v/>
      </c>
      <c r="CN9" s="394">
        <f t="shared" ca="1" si="25"/>
        <v>99999</v>
      </c>
      <c r="CO9" s="394" t="str">
        <f t="shared" ca="1" si="26"/>
        <v/>
      </c>
      <c r="CP9" s="395" t="str">
        <f t="shared" ca="1" si="27"/>
        <v/>
      </c>
    </row>
    <row r="10" spans="1:94" ht="15.95" customHeight="1" x14ac:dyDescent="0.2">
      <c r="A10" s="76">
        <f>COUNTIF($C$8:$C$25,$C$10)</f>
        <v>1</v>
      </c>
      <c r="B10" s="460">
        <v>2</v>
      </c>
      <c r="C10" s="466" t="s">
        <v>268</v>
      </c>
      <c r="D10" s="159">
        <f t="shared" ca="1" si="28"/>
        <v>2</v>
      </c>
      <c r="E10" s="159">
        <f t="shared" ca="1" si="29"/>
        <v>71</v>
      </c>
      <c r="F10" s="159">
        <f ca="1">IF($E10="",0,COUNTIF($E$7:$E10,INDEX($E$79:$E$150,ROW($A4))))</f>
        <v>0</v>
      </c>
      <c r="G10" s="205"/>
      <c r="H10" s="200">
        <v>4</v>
      </c>
      <c r="I10" s="227">
        <f ca="1">IF(OR($X$3,$H10&gt;Calc!$B$13/2*$D$6),"",$T$6+QUOTIENT(($H10-1),$T$22)*($T$8+$T$10)/1440+SUM($Q$7:$Q9)/1440)</f>
        <v>0.3923611111111111</v>
      </c>
      <c r="J10" s="229">
        <f ca="1">IF(OR($X$3,$H10&gt;Calc!$B$13/2*$D$6),"",MOD(($H10-1),$T$22)+1)</f>
        <v>1</v>
      </c>
      <c r="K10" s="54">
        <f ca="1"/>
        <v>7</v>
      </c>
      <c r="L10" s="53" t="s">
        <v>5</v>
      </c>
      <c r="M10" s="55">
        <f ca="1"/>
        <v>1</v>
      </c>
      <c r="N10" s="52" t="str">
        <f t="shared" ca="1" si="30"/>
        <v>SSV Wildbach</v>
      </c>
      <c r="O10" s="50" t="s">
        <v>5</v>
      </c>
      <c r="P10" s="51" t="str">
        <f t="shared" ca="1" si="31"/>
        <v>1. FC Riedwald</v>
      </c>
      <c r="Q10" s="381"/>
      <c r="S10" s="480" t="str">
        <f>Language!$E$43</f>
        <v>Change time</v>
      </c>
      <c r="T10" s="489">
        <v>5</v>
      </c>
      <c r="U10" s="499" t="s">
        <v>188</v>
      </c>
      <c r="V10" s="203"/>
      <c r="W10" s="202">
        <f t="shared" ca="1" si="58"/>
        <v>0</v>
      </c>
      <c r="X10" s="396">
        <f t="shared" ref="X10:X73" ca="1" si="67">IF(AND(Y10&lt;99999,OR(Y10=Y9,Y10=Y8,Y10=Y7,)),1,0)</f>
        <v>0</v>
      </c>
      <c r="Y10" s="393">
        <f t="shared" ca="1" si="32"/>
        <v>0.3923611111111111</v>
      </c>
      <c r="Z10" s="202">
        <f t="shared" ca="1" si="0"/>
        <v>7</v>
      </c>
      <c r="AA10" s="202">
        <f t="shared" ca="1" si="33"/>
        <v>1</v>
      </c>
      <c r="AB10" s="394">
        <f t="shared" ca="1" si="1"/>
        <v>0.44444444444444442</v>
      </c>
      <c r="AC10" s="394">
        <f t="shared" ca="1" si="2"/>
        <v>1</v>
      </c>
      <c r="AD10" s="395" t="str">
        <f t="shared" ca="1" si="3"/>
        <v>Maibach 1822 eV</v>
      </c>
      <c r="AE10" s="202"/>
      <c r="AF10" s="396">
        <f t="shared" ca="1" si="59"/>
        <v>0</v>
      </c>
      <c r="AG10" s="393">
        <f t="shared" ca="1" si="34"/>
        <v>99999</v>
      </c>
      <c r="AH10" s="202" t="str">
        <f t="shared" ca="1" si="35"/>
        <v/>
      </c>
      <c r="AI10" s="202" t="str">
        <f t="shared" ca="1" si="36"/>
        <v/>
      </c>
      <c r="AJ10" s="394">
        <f t="shared" ca="1" si="4"/>
        <v>0.44444444444444442</v>
      </c>
      <c r="AK10" s="394">
        <f t="shared" ca="1" si="5"/>
        <v>3</v>
      </c>
      <c r="AL10" s="395" t="str">
        <f t="shared" ca="1" si="6"/>
        <v>Inter Mailand</v>
      </c>
      <c r="AN10" s="396">
        <f t="shared" ca="1" si="60"/>
        <v>0</v>
      </c>
      <c r="AO10" s="393">
        <f t="shared" ca="1" si="37"/>
        <v>99999</v>
      </c>
      <c r="AP10" s="202" t="str">
        <f t="shared" ca="1" si="38"/>
        <v/>
      </c>
      <c r="AQ10" s="202" t="str">
        <f t="shared" ca="1" si="39"/>
        <v/>
      </c>
      <c r="AR10" s="394">
        <f t="shared" ca="1" si="7"/>
        <v>0.42708333333333331</v>
      </c>
      <c r="AS10" s="394">
        <f t="shared" ca="1" si="8"/>
        <v>3</v>
      </c>
      <c r="AT10" s="395" t="str">
        <f t="shared" ca="1" si="9"/>
        <v>SSV Wildbach</v>
      </c>
      <c r="AU10" s="202"/>
      <c r="AV10" s="396">
        <f t="shared" ca="1" si="61"/>
        <v>0</v>
      </c>
      <c r="AW10" s="393">
        <f t="shared" ca="1" si="40"/>
        <v>99999</v>
      </c>
      <c r="AX10" s="202" t="str">
        <f t="shared" ca="1" si="41"/>
        <v/>
      </c>
      <c r="AY10" s="202" t="str">
        <f t="shared" ca="1" si="42"/>
        <v/>
      </c>
      <c r="AZ10" s="394">
        <f t="shared" ca="1" si="10"/>
        <v>0.44444444444444442</v>
      </c>
      <c r="BA10" s="394">
        <f t="shared" ca="1" si="11"/>
        <v>1</v>
      </c>
      <c r="BB10" s="395" t="str">
        <f t="shared" ca="1" si="12"/>
        <v>1. FC Riedwald</v>
      </c>
      <c r="BD10" s="396">
        <f t="shared" ca="1" si="62"/>
        <v>0</v>
      </c>
      <c r="BE10" s="393">
        <f t="shared" ca="1" si="43"/>
        <v>99999</v>
      </c>
      <c r="BF10" s="202" t="str">
        <f t="shared" ca="1" si="44"/>
        <v/>
      </c>
      <c r="BG10" s="202" t="str">
        <f t="shared" ca="1" si="45"/>
        <v/>
      </c>
      <c r="BH10" s="394">
        <f t="shared" ca="1" si="13"/>
        <v>0.42708333333333331</v>
      </c>
      <c r="BI10" s="394">
        <f t="shared" ca="1" si="14"/>
        <v>1</v>
      </c>
      <c r="BJ10" s="395" t="str">
        <f t="shared" ca="1" si="15"/>
        <v>1. FC Riedwald</v>
      </c>
      <c r="BK10" s="202"/>
      <c r="BL10" s="396">
        <f t="shared" ca="1" si="63"/>
        <v>0</v>
      </c>
      <c r="BM10" s="393">
        <f t="shared" ca="1" si="46"/>
        <v>99999</v>
      </c>
      <c r="BN10" s="202" t="str">
        <f t="shared" ca="1" si="47"/>
        <v/>
      </c>
      <c r="BO10" s="202" t="str">
        <f t="shared" ca="1" si="48"/>
        <v/>
      </c>
      <c r="BP10" s="394">
        <f t="shared" ca="1" si="16"/>
        <v>0.44444444444444442</v>
      </c>
      <c r="BQ10" s="394">
        <f t="shared" ca="1" si="17"/>
        <v>3</v>
      </c>
      <c r="BR10" s="395" t="str">
        <f t="shared" ca="1" si="18"/>
        <v>FC Barcelona</v>
      </c>
      <c r="BT10" s="396">
        <f t="shared" ca="1" si="64"/>
        <v>0</v>
      </c>
      <c r="BU10" s="393">
        <f t="shared" ca="1" si="49"/>
        <v>0.3923611111111111</v>
      </c>
      <c r="BV10" s="202">
        <f t="shared" ca="1" si="50"/>
        <v>1</v>
      </c>
      <c r="BW10" s="202">
        <f t="shared" ca="1" si="51"/>
        <v>1</v>
      </c>
      <c r="BX10" s="394">
        <f t="shared" ca="1" si="19"/>
        <v>0.42708333333333331</v>
      </c>
      <c r="BY10" s="394">
        <f t="shared" ca="1" si="20"/>
        <v>3</v>
      </c>
      <c r="BZ10" s="395" t="str">
        <f t="shared" ca="1" si="21"/>
        <v>Eintracht Frankfurt</v>
      </c>
      <c r="CA10" s="202"/>
      <c r="CB10" s="396">
        <f t="shared" ca="1" si="65"/>
        <v>0</v>
      </c>
      <c r="CC10" s="393">
        <f t="shared" ca="1" si="52"/>
        <v>99999</v>
      </c>
      <c r="CD10" s="202" t="str">
        <f t="shared" ca="1" si="53"/>
        <v/>
      </c>
      <c r="CE10" s="202" t="str">
        <f t="shared" ca="1" si="54"/>
        <v/>
      </c>
      <c r="CF10" s="394">
        <f t="shared" ca="1" si="22"/>
        <v>99999</v>
      </c>
      <c r="CG10" s="394" t="str">
        <f t="shared" ca="1" si="23"/>
        <v/>
      </c>
      <c r="CH10" s="395" t="str">
        <f t="shared" ca="1" si="24"/>
        <v/>
      </c>
      <c r="CJ10" s="396">
        <f t="shared" ca="1" si="66"/>
        <v>0</v>
      </c>
      <c r="CK10" s="393">
        <f t="shared" ca="1" si="55"/>
        <v>99999</v>
      </c>
      <c r="CL10" s="202" t="str">
        <f t="shared" ca="1" si="56"/>
        <v/>
      </c>
      <c r="CM10" s="202" t="str">
        <f t="shared" ca="1" si="57"/>
        <v/>
      </c>
      <c r="CN10" s="394">
        <f t="shared" ca="1" si="25"/>
        <v>99999</v>
      </c>
      <c r="CO10" s="394" t="str">
        <f t="shared" ca="1" si="26"/>
        <v/>
      </c>
      <c r="CP10" s="395" t="str">
        <f t="shared" ca="1" si="27"/>
        <v/>
      </c>
    </row>
    <row r="11" spans="1:94" ht="15.95" customHeight="1" x14ac:dyDescent="0.2">
      <c r="A11" s="76"/>
      <c r="B11" s="461"/>
      <c r="C11" s="465"/>
      <c r="D11" s="159">
        <f t="shared" ca="1" si="28"/>
        <v>2</v>
      </c>
      <c r="E11" s="159">
        <f t="shared" ca="1" si="29"/>
        <v>25</v>
      </c>
      <c r="F11" s="159">
        <f ca="1">IF($E11="",0,COUNTIF($E$7:$E11,INDEX($E$79:$E$150,ROW($A5))))</f>
        <v>0</v>
      </c>
      <c r="G11" s="205"/>
      <c r="H11" s="200">
        <v>5</v>
      </c>
      <c r="I11" s="227">
        <f ca="1">IF(OR($X$3,$H11&gt;Calc!$B$13/2*$D$6),"",$T$6+QUOTIENT(($H11-1),$T$22)*($T$8+$T$10)/1440+SUM($Q$7:$Q10)/1440)</f>
        <v>0.3923611111111111</v>
      </c>
      <c r="J11" s="229">
        <f ca="1">IF(OR($X$3,$H11&gt;Calc!$B$13/2*$D$6),"",MOD(($H11-1),$T$22)+1)</f>
        <v>2</v>
      </c>
      <c r="K11" s="54">
        <f ca="1"/>
        <v>2</v>
      </c>
      <c r="L11" s="53" t="s">
        <v>5</v>
      </c>
      <c r="M11" s="55">
        <f ca="1"/>
        <v>5</v>
      </c>
      <c r="N11" s="52" t="str">
        <f t="shared" ca="1" si="30"/>
        <v>FC Barcelona</v>
      </c>
      <c r="O11" s="50" t="s">
        <v>5</v>
      </c>
      <c r="P11" s="51" t="str">
        <f t="shared" ca="1" si="31"/>
        <v>VFB Essenheim</v>
      </c>
      <c r="Q11" s="381"/>
      <c r="S11" s="480"/>
      <c r="T11" s="489"/>
      <c r="U11" s="499"/>
      <c r="V11" s="203"/>
      <c r="W11" s="202">
        <f t="shared" ca="1" si="58"/>
        <v>0</v>
      </c>
      <c r="X11" s="396">
        <f t="shared" ca="1" si="67"/>
        <v>0</v>
      </c>
      <c r="Y11" s="393">
        <f t="shared" ca="1" si="32"/>
        <v>99999</v>
      </c>
      <c r="Z11" s="202" t="str">
        <f t="shared" ca="1" si="0"/>
        <v/>
      </c>
      <c r="AA11" s="202" t="str">
        <f t="shared" ca="1" si="33"/>
        <v/>
      </c>
      <c r="AB11" s="394">
        <f t="shared" ca="1" si="1"/>
        <v>0.46180555555555558</v>
      </c>
      <c r="AC11" s="394">
        <f t="shared" ca="1" si="2"/>
        <v>1</v>
      </c>
      <c r="AD11" s="395" t="str">
        <f t="shared" ca="1" si="3"/>
        <v>Eintracht Frankfurt</v>
      </c>
      <c r="AE11" s="202"/>
      <c r="AF11" s="396">
        <f t="shared" ca="1" si="59"/>
        <v>0</v>
      </c>
      <c r="AG11" s="393">
        <f t="shared" ca="1" si="34"/>
        <v>0.3923611111111111</v>
      </c>
      <c r="AH11" s="202">
        <f t="shared" ca="1" si="35"/>
        <v>5</v>
      </c>
      <c r="AI11" s="202">
        <f t="shared" ca="1" si="36"/>
        <v>2</v>
      </c>
      <c r="AJ11" s="394">
        <f t="shared" ca="1" si="4"/>
        <v>0.46180555555555558</v>
      </c>
      <c r="AK11" s="394">
        <f t="shared" ca="1" si="5"/>
        <v>2</v>
      </c>
      <c r="AL11" s="395" t="str">
        <f t="shared" ca="1" si="6"/>
        <v>Maibach 1822 eV</v>
      </c>
      <c r="AN11" s="396">
        <f t="shared" ca="1" si="60"/>
        <v>0</v>
      </c>
      <c r="AO11" s="393">
        <f t="shared" ca="1" si="37"/>
        <v>99999</v>
      </c>
      <c r="AP11" s="202" t="str">
        <f t="shared" ca="1" si="38"/>
        <v/>
      </c>
      <c r="AQ11" s="202" t="str">
        <f t="shared" ca="1" si="39"/>
        <v/>
      </c>
      <c r="AR11" s="394">
        <f t="shared" ca="1" si="7"/>
        <v>0.44444444444444442</v>
      </c>
      <c r="AS11" s="394">
        <f t="shared" ca="1" si="8"/>
        <v>2</v>
      </c>
      <c r="AT11" s="395" t="str">
        <f t="shared" ca="1" si="9"/>
        <v>VFB Essenheim</v>
      </c>
      <c r="AU11" s="202"/>
      <c r="AV11" s="396">
        <f t="shared" ca="1" si="61"/>
        <v>0</v>
      </c>
      <c r="AW11" s="393">
        <f t="shared" ca="1" si="40"/>
        <v>99999</v>
      </c>
      <c r="AX11" s="202" t="str">
        <f t="shared" ca="1" si="41"/>
        <v/>
      </c>
      <c r="AY11" s="202" t="str">
        <f t="shared" ca="1" si="42"/>
        <v/>
      </c>
      <c r="AZ11" s="394">
        <f t="shared" ca="1" si="10"/>
        <v>0.46180555555555558</v>
      </c>
      <c r="BA11" s="394">
        <f t="shared" ca="1" si="11"/>
        <v>2</v>
      </c>
      <c r="BB11" s="395" t="str">
        <f t="shared" ca="1" si="12"/>
        <v>FC Barcelona</v>
      </c>
      <c r="BD11" s="396">
        <f t="shared" ca="1" si="62"/>
        <v>0</v>
      </c>
      <c r="BE11" s="393">
        <f t="shared" ca="1" si="43"/>
        <v>0.3923611111111111</v>
      </c>
      <c r="BF11" s="202">
        <f t="shared" ca="1" si="44"/>
        <v>2</v>
      </c>
      <c r="BG11" s="202">
        <f t="shared" ca="1" si="45"/>
        <v>2</v>
      </c>
      <c r="BH11" s="394">
        <f t="shared" ca="1" si="13"/>
        <v>0.44444444444444442</v>
      </c>
      <c r="BI11" s="394">
        <f t="shared" ca="1" si="14"/>
        <v>2</v>
      </c>
      <c r="BJ11" s="395" t="str">
        <f t="shared" ca="1" si="15"/>
        <v>Eintracht Frankfurt</v>
      </c>
      <c r="BK11" s="202"/>
      <c r="BL11" s="396">
        <f t="shared" ca="1" si="63"/>
        <v>0</v>
      </c>
      <c r="BM11" s="393">
        <f t="shared" ca="1" si="46"/>
        <v>99999</v>
      </c>
      <c r="BN11" s="202" t="str">
        <f t="shared" ca="1" si="47"/>
        <v/>
      </c>
      <c r="BO11" s="202" t="str">
        <f t="shared" ca="1" si="48"/>
        <v/>
      </c>
      <c r="BP11" s="394">
        <f t="shared" ca="1" si="16"/>
        <v>0.46180555555555558</v>
      </c>
      <c r="BQ11" s="394">
        <f t="shared" ca="1" si="17"/>
        <v>3</v>
      </c>
      <c r="BR11" s="395" t="str">
        <f t="shared" ca="1" si="18"/>
        <v>SSV Wildbach</v>
      </c>
      <c r="BT11" s="396">
        <f t="shared" ca="1" si="64"/>
        <v>0</v>
      </c>
      <c r="BU11" s="393">
        <f t="shared" ca="1" si="49"/>
        <v>99999</v>
      </c>
      <c r="BV11" s="202" t="str">
        <f t="shared" ca="1" si="50"/>
        <v/>
      </c>
      <c r="BW11" s="202" t="str">
        <f t="shared" ca="1" si="51"/>
        <v/>
      </c>
      <c r="BX11" s="394">
        <f t="shared" ca="1" si="19"/>
        <v>0.46180555555555558</v>
      </c>
      <c r="BY11" s="394">
        <f t="shared" ca="1" si="20"/>
        <v>3</v>
      </c>
      <c r="BZ11" s="395" t="str">
        <f t="shared" ca="1" si="21"/>
        <v>Inter Mailand</v>
      </c>
      <c r="CA11" s="202"/>
      <c r="CB11" s="396">
        <f t="shared" ca="1" si="65"/>
        <v>0</v>
      </c>
      <c r="CC11" s="393">
        <f t="shared" ca="1" si="52"/>
        <v>99999</v>
      </c>
      <c r="CD11" s="202" t="str">
        <f t="shared" ca="1" si="53"/>
        <v/>
      </c>
      <c r="CE11" s="202" t="str">
        <f t="shared" ca="1" si="54"/>
        <v/>
      </c>
      <c r="CF11" s="394">
        <f t="shared" ca="1" si="22"/>
        <v>99999</v>
      </c>
      <c r="CG11" s="394" t="str">
        <f t="shared" ca="1" si="23"/>
        <v/>
      </c>
      <c r="CH11" s="395" t="str">
        <f t="shared" ca="1" si="24"/>
        <v/>
      </c>
      <c r="CJ11" s="396">
        <f t="shared" ca="1" si="66"/>
        <v>0</v>
      </c>
      <c r="CK11" s="393">
        <f t="shared" ca="1" si="55"/>
        <v>99999</v>
      </c>
      <c r="CL11" s="202" t="str">
        <f t="shared" ca="1" si="56"/>
        <v/>
      </c>
      <c r="CM11" s="202" t="str">
        <f t="shared" ca="1" si="57"/>
        <v/>
      </c>
      <c r="CN11" s="394">
        <f t="shared" ca="1" si="25"/>
        <v>99999</v>
      </c>
      <c r="CO11" s="394" t="str">
        <f t="shared" ca="1" si="26"/>
        <v/>
      </c>
      <c r="CP11" s="395" t="str">
        <f t="shared" ca="1" si="27"/>
        <v/>
      </c>
    </row>
    <row r="12" spans="1:94" ht="15.95" customHeight="1" x14ac:dyDescent="0.2">
      <c r="A12" s="76">
        <f>COUNTIF($C$8:$C$25,$C$12)</f>
        <v>1</v>
      </c>
      <c r="B12" s="460">
        <v>3</v>
      </c>
      <c r="C12" s="466" t="s">
        <v>269</v>
      </c>
      <c r="D12" s="159">
        <f t="shared" ca="1" si="28"/>
        <v>2</v>
      </c>
      <c r="E12" s="159">
        <f t="shared" ca="1" si="29"/>
        <v>43</v>
      </c>
      <c r="F12" s="159">
        <f ca="1">IF($E12="",0,COUNTIF($E$7:$E12,INDEX($E$79:$E$150,ROW($A6))))</f>
        <v>0</v>
      </c>
      <c r="G12" s="205"/>
      <c r="H12" s="200">
        <v>6</v>
      </c>
      <c r="I12" s="227">
        <f ca="1">IF(OR($X$3,$H12&gt;Calc!$B$13/2*$D$6),"",$T$6+QUOTIENT(($H12-1),$T$22)*($T$8+$T$10)/1440+SUM($Q$7:$Q11)/1440)</f>
        <v>0.3923611111111111</v>
      </c>
      <c r="J12" s="229">
        <f ca="1">IF(OR($X$3,$H12&gt;Calc!$B$13/2*$D$6),"",MOD(($H12-1),$T$22)+1)</f>
        <v>3</v>
      </c>
      <c r="K12" s="54">
        <f ca="1"/>
        <v>4</v>
      </c>
      <c r="L12" s="53" t="s">
        <v>5</v>
      </c>
      <c r="M12" s="55">
        <f ca="1"/>
        <v>3</v>
      </c>
      <c r="N12" s="52" t="str">
        <f t="shared" ca="1" si="30"/>
        <v>Maibach 1822 eV</v>
      </c>
      <c r="O12" s="50" t="s">
        <v>5</v>
      </c>
      <c r="P12" s="51" t="str">
        <f t="shared" ca="1" si="31"/>
        <v>Eintracht Frankfurt</v>
      </c>
      <c r="Q12" s="381"/>
      <c r="S12" s="480" t="str">
        <f>Language!$E$44</f>
        <v>Number of fields</v>
      </c>
      <c r="T12" s="489">
        <v>3</v>
      </c>
      <c r="U12" s="499" t="str">
        <f>Language!$E$80</f>
        <v>(max. 4)</v>
      </c>
      <c r="V12" s="203"/>
      <c r="W12" s="202">
        <f t="shared" ca="1" si="58"/>
        <v>0</v>
      </c>
      <c r="X12" s="396">
        <f t="shared" ca="1" si="67"/>
        <v>0</v>
      </c>
      <c r="Y12" s="393">
        <f t="shared" ca="1" si="32"/>
        <v>99999</v>
      </c>
      <c r="Z12" s="202" t="str">
        <f t="shared" ca="1" si="0"/>
        <v/>
      </c>
      <c r="AA12" s="202" t="str">
        <f ca="1">IF(Z12&gt;9,"",$J12)</f>
        <v/>
      </c>
      <c r="AB12" s="394">
        <f t="shared" ca="1" si="1"/>
        <v>0.47916666666666669</v>
      </c>
      <c r="AC12" s="394">
        <f t="shared" ca="1" si="2"/>
        <v>1</v>
      </c>
      <c r="AD12" s="395" t="str">
        <f t="shared" ca="1" si="3"/>
        <v>FC Barcelona</v>
      </c>
      <c r="AE12" s="202"/>
      <c r="AF12" s="396">
        <f t="shared" ca="1" si="59"/>
        <v>0</v>
      </c>
      <c r="AG12" s="393">
        <f t="shared" ca="1" si="34"/>
        <v>99999</v>
      </c>
      <c r="AH12" s="202" t="str">
        <f t="shared" ca="1" si="35"/>
        <v/>
      </c>
      <c r="AI12" s="202" t="str">
        <f ca="1">IF(AH12&gt;9,"",$J12)</f>
        <v/>
      </c>
      <c r="AJ12" s="394">
        <f t="shared" ca="1" si="4"/>
        <v>0.47916666666666669</v>
      </c>
      <c r="AK12" s="394">
        <f t="shared" ca="1" si="5"/>
        <v>1</v>
      </c>
      <c r="AL12" s="395" t="str">
        <f t="shared" ca="1" si="6"/>
        <v>1. FC Riedwald</v>
      </c>
      <c r="AN12" s="396">
        <f t="shared" ca="1" si="60"/>
        <v>0</v>
      </c>
      <c r="AO12" s="393">
        <f t="shared" ca="1" si="37"/>
        <v>0.3923611111111111</v>
      </c>
      <c r="AP12" s="202">
        <f t="shared" ca="1" si="38"/>
        <v>4</v>
      </c>
      <c r="AQ12" s="202">
        <f ca="1">IF(AP12&gt;9,"",$J12)</f>
        <v>3</v>
      </c>
      <c r="AR12" s="394">
        <f t="shared" ca="1" si="7"/>
        <v>0.46180555555555558</v>
      </c>
      <c r="AS12" s="394">
        <f t="shared" ca="1" si="8"/>
        <v>1</v>
      </c>
      <c r="AT12" s="395" t="str">
        <f t="shared" ca="1" si="9"/>
        <v>1. FC Riedwald</v>
      </c>
      <c r="AU12" s="202"/>
      <c r="AV12" s="396">
        <f t="shared" ca="1" si="61"/>
        <v>0</v>
      </c>
      <c r="AW12" s="393">
        <f t="shared" ca="1" si="40"/>
        <v>0.3923611111111111</v>
      </c>
      <c r="AX12" s="202">
        <f t="shared" ca="1" si="41"/>
        <v>3</v>
      </c>
      <c r="AY12" s="202">
        <f ca="1">IF(AX12&gt;9,"",$J12)</f>
        <v>3</v>
      </c>
      <c r="AZ12" s="394">
        <f t="shared" ca="1" si="10"/>
        <v>0.47916666666666669</v>
      </c>
      <c r="BA12" s="394">
        <f t="shared" ca="1" si="11"/>
        <v>2</v>
      </c>
      <c r="BB12" s="395" t="str">
        <f t="shared" ca="1" si="12"/>
        <v>SSV Wildbach</v>
      </c>
      <c r="BD12" s="396">
        <f t="shared" ca="1" si="62"/>
        <v>0</v>
      </c>
      <c r="BE12" s="393">
        <f t="shared" ca="1" si="43"/>
        <v>99999</v>
      </c>
      <c r="BF12" s="202" t="str">
        <f t="shared" ca="1" si="44"/>
        <v/>
      </c>
      <c r="BG12" s="202" t="str">
        <f ca="1">IF(BF12&gt;9,"",$J12)</f>
        <v/>
      </c>
      <c r="BH12" s="394">
        <f t="shared" ca="1" si="13"/>
        <v>0.47916666666666669</v>
      </c>
      <c r="BI12" s="394">
        <f t="shared" ca="1" si="14"/>
        <v>3</v>
      </c>
      <c r="BJ12" s="395" t="str">
        <f t="shared" ca="1" si="15"/>
        <v>Inter Mailand</v>
      </c>
      <c r="BK12" s="202"/>
      <c r="BL12" s="396">
        <f t="shared" ca="1" si="63"/>
        <v>0</v>
      </c>
      <c r="BM12" s="393">
        <f t="shared" ca="1" si="46"/>
        <v>99999</v>
      </c>
      <c r="BN12" s="202" t="str">
        <f t="shared" ca="1" si="47"/>
        <v/>
      </c>
      <c r="BO12" s="202" t="str">
        <f ca="1">IF(BN12&gt;9,"",$J12)</f>
        <v/>
      </c>
      <c r="BP12" s="394">
        <f t="shared" ca="1" si="16"/>
        <v>0.47916666666666669</v>
      </c>
      <c r="BQ12" s="394">
        <f t="shared" ca="1" si="17"/>
        <v>3</v>
      </c>
      <c r="BR12" s="395" t="str">
        <f t="shared" ca="1" si="18"/>
        <v>VFB Essenheim</v>
      </c>
      <c r="BT12" s="396">
        <f t="shared" ca="1" si="64"/>
        <v>0</v>
      </c>
      <c r="BU12" s="393">
        <f t="shared" ca="1" si="49"/>
        <v>99999</v>
      </c>
      <c r="BV12" s="202" t="str">
        <f t="shared" ca="1" si="50"/>
        <v/>
      </c>
      <c r="BW12" s="202" t="str">
        <f ca="1">IF(BV12&gt;9,"",$J12)</f>
        <v/>
      </c>
      <c r="BX12" s="394">
        <f t="shared" ca="1" si="19"/>
        <v>0.47916666666666669</v>
      </c>
      <c r="BY12" s="394">
        <f t="shared" ca="1" si="20"/>
        <v>2</v>
      </c>
      <c r="BZ12" s="395" t="str">
        <f t="shared" ca="1" si="21"/>
        <v>Maibach 1822 eV</v>
      </c>
      <c r="CA12" s="202"/>
      <c r="CB12" s="396">
        <f t="shared" ca="1" si="65"/>
        <v>0</v>
      </c>
      <c r="CC12" s="393">
        <f t="shared" ca="1" si="52"/>
        <v>99999</v>
      </c>
      <c r="CD12" s="202" t="str">
        <f t="shared" ca="1" si="53"/>
        <v/>
      </c>
      <c r="CE12" s="202" t="str">
        <f ca="1">IF(CD12&gt;9,"",$J12)</f>
        <v/>
      </c>
      <c r="CF12" s="394">
        <f t="shared" ca="1" si="22"/>
        <v>99999</v>
      </c>
      <c r="CG12" s="394" t="str">
        <f t="shared" ca="1" si="23"/>
        <v/>
      </c>
      <c r="CH12" s="395" t="str">
        <f t="shared" ca="1" si="24"/>
        <v/>
      </c>
      <c r="CJ12" s="396">
        <f t="shared" ca="1" si="66"/>
        <v>0</v>
      </c>
      <c r="CK12" s="393">
        <f t="shared" ca="1" si="55"/>
        <v>99999</v>
      </c>
      <c r="CL12" s="202" t="str">
        <f t="shared" ca="1" si="56"/>
        <v/>
      </c>
      <c r="CM12" s="202" t="str">
        <f ca="1">IF(CL12&gt;9,"",$J12)</f>
        <v/>
      </c>
      <c r="CN12" s="394">
        <f t="shared" ca="1" si="25"/>
        <v>99999</v>
      </c>
      <c r="CO12" s="394" t="str">
        <f t="shared" ca="1" si="26"/>
        <v/>
      </c>
      <c r="CP12" s="395" t="str">
        <f t="shared" ca="1" si="27"/>
        <v/>
      </c>
    </row>
    <row r="13" spans="1:94" ht="15.95" customHeight="1" thickBot="1" x14ac:dyDescent="0.25">
      <c r="A13" s="76"/>
      <c r="B13" s="461"/>
      <c r="C13" s="465"/>
      <c r="D13" s="159">
        <f t="shared" ca="1" si="28"/>
        <v>2</v>
      </c>
      <c r="E13" s="159">
        <f t="shared" ca="1" si="29"/>
        <v>16</v>
      </c>
      <c r="F13" s="159">
        <f ca="1">IF($E13="",0,COUNTIF($E$7:$E13,INDEX($E$79:$E$150,ROW($A7))))</f>
        <v>0</v>
      </c>
      <c r="G13" s="205"/>
      <c r="H13" s="200">
        <v>7</v>
      </c>
      <c r="I13" s="227">
        <f ca="1">IF(OR($X$3,$H13&gt;Calc!$B$13/2*$D$6),"",$T$6+QUOTIENT(($H13-1),$T$22)*($T$8+$T$10)/1440+SUM($Q$7:$Q12)/1440)</f>
        <v>0.40972222222222221</v>
      </c>
      <c r="J13" s="229">
        <f ca="1">IF(OR($X$3,$H13&gt;Calc!$B$13/2*$D$6),"",MOD(($H13-1),$T$22)+1)</f>
        <v>1</v>
      </c>
      <c r="K13" s="54">
        <f ca="1"/>
        <v>1</v>
      </c>
      <c r="L13" s="53" t="s">
        <v>5</v>
      </c>
      <c r="M13" s="55">
        <f ca="1"/>
        <v>6</v>
      </c>
      <c r="N13" s="52" t="str">
        <f t="shared" ca="1" si="30"/>
        <v>1. FC Riedwald</v>
      </c>
      <c r="O13" s="50" t="s">
        <v>5</v>
      </c>
      <c r="P13" s="51" t="str">
        <f t="shared" ca="1" si="31"/>
        <v>Inter Mailand</v>
      </c>
      <c r="Q13" s="381"/>
      <c r="S13" s="481"/>
      <c r="T13" s="490"/>
      <c r="U13" s="500"/>
      <c r="V13" s="203"/>
      <c r="W13" s="202">
        <f t="shared" ca="1" si="58"/>
        <v>0</v>
      </c>
      <c r="X13" s="396">
        <f t="shared" ca="1" si="67"/>
        <v>0</v>
      </c>
      <c r="Y13" s="393">
        <f t="shared" ca="1" si="32"/>
        <v>0.40972222222222221</v>
      </c>
      <c r="Z13" s="202">
        <f t="shared" ca="1" si="0"/>
        <v>6</v>
      </c>
      <c r="AA13" s="202">
        <f t="shared" ref="AA13:AA76" ca="1" si="68">IF(Z13&gt;9,"",$J13)</f>
        <v>1</v>
      </c>
      <c r="AB13" s="394">
        <f t="shared" ca="1" si="1"/>
        <v>0.51388888888888884</v>
      </c>
      <c r="AC13" s="394">
        <f t="shared" ca="1" si="2"/>
        <v>1</v>
      </c>
      <c r="AD13" s="395" t="str">
        <f t="shared" ca="1" si="3"/>
        <v>SSV Wildbach</v>
      </c>
      <c r="AE13" s="202"/>
      <c r="AF13" s="396">
        <f t="shared" ca="1" si="59"/>
        <v>0</v>
      </c>
      <c r="AG13" s="393">
        <f t="shared" ca="1" si="34"/>
        <v>99999</v>
      </c>
      <c r="AH13" s="202" t="str">
        <f t="shared" ca="1" si="35"/>
        <v/>
      </c>
      <c r="AI13" s="202" t="str">
        <f t="shared" ref="AI13:AI76" ca="1" si="69">IF(AH13&gt;9,"",$J13)</f>
        <v/>
      </c>
      <c r="AJ13" s="394">
        <f t="shared" ca="1" si="4"/>
        <v>0.49652777777777779</v>
      </c>
      <c r="AK13" s="394">
        <f t="shared" ca="1" si="5"/>
        <v>1</v>
      </c>
      <c r="AL13" s="395" t="str">
        <f t="shared" ca="1" si="6"/>
        <v>SSV Wildbach</v>
      </c>
      <c r="AN13" s="396">
        <f t="shared" ca="1" si="60"/>
        <v>0</v>
      </c>
      <c r="AO13" s="393">
        <f t="shared" ca="1" si="37"/>
        <v>99999</v>
      </c>
      <c r="AP13" s="202" t="str">
        <f t="shared" ca="1" si="38"/>
        <v/>
      </c>
      <c r="AQ13" s="202" t="str">
        <f t="shared" ref="AQ13:AQ76" ca="1" si="70">IF(AP13&gt;9,"",$J13)</f>
        <v/>
      </c>
      <c r="AR13" s="394">
        <f t="shared" ca="1" si="7"/>
        <v>0.49652777777777779</v>
      </c>
      <c r="AS13" s="394">
        <f t="shared" ca="1" si="8"/>
        <v>2</v>
      </c>
      <c r="AT13" s="395" t="str">
        <f t="shared" ca="1" si="9"/>
        <v>Inter Mailand</v>
      </c>
      <c r="AU13" s="202"/>
      <c r="AV13" s="396">
        <f t="shared" ca="1" si="61"/>
        <v>0</v>
      </c>
      <c r="AW13" s="393">
        <f t="shared" ca="1" si="40"/>
        <v>99999</v>
      </c>
      <c r="AX13" s="202" t="str">
        <f t="shared" ca="1" si="41"/>
        <v/>
      </c>
      <c r="AY13" s="202" t="str">
        <f t="shared" ref="AY13:AY76" ca="1" si="71">IF(AX13&gt;9,"",$J13)</f>
        <v/>
      </c>
      <c r="AZ13" s="394">
        <f t="shared" ca="1" si="10"/>
        <v>0.49652777777777779</v>
      </c>
      <c r="BA13" s="394">
        <f t="shared" ca="1" si="11"/>
        <v>3</v>
      </c>
      <c r="BB13" s="395" t="str">
        <f t="shared" ca="1" si="12"/>
        <v>VFB Essenheim</v>
      </c>
      <c r="BD13" s="396">
        <f t="shared" ca="1" si="62"/>
        <v>0</v>
      </c>
      <c r="BE13" s="393">
        <f t="shared" ca="1" si="43"/>
        <v>99999</v>
      </c>
      <c r="BF13" s="202" t="str">
        <f t="shared" ca="1" si="44"/>
        <v/>
      </c>
      <c r="BG13" s="202" t="str">
        <f t="shared" ref="BG13:BG76" ca="1" si="72">IF(BF13&gt;9,"",$J13)</f>
        <v/>
      </c>
      <c r="BH13" s="394">
        <f t="shared" ca="1" si="13"/>
        <v>0.49652777777777779</v>
      </c>
      <c r="BI13" s="394">
        <f t="shared" ca="1" si="14"/>
        <v>3</v>
      </c>
      <c r="BJ13" s="395" t="str">
        <f t="shared" ca="1" si="15"/>
        <v>Maibach 1822 eV</v>
      </c>
      <c r="BK13" s="202"/>
      <c r="BL13" s="396">
        <f t="shared" ca="1" si="63"/>
        <v>0</v>
      </c>
      <c r="BM13" s="393">
        <f t="shared" ca="1" si="46"/>
        <v>0.40972222222222221</v>
      </c>
      <c r="BN13" s="202">
        <f t="shared" ca="1" si="47"/>
        <v>1</v>
      </c>
      <c r="BO13" s="202">
        <f t="shared" ref="BO13:BO76" ca="1" si="73">IF(BN13&gt;9,"",$J13)</f>
        <v>1</v>
      </c>
      <c r="BP13" s="394">
        <f t="shared" ca="1" si="16"/>
        <v>0.49652777777777779</v>
      </c>
      <c r="BQ13" s="394">
        <f t="shared" ca="1" si="17"/>
        <v>2</v>
      </c>
      <c r="BR13" s="395" t="str">
        <f t="shared" ca="1" si="18"/>
        <v>Eintracht Frankfurt</v>
      </c>
      <c r="BT13" s="396">
        <f t="shared" ca="1" si="64"/>
        <v>0</v>
      </c>
      <c r="BU13" s="393">
        <f t="shared" ca="1" si="49"/>
        <v>99999</v>
      </c>
      <c r="BV13" s="202" t="str">
        <f t="shared" ca="1" si="50"/>
        <v/>
      </c>
      <c r="BW13" s="202" t="str">
        <f t="shared" ref="BW13:BW76" ca="1" si="74">IF(BV13&gt;9,"",$J13)</f>
        <v/>
      </c>
      <c r="BX13" s="394">
        <f t="shared" ca="1" si="19"/>
        <v>0.49652777777777779</v>
      </c>
      <c r="BY13" s="394">
        <f t="shared" ca="1" si="20"/>
        <v>1</v>
      </c>
      <c r="BZ13" s="395" t="str">
        <f t="shared" ca="1" si="21"/>
        <v>FC Barcelona</v>
      </c>
      <c r="CA13" s="202"/>
      <c r="CB13" s="396">
        <f t="shared" ca="1" si="65"/>
        <v>0</v>
      </c>
      <c r="CC13" s="393">
        <f t="shared" ca="1" si="52"/>
        <v>99999</v>
      </c>
      <c r="CD13" s="202" t="str">
        <f t="shared" ca="1" si="53"/>
        <v/>
      </c>
      <c r="CE13" s="202" t="str">
        <f t="shared" ref="CE13:CE76" ca="1" si="75">IF(CD13&gt;9,"",$J13)</f>
        <v/>
      </c>
      <c r="CF13" s="394">
        <f t="shared" ca="1" si="22"/>
        <v>99999</v>
      </c>
      <c r="CG13" s="394" t="str">
        <f t="shared" ca="1" si="23"/>
        <v/>
      </c>
      <c r="CH13" s="395" t="str">
        <f t="shared" ca="1" si="24"/>
        <v/>
      </c>
      <c r="CJ13" s="396">
        <f t="shared" ca="1" si="66"/>
        <v>0</v>
      </c>
      <c r="CK13" s="393">
        <f t="shared" ca="1" si="55"/>
        <v>99999</v>
      </c>
      <c r="CL13" s="202" t="str">
        <f t="shared" ca="1" si="56"/>
        <v/>
      </c>
      <c r="CM13" s="202" t="str">
        <f t="shared" ref="CM13:CM76" ca="1" si="76">IF(CL13&gt;9,"",$J13)</f>
        <v/>
      </c>
      <c r="CN13" s="394">
        <f t="shared" ca="1" si="25"/>
        <v>99999</v>
      </c>
      <c r="CO13" s="394" t="str">
        <f t="shared" ca="1" si="26"/>
        <v/>
      </c>
      <c r="CP13" s="395" t="str">
        <f t="shared" ca="1" si="27"/>
        <v/>
      </c>
    </row>
    <row r="14" spans="1:94" ht="15.95" customHeight="1" x14ac:dyDescent="0.2">
      <c r="A14" s="76">
        <f>COUNTIF($C$8:$C$25,$C$14)</f>
        <v>1</v>
      </c>
      <c r="B14" s="460">
        <v>4</v>
      </c>
      <c r="C14" s="466" t="s">
        <v>270</v>
      </c>
      <c r="D14" s="159">
        <f t="shared" ca="1" si="28"/>
        <v>2</v>
      </c>
      <c r="E14" s="159">
        <f t="shared" ca="1" si="29"/>
        <v>57</v>
      </c>
      <c r="F14" s="159">
        <f ca="1">IF($E14="",0,COUNTIF($E$7:$E14,INDEX($E$79:$E$150,ROW($A8))))</f>
        <v>0</v>
      </c>
      <c r="G14" s="205"/>
      <c r="H14" s="200">
        <v>8</v>
      </c>
      <c r="I14" s="227">
        <f ca="1">IF(OR($X$3,$H14&gt;Calc!$B$13/2*$D$6),"",$T$6+QUOTIENT(($H14-1),$T$22)*($T$8+$T$10)/1440+SUM($Q$7:$Q13)/1440)</f>
        <v>0.40972222222222221</v>
      </c>
      <c r="J14" s="229">
        <f ca="1">IF(OR($X$3,$H14&gt;Calc!$B$13/2*$D$6),"",MOD(($H14-1),$T$22)+1)</f>
        <v>2</v>
      </c>
      <c r="K14" s="54">
        <f ca="1"/>
        <v>5</v>
      </c>
      <c r="L14" s="53" t="s">
        <v>5</v>
      </c>
      <c r="M14" s="55">
        <f ca="1"/>
        <v>7</v>
      </c>
      <c r="N14" s="52" t="str">
        <f t="shared" ca="1" si="30"/>
        <v>VFB Essenheim</v>
      </c>
      <c r="O14" s="50" t="s">
        <v>5</v>
      </c>
      <c r="P14" s="51" t="str">
        <f t="shared" ca="1" si="31"/>
        <v>SSV Wildbach</v>
      </c>
      <c r="Q14" s="381"/>
      <c r="S14" s="474" t="str">
        <f>Language!$E$40</f>
        <v>End</v>
      </c>
      <c r="T14" s="476">
        <f ca="1">IF($X$3,"",INDEX($I$7:$I$78,COUNTIF($K$7:$K$78,"&gt;0"))+$T$8/1440)</f>
        <v>0.61458333333333326</v>
      </c>
      <c r="U14" s="478"/>
      <c r="V14" s="132"/>
      <c r="W14" s="202">
        <f t="shared" ca="1" si="58"/>
        <v>0</v>
      </c>
      <c r="X14" s="396">
        <f t="shared" ca="1" si="67"/>
        <v>0</v>
      </c>
      <c r="Y14" s="393">
        <f t="shared" ca="1" si="32"/>
        <v>99999</v>
      </c>
      <c r="Z14" s="202" t="str">
        <f t="shared" ca="1" si="0"/>
        <v/>
      </c>
      <c r="AA14" s="202" t="str">
        <f t="shared" ca="1" si="68"/>
        <v/>
      </c>
      <c r="AB14" s="394">
        <f t="shared" ca="1" si="1"/>
        <v>0.53125</v>
      </c>
      <c r="AC14" s="394">
        <f t="shared" ca="1" si="2"/>
        <v>1</v>
      </c>
      <c r="AD14" s="395" t="str">
        <f t="shared" ca="1" si="3"/>
        <v>Inter Mailand</v>
      </c>
      <c r="AE14" s="202"/>
      <c r="AF14" s="396">
        <f t="shared" ca="1" si="59"/>
        <v>0</v>
      </c>
      <c r="AG14" s="393">
        <f t="shared" ca="1" si="34"/>
        <v>99999</v>
      </c>
      <c r="AH14" s="202" t="str">
        <f t="shared" ca="1" si="35"/>
        <v/>
      </c>
      <c r="AI14" s="202" t="str">
        <f t="shared" ca="1" si="69"/>
        <v/>
      </c>
      <c r="AJ14" s="394">
        <f t="shared" ca="1" si="4"/>
        <v>0.51388888888888884</v>
      </c>
      <c r="AK14" s="394">
        <f t="shared" ca="1" si="5"/>
        <v>2</v>
      </c>
      <c r="AL14" s="395" t="str">
        <f t="shared" ca="1" si="6"/>
        <v>VFB Essenheim</v>
      </c>
      <c r="AN14" s="396">
        <f t="shared" ca="1" si="60"/>
        <v>0</v>
      </c>
      <c r="AO14" s="393">
        <f t="shared" ca="1" si="37"/>
        <v>99999</v>
      </c>
      <c r="AP14" s="202" t="str">
        <f t="shared" ca="1" si="38"/>
        <v/>
      </c>
      <c r="AQ14" s="202" t="str">
        <f t="shared" ca="1" si="70"/>
        <v/>
      </c>
      <c r="AR14" s="394">
        <f t="shared" ca="1" si="7"/>
        <v>0.51388888888888884</v>
      </c>
      <c r="AS14" s="394">
        <f t="shared" ca="1" si="8"/>
        <v>3</v>
      </c>
      <c r="AT14" s="395" t="str">
        <f t="shared" ca="1" si="9"/>
        <v>Maibach 1822 eV</v>
      </c>
      <c r="AU14" s="202"/>
      <c r="AV14" s="396">
        <f t="shared" ca="1" si="61"/>
        <v>0</v>
      </c>
      <c r="AW14" s="393">
        <f t="shared" ca="1" si="40"/>
        <v>99999</v>
      </c>
      <c r="AX14" s="202" t="str">
        <f t="shared" ca="1" si="41"/>
        <v/>
      </c>
      <c r="AY14" s="202" t="str">
        <f t="shared" ca="1" si="71"/>
        <v/>
      </c>
      <c r="AZ14" s="394">
        <f t="shared" ca="1" si="10"/>
        <v>0.51388888888888884</v>
      </c>
      <c r="BA14" s="394">
        <f t="shared" ca="1" si="11"/>
        <v>3</v>
      </c>
      <c r="BB14" s="395" t="str">
        <f t="shared" ca="1" si="12"/>
        <v>Eintracht Frankfurt</v>
      </c>
      <c r="BD14" s="396">
        <f t="shared" ca="1" si="62"/>
        <v>0</v>
      </c>
      <c r="BE14" s="393">
        <f t="shared" ca="1" si="43"/>
        <v>0.40972222222222221</v>
      </c>
      <c r="BF14" s="202">
        <f t="shared" ca="1" si="44"/>
        <v>7</v>
      </c>
      <c r="BG14" s="202">
        <f t="shared" ca="1" si="72"/>
        <v>2</v>
      </c>
      <c r="BH14" s="394">
        <f t="shared" ca="1" si="13"/>
        <v>0.51388888888888884</v>
      </c>
      <c r="BI14" s="394">
        <f t="shared" ca="1" si="14"/>
        <v>2</v>
      </c>
      <c r="BJ14" s="395" t="str">
        <f t="shared" ca="1" si="15"/>
        <v>FC Barcelona</v>
      </c>
      <c r="BK14" s="202"/>
      <c r="BL14" s="396">
        <f t="shared" ca="1" si="63"/>
        <v>0</v>
      </c>
      <c r="BM14" s="393">
        <f t="shared" ca="1" si="46"/>
        <v>99999</v>
      </c>
      <c r="BN14" s="202" t="str">
        <f t="shared" ca="1" si="47"/>
        <v/>
      </c>
      <c r="BO14" s="202" t="str">
        <f t="shared" ca="1" si="73"/>
        <v/>
      </c>
      <c r="BP14" s="394">
        <f t="shared" ca="1" si="16"/>
        <v>0.53125</v>
      </c>
      <c r="BQ14" s="394">
        <f t="shared" ca="1" si="17"/>
        <v>1</v>
      </c>
      <c r="BR14" s="395" t="str">
        <f t="shared" ca="1" si="18"/>
        <v>1. FC Riedwald</v>
      </c>
      <c r="BT14" s="396">
        <f t="shared" ca="1" si="64"/>
        <v>0</v>
      </c>
      <c r="BU14" s="393">
        <f t="shared" ca="1" si="49"/>
        <v>0.40972222222222221</v>
      </c>
      <c r="BV14" s="202">
        <f t="shared" ca="1" si="50"/>
        <v>5</v>
      </c>
      <c r="BW14" s="202">
        <f t="shared" ca="1" si="74"/>
        <v>2</v>
      </c>
      <c r="BX14" s="394">
        <f t="shared" ca="1" si="19"/>
        <v>0.51388888888888884</v>
      </c>
      <c r="BY14" s="394">
        <f t="shared" ca="1" si="20"/>
        <v>1</v>
      </c>
      <c r="BZ14" s="395" t="str">
        <f t="shared" ca="1" si="21"/>
        <v>1. FC Riedwald</v>
      </c>
      <c r="CA14" s="202"/>
      <c r="CB14" s="396">
        <f t="shared" ca="1" si="65"/>
        <v>0</v>
      </c>
      <c r="CC14" s="393">
        <f t="shared" ca="1" si="52"/>
        <v>99999</v>
      </c>
      <c r="CD14" s="202" t="str">
        <f t="shared" ca="1" si="53"/>
        <v/>
      </c>
      <c r="CE14" s="202" t="str">
        <f t="shared" ca="1" si="75"/>
        <v/>
      </c>
      <c r="CF14" s="394">
        <f t="shared" ca="1" si="22"/>
        <v>99999</v>
      </c>
      <c r="CG14" s="394" t="str">
        <f t="shared" ca="1" si="23"/>
        <v/>
      </c>
      <c r="CH14" s="395" t="str">
        <f t="shared" ca="1" si="24"/>
        <v/>
      </c>
      <c r="CJ14" s="396">
        <f t="shared" ca="1" si="66"/>
        <v>0</v>
      </c>
      <c r="CK14" s="393">
        <f t="shared" ca="1" si="55"/>
        <v>99999</v>
      </c>
      <c r="CL14" s="202" t="str">
        <f t="shared" ca="1" si="56"/>
        <v/>
      </c>
      <c r="CM14" s="202" t="str">
        <f t="shared" ca="1" si="76"/>
        <v/>
      </c>
      <c r="CN14" s="394">
        <f t="shared" ca="1" si="25"/>
        <v>99999</v>
      </c>
      <c r="CO14" s="394" t="str">
        <f t="shared" ca="1" si="26"/>
        <v/>
      </c>
      <c r="CP14" s="395" t="str">
        <f t="shared" ca="1" si="27"/>
        <v/>
      </c>
    </row>
    <row r="15" spans="1:94" ht="15.95" customHeight="1" thickBot="1" x14ac:dyDescent="0.25">
      <c r="A15" s="76"/>
      <c r="B15" s="461"/>
      <c r="C15" s="465"/>
      <c r="D15" s="159">
        <f t="shared" ca="1" si="28"/>
        <v>2</v>
      </c>
      <c r="E15" s="159">
        <f t="shared" ca="1" si="29"/>
        <v>32</v>
      </c>
      <c r="F15" s="159">
        <f ca="1">IF($E15="",0,COUNTIF($E$7:$E15,INDEX($E$79:$E$150,ROW($A9))))</f>
        <v>0</v>
      </c>
      <c r="G15" s="205"/>
      <c r="H15" s="200">
        <v>9</v>
      </c>
      <c r="I15" s="227">
        <f ca="1">IF(OR($X$3,$H15&gt;Calc!$B$13/2*$D$6),"",$T$6+QUOTIENT(($H15-1),$T$22)*($T$8+$T$10)/1440+SUM($Q$7:$Q14)/1440)</f>
        <v>0.40972222222222221</v>
      </c>
      <c r="J15" s="229">
        <f ca="1">IF(OR($X$3,$H15&gt;Calc!$B$13/2*$D$6),"",MOD(($H15-1),$T$22)+1)</f>
        <v>3</v>
      </c>
      <c r="K15" s="54">
        <f ca="1"/>
        <v>3</v>
      </c>
      <c r="L15" s="53" t="s">
        <v>5</v>
      </c>
      <c r="M15" s="55">
        <f ca="1"/>
        <v>2</v>
      </c>
      <c r="N15" s="52" t="str">
        <f t="shared" ca="1" si="30"/>
        <v>Eintracht Frankfurt</v>
      </c>
      <c r="O15" s="50" t="s">
        <v>5</v>
      </c>
      <c r="P15" s="51" t="str">
        <f t="shared" ca="1" si="31"/>
        <v>FC Barcelona</v>
      </c>
      <c r="Q15" s="381"/>
      <c r="S15" s="475"/>
      <c r="T15" s="477"/>
      <c r="U15" s="479"/>
      <c r="V15" s="132"/>
      <c r="W15" s="202">
        <f t="shared" ca="1" si="58"/>
        <v>0</v>
      </c>
      <c r="X15" s="396">
        <f t="shared" ca="1" si="67"/>
        <v>0</v>
      </c>
      <c r="Y15" s="393">
        <f t="shared" ca="1" si="32"/>
        <v>99999</v>
      </c>
      <c r="Z15" s="202" t="str">
        <f t="shared" ca="1" si="0"/>
        <v/>
      </c>
      <c r="AA15" s="202" t="str">
        <f t="shared" ca="1" si="68"/>
        <v/>
      </c>
      <c r="AB15" s="394">
        <f t="shared" ca="1" si="1"/>
        <v>0.54861111111111116</v>
      </c>
      <c r="AC15" s="394">
        <f t="shared" ca="1" si="2"/>
        <v>1</v>
      </c>
      <c r="AD15" s="395" t="str">
        <f t="shared" ca="1" si="3"/>
        <v>VFB Essenheim</v>
      </c>
      <c r="AE15" s="202"/>
      <c r="AF15" s="396">
        <f t="shared" ca="1" si="59"/>
        <v>0</v>
      </c>
      <c r="AG15" s="393">
        <f t="shared" ca="1" si="34"/>
        <v>0.40972222222222221</v>
      </c>
      <c r="AH15" s="202">
        <f t="shared" ca="1" si="35"/>
        <v>3</v>
      </c>
      <c r="AI15" s="202">
        <f t="shared" ca="1" si="69"/>
        <v>3</v>
      </c>
      <c r="AJ15" s="394">
        <f t="shared" ca="1" si="4"/>
        <v>0.53125</v>
      </c>
      <c r="AK15" s="394">
        <f t="shared" ca="1" si="5"/>
        <v>3</v>
      </c>
      <c r="AL15" s="395" t="str">
        <f t="shared" ca="1" si="6"/>
        <v>Eintracht Frankfurt</v>
      </c>
      <c r="AN15" s="396">
        <f t="shared" ca="1" si="60"/>
        <v>0</v>
      </c>
      <c r="AO15" s="393">
        <f t="shared" ca="1" si="37"/>
        <v>0.40972222222222221</v>
      </c>
      <c r="AP15" s="202">
        <f t="shared" ca="1" si="38"/>
        <v>2</v>
      </c>
      <c r="AQ15" s="202">
        <f t="shared" ca="1" si="70"/>
        <v>3</v>
      </c>
      <c r="AR15" s="394">
        <f t="shared" ca="1" si="7"/>
        <v>0.53125</v>
      </c>
      <c r="AS15" s="394">
        <f t="shared" ca="1" si="8"/>
        <v>3</v>
      </c>
      <c r="AT15" s="395" t="str">
        <f t="shared" ca="1" si="9"/>
        <v>FC Barcelona</v>
      </c>
      <c r="AU15" s="202"/>
      <c r="AV15" s="396">
        <f t="shared" ca="1" si="61"/>
        <v>0</v>
      </c>
      <c r="AW15" s="393">
        <f t="shared" ca="1" si="40"/>
        <v>99999</v>
      </c>
      <c r="AX15" s="202" t="str">
        <f t="shared" ca="1" si="41"/>
        <v/>
      </c>
      <c r="AY15" s="202" t="str">
        <f t="shared" ca="1" si="71"/>
        <v/>
      </c>
      <c r="AZ15" s="394">
        <f t="shared" ca="1" si="10"/>
        <v>0.54861111111111116</v>
      </c>
      <c r="BA15" s="394">
        <f t="shared" ca="1" si="11"/>
        <v>2</v>
      </c>
      <c r="BB15" s="395" t="str">
        <f t="shared" ca="1" si="12"/>
        <v>Inter Mailand</v>
      </c>
      <c r="BD15" s="396">
        <f t="shared" ca="1" si="62"/>
        <v>0</v>
      </c>
      <c r="BE15" s="393">
        <f t="shared" ca="1" si="43"/>
        <v>99999</v>
      </c>
      <c r="BF15" s="202" t="str">
        <f t="shared" ca="1" si="44"/>
        <v/>
      </c>
      <c r="BG15" s="202" t="str">
        <f t="shared" ca="1" si="72"/>
        <v/>
      </c>
      <c r="BH15" s="394">
        <f t="shared" ca="1" si="13"/>
        <v>0.53125</v>
      </c>
      <c r="BI15" s="394">
        <f t="shared" ca="1" si="14"/>
        <v>2</v>
      </c>
      <c r="BJ15" s="395" t="str">
        <f t="shared" ca="1" si="15"/>
        <v>SSV Wildbach</v>
      </c>
      <c r="BK15" s="202"/>
      <c r="BL15" s="396">
        <f t="shared" ca="1" si="63"/>
        <v>0</v>
      </c>
      <c r="BM15" s="393">
        <f t="shared" ca="1" si="46"/>
        <v>99999</v>
      </c>
      <c r="BN15" s="202" t="str">
        <f t="shared" ca="1" si="47"/>
        <v/>
      </c>
      <c r="BO15" s="202" t="str">
        <f t="shared" ca="1" si="73"/>
        <v/>
      </c>
      <c r="BP15" s="394">
        <f t="shared" ca="1" si="16"/>
        <v>0.54861111111111116</v>
      </c>
      <c r="BQ15" s="394">
        <f t="shared" ca="1" si="17"/>
        <v>2</v>
      </c>
      <c r="BR15" s="395" t="str">
        <f t="shared" ca="1" si="18"/>
        <v>Maibach 1822 eV</v>
      </c>
      <c r="BT15" s="396">
        <f t="shared" ca="1" si="64"/>
        <v>0</v>
      </c>
      <c r="BU15" s="393">
        <f t="shared" ca="1" si="49"/>
        <v>99999</v>
      </c>
      <c r="BV15" s="202" t="str">
        <f t="shared" ca="1" si="50"/>
        <v/>
      </c>
      <c r="BW15" s="202" t="str">
        <f t="shared" ca="1" si="74"/>
        <v/>
      </c>
      <c r="BX15" s="394">
        <f t="shared" ca="1" si="19"/>
        <v>0.53125</v>
      </c>
      <c r="BY15" s="394">
        <f t="shared" ca="1" si="20"/>
        <v>2</v>
      </c>
      <c r="BZ15" s="395" t="str">
        <f t="shared" ca="1" si="21"/>
        <v>VFB Essenheim</v>
      </c>
      <c r="CA15" s="202"/>
      <c r="CB15" s="396">
        <f t="shared" ca="1" si="65"/>
        <v>0</v>
      </c>
      <c r="CC15" s="393">
        <f t="shared" ca="1" si="52"/>
        <v>99999</v>
      </c>
      <c r="CD15" s="202" t="str">
        <f t="shared" ca="1" si="53"/>
        <v/>
      </c>
      <c r="CE15" s="202" t="str">
        <f t="shared" ca="1" si="75"/>
        <v/>
      </c>
      <c r="CF15" s="394">
        <f t="shared" ca="1" si="22"/>
        <v>99999</v>
      </c>
      <c r="CG15" s="394" t="str">
        <f t="shared" ca="1" si="23"/>
        <v/>
      </c>
      <c r="CH15" s="395" t="str">
        <f t="shared" ca="1" si="24"/>
        <v/>
      </c>
      <c r="CJ15" s="396">
        <f t="shared" ca="1" si="66"/>
        <v>0</v>
      </c>
      <c r="CK15" s="393">
        <f t="shared" ca="1" si="55"/>
        <v>99999</v>
      </c>
      <c r="CL15" s="202" t="str">
        <f t="shared" ca="1" si="56"/>
        <v/>
      </c>
      <c r="CM15" s="202" t="str">
        <f t="shared" ca="1" si="76"/>
        <v/>
      </c>
      <c r="CN15" s="394">
        <f t="shared" ca="1" si="25"/>
        <v>99999</v>
      </c>
      <c r="CO15" s="394" t="str">
        <f t="shared" ca="1" si="26"/>
        <v/>
      </c>
      <c r="CP15" s="395" t="str">
        <f t="shared" ca="1" si="27"/>
        <v/>
      </c>
    </row>
    <row r="16" spans="1:94" ht="15.95" customHeight="1" thickTop="1" x14ac:dyDescent="0.25">
      <c r="A16" s="76">
        <f>COUNTIF($C$8:$C$25,$C$16)</f>
        <v>1</v>
      </c>
      <c r="B16" s="460">
        <v>5</v>
      </c>
      <c r="C16" s="466" t="s">
        <v>271</v>
      </c>
      <c r="D16" s="159">
        <f t="shared" ca="1" si="28"/>
        <v>2</v>
      </c>
      <c r="E16" s="159">
        <f t="shared" ca="1" si="29"/>
        <v>51</v>
      </c>
      <c r="F16" s="159">
        <f ca="1">IF($E16="",0,COUNTIF($E$7:$E16,INDEX($E$79:$E$150,ROW($A10))))</f>
        <v>0</v>
      </c>
      <c r="G16" s="205"/>
      <c r="H16" s="200">
        <v>10</v>
      </c>
      <c r="I16" s="227">
        <f ca="1">IF(OR($X$3,$H16&gt;Calc!$B$13/2*$D$6),"",$T$6+QUOTIENT(($H16-1),$T$22)*($T$8+$T$10)/1440+SUM($Q$7:$Q15)/1440)</f>
        <v>0.42708333333333331</v>
      </c>
      <c r="J16" s="229">
        <f ca="1">IF(OR($X$3,$H16&gt;Calc!$B$13/2*$D$6),"",MOD(($H16-1),$T$22)+1)</f>
        <v>1</v>
      </c>
      <c r="K16" s="54">
        <f ca="1"/>
        <v>5</v>
      </c>
      <c r="L16" s="53" t="s">
        <v>5</v>
      </c>
      <c r="M16" s="55">
        <f ca="1"/>
        <v>1</v>
      </c>
      <c r="N16" s="52" t="str">
        <f t="shared" ca="1" si="30"/>
        <v>VFB Essenheim</v>
      </c>
      <c r="O16" s="50" t="s">
        <v>5</v>
      </c>
      <c r="P16" s="51" t="str">
        <f t="shared" ca="1" si="31"/>
        <v>1. FC Riedwald</v>
      </c>
      <c r="Q16" s="381"/>
      <c r="R16" s="220"/>
      <c r="S16" s="492" t="str">
        <f ca="1">IF(AND($T$12&gt;$S$18,NOT($X$3),$D$6&gt;0),Language!$E$75&amp;$S$18&amp;IF($S$18&gt;1,Language!$E$76,Language!$E$77),"")</f>
        <v/>
      </c>
      <c r="T16" s="492"/>
      <c r="U16" s="492"/>
      <c r="V16" s="221"/>
      <c r="W16" s="202">
        <f t="shared" ca="1" si="58"/>
        <v>0</v>
      </c>
      <c r="X16" s="396">
        <f t="shared" ca="1" si="67"/>
        <v>0</v>
      </c>
      <c r="Y16" s="393">
        <f t="shared" ca="1" si="32"/>
        <v>0.42708333333333331</v>
      </c>
      <c r="Z16" s="202">
        <f t="shared" ca="1" si="0"/>
        <v>5</v>
      </c>
      <c r="AA16" s="202">
        <f t="shared" ca="1" si="68"/>
        <v>1</v>
      </c>
      <c r="AB16" s="394">
        <f t="shared" ca="1" si="1"/>
        <v>0.56597222222222221</v>
      </c>
      <c r="AC16" s="394">
        <f t="shared" ca="1" si="2"/>
        <v>1</v>
      </c>
      <c r="AD16" s="395" t="str">
        <f t="shared" ca="1" si="3"/>
        <v>Maibach 1822 eV</v>
      </c>
      <c r="AE16" s="202"/>
      <c r="AF16" s="396">
        <f t="shared" ca="1" si="59"/>
        <v>0</v>
      </c>
      <c r="AG16" s="393">
        <f t="shared" ca="1" si="34"/>
        <v>99999</v>
      </c>
      <c r="AH16" s="202" t="str">
        <f t="shared" ca="1" si="35"/>
        <v/>
      </c>
      <c r="AI16" s="202" t="str">
        <f t="shared" ca="1" si="69"/>
        <v/>
      </c>
      <c r="AJ16" s="394">
        <f t="shared" ca="1" si="4"/>
        <v>0.56597222222222221</v>
      </c>
      <c r="AK16" s="394">
        <f t="shared" ca="1" si="5"/>
        <v>3</v>
      </c>
      <c r="AL16" s="395" t="str">
        <f t="shared" ca="1" si="6"/>
        <v>Inter Mailand</v>
      </c>
      <c r="AN16" s="396">
        <f t="shared" ca="1" si="60"/>
        <v>0</v>
      </c>
      <c r="AO16" s="393">
        <f t="shared" ca="1" si="37"/>
        <v>99999</v>
      </c>
      <c r="AP16" s="202" t="str">
        <f t="shared" ca="1" si="38"/>
        <v/>
      </c>
      <c r="AQ16" s="202" t="str">
        <f t="shared" ca="1" si="70"/>
        <v/>
      </c>
      <c r="AR16" s="394">
        <f t="shared" ca="1" si="7"/>
        <v>0.54861111111111116</v>
      </c>
      <c r="AS16" s="394">
        <f t="shared" ca="1" si="8"/>
        <v>3</v>
      </c>
      <c r="AT16" s="395" t="str">
        <f t="shared" ca="1" si="9"/>
        <v>SSV Wildbach</v>
      </c>
      <c r="AU16" s="202"/>
      <c r="AV16" s="396">
        <f t="shared" ca="1" si="61"/>
        <v>0</v>
      </c>
      <c r="AW16" s="393">
        <f t="shared" ca="1" si="40"/>
        <v>99999</v>
      </c>
      <c r="AX16" s="202" t="str">
        <f t="shared" ca="1" si="41"/>
        <v/>
      </c>
      <c r="AY16" s="202" t="str">
        <f t="shared" ca="1" si="71"/>
        <v/>
      </c>
      <c r="AZ16" s="394">
        <f t="shared" ca="1" si="10"/>
        <v>0.56597222222222221</v>
      </c>
      <c r="BA16" s="394">
        <f t="shared" ca="1" si="11"/>
        <v>1</v>
      </c>
      <c r="BB16" s="395" t="str">
        <f t="shared" ca="1" si="12"/>
        <v>1. FC Riedwald</v>
      </c>
      <c r="BD16" s="396">
        <f t="shared" ca="1" si="62"/>
        <v>0</v>
      </c>
      <c r="BE16" s="393">
        <f t="shared" ca="1" si="43"/>
        <v>0.42708333333333331</v>
      </c>
      <c r="BF16" s="202">
        <f t="shared" ca="1" si="44"/>
        <v>1</v>
      </c>
      <c r="BG16" s="202">
        <f t="shared" ca="1" si="72"/>
        <v>1</v>
      </c>
      <c r="BH16" s="394">
        <f t="shared" ca="1" si="13"/>
        <v>0.54861111111111116</v>
      </c>
      <c r="BI16" s="394">
        <f t="shared" ca="1" si="14"/>
        <v>1</v>
      </c>
      <c r="BJ16" s="395" t="str">
        <f t="shared" ca="1" si="15"/>
        <v>1. FC Riedwald</v>
      </c>
      <c r="BK16" s="202"/>
      <c r="BL16" s="396">
        <f t="shared" ca="1" si="63"/>
        <v>0</v>
      </c>
      <c r="BM16" s="393">
        <f t="shared" ca="1" si="46"/>
        <v>99999</v>
      </c>
      <c r="BN16" s="202" t="str">
        <f t="shared" ca="1" si="47"/>
        <v/>
      </c>
      <c r="BO16" s="202" t="str">
        <f t="shared" ca="1" si="73"/>
        <v/>
      </c>
      <c r="BP16" s="394">
        <f t="shared" ca="1" si="16"/>
        <v>0.56597222222222221</v>
      </c>
      <c r="BQ16" s="394">
        <f t="shared" ca="1" si="17"/>
        <v>3</v>
      </c>
      <c r="BR16" s="395" t="str">
        <f t="shared" ca="1" si="18"/>
        <v>FC Barcelona</v>
      </c>
      <c r="BT16" s="396">
        <f t="shared" ca="1" si="64"/>
        <v>0</v>
      </c>
      <c r="BU16" s="393">
        <f t="shared" ca="1" si="49"/>
        <v>99999</v>
      </c>
      <c r="BV16" s="202" t="str">
        <f t="shared" ca="1" si="50"/>
        <v/>
      </c>
      <c r="BW16" s="202" t="str">
        <f t="shared" ca="1" si="74"/>
        <v/>
      </c>
      <c r="BX16" s="394">
        <f t="shared" ca="1" si="19"/>
        <v>0.54861111111111116</v>
      </c>
      <c r="BY16" s="394">
        <f t="shared" ca="1" si="20"/>
        <v>3</v>
      </c>
      <c r="BZ16" s="395" t="str">
        <f t="shared" ca="1" si="21"/>
        <v>Eintracht Frankfurt</v>
      </c>
      <c r="CA16" s="202"/>
      <c r="CB16" s="396">
        <f t="shared" ca="1" si="65"/>
        <v>0</v>
      </c>
      <c r="CC16" s="393">
        <f t="shared" ca="1" si="52"/>
        <v>99999</v>
      </c>
      <c r="CD16" s="202" t="str">
        <f t="shared" ca="1" si="53"/>
        <v/>
      </c>
      <c r="CE16" s="202" t="str">
        <f t="shared" ca="1" si="75"/>
        <v/>
      </c>
      <c r="CF16" s="394">
        <f t="shared" ca="1" si="22"/>
        <v>99999</v>
      </c>
      <c r="CG16" s="394" t="str">
        <f t="shared" ca="1" si="23"/>
        <v/>
      </c>
      <c r="CH16" s="395" t="str">
        <f t="shared" ca="1" si="24"/>
        <v/>
      </c>
      <c r="CJ16" s="396">
        <f t="shared" ca="1" si="66"/>
        <v>0</v>
      </c>
      <c r="CK16" s="393">
        <f t="shared" ca="1" si="55"/>
        <v>99999</v>
      </c>
      <c r="CL16" s="202" t="str">
        <f t="shared" ca="1" si="56"/>
        <v/>
      </c>
      <c r="CM16" s="202" t="str">
        <f t="shared" ca="1" si="76"/>
        <v/>
      </c>
      <c r="CN16" s="394">
        <f t="shared" ca="1" si="25"/>
        <v>99999</v>
      </c>
      <c r="CO16" s="394" t="str">
        <f t="shared" ca="1" si="26"/>
        <v/>
      </c>
      <c r="CP16" s="395" t="str">
        <f t="shared" ca="1" si="27"/>
        <v/>
      </c>
    </row>
    <row r="17" spans="1:94" ht="15.95" customHeight="1" x14ac:dyDescent="0.25">
      <c r="A17" s="76"/>
      <c r="B17" s="461"/>
      <c r="C17" s="465"/>
      <c r="D17" s="159">
        <f t="shared" ca="1" si="28"/>
        <v>2</v>
      </c>
      <c r="E17" s="159">
        <f t="shared" ca="1" si="29"/>
        <v>46</v>
      </c>
      <c r="F17" s="159">
        <f ca="1">IF($E17="",0,COUNTIF($E$7:$E17,INDEX($E$79:$E$150,ROW($A11))))</f>
        <v>0</v>
      </c>
      <c r="G17" s="205"/>
      <c r="H17" s="200">
        <v>11</v>
      </c>
      <c r="I17" s="227">
        <f ca="1">IF(OR($X$3,$H17&gt;Calc!$B$13/2*$D$6),"",$T$6+QUOTIENT(($H17-1),$T$22)*($T$8+$T$10)/1440+SUM($Q$7:$Q16)/1440)</f>
        <v>0.42708333333333331</v>
      </c>
      <c r="J17" s="229">
        <f ca="1">IF(OR($X$3,$H17&gt;Calc!$B$13/2*$D$6),"",MOD(($H17-1),$T$22)+1)</f>
        <v>2</v>
      </c>
      <c r="K17" s="54">
        <f ca="1"/>
        <v>4</v>
      </c>
      <c r="L17" s="53" t="s">
        <v>5</v>
      </c>
      <c r="M17" s="55">
        <f ca="1"/>
        <v>6</v>
      </c>
      <c r="N17" s="52" t="str">
        <f t="shared" ca="1" si="30"/>
        <v>Maibach 1822 eV</v>
      </c>
      <c r="O17" s="50" t="s">
        <v>5</v>
      </c>
      <c r="P17" s="51" t="str">
        <f t="shared" ca="1" si="31"/>
        <v>Inter Mailand</v>
      </c>
      <c r="Q17" s="381"/>
      <c r="R17" s="220"/>
      <c r="S17" s="493"/>
      <c r="T17" s="493"/>
      <c r="U17" s="493"/>
      <c r="V17" s="221"/>
      <c r="W17" s="202">
        <f t="shared" ca="1" si="58"/>
        <v>0</v>
      </c>
      <c r="X17" s="396">
        <f t="shared" ca="1" si="67"/>
        <v>0</v>
      </c>
      <c r="Y17" s="393">
        <f t="shared" ca="1" si="32"/>
        <v>99999</v>
      </c>
      <c r="Z17" s="202" t="str">
        <f t="shared" ca="1" si="0"/>
        <v/>
      </c>
      <c r="AA17" s="202" t="str">
        <f t="shared" ca="1" si="68"/>
        <v/>
      </c>
      <c r="AB17" s="394">
        <f t="shared" ca="1" si="1"/>
        <v>0.58333333333333337</v>
      </c>
      <c r="AC17" s="394">
        <f t="shared" ca="1" si="2"/>
        <v>1</v>
      </c>
      <c r="AD17" s="395" t="str">
        <f t="shared" ca="1" si="3"/>
        <v>Eintracht Frankfurt</v>
      </c>
      <c r="AE17" s="202"/>
      <c r="AF17" s="396">
        <f t="shared" ca="1" si="59"/>
        <v>0</v>
      </c>
      <c r="AG17" s="393">
        <f t="shared" ca="1" si="34"/>
        <v>99999</v>
      </c>
      <c r="AH17" s="202" t="str">
        <f t="shared" ca="1" si="35"/>
        <v/>
      </c>
      <c r="AI17" s="202" t="str">
        <f t="shared" ca="1" si="69"/>
        <v/>
      </c>
      <c r="AJ17" s="394">
        <f t="shared" ca="1" si="4"/>
        <v>0.58333333333333337</v>
      </c>
      <c r="AK17" s="394">
        <f t="shared" ca="1" si="5"/>
        <v>2</v>
      </c>
      <c r="AL17" s="395" t="str">
        <f t="shared" ca="1" si="6"/>
        <v>Maibach 1822 eV</v>
      </c>
      <c r="AN17" s="396">
        <f t="shared" ca="1" si="60"/>
        <v>0</v>
      </c>
      <c r="AO17" s="393">
        <f t="shared" ca="1" si="37"/>
        <v>99999</v>
      </c>
      <c r="AP17" s="202" t="str">
        <f t="shared" ca="1" si="38"/>
        <v/>
      </c>
      <c r="AQ17" s="202" t="str">
        <f t="shared" ca="1" si="70"/>
        <v/>
      </c>
      <c r="AR17" s="394">
        <f t="shared" ca="1" si="7"/>
        <v>0.56597222222222221</v>
      </c>
      <c r="AS17" s="394">
        <f t="shared" ca="1" si="8"/>
        <v>2</v>
      </c>
      <c r="AT17" s="395" t="str">
        <f t="shared" ca="1" si="9"/>
        <v>VFB Essenheim</v>
      </c>
      <c r="AU17" s="202"/>
      <c r="AV17" s="396">
        <f t="shared" ca="1" si="61"/>
        <v>0</v>
      </c>
      <c r="AW17" s="393">
        <f t="shared" ca="1" si="40"/>
        <v>0.42708333333333331</v>
      </c>
      <c r="AX17" s="202">
        <f t="shared" ca="1" si="41"/>
        <v>6</v>
      </c>
      <c r="AY17" s="202">
        <f t="shared" ca="1" si="71"/>
        <v>2</v>
      </c>
      <c r="AZ17" s="394">
        <f t="shared" ca="1" si="10"/>
        <v>0.58333333333333337</v>
      </c>
      <c r="BA17" s="394">
        <f t="shared" ca="1" si="11"/>
        <v>2</v>
      </c>
      <c r="BB17" s="395" t="str">
        <f t="shared" ca="1" si="12"/>
        <v>FC Barcelona</v>
      </c>
      <c r="BD17" s="396">
        <f t="shared" ca="1" si="62"/>
        <v>0</v>
      </c>
      <c r="BE17" s="393">
        <f t="shared" ca="1" si="43"/>
        <v>99999</v>
      </c>
      <c r="BF17" s="202" t="str">
        <f t="shared" ca="1" si="44"/>
        <v/>
      </c>
      <c r="BG17" s="202" t="str">
        <f t="shared" ca="1" si="72"/>
        <v/>
      </c>
      <c r="BH17" s="394">
        <f t="shared" ca="1" si="13"/>
        <v>0.56597222222222221</v>
      </c>
      <c r="BI17" s="394">
        <f t="shared" ca="1" si="14"/>
        <v>2</v>
      </c>
      <c r="BJ17" s="395" t="str">
        <f t="shared" ca="1" si="15"/>
        <v>Eintracht Frankfurt</v>
      </c>
      <c r="BK17" s="202"/>
      <c r="BL17" s="396">
        <f t="shared" ca="1" si="63"/>
        <v>0</v>
      </c>
      <c r="BM17" s="393">
        <f t="shared" ca="1" si="46"/>
        <v>0.42708333333333331</v>
      </c>
      <c r="BN17" s="202">
        <f t="shared" ca="1" si="47"/>
        <v>4</v>
      </c>
      <c r="BO17" s="202">
        <f t="shared" ca="1" si="73"/>
        <v>2</v>
      </c>
      <c r="BP17" s="394">
        <f t="shared" ca="1" si="16"/>
        <v>0.58333333333333337</v>
      </c>
      <c r="BQ17" s="394">
        <f t="shared" ca="1" si="17"/>
        <v>3</v>
      </c>
      <c r="BR17" s="395" t="str">
        <f t="shared" ca="1" si="18"/>
        <v>SSV Wildbach</v>
      </c>
      <c r="BT17" s="396">
        <f t="shared" ca="1" si="64"/>
        <v>0</v>
      </c>
      <c r="BU17" s="393">
        <f t="shared" ca="1" si="49"/>
        <v>99999</v>
      </c>
      <c r="BV17" s="202" t="str">
        <f t="shared" ca="1" si="50"/>
        <v/>
      </c>
      <c r="BW17" s="202" t="str">
        <f t="shared" ca="1" si="74"/>
        <v/>
      </c>
      <c r="BX17" s="394">
        <f t="shared" ca="1" si="19"/>
        <v>0.58333333333333337</v>
      </c>
      <c r="BY17" s="394">
        <f t="shared" ca="1" si="20"/>
        <v>3</v>
      </c>
      <c r="BZ17" s="395" t="str">
        <f t="shared" ca="1" si="21"/>
        <v>Inter Mailand</v>
      </c>
      <c r="CA17" s="202"/>
      <c r="CB17" s="396">
        <f t="shared" ca="1" si="65"/>
        <v>0</v>
      </c>
      <c r="CC17" s="393">
        <f t="shared" ca="1" si="52"/>
        <v>99999</v>
      </c>
      <c r="CD17" s="202" t="str">
        <f t="shared" ca="1" si="53"/>
        <v/>
      </c>
      <c r="CE17" s="202" t="str">
        <f t="shared" ca="1" si="75"/>
        <v/>
      </c>
      <c r="CF17" s="394">
        <f t="shared" ca="1" si="22"/>
        <v>99999</v>
      </c>
      <c r="CG17" s="394" t="str">
        <f t="shared" ca="1" si="23"/>
        <v/>
      </c>
      <c r="CH17" s="395" t="str">
        <f t="shared" ca="1" si="24"/>
        <v/>
      </c>
      <c r="CJ17" s="396">
        <f t="shared" ca="1" si="66"/>
        <v>0</v>
      </c>
      <c r="CK17" s="393">
        <f t="shared" ca="1" si="55"/>
        <v>99999</v>
      </c>
      <c r="CL17" s="202" t="str">
        <f t="shared" ca="1" si="56"/>
        <v/>
      </c>
      <c r="CM17" s="202" t="str">
        <f t="shared" ca="1" si="76"/>
        <v/>
      </c>
      <c r="CN17" s="394">
        <f t="shared" ca="1" si="25"/>
        <v>99999</v>
      </c>
      <c r="CO17" s="394" t="str">
        <f t="shared" ca="1" si="26"/>
        <v/>
      </c>
      <c r="CP17" s="395" t="str">
        <f t="shared" ca="1" si="27"/>
        <v/>
      </c>
    </row>
    <row r="18" spans="1:94" ht="15.95" customHeight="1" x14ac:dyDescent="0.25">
      <c r="A18" s="76">
        <f>COUNTIF($C$8:$C$25,$C$18)</f>
        <v>1</v>
      </c>
      <c r="B18" s="460">
        <v>6</v>
      </c>
      <c r="C18" s="466" t="s">
        <v>272</v>
      </c>
      <c r="D18" s="159">
        <f t="shared" ca="1" si="28"/>
        <v>2</v>
      </c>
      <c r="E18" s="159">
        <f t="shared" ca="1" si="29"/>
        <v>73</v>
      </c>
      <c r="F18" s="159">
        <f ca="1">IF($E18="",0,COUNTIF($E$7:$E18,INDEX($E$79:$E$150,ROW($A12))))</f>
        <v>0</v>
      </c>
      <c r="G18" s="205"/>
      <c r="H18" s="200">
        <v>12</v>
      </c>
      <c r="I18" s="227">
        <f ca="1">IF(OR($X$3,$H18&gt;Calc!$B$13/2*$D$6),"",$T$6+QUOTIENT(($H18-1),$T$22)*($T$8+$T$10)/1440+SUM($Q$7:$Q17)/1440)</f>
        <v>0.42708333333333331</v>
      </c>
      <c r="J18" s="229">
        <f ca="1">IF(OR($X$3,$H18&gt;Calc!$B$13/2*$D$6),"",MOD(($H18-1),$T$22)+1)</f>
        <v>3</v>
      </c>
      <c r="K18" s="54">
        <f ca="1"/>
        <v>7</v>
      </c>
      <c r="L18" s="53" t="s">
        <v>5</v>
      </c>
      <c r="M18" s="55">
        <f ca="1"/>
        <v>3</v>
      </c>
      <c r="N18" s="52" t="str">
        <f t="shared" ca="1" si="30"/>
        <v>SSV Wildbach</v>
      </c>
      <c r="O18" s="50" t="s">
        <v>5</v>
      </c>
      <c r="P18" s="51" t="str">
        <f t="shared" ca="1" si="31"/>
        <v>Eintracht Frankfurt</v>
      </c>
      <c r="Q18" s="381"/>
      <c r="R18" s="220"/>
      <c r="S18" s="378">
        <f>QUOTIENT(Calc!$F$13,2)</f>
        <v>3</v>
      </c>
      <c r="T18" s="378" t="str">
        <f ca="1">IFERROR(proof!$E$3,"")</f>
        <v/>
      </c>
      <c r="U18" s="378" t="str">
        <f ca="1">IFERROR(proof!$E$4,"")</f>
        <v/>
      </c>
      <c r="V18" s="221"/>
      <c r="W18" s="202">
        <f t="shared" ca="1" si="58"/>
        <v>0</v>
      </c>
      <c r="X18" s="396">
        <f t="shared" ca="1" si="67"/>
        <v>0</v>
      </c>
      <c r="Y18" s="393">
        <f t="shared" ca="1" si="32"/>
        <v>99999</v>
      </c>
      <c r="Z18" s="202" t="str">
        <f t="shared" ca="1" si="0"/>
        <v/>
      </c>
      <c r="AA18" s="202" t="str">
        <f t="shared" ca="1" si="68"/>
        <v/>
      </c>
      <c r="AB18" s="394">
        <f t="shared" ca="1" si="1"/>
        <v>0.60069444444444442</v>
      </c>
      <c r="AC18" s="394">
        <f t="shared" ca="1" si="2"/>
        <v>1</v>
      </c>
      <c r="AD18" s="395" t="str">
        <f t="shared" ca="1" si="3"/>
        <v>FC Barcelona</v>
      </c>
      <c r="AE18" s="202"/>
      <c r="AF18" s="396">
        <f t="shared" ca="1" si="59"/>
        <v>0</v>
      </c>
      <c r="AG18" s="393">
        <f t="shared" ca="1" si="34"/>
        <v>99999</v>
      </c>
      <c r="AH18" s="202" t="str">
        <f t="shared" ca="1" si="35"/>
        <v/>
      </c>
      <c r="AI18" s="202" t="str">
        <f t="shared" ca="1" si="69"/>
        <v/>
      </c>
      <c r="AJ18" s="394">
        <f t="shared" ca="1" si="4"/>
        <v>0.60069444444444442</v>
      </c>
      <c r="AK18" s="394">
        <f t="shared" ca="1" si="5"/>
        <v>1</v>
      </c>
      <c r="AL18" s="395" t="str">
        <f t="shared" ca="1" si="6"/>
        <v>1. FC Riedwald</v>
      </c>
      <c r="AN18" s="396">
        <f t="shared" ca="1" si="60"/>
        <v>0</v>
      </c>
      <c r="AO18" s="393">
        <f t="shared" ca="1" si="37"/>
        <v>0.42708333333333331</v>
      </c>
      <c r="AP18" s="202">
        <f t="shared" ca="1" si="38"/>
        <v>7</v>
      </c>
      <c r="AQ18" s="202">
        <f t="shared" ca="1" si="70"/>
        <v>3</v>
      </c>
      <c r="AR18" s="394">
        <f t="shared" ca="1" si="7"/>
        <v>0.58333333333333337</v>
      </c>
      <c r="AS18" s="394">
        <f t="shared" ca="1" si="8"/>
        <v>1</v>
      </c>
      <c r="AT18" s="395" t="str">
        <f t="shared" ca="1" si="9"/>
        <v>1. FC Riedwald</v>
      </c>
      <c r="AU18" s="202"/>
      <c r="AV18" s="396">
        <f t="shared" ca="1" si="61"/>
        <v>0</v>
      </c>
      <c r="AW18" s="393">
        <f t="shared" ca="1" si="40"/>
        <v>99999</v>
      </c>
      <c r="AX18" s="202" t="str">
        <f t="shared" ca="1" si="41"/>
        <v/>
      </c>
      <c r="AY18" s="202" t="str">
        <f t="shared" ca="1" si="71"/>
        <v/>
      </c>
      <c r="AZ18" s="394">
        <f t="shared" ca="1" si="10"/>
        <v>0.60069444444444442</v>
      </c>
      <c r="BA18" s="394">
        <f t="shared" ca="1" si="11"/>
        <v>2</v>
      </c>
      <c r="BB18" s="395" t="str">
        <f t="shared" ca="1" si="12"/>
        <v>SSV Wildbach</v>
      </c>
      <c r="BD18" s="396">
        <f t="shared" ca="1" si="62"/>
        <v>0</v>
      </c>
      <c r="BE18" s="393">
        <f t="shared" ca="1" si="43"/>
        <v>99999</v>
      </c>
      <c r="BF18" s="202" t="str">
        <f t="shared" ca="1" si="44"/>
        <v/>
      </c>
      <c r="BG18" s="202" t="str">
        <f t="shared" ca="1" si="72"/>
        <v/>
      </c>
      <c r="BH18" s="394">
        <f t="shared" ca="1" si="13"/>
        <v>0.60069444444444442</v>
      </c>
      <c r="BI18" s="394">
        <f t="shared" ca="1" si="14"/>
        <v>3</v>
      </c>
      <c r="BJ18" s="395" t="str">
        <f t="shared" ca="1" si="15"/>
        <v>Inter Mailand</v>
      </c>
      <c r="BK18" s="202"/>
      <c r="BL18" s="396">
        <f t="shared" ca="1" si="63"/>
        <v>0</v>
      </c>
      <c r="BM18" s="393">
        <f t="shared" ca="1" si="46"/>
        <v>99999</v>
      </c>
      <c r="BN18" s="202" t="str">
        <f t="shared" ca="1" si="47"/>
        <v/>
      </c>
      <c r="BO18" s="202" t="str">
        <f t="shared" ca="1" si="73"/>
        <v/>
      </c>
      <c r="BP18" s="394">
        <f t="shared" ca="1" si="16"/>
        <v>0.60069444444444442</v>
      </c>
      <c r="BQ18" s="394">
        <f t="shared" ca="1" si="17"/>
        <v>3</v>
      </c>
      <c r="BR18" s="395" t="str">
        <f t="shared" ca="1" si="18"/>
        <v>VFB Essenheim</v>
      </c>
      <c r="BT18" s="396">
        <f t="shared" ca="1" si="64"/>
        <v>0</v>
      </c>
      <c r="BU18" s="393">
        <f t="shared" ca="1" si="49"/>
        <v>0.42708333333333331</v>
      </c>
      <c r="BV18" s="202">
        <f t="shared" ca="1" si="50"/>
        <v>3</v>
      </c>
      <c r="BW18" s="202">
        <f t="shared" ca="1" si="74"/>
        <v>3</v>
      </c>
      <c r="BX18" s="394">
        <f t="shared" ca="1" si="19"/>
        <v>0.60069444444444442</v>
      </c>
      <c r="BY18" s="394">
        <f t="shared" ca="1" si="20"/>
        <v>2</v>
      </c>
      <c r="BZ18" s="395" t="str">
        <f t="shared" ca="1" si="21"/>
        <v>Maibach 1822 eV</v>
      </c>
      <c r="CA18" s="202"/>
      <c r="CB18" s="396">
        <f t="shared" ca="1" si="65"/>
        <v>0</v>
      </c>
      <c r="CC18" s="393">
        <f t="shared" ca="1" si="52"/>
        <v>99999</v>
      </c>
      <c r="CD18" s="202" t="str">
        <f t="shared" ca="1" si="53"/>
        <v/>
      </c>
      <c r="CE18" s="202" t="str">
        <f t="shared" ca="1" si="75"/>
        <v/>
      </c>
      <c r="CF18" s="394">
        <f t="shared" ca="1" si="22"/>
        <v>99999</v>
      </c>
      <c r="CG18" s="394" t="str">
        <f t="shared" ca="1" si="23"/>
        <v/>
      </c>
      <c r="CH18" s="395" t="str">
        <f t="shared" ca="1" si="24"/>
        <v/>
      </c>
      <c r="CJ18" s="396">
        <f t="shared" ca="1" si="66"/>
        <v>0</v>
      </c>
      <c r="CK18" s="393">
        <f t="shared" ca="1" si="55"/>
        <v>99999</v>
      </c>
      <c r="CL18" s="202" t="str">
        <f t="shared" ca="1" si="56"/>
        <v/>
      </c>
      <c r="CM18" s="202" t="str">
        <f t="shared" ca="1" si="76"/>
        <v/>
      </c>
      <c r="CN18" s="394">
        <f t="shared" ca="1" si="25"/>
        <v>99999</v>
      </c>
      <c r="CO18" s="394" t="str">
        <f t="shared" ca="1" si="26"/>
        <v/>
      </c>
      <c r="CP18" s="395" t="str">
        <f t="shared" ca="1" si="27"/>
        <v/>
      </c>
    </row>
    <row r="19" spans="1:94" ht="15.95" customHeight="1" x14ac:dyDescent="0.25">
      <c r="A19" s="76"/>
      <c r="B19" s="461"/>
      <c r="C19" s="465"/>
      <c r="D19" s="159">
        <f t="shared" ca="1" si="28"/>
        <v>2</v>
      </c>
      <c r="E19" s="159">
        <f t="shared" ca="1" si="29"/>
        <v>14</v>
      </c>
      <c r="F19" s="159">
        <f ca="1">IF($E19="",0,COUNTIF($E$7:$E19,INDEX($E$79:$E$150,ROW($A13))))</f>
        <v>0</v>
      </c>
      <c r="G19" s="205"/>
      <c r="H19" s="200">
        <v>13</v>
      </c>
      <c r="I19" s="227">
        <f ca="1">IF(OR($X$3,$H19&gt;Calc!$B$13/2*$D$6),"",$T$6+QUOTIENT(($H19-1),$T$22)*($T$8+$T$10)/1440+SUM($Q$7:$Q18)/1440)</f>
        <v>0.44444444444444442</v>
      </c>
      <c r="J19" s="229">
        <f ca="1">IF(OR($X$3,$H19&gt;Calc!$B$13/2*$D$6),"",MOD(($H19-1),$T$22)+1)</f>
        <v>1</v>
      </c>
      <c r="K19" s="54">
        <f ca="1"/>
        <v>1</v>
      </c>
      <c r="L19" s="53" t="s">
        <v>5</v>
      </c>
      <c r="M19" s="55">
        <f ca="1"/>
        <v>4</v>
      </c>
      <c r="N19" s="52" t="str">
        <f t="shared" ca="1" si="30"/>
        <v>1. FC Riedwald</v>
      </c>
      <c r="O19" s="50" t="s">
        <v>5</v>
      </c>
      <c r="P19" s="51" t="str">
        <f t="shared" ca="1" si="31"/>
        <v>Maibach 1822 eV</v>
      </c>
      <c r="Q19" s="381"/>
      <c r="R19" s="220"/>
      <c r="S19" s="491" t="str">
        <f ca="1">IF($X$3,"",IF(proof!$G$2="FEHLER",Language!$E$72&amp;VLOOKUP(proof!$E$6,$B$8:$C$24,2,0),""))</f>
        <v/>
      </c>
      <c r="T19" s="491"/>
      <c r="U19" s="491"/>
      <c r="V19" s="221"/>
      <c r="W19" s="202">
        <f t="shared" ca="1" si="58"/>
        <v>0</v>
      </c>
      <c r="X19" s="396">
        <f t="shared" ca="1" si="67"/>
        <v>0</v>
      </c>
      <c r="Y19" s="393">
        <f t="shared" ca="1" si="32"/>
        <v>0.44444444444444442</v>
      </c>
      <c r="Z19" s="202">
        <f t="shared" ca="1" si="0"/>
        <v>4</v>
      </c>
      <c r="AA19" s="202">
        <f t="shared" ca="1" si="68"/>
        <v>1</v>
      </c>
      <c r="AB19" s="394">
        <f t="shared" ca="1" si="1"/>
        <v>99999</v>
      </c>
      <c r="AC19" s="394" t="str">
        <f t="shared" ca="1" si="2"/>
        <v/>
      </c>
      <c r="AD19" s="395" t="str">
        <f t="shared" ca="1" si="3"/>
        <v/>
      </c>
      <c r="AE19" s="202"/>
      <c r="AF19" s="396">
        <f t="shared" ca="1" si="59"/>
        <v>0</v>
      </c>
      <c r="AG19" s="393">
        <f t="shared" ca="1" si="34"/>
        <v>99999</v>
      </c>
      <c r="AH19" s="202" t="str">
        <f t="shared" ca="1" si="35"/>
        <v/>
      </c>
      <c r="AI19" s="202" t="str">
        <f t="shared" ca="1" si="69"/>
        <v/>
      </c>
      <c r="AJ19" s="394">
        <f t="shared" ca="1" si="4"/>
        <v>99999</v>
      </c>
      <c r="AK19" s="394" t="str">
        <f t="shared" ca="1" si="5"/>
        <v/>
      </c>
      <c r="AL19" s="395" t="str">
        <f t="shared" ca="1" si="6"/>
        <v/>
      </c>
      <c r="AN19" s="396">
        <f t="shared" ca="1" si="60"/>
        <v>0</v>
      </c>
      <c r="AO19" s="393">
        <f t="shared" ca="1" si="37"/>
        <v>99999</v>
      </c>
      <c r="AP19" s="202" t="str">
        <f t="shared" ca="1" si="38"/>
        <v/>
      </c>
      <c r="AQ19" s="202" t="str">
        <f t="shared" ca="1" si="70"/>
        <v/>
      </c>
      <c r="AR19" s="394">
        <f t="shared" ca="1" si="7"/>
        <v>99999</v>
      </c>
      <c r="AS19" s="394" t="str">
        <f t="shared" ca="1" si="8"/>
        <v/>
      </c>
      <c r="AT19" s="395" t="str">
        <f t="shared" ca="1" si="9"/>
        <v/>
      </c>
      <c r="AU19" s="202"/>
      <c r="AV19" s="396">
        <f t="shared" ca="1" si="61"/>
        <v>0</v>
      </c>
      <c r="AW19" s="393">
        <f t="shared" ca="1" si="40"/>
        <v>0.44444444444444442</v>
      </c>
      <c r="AX19" s="202">
        <f t="shared" ca="1" si="41"/>
        <v>1</v>
      </c>
      <c r="AY19" s="202">
        <f t="shared" ca="1" si="71"/>
        <v>1</v>
      </c>
      <c r="AZ19" s="394">
        <f t="shared" ca="1" si="10"/>
        <v>99999</v>
      </c>
      <c r="BA19" s="394" t="str">
        <f t="shared" ca="1" si="11"/>
        <v/>
      </c>
      <c r="BB19" s="395" t="str">
        <f t="shared" ca="1" si="12"/>
        <v/>
      </c>
      <c r="BD19" s="396">
        <f t="shared" ca="1" si="62"/>
        <v>0</v>
      </c>
      <c r="BE19" s="393">
        <f t="shared" ca="1" si="43"/>
        <v>99999</v>
      </c>
      <c r="BF19" s="202" t="str">
        <f t="shared" ca="1" si="44"/>
        <v/>
      </c>
      <c r="BG19" s="202" t="str">
        <f t="shared" ca="1" si="72"/>
        <v/>
      </c>
      <c r="BH19" s="394">
        <f t="shared" ca="1" si="13"/>
        <v>99999</v>
      </c>
      <c r="BI19" s="394" t="str">
        <f t="shared" ca="1" si="14"/>
        <v/>
      </c>
      <c r="BJ19" s="395" t="str">
        <f t="shared" ca="1" si="15"/>
        <v/>
      </c>
      <c r="BK19" s="202"/>
      <c r="BL19" s="396">
        <f t="shared" ca="1" si="63"/>
        <v>0</v>
      </c>
      <c r="BM19" s="393">
        <f t="shared" ca="1" si="46"/>
        <v>99999</v>
      </c>
      <c r="BN19" s="202" t="str">
        <f t="shared" ca="1" si="47"/>
        <v/>
      </c>
      <c r="BO19" s="202" t="str">
        <f t="shared" ca="1" si="73"/>
        <v/>
      </c>
      <c r="BP19" s="394">
        <f t="shared" ca="1" si="16"/>
        <v>99999</v>
      </c>
      <c r="BQ19" s="394" t="str">
        <f t="shared" ca="1" si="17"/>
        <v/>
      </c>
      <c r="BR19" s="395" t="str">
        <f t="shared" ca="1" si="18"/>
        <v/>
      </c>
      <c r="BT19" s="396">
        <f t="shared" ca="1" si="64"/>
        <v>0</v>
      </c>
      <c r="BU19" s="393">
        <f t="shared" ca="1" si="49"/>
        <v>99999</v>
      </c>
      <c r="BV19" s="202" t="str">
        <f t="shared" ca="1" si="50"/>
        <v/>
      </c>
      <c r="BW19" s="202" t="str">
        <f t="shared" ca="1" si="74"/>
        <v/>
      </c>
      <c r="BX19" s="394">
        <f t="shared" ca="1" si="19"/>
        <v>99999</v>
      </c>
      <c r="BY19" s="394" t="str">
        <f t="shared" ca="1" si="20"/>
        <v/>
      </c>
      <c r="BZ19" s="395" t="str">
        <f t="shared" ca="1" si="21"/>
        <v/>
      </c>
      <c r="CA19" s="202"/>
      <c r="CB19" s="396">
        <f t="shared" ca="1" si="65"/>
        <v>0</v>
      </c>
      <c r="CC19" s="393">
        <f t="shared" ca="1" si="52"/>
        <v>99999</v>
      </c>
      <c r="CD19" s="202" t="str">
        <f t="shared" ca="1" si="53"/>
        <v/>
      </c>
      <c r="CE19" s="202" t="str">
        <f t="shared" ca="1" si="75"/>
        <v/>
      </c>
      <c r="CF19" s="394">
        <f t="shared" ca="1" si="22"/>
        <v>99999</v>
      </c>
      <c r="CG19" s="394" t="str">
        <f t="shared" ca="1" si="23"/>
        <v/>
      </c>
      <c r="CH19" s="395" t="str">
        <f t="shared" ca="1" si="24"/>
        <v/>
      </c>
      <c r="CJ19" s="396">
        <f t="shared" ca="1" si="66"/>
        <v>0</v>
      </c>
      <c r="CK19" s="393">
        <f t="shared" ca="1" si="55"/>
        <v>99999</v>
      </c>
      <c r="CL19" s="202" t="str">
        <f t="shared" ca="1" si="56"/>
        <v/>
      </c>
      <c r="CM19" s="202" t="str">
        <f t="shared" ca="1" si="76"/>
        <v/>
      </c>
      <c r="CN19" s="394">
        <f t="shared" ca="1" si="25"/>
        <v>99999</v>
      </c>
      <c r="CO19" s="394" t="str">
        <f t="shared" ca="1" si="26"/>
        <v/>
      </c>
      <c r="CP19" s="395" t="str">
        <f t="shared" ca="1" si="27"/>
        <v/>
      </c>
    </row>
    <row r="20" spans="1:94" ht="15.95" customHeight="1" x14ac:dyDescent="0.25">
      <c r="A20" s="76">
        <f>COUNTIF($C$8:$C$25,$C$20)</f>
        <v>1</v>
      </c>
      <c r="B20" s="460">
        <v>7</v>
      </c>
      <c r="C20" s="466" t="s">
        <v>273</v>
      </c>
      <c r="D20" s="159">
        <f t="shared" ca="1" si="28"/>
        <v>2</v>
      </c>
      <c r="E20" s="159">
        <f t="shared" ca="1" si="29"/>
        <v>35</v>
      </c>
      <c r="F20" s="159">
        <f ca="1">IF($E20="",0,COUNTIF($E$7:$E20,INDEX($E$79:$E$150,ROW($A14))))</f>
        <v>0</v>
      </c>
      <c r="G20" s="205"/>
      <c r="H20" s="200">
        <v>14</v>
      </c>
      <c r="I20" s="227">
        <f ca="1">IF(OR($X$3,$H20&gt;Calc!$B$13/2*$D$6),"",$T$6+QUOTIENT(($H20-1),$T$22)*($T$8+$T$10)/1440+SUM($Q$7:$Q19)/1440)</f>
        <v>0.44444444444444442</v>
      </c>
      <c r="J20" s="229">
        <f ca="1">IF(OR($X$3,$H20&gt;Calc!$B$13/2*$D$6),"",MOD(($H20-1),$T$22)+1)</f>
        <v>2</v>
      </c>
      <c r="K20" s="54">
        <f ca="1"/>
        <v>3</v>
      </c>
      <c r="L20" s="53" t="s">
        <v>5</v>
      </c>
      <c r="M20" s="55">
        <f ca="1"/>
        <v>5</v>
      </c>
      <c r="N20" s="52" t="str">
        <f t="shared" ca="1" si="30"/>
        <v>Eintracht Frankfurt</v>
      </c>
      <c r="O20" s="50" t="s">
        <v>5</v>
      </c>
      <c r="P20" s="51" t="str">
        <f t="shared" ca="1" si="31"/>
        <v>VFB Essenheim</v>
      </c>
      <c r="Q20" s="381"/>
      <c r="R20" s="220"/>
      <c r="S20" s="491" t="str">
        <f ca="1">IF($X$3,"",IF(proof!$G$2="FEHLER",Language!$E$73&amp;$T$18&amp;Language!$E$74&amp;$U$18,""))</f>
        <v/>
      </c>
      <c r="T20" s="491"/>
      <c r="U20" s="491"/>
      <c r="V20" s="221"/>
      <c r="W20" s="202">
        <f t="shared" ca="1" si="58"/>
        <v>0</v>
      </c>
      <c r="X20" s="396">
        <f t="shared" ca="1" si="67"/>
        <v>0</v>
      </c>
      <c r="Y20" s="393">
        <f t="shared" ca="1" si="32"/>
        <v>99999</v>
      </c>
      <c r="Z20" s="202" t="str">
        <f t="shared" ca="1" si="0"/>
        <v/>
      </c>
      <c r="AA20" s="202" t="str">
        <f t="shared" ca="1" si="68"/>
        <v/>
      </c>
      <c r="AB20" s="394">
        <f t="shared" ca="1" si="1"/>
        <v>99999</v>
      </c>
      <c r="AC20" s="394" t="str">
        <f t="shared" ca="1" si="2"/>
        <v/>
      </c>
      <c r="AD20" s="395" t="str">
        <f t="shared" ca="1" si="3"/>
        <v/>
      </c>
      <c r="AE20" s="202"/>
      <c r="AF20" s="396">
        <f t="shared" ca="1" si="59"/>
        <v>0</v>
      </c>
      <c r="AG20" s="393">
        <f t="shared" ca="1" si="34"/>
        <v>99999</v>
      </c>
      <c r="AH20" s="202" t="str">
        <f t="shared" ca="1" si="35"/>
        <v/>
      </c>
      <c r="AI20" s="202" t="str">
        <f t="shared" ca="1" si="69"/>
        <v/>
      </c>
      <c r="AJ20" s="394">
        <f t="shared" ca="1" si="4"/>
        <v>99999</v>
      </c>
      <c r="AK20" s="394" t="str">
        <f t="shared" ca="1" si="5"/>
        <v/>
      </c>
      <c r="AL20" s="395" t="str">
        <f t="shared" ca="1" si="6"/>
        <v/>
      </c>
      <c r="AN20" s="396">
        <f t="shared" ca="1" si="60"/>
        <v>0</v>
      </c>
      <c r="AO20" s="393">
        <f t="shared" ca="1" si="37"/>
        <v>0.44444444444444442</v>
      </c>
      <c r="AP20" s="202">
        <f t="shared" ca="1" si="38"/>
        <v>5</v>
      </c>
      <c r="AQ20" s="202">
        <f t="shared" ca="1" si="70"/>
        <v>2</v>
      </c>
      <c r="AR20" s="394">
        <f t="shared" ca="1" si="7"/>
        <v>99999</v>
      </c>
      <c r="AS20" s="394" t="str">
        <f t="shared" ca="1" si="8"/>
        <v/>
      </c>
      <c r="AT20" s="395" t="str">
        <f t="shared" ca="1" si="9"/>
        <v/>
      </c>
      <c r="AU20" s="202"/>
      <c r="AV20" s="396">
        <f t="shared" ca="1" si="61"/>
        <v>0</v>
      </c>
      <c r="AW20" s="393">
        <f t="shared" ca="1" si="40"/>
        <v>99999</v>
      </c>
      <c r="AX20" s="202" t="str">
        <f t="shared" ca="1" si="41"/>
        <v/>
      </c>
      <c r="AY20" s="202" t="str">
        <f t="shared" ca="1" si="71"/>
        <v/>
      </c>
      <c r="AZ20" s="394">
        <f t="shared" ca="1" si="10"/>
        <v>99999</v>
      </c>
      <c r="BA20" s="394" t="str">
        <f t="shared" ca="1" si="11"/>
        <v/>
      </c>
      <c r="BB20" s="395" t="str">
        <f t="shared" ca="1" si="12"/>
        <v/>
      </c>
      <c r="BD20" s="396">
        <f t="shared" ca="1" si="62"/>
        <v>0</v>
      </c>
      <c r="BE20" s="393">
        <f t="shared" ca="1" si="43"/>
        <v>0.44444444444444442</v>
      </c>
      <c r="BF20" s="202">
        <f t="shared" ca="1" si="44"/>
        <v>3</v>
      </c>
      <c r="BG20" s="202">
        <f t="shared" ca="1" si="72"/>
        <v>2</v>
      </c>
      <c r="BH20" s="394">
        <f t="shared" ca="1" si="13"/>
        <v>99999</v>
      </c>
      <c r="BI20" s="394" t="str">
        <f t="shared" ca="1" si="14"/>
        <v/>
      </c>
      <c r="BJ20" s="395" t="str">
        <f t="shared" ca="1" si="15"/>
        <v/>
      </c>
      <c r="BK20" s="202"/>
      <c r="BL20" s="396">
        <f t="shared" ca="1" si="63"/>
        <v>0</v>
      </c>
      <c r="BM20" s="393">
        <f t="shared" ca="1" si="46"/>
        <v>99999</v>
      </c>
      <c r="BN20" s="202" t="str">
        <f t="shared" ca="1" si="47"/>
        <v/>
      </c>
      <c r="BO20" s="202" t="str">
        <f t="shared" ca="1" si="73"/>
        <v/>
      </c>
      <c r="BP20" s="394">
        <f t="shared" ca="1" si="16"/>
        <v>99999</v>
      </c>
      <c r="BQ20" s="394" t="str">
        <f t="shared" ca="1" si="17"/>
        <v/>
      </c>
      <c r="BR20" s="395" t="str">
        <f t="shared" ca="1" si="18"/>
        <v/>
      </c>
      <c r="BT20" s="396">
        <f t="shared" ca="1" si="64"/>
        <v>0</v>
      </c>
      <c r="BU20" s="393">
        <f t="shared" ca="1" si="49"/>
        <v>99999</v>
      </c>
      <c r="BV20" s="202" t="str">
        <f t="shared" ca="1" si="50"/>
        <v/>
      </c>
      <c r="BW20" s="202" t="str">
        <f t="shared" ca="1" si="74"/>
        <v/>
      </c>
      <c r="BX20" s="394">
        <f t="shared" ca="1" si="19"/>
        <v>99999</v>
      </c>
      <c r="BY20" s="394" t="str">
        <f t="shared" ca="1" si="20"/>
        <v/>
      </c>
      <c r="BZ20" s="395" t="str">
        <f t="shared" ca="1" si="21"/>
        <v/>
      </c>
      <c r="CA20" s="202"/>
      <c r="CB20" s="396">
        <f t="shared" ca="1" si="65"/>
        <v>0</v>
      </c>
      <c r="CC20" s="393">
        <f t="shared" ca="1" si="52"/>
        <v>99999</v>
      </c>
      <c r="CD20" s="202" t="str">
        <f t="shared" ca="1" si="53"/>
        <v/>
      </c>
      <c r="CE20" s="202" t="str">
        <f t="shared" ca="1" si="75"/>
        <v/>
      </c>
      <c r="CF20" s="394">
        <f t="shared" ca="1" si="22"/>
        <v>99999</v>
      </c>
      <c r="CG20" s="394" t="str">
        <f t="shared" ca="1" si="23"/>
        <v/>
      </c>
      <c r="CH20" s="395" t="str">
        <f t="shared" ca="1" si="24"/>
        <v/>
      </c>
      <c r="CJ20" s="396">
        <f t="shared" ca="1" si="66"/>
        <v>0</v>
      </c>
      <c r="CK20" s="393">
        <f t="shared" ca="1" si="55"/>
        <v>99999</v>
      </c>
      <c r="CL20" s="202" t="str">
        <f t="shared" ca="1" si="56"/>
        <v/>
      </c>
      <c r="CM20" s="202" t="str">
        <f t="shared" ca="1" si="76"/>
        <v/>
      </c>
      <c r="CN20" s="394">
        <f t="shared" ca="1" si="25"/>
        <v>99999</v>
      </c>
      <c r="CO20" s="394" t="str">
        <f t="shared" ca="1" si="26"/>
        <v/>
      </c>
      <c r="CP20" s="395" t="str">
        <f t="shared" ca="1" si="27"/>
        <v/>
      </c>
    </row>
    <row r="21" spans="1:94" ht="15.95" customHeight="1" x14ac:dyDescent="0.25">
      <c r="A21" s="76"/>
      <c r="B21" s="461"/>
      <c r="C21" s="465"/>
      <c r="D21" s="159">
        <f t="shared" ca="1" si="28"/>
        <v>2</v>
      </c>
      <c r="E21" s="159">
        <f t="shared" ca="1" si="29"/>
        <v>62</v>
      </c>
      <c r="F21" s="159">
        <f ca="1">IF($E21="",0,COUNTIF($E$7:$E21,INDEX($E$79:$E$150,ROW($A15))))</f>
        <v>0</v>
      </c>
      <c r="G21" s="205"/>
      <c r="H21" s="200">
        <v>15</v>
      </c>
      <c r="I21" s="227">
        <f ca="1">IF(OR($X$3,$H21&gt;Calc!$B$13/2*$D$6),"",$T$6+QUOTIENT(($H21-1),$T$22)*($T$8+$T$10)/1440+SUM($Q$7:$Q20)/1440)</f>
        <v>0.44444444444444442</v>
      </c>
      <c r="J21" s="229">
        <f ca="1">IF(OR($X$3,$H21&gt;Calc!$B$13/2*$D$6),"",MOD(($H21-1),$T$22)+1)</f>
        <v>3</v>
      </c>
      <c r="K21" s="54">
        <f ca="1"/>
        <v>6</v>
      </c>
      <c r="L21" s="53" t="s">
        <v>5</v>
      </c>
      <c r="M21" s="55">
        <f ca="1"/>
        <v>2</v>
      </c>
      <c r="N21" s="52" t="str">
        <f t="shared" ca="1" si="30"/>
        <v>Inter Mailand</v>
      </c>
      <c r="O21" s="50" t="s">
        <v>5</v>
      </c>
      <c r="P21" s="51" t="str">
        <f t="shared" ca="1" si="31"/>
        <v>FC Barcelona</v>
      </c>
      <c r="Q21" s="381"/>
      <c r="R21" s="220"/>
      <c r="S21" s="221"/>
      <c r="T21" s="221"/>
      <c r="U21" s="221"/>
      <c r="V21" s="221"/>
      <c r="W21" s="202">
        <f t="shared" ca="1" si="58"/>
        <v>0</v>
      </c>
      <c r="X21" s="396">
        <f t="shared" ca="1" si="67"/>
        <v>0</v>
      </c>
      <c r="Y21" s="393">
        <f t="shared" ca="1" si="32"/>
        <v>99999</v>
      </c>
      <c r="Z21" s="202" t="str">
        <f t="shared" ca="1" si="0"/>
        <v/>
      </c>
      <c r="AA21" s="202" t="str">
        <f t="shared" ca="1" si="68"/>
        <v/>
      </c>
      <c r="AB21" s="394">
        <f t="shared" ca="1" si="1"/>
        <v>99999</v>
      </c>
      <c r="AC21" s="394" t="str">
        <f t="shared" ca="1" si="2"/>
        <v/>
      </c>
      <c r="AD21" s="395" t="str">
        <f t="shared" ca="1" si="3"/>
        <v/>
      </c>
      <c r="AE21" s="202"/>
      <c r="AF21" s="396">
        <f t="shared" ca="1" si="59"/>
        <v>0</v>
      </c>
      <c r="AG21" s="393">
        <f t="shared" ca="1" si="34"/>
        <v>0.44444444444444442</v>
      </c>
      <c r="AH21" s="202">
        <f t="shared" ca="1" si="35"/>
        <v>6</v>
      </c>
      <c r="AI21" s="202">
        <f t="shared" ca="1" si="69"/>
        <v>3</v>
      </c>
      <c r="AJ21" s="394">
        <f t="shared" ca="1" si="4"/>
        <v>99999</v>
      </c>
      <c r="AK21" s="394" t="str">
        <f t="shared" ca="1" si="5"/>
        <v/>
      </c>
      <c r="AL21" s="395" t="str">
        <f t="shared" ca="1" si="6"/>
        <v/>
      </c>
      <c r="AN21" s="396">
        <f t="shared" ca="1" si="60"/>
        <v>0</v>
      </c>
      <c r="AO21" s="393">
        <f t="shared" ca="1" si="37"/>
        <v>99999</v>
      </c>
      <c r="AP21" s="202" t="str">
        <f t="shared" ca="1" si="38"/>
        <v/>
      </c>
      <c r="AQ21" s="202" t="str">
        <f t="shared" ca="1" si="70"/>
        <v/>
      </c>
      <c r="AR21" s="394">
        <f t="shared" ca="1" si="7"/>
        <v>99999</v>
      </c>
      <c r="AS21" s="394" t="str">
        <f t="shared" ca="1" si="8"/>
        <v/>
      </c>
      <c r="AT21" s="395" t="str">
        <f t="shared" ca="1" si="9"/>
        <v/>
      </c>
      <c r="AU21" s="202"/>
      <c r="AV21" s="396">
        <f t="shared" ca="1" si="61"/>
        <v>0</v>
      </c>
      <c r="AW21" s="393">
        <f t="shared" ca="1" si="40"/>
        <v>99999</v>
      </c>
      <c r="AX21" s="202" t="str">
        <f t="shared" ca="1" si="41"/>
        <v/>
      </c>
      <c r="AY21" s="202" t="str">
        <f t="shared" ca="1" si="71"/>
        <v/>
      </c>
      <c r="AZ21" s="394">
        <f t="shared" ca="1" si="10"/>
        <v>99999</v>
      </c>
      <c r="BA21" s="394" t="str">
        <f t="shared" ca="1" si="11"/>
        <v/>
      </c>
      <c r="BB21" s="395" t="str">
        <f t="shared" ca="1" si="12"/>
        <v/>
      </c>
      <c r="BD21" s="396">
        <f t="shared" ca="1" si="62"/>
        <v>0</v>
      </c>
      <c r="BE21" s="393">
        <f t="shared" ca="1" si="43"/>
        <v>99999</v>
      </c>
      <c r="BF21" s="202" t="str">
        <f t="shared" ca="1" si="44"/>
        <v/>
      </c>
      <c r="BG21" s="202" t="str">
        <f t="shared" ca="1" si="72"/>
        <v/>
      </c>
      <c r="BH21" s="394">
        <f t="shared" ca="1" si="13"/>
        <v>99999</v>
      </c>
      <c r="BI21" s="394" t="str">
        <f t="shared" ca="1" si="14"/>
        <v/>
      </c>
      <c r="BJ21" s="395" t="str">
        <f t="shared" ca="1" si="15"/>
        <v/>
      </c>
      <c r="BK21" s="202"/>
      <c r="BL21" s="396">
        <f t="shared" ca="1" si="63"/>
        <v>0</v>
      </c>
      <c r="BM21" s="393">
        <f t="shared" ca="1" si="46"/>
        <v>0.44444444444444442</v>
      </c>
      <c r="BN21" s="202">
        <f t="shared" ca="1" si="47"/>
        <v>2</v>
      </c>
      <c r="BO21" s="202">
        <f t="shared" ca="1" si="73"/>
        <v>3</v>
      </c>
      <c r="BP21" s="394">
        <f t="shared" ca="1" si="16"/>
        <v>99999</v>
      </c>
      <c r="BQ21" s="394" t="str">
        <f t="shared" ca="1" si="17"/>
        <v/>
      </c>
      <c r="BR21" s="395" t="str">
        <f t="shared" ca="1" si="18"/>
        <v/>
      </c>
      <c r="BT21" s="396">
        <f t="shared" ca="1" si="64"/>
        <v>0</v>
      </c>
      <c r="BU21" s="393">
        <f t="shared" ca="1" si="49"/>
        <v>99999</v>
      </c>
      <c r="BV21" s="202" t="str">
        <f t="shared" ca="1" si="50"/>
        <v/>
      </c>
      <c r="BW21" s="202" t="str">
        <f t="shared" ca="1" si="74"/>
        <v/>
      </c>
      <c r="BX21" s="394">
        <f t="shared" ca="1" si="19"/>
        <v>99999</v>
      </c>
      <c r="BY21" s="394" t="str">
        <f t="shared" ca="1" si="20"/>
        <v/>
      </c>
      <c r="BZ21" s="395" t="str">
        <f t="shared" ca="1" si="21"/>
        <v/>
      </c>
      <c r="CA21" s="202"/>
      <c r="CB21" s="396">
        <f t="shared" ca="1" si="65"/>
        <v>0</v>
      </c>
      <c r="CC21" s="393">
        <f t="shared" ca="1" si="52"/>
        <v>99999</v>
      </c>
      <c r="CD21" s="202" t="str">
        <f t="shared" ca="1" si="53"/>
        <v/>
      </c>
      <c r="CE21" s="202" t="str">
        <f t="shared" ca="1" si="75"/>
        <v/>
      </c>
      <c r="CF21" s="394">
        <f t="shared" ca="1" si="22"/>
        <v>99999</v>
      </c>
      <c r="CG21" s="394" t="str">
        <f t="shared" ca="1" si="23"/>
        <v/>
      </c>
      <c r="CH21" s="395" t="str">
        <f t="shared" ca="1" si="24"/>
        <v/>
      </c>
      <c r="CJ21" s="396">
        <f t="shared" ca="1" si="66"/>
        <v>0</v>
      </c>
      <c r="CK21" s="393">
        <f t="shared" ca="1" si="55"/>
        <v>99999</v>
      </c>
      <c r="CL21" s="202" t="str">
        <f t="shared" ca="1" si="56"/>
        <v/>
      </c>
      <c r="CM21" s="202" t="str">
        <f t="shared" ca="1" si="76"/>
        <v/>
      </c>
      <c r="CN21" s="394">
        <f t="shared" ca="1" si="25"/>
        <v>99999</v>
      </c>
      <c r="CO21" s="394" t="str">
        <f t="shared" ca="1" si="26"/>
        <v/>
      </c>
      <c r="CP21" s="395" t="str">
        <f t="shared" ca="1" si="27"/>
        <v/>
      </c>
    </row>
    <row r="22" spans="1:94" ht="15.95" customHeight="1" x14ac:dyDescent="0.25">
      <c r="A22" s="76">
        <f>COUNTIF($C$8:$C$25,$C$22)</f>
        <v>0</v>
      </c>
      <c r="B22" s="460">
        <v>8</v>
      </c>
      <c r="C22" s="466"/>
      <c r="D22" s="159">
        <f t="shared" ca="1" si="28"/>
        <v>2</v>
      </c>
      <c r="E22" s="159">
        <f t="shared" ca="1" si="29"/>
        <v>31</v>
      </c>
      <c r="F22" s="159">
        <f ca="1">IF($E22="",0,COUNTIF($E$7:$E22,INDEX($E$79:$E$150,ROW($A16))))</f>
        <v>0</v>
      </c>
      <c r="G22" s="205"/>
      <c r="H22" s="200">
        <v>16</v>
      </c>
      <c r="I22" s="227">
        <f ca="1">IF(OR($X$3,$H22&gt;Calc!$B$13/2*$D$6),"",$T$6+QUOTIENT(($H22-1),$T$22)*($T$8+$T$10)/1440+SUM($Q$7:$Q21)/1440)</f>
        <v>0.46180555555555558</v>
      </c>
      <c r="J22" s="229">
        <f ca="1">IF(OR($X$3,$H22&gt;Calc!$B$13/2*$D$6),"",MOD(($H22-1),$T$22)+1)</f>
        <v>1</v>
      </c>
      <c r="K22" s="54">
        <f ca="1"/>
        <v>3</v>
      </c>
      <c r="L22" s="53" t="s">
        <v>5</v>
      </c>
      <c r="M22" s="55">
        <f ca="1"/>
        <v>1</v>
      </c>
      <c r="N22" s="52" t="str">
        <f t="shared" ca="1" si="30"/>
        <v>Eintracht Frankfurt</v>
      </c>
      <c r="O22" s="50" t="s">
        <v>5</v>
      </c>
      <c r="P22" s="51" t="str">
        <f t="shared" ca="1" si="31"/>
        <v>1. FC Riedwald</v>
      </c>
      <c r="Q22" s="381"/>
      <c r="R22" s="220"/>
      <c r="T22" s="378">
        <f>MIN($T$12,$S$18)</f>
        <v>3</v>
      </c>
      <c r="U22" s="221"/>
      <c r="V22" s="221"/>
      <c r="W22" s="202">
        <f t="shared" ca="1" si="58"/>
        <v>0</v>
      </c>
      <c r="X22" s="396">
        <f t="shared" ca="1" si="67"/>
        <v>0</v>
      </c>
      <c r="Y22" s="393">
        <f t="shared" ca="1" si="32"/>
        <v>0.46180555555555558</v>
      </c>
      <c r="Z22" s="202">
        <f t="shared" ca="1" si="0"/>
        <v>3</v>
      </c>
      <c r="AA22" s="202">
        <f t="shared" ca="1" si="68"/>
        <v>1</v>
      </c>
      <c r="AB22" s="394">
        <f t="shared" ca="1" si="1"/>
        <v>99999</v>
      </c>
      <c r="AC22" s="394" t="str">
        <f t="shared" ca="1" si="2"/>
        <v/>
      </c>
      <c r="AD22" s="395" t="str">
        <f t="shared" ca="1" si="3"/>
        <v/>
      </c>
      <c r="AE22" s="202"/>
      <c r="AF22" s="396">
        <f t="shared" ca="1" si="59"/>
        <v>0</v>
      </c>
      <c r="AG22" s="393">
        <f t="shared" ca="1" si="34"/>
        <v>99999</v>
      </c>
      <c r="AH22" s="202" t="str">
        <f t="shared" ca="1" si="35"/>
        <v/>
      </c>
      <c r="AI22" s="202" t="str">
        <f t="shared" ca="1" si="69"/>
        <v/>
      </c>
      <c r="AJ22" s="394">
        <f t="shared" ca="1" si="4"/>
        <v>99999</v>
      </c>
      <c r="AK22" s="394" t="str">
        <f t="shared" ca="1" si="5"/>
        <v/>
      </c>
      <c r="AL22" s="395" t="str">
        <f t="shared" ca="1" si="6"/>
        <v/>
      </c>
      <c r="AN22" s="396">
        <f t="shared" ca="1" si="60"/>
        <v>0</v>
      </c>
      <c r="AO22" s="393">
        <f t="shared" ca="1" si="37"/>
        <v>0.46180555555555558</v>
      </c>
      <c r="AP22" s="202">
        <f t="shared" ca="1" si="38"/>
        <v>1</v>
      </c>
      <c r="AQ22" s="202">
        <f t="shared" ca="1" si="70"/>
        <v>1</v>
      </c>
      <c r="AR22" s="394">
        <f t="shared" ca="1" si="7"/>
        <v>99999</v>
      </c>
      <c r="AS22" s="394" t="str">
        <f t="shared" ca="1" si="8"/>
        <v/>
      </c>
      <c r="AT22" s="395" t="str">
        <f t="shared" ca="1" si="9"/>
        <v/>
      </c>
      <c r="AU22" s="202"/>
      <c r="AV22" s="396">
        <f t="shared" ca="1" si="61"/>
        <v>0</v>
      </c>
      <c r="AW22" s="393">
        <f t="shared" ca="1" si="40"/>
        <v>99999</v>
      </c>
      <c r="AX22" s="202" t="str">
        <f t="shared" ca="1" si="41"/>
        <v/>
      </c>
      <c r="AY22" s="202" t="str">
        <f t="shared" ca="1" si="71"/>
        <v/>
      </c>
      <c r="AZ22" s="394">
        <f t="shared" ca="1" si="10"/>
        <v>99999</v>
      </c>
      <c r="BA22" s="394" t="str">
        <f t="shared" ca="1" si="11"/>
        <v/>
      </c>
      <c r="BB22" s="395" t="str">
        <f t="shared" ca="1" si="12"/>
        <v/>
      </c>
      <c r="BD22" s="396">
        <f t="shared" ca="1" si="62"/>
        <v>0</v>
      </c>
      <c r="BE22" s="393">
        <f t="shared" ca="1" si="43"/>
        <v>99999</v>
      </c>
      <c r="BF22" s="202" t="str">
        <f t="shared" ca="1" si="44"/>
        <v/>
      </c>
      <c r="BG22" s="202" t="str">
        <f t="shared" ca="1" si="72"/>
        <v/>
      </c>
      <c r="BH22" s="394">
        <f t="shared" ca="1" si="13"/>
        <v>99999</v>
      </c>
      <c r="BI22" s="394" t="str">
        <f t="shared" ca="1" si="14"/>
        <v/>
      </c>
      <c r="BJ22" s="395" t="str">
        <f t="shared" ca="1" si="15"/>
        <v/>
      </c>
      <c r="BK22" s="202"/>
      <c r="BL22" s="396">
        <f t="shared" ca="1" si="63"/>
        <v>0</v>
      </c>
      <c r="BM22" s="393">
        <f t="shared" ca="1" si="46"/>
        <v>99999</v>
      </c>
      <c r="BN22" s="202" t="str">
        <f t="shared" ca="1" si="47"/>
        <v/>
      </c>
      <c r="BO22" s="202" t="str">
        <f t="shared" ca="1" si="73"/>
        <v/>
      </c>
      <c r="BP22" s="394">
        <f t="shared" ca="1" si="16"/>
        <v>99999</v>
      </c>
      <c r="BQ22" s="394" t="str">
        <f t="shared" ca="1" si="17"/>
        <v/>
      </c>
      <c r="BR22" s="395" t="str">
        <f t="shared" ca="1" si="18"/>
        <v/>
      </c>
      <c r="BT22" s="396">
        <f t="shared" ca="1" si="64"/>
        <v>0</v>
      </c>
      <c r="BU22" s="393">
        <f t="shared" ca="1" si="49"/>
        <v>99999</v>
      </c>
      <c r="BV22" s="202" t="str">
        <f t="shared" ca="1" si="50"/>
        <v/>
      </c>
      <c r="BW22" s="202" t="str">
        <f t="shared" ca="1" si="74"/>
        <v/>
      </c>
      <c r="BX22" s="394">
        <f t="shared" ca="1" si="19"/>
        <v>99999</v>
      </c>
      <c r="BY22" s="394" t="str">
        <f t="shared" ca="1" si="20"/>
        <v/>
      </c>
      <c r="BZ22" s="395" t="str">
        <f t="shared" ca="1" si="21"/>
        <v/>
      </c>
      <c r="CA22" s="202"/>
      <c r="CB22" s="396">
        <f t="shared" ca="1" si="65"/>
        <v>0</v>
      </c>
      <c r="CC22" s="393">
        <f t="shared" ca="1" si="52"/>
        <v>99999</v>
      </c>
      <c r="CD22" s="202" t="str">
        <f t="shared" ca="1" si="53"/>
        <v/>
      </c>
      <c r="CE22" s="202" t="str">
        <f t="shared" ca="1" si="75"/>
        <v/>
      </c>
      <c r="CF22" s="394">
        <f t="shared" ca="1" si="22"/>
        <v>99999</v>
      </c>
      <c r="CG22" s="394" t="str">
        <f t="shared" ca="1" si="23"/>
        <v/>
      </c>
      <c r="CH22" s="395" t="str">
        <f t="shared" ca="1" si="24"/>
        <v/>
      </c>
      <c r="CJ22" s="396">
        <f t="shared" ca="1" si="66"/>
        <v>0</v>
      </c>
      <c r="CK22" s="393">
        <f t="shared" ca="1" si="55"/>
        <v>99999</v>
      </c>
      <c r="CL22" s="202" t="str">
        <f t="shared" ca="1" si="56"/>
        <v/>
      </c>
      <c r="CM22" s="202" t="str">
        <f t="shared" ca="1" si="76"/>
        <v/>
      </c>
      <c r="CN22" s="394">
        <f t="shared" ca="1" si="25"/>
        <v>99999</v>
      </c>
      <c r="CO22" s="394" t="str">
        <f t="shared" ca="1" si="26"/>
        <v/>
      </c>
      <c r="CP22" s="395" t="str">
        <f t="shared" ca="1" si="27"/>
        <v/>
      </c>
    </row>
    <row r="23" spans="1:94" ht="15.95" customHeight="1" x14ac:dyDescent="0.25">
      <c r="A23" s="76"/>
      <c r="B23" s="461"/>
      <c r="C23" s="465"/>
      <c r="D23" s="159">
        <f t="shared" ca="1" si="28"/>
        <v>2</v>
      </c>
      <c r="E23" s="159">
        <f t="shared" ca="1" si="29"/>
        <v>24</v>
      </c>
      <c r="F23" s="159">
        <f ca="1">IF($E23="",0,COUNTIF($E$7:$E23,INDEX($E$79:$E$150,ROW($A17))))</f>
        <v>0</v>
      </c>
      <c r="G23" s="205"/>
      <c r="H23" s="200">
        <v>17</v>
      </c>
      <c r="I23" s="227">
        <f ca="1">IF(OR($X$3,$H23&gt;Calc!$B$13/2*$D$6),"",$T$6+QUOTIENT(($H23-1),$T$22)*($T$8+$T$10)/1440+SUM($Q$7:$Q22)/1440)</f>
        <v>0.46180555555555558</v>
      </c>
      <c r="J23" s="229">
        <f ca="1">IF(OR($X$3,$H23&gt;Calc!$B$13/2*$D$6),"",MOD(($H23-1),$T$22)+1)</f>
        <v>2</v>
      </c>
      <c r="K23" s="54">
        <f ca="1"/>
        <v>2</v>
      </c>
      <c r="L23" s="53" t="s">
        <v>5</v>
      </c>
      <c r="M23" s="55">
        <f ca="1"/>
        <v>4</v>
      </c>
      <c r="N23" s="52" t="str">
        <f t="shared" ca="1" si="30"/>
        <v>FC Barcelona</v>
      </c>
      <c r="O23" s="50" t="s">
        <v>5</v>
      </c>
      <c r="P23" s="51" t="str">
        <f t="shared" ca="1" si="31"/>
        <v>Maibach 1822 eV</v>
      </c>
      <c r="Q23" s="381"/>
      <c r="R23" s="220"/>
      <c r="S23" s="221"/>
      <c r="T23" s="221"/>
      <c r="U23" s="221"/>
      <c r="V23" s="221"/>
      <c r="W23" s="202">
        <f t="shared" ca="1" si="58"/>
        <v>0</v>
      </c>
      <c r="X23" s="396">
        <f t="shared" ca="1" si="67"/>
        <v>0</v>
      </c>
      <c r="Y23" s="393">
        <f t="shared" ca="1" si="32"/>
        <v>99999</v>
      </c>
      <c r="Z23" s="202" t="str">
        <f t="shared" ca="1" si="0"/>
        <v/>
      </c>
      <c r="AA23" s="202" t="str">
        <f t="shared" ca="1" si="68"/>
        <v/>
      </c>
      <c r="AB23" s="394">
        <f t="shared" ca="1" si="1"/>
        <v>99999</v>
      </c>
      <c r="AC23" s="394" t="str">
        <f t="shared" ca="1" si="2"/>
        <v/>
      </c>
      <c r="AD23" s="395" t="str">
        <f t="shared" ca="1" si="3"/>
        <v/>
      </c>
      <c r="AE23" s="202"/>
      <c r="AF23" s="396">
        <f t="shared" ca="1" si="59"/>
        <v>0</v>
      </c>
      <c r="AG23" s="393">
        <f t="shared" ca="1" si="34"/>
        <v>0.46180555555555558</v>
      </c>
      <c r="AH23" s="202">
        <f t="shared" ca="1" si="35"/>
        <v>4</v>
      </c>
      <c r="AI23" s="202">
        <f t="shared" ca="1" si="69"/>
        <v>2</v>
      </c>
      <c r="AJ23" s="394">
        <f t="shared" ca="1" si="4"/>
        <v>99999</v>
      </c>
      <c r="AK23" s="394" t="str">
        <f t="shared" ca="1" si="5"/>
        <v/>
      </c>
      <c r="AL23" s="395" t="str">
        <f t="shared" ca="1" si="6"/>
        <v/>
      </c>
      <c r="AN23" s="396">
        <f t="shared" ca="1" si="60"/>
        <v>0</v>
      </c>
      <c r="AO23" s="393">
        <f t="shared" ca="1" si="37"/>
        <v>99999</v>
      </c>
      <c r="AP23" s="202" t="str">
        <f t="shared" ca="1" si="38"/>
        <v/>
      </c>
      <c r="AQ23" s="202" t="str">
        <f t="shared" ca="1" si="70"/>
        <v/>
      </c>
      <c r="AR23" s="394">
        <f t="shared" ca="1" si="7"/>
        <v>99999</v>
      </c>
      <c r="AS23" s="394" t="str">
        <f t="shared" ca="1" si="8"/>
        <v/>
      </c>
      <c r="AT23" s="395" t="str">
        <f t="shared" ca="1" si="9"/>
        <v/>
      </c>
      <c r="AU23" s="202"/>
      <c r="AV23" s="396">
        <f t="shared" ca="1" si="61"/>
        <v>0</v>
      </c>
      <c r="AW23" s="393">
        <f t="shared" ca="1" si="40"/>
        <v>0.46180555555555558</v>
      </c>
      <c r="AX23" s="202">
        <f t="shared" ca="1" si="41"/>
        <v>2</v>
      </c>
      <c r="AY23" s="202">
        <f t="shared" ca="1" si="71"/>
        <v>2</v>
      </c>
      <c r="AZ23" s="394">
        <f t="shared" ca="1" si="10"/>
        <v>99999</v>
      </c>
      <c r="BA23" s="394" t="str">
        <f t="shared" ca="1" si="11"/>
        <v/>
      </c>
      <c r="BB23" s="395" t="str">
        <f t="shared" ca="1" si="12"/>
        <v/>
      </c>
      <c r="BD23" s="396">
        <f t="shared" ca="1" si="62"/>
        <v>0</v>
      </c>
      <c r="BE23" s="393">
        <f t="shared" ca="1" si="43"/>
        <v>99999</v>
      </c>
      <c r="BF23" s="202" t="str">
        <f t="shared" ca="1" si="44"/>
        <v/>
      </c>
      <c r="BG23" s="202" t="str">
        <f t="shared" ca="1" si="72"/>
        <v/>
      </c>
      <c r="BH23" s="394">
        <f t="shared" ca="1" si="13"/>
        <v>99999</v>
      </c>
      <c r="BI23" s="394" t="str">
        <f t="shared" ca="1" si="14"/>
        <v/>
      </c>
      <c r="BJ23" s="395" t="str">
        <f t="shared" ca="1" si="15"/>
        <v/>
      </c>
      <c r="BK23" s="202"/>
      <c r="BL23" s="396">
        <f t="shared" ca="1" si="63"/>
        <v>0</v>
      </c>
      <c r="BM23" s="393">
        <f t="shared" ca="1" si="46"/>
        <v>99999</v>
      </c>
      <c r="BN23" s="202" t="str">
        <f t="shared" ca="1" si="47"/>
        <v/>
      </c>
      <c r="BO23" s="202" t="str">
        <f t="shared" ca="1" si="73"/>
        <v/>
      </c>
      <c r="BP23" s="394">
        <f t="shared" ca="1" si="16"/>
        <v>99999</v>
      </c>
      <c r="BQ23" s="394" t="str">
        <f t="shared" ca="1" si="17"/>
        <v/>
      </c>
      <c r="BR23" s="395" t="str">
        <f t="shared" ca="1" si="18"/>
        <v/>
      </c>
      <c r="BT23" s="396">
        <f t="shared" ca="1" si="64"/>
        <v>0</v>
      </c>
      <c r="BU23" s="393">
        <f t="shared" ca="1" si="49"/>
        <v>99999</v>
      </c>
      <c r="BV23" s="202" t="str">
        <f t="shared" ca="1" si="50"/>
        <v/>
      </c>
      <c r="BW23" s="202" t="str">
        <f t="shared" ca="1" si="74"/>
        <v/>
      </c>
      <c r="BX23" s="394">
        <f t="shared" ca="1" si="19"/>
        <v>99999</v>
      </c>
      <c r="BY23" s="394" t="str">
        <f t="shared" ca="1" si="20"/>
        <v/>
      </c>
      <c r="BZ23" s="395" t="str">
        <f t="shared" ca="1" si="21"/>
        <v/>
      </c>
      <c r="CA23" s="202"/>
      <c r="CB23" s="396">
        <f t="shared" ca="1" si="65"/>
        <v>0</v>
      </c>
      <c r="CC23" s="393">
        <f t="shared" ca="1" si="52"/>
        <v>99999</v>
      </c>
      <c r="CD23" s="202" t="str">
        <f t="shared" ca="1" si="53"/>
        <v/>
      </c>
      <c r="CE23" s="202" t="str">
        <f t="shared" ca="1" si="75"/>
        <v/>
      </c>
      <c r="CF23" s="394">
        <f t="shared" ca="1" si="22"/>
        <v>99999</v>
      </c>
      <c r="CG23" s="394" t="str">
        <f t="shared" ca="1" si="23"/>
        <v/>
      </c>
      <c r="CH23" s="395" t="str">
        <f t="shared" ca="1" si="24"/>
        <v/>
      </c>
      <c r="CJ23" s="396">
        <f t="shared" ca="1" si="66"/>
        <v>0</v>
      </c>
      <c r="CK23" s="393">
        <f t="shared" ca="1" si="55"/>
        <v>99999</v>
      </c>
      <c r="CL23" s="202" t="str">
        <f t="shared" ca="1" si="56"/>
        <v/>
      </c>
      <c r="CM23" s="202" t="str">
        <f t="shared" ca="1" si="76"/>
        <v/>
      </c>
      <c r="CN23" s="394">
        <f t="shared" ca="1" si="25"/>
        <v>99999</v>
      </c>
      <c r="CO23" s="394" t="str">
        <f t="shared" ca="1" si="26"/>
        <v/>
      </c>
      <c r="CP23" s="395" t="str">
        <f t="shared" ca="1" si="27"/>
        <v/>
      </c>
    </row>
    <row r="24" spans="1:94" ht="15.95" customHeight="1" x14ac:dyDescent="0.25">
      <c r="A24" s="76">
        <f>COUNTIF($C$8:$C$25,$C$24)</f>
        <v>0</v>
      </c>
      <c r="B24" s="460">
        <v>9</v>
      </c>
      <c r="C24" s="466"/>
      <c r="D24" s="159">
        <f t="shared" ca="1" si="28"/>
        <v>2</v>
      </c>
      <c r="E24" s="159">
        <f t="shared" ca="1" si="29"/>
        <v>76</v>
      </c>
      <c r="F24" s="159">
        <f ca="1">IF($E24="",0,COUNTIF($E$7:$E24,INDEX($E$79:$E$150,ROW($A18))))</f>
        <v>0</v>
      </c>
      <c r="G24" s="205"/>
      <c r="H24" s="200">
        <v>18</v>
      </c>
      <c r="I24" s="227">
        <f ca="1">IF(OR($X$3,$H24&gt;Calc!$B$13/2*$D$6),"",$T$6+QUOTIENT(($H24-1),$T$22)*($T$8+$T$10)/1440+SUM($Q$7:$Q23)/1440)</f>
        <v>0.46180555555555558</v>
      </c>
      <c r="J24" s="229">
        <f ca="1">IF(OR($X$3,$H24&gt;Calc!$B$13/2*$D$6),"",MOD(($H24-1),$T$22)+1)</f>
        <v>3</v>
      </c>
      <c r="K24" s="54">
        <f ca="1"/>
        <v>7</v>
      </c>
      <c r="L24" s="53" t="s">
        <v>5</v>
      </c>
      <c r="M24" s="55">
        <f ca="1"/>
        <v>6</v>
      </c>
      <c r="N24" s="52" t="str">
        <f t="shared" ca="1" si="30"/>
        <v>SSV Wildbach</v>
      </c>
      <c r="O24" s="50" t="s">
        <v>5</v>
      </c>
      <c r="P24" s="51" t="str">
        <f t="shared" ca="1" si="31"/>
        <v>Inter Mailand</v>
      </c>
      <c r="Q24" s="381"/>
      <c r="R24" s="220"/>
      <c r="S24" s="221"/>
      <c r="T24" s="221"/>
      <c r="U24" s="221"/>
      <c r="V24" s="221"/>
      <c r="W24" s="202">
        <f t="shared" ca="1" si="58"/>
        <v>0</v>
      </c>
      <c r="X24" s="396">
        <f t="shared" ca="1" si="67"/>
        <v>0</v>
      </c>
      <c r="Y24" s="393">
        <f t="shared" ca="1" si="32"/>
        <v>99999</v>
      </c>
      <c r="Z24" s="202" t="str">
        <f t="shared" ca="1" si="0"/>
        <v/>
      </c>
      <c r="AA24" s="202" t="str">
        <f t="shared" ca="1" si="68"/>
        <v/>
      </c>
      <c r="AB24" s="394">
        <f t="shared" ca="1" si="1"/>
        <v>99999</v>
      </c>
      <c r="AC24" s="394" t="str">
        <f t="shared" ca="1" si="2"/>
        <v/>
      </c>
      <c r="AD24" s="395" t="str">
        <f t="shared" ca="1" si="3"/>
        <v/>
      </c>
      <c r="AE24" s="202"/>
      <c r="AF24" s="396">
        <f t="shared" ca="1" si="59"/>
        <v>0</v>
      </c>
      <c r="AG24" s="393">
        <f t="shared" ca="1" si="34"/>
        <v>99999</v>
      </c>
      <c r="AH24" s="202" t="str">
        <f t="shared" ca="1" si="35"/>
        <v/>
      </c>
      <c r="AI24" s="202" t="str">
        <f t="shared" ca="1" si="69"/>
        <v/>
      </c>
      <c r="AJ24" s="394">
        <f t="shared" ca="1" si="4"/>
        <v>99999</v>
      </c>
      <c r="AK24" s="394" t="str">
        <f t="shared" ca="1" si="5"/>
        <v/>
      </c>
      <c r="AL24" s="395" t="str">
        <f t="shared" ca="1" si="6"/>
        <v/>
      </c>
      <c r="AN24" s="396">
        <f t="shared" ca="1" si="60"/>
        <v>0</v>
      </c>
      <c r="AO24" s="393">
        <f t="shared" ca="1" si="37"/>
        <v>99999</v>
      </c>
      <c r="AP24" s="202" t="str">
        <f t="shared" ca="1" si="38"/>
        <v/>
      </c>
      <c r="AQ24" s="202" t="str">
        <f t="shared" ca="1" si="70"/>
        <v/>
      </c>
      <c r="AR24" s="394">
        <f t="shared" ca="1" si="7"/>
        <v>99999</v>
      </c>
      <c r="AS24" s="394" t="str">
        <f t="shared" ca="1" si="8"/>
        <v/>
      </c>
      <c r="AT24" s="395" t="str">
        <f t="shared" ca="1" si="9"/>
        <v/>
      </c>
      <c r="AU24" s="202"/>
      <c r="AV24" s="396">
        <f t="shared" ca="1" si="61"/>
        <v>0</v>
      </c>
      <c r="AW24" s="393">
        <f t="shared" ca="1" si="40"/>
        <v>99999</v>
      </c>
      <c r="AX24" s="202" t="str">
        <f t="shared" ca="1" si="41"/>
        <v/>
      </c>
      <c r="AY24" s="202" t="str">
        <f t="shared" ca="1" si="71"/>
        <v/>
      </c>
      <c r="AZ24" s="394">
        <f t="shared" ca="1" si="10"/>
        <v>99999</v>
      </c>
      <c r="BA24" s="394" t="str">
        <f t="shared" ca="1" si="11"/>
        <v/>
      </c>
      <c r="BB24" s="395" t="str">
        <f t="shared" ca="1" si="12"/>
        <v/>
      </c>
      <c r="BD24" s="396">
        <f t="shared" ca="1" si="62"/>
        <v>0</v>
      </c>
      <c r="BE24" s="393">
        <f t="shared" ca="1" si="43"/>
        <v>99999</v>
      </c>
      <c r="BF24" s="202" t="str">
        <f t="shared" ca="1" si="44"/>
        <v/>
      </c>
      <c r="BG24" s="202" t="str">
        <f t="shared" ca="1" si="72"/>
        <v/>
      </c>
      <c r="BH24" s="394">
        <f t="shared" ca="1" si="13"/>
        <v>99999</v>
      </c>
      <c r="BI24" s="394" t="str">
        <f t="shared" ca="1" si="14"/>
        <v/>
      </c>
      <c r="BJ24" s="395" t="str">
        <f t="shared" ca="1" si="15"/>
        <v/>
      </c>
      <c r="BK24" s="202"/>
      <c r="BL24" s="396">
        <f t="shared" ca="1" si="63"/>
        <v>0</v>
      </c>
      <c r="BM24" s="393">
        <f t="shared" ca="1" si="46"/>
        <v>0.46180555555555558</v>
      </c>
      <c r="BN24" s="202">
        <f t="shared" ca="1" si="47"/>
        <v>7</v>
      </c>
      <c r="BO24" s="202">
        <f t="shared" ca="1" si="73"/>
        <v>3</v>
      </c>
      <c r="BP24" s="394">
        <f t="shared" ca="1" si="16"/>
        <v>99999</v>
      </c>
      <c r="BQ24" s="394" t="str">
        <f t="shared" ca="1" si="17"/>
        <v/>
      </c>
      <c r="BR24" s="395" t="str">
        <f t="shared" ca="1" si="18"/>
        <v/>
      </c>
      <c r="BT24" s="396">
        <f t="shared" ca="1" si="64"/>
        <v>0</v>
      </c>
      <c r="BU24" s="393">
        <f t="shared" ca="1" si="49"/>
        <v>0.46180555555555558</v>
      </c>
      <c r="BV24" s="202">
        <f t="shared" ca="1" si="50"/>
        <v>6</v>
      </c>
      <c r="BW24" s="202">
        <f t="shared" ca="1" si="74"/>
        <v>3</v>
      </c>
      <c r="BX24" s="394">
        <f t="shared" ca="1" si="19"/>
        <v>99999</v>
      </c>
      <c r="BY24" s="394" t="str">
        <f t="shared" ca="1" si="20"/>
        <v/>
      </c>
      <c r="BZ24" s="395" t="str">
        <f t="shared" ca="1" si="21"/>
        <v/>
      </c>
      <c r="CA24" s="202"/>
      <c r="CB24" s="396">
        <f t="shared" ca="1" si="65"/>
        <v>0</v>
      </c>
      <c r="CC24" s="393">
        <f t="shared" ca="1" si="52"/>
        <v>99999</v>
      </c>
      <c r="CD24" s="202" t="str">
        <f t="shared" ca="1" si="53"/>
        <v/>
      </c>
      <c r="CE24" s="202" t="str">
        <f t="shared" ca="1" si="75"/>
        <v/>
      </c>
      <c r="CF24" s="394">
        <f t="shared" ca="1" si="22"/>
        <v>99999</v>
      </c>
      <c r="CG24" s="394" t="str">
        <f t="shared" ca="1" si="23"/>
        <v/>
      </c>
      <c r="CH24" s="395" t="str">
        <f t="shared" ca="1" si="24"/>
        <v/>
      </c>
      <c r="CJ24" s="396">
        <f t="shared" ca="1" si="66"/>
        <v>0</v>
      </c>
      <c r="CK24" s="393">
        <f t="shared" ca="1" si="55"/>
        <v>99999</v>
      </c>
      <c r="CL24" s="202" t="str">
        <f t="shared" ca="1" si="56"/>
        <v/>
      </c>
      <c r="CM24" s="202" t="str">
        <f t="shared" ca="1" si="76"/>
        <v/>
      </c>
      <c r="CN24" s="394">
        <f t="shared" ca="1" si="25"/>
        <v>99999</v>
      </c>
      <c r="CO24" s="394" t="str">
        <f t="shared" ca="1" si="26"/>
        <v/>
      </c>
      <c r="CP24" s="395" t="str">
        <f t="shared" ca="1" si="27"/>
        <v/>
      </c>
    </row>
    <row r="25" spans="1:94" ht="15.95" customHeight="1" thickBot="1" x14ac:dyDescent="0.3">
      <c r="A25" s="76"/>
      <c r="B25" s="472"/>
      <c r="C25" s="471"/>
      <c r="D25" s="159">
        <f t="shared" ca="1" si="28"/>
        <v>2</v>
      </c>
      <c r="E25" s="159">
        <f t="shared" ca="1" si="29"/>
        <v>12</v>
      </c>
      <c r="F25" s="159">
        <f ca="1">IF($E25="",0,COUNTIF($E$7:$E25,INDEX($E$79:$E$150,ROW($A19))))</f>
        <v>0</v>
      </c>
      <c r="G25" s="205"/>
      <c r="H25" s="200">
        <v>19</v>
      </c>
      <c r="I25" s="227">
        <f ca="1">IF(OR($X$3,$H25&gt;Calc!$B$13/2*$D$6),"",$T$6+QUOTIENT(($H25-1),$T$22)*($T$8+$T$10)/1440+SUM($Q$7:$Q24)/1440)</f>
        <v>0.47916666666666669</v>
      </c>
      <c r="J25" s="229">
        <f ca="1">IF(OR($X$3,$H25&gt;Calc!$B$13/2*$D$6),"",MOD(($H25-1),$T$22)+1)</f>
        <v>1</v>
      </c>
      <c r="K25" s="54">
        <f ca="1"/>
        <v>1</v>
      </c>
      <c r="L25" s="53" t="s">
        <v>5</v>
      </c>
      <c r="M25" s="55">
        <f ca="1"/>
        <v>2</v>
      </c>
      <c r="N25" s="52" t="str">
        <f t="shared" ca="1" si="30"/>
        <v>1. FC Riedwald</v>
      </c>
      <c r="O25" s="50" t="s">
        <v>5</v>
      </c>
      <c r="P25" s="51" t="str">
        <f t="shared" ca="1" si="31"/>
        <v>FC Barcelona</v>
      </c>
      <c r="Q25" s="381"/>
      <c r="R25" s="220"/>
      <c r="S25" s="403"/>
      <c r="T25" s="221"/>
      <c r="U25" s="221"/>
      <c r="V25" s="221"/>
      <c r="W25" s="202">
        <f t="shared" ca="1" si="58"/>
        <v>0</v>
      </c>
      <c r="X25" s="396">
        <f t="shared" ca="1" si="67"/>
        <v>0</v>
      </c>
      <c r="Y25" s="393">
        <f t="shared" ca="1" si="32"/>
        <v>0.47916666666666669</v>
      </c>
      <c r="Z25" s="202">
        <f t="shared" ca="1" si="0"/>
        <v>2</v>
      </c>
      <c r="AA25" s="202">
        <f t="shared" ca="1" si="68"/>
        <v>1</v>
      </c>
      <c r="AB25" s="394">
        <f t="shared" ca="1" si="1"/>
        <v>99999</v>
      </c>
      <c r="AC25" s="394" t="str">
        <f t="shared" ca="1" si="2"/>
        <v/>
      </c>
      <c r="AD25" s="395" t="str">
        <f t="shared" ca="1" si="3"/>
        <v/>
      </c>
      <c r="AE25" s="202"/>
      <c r="AF25" s="396">
        <f t="shared" ca="1" si="59"/>
        <v>0</v>
      </c>
      <c r="AG25" s="393">
        <f t="shared" ca="1" si="34"/>
        <v>0.47916666666666669</v>
      </c>
      <c r="AH25" s="202">
        <f t="shared" ca="1" si="35"/>
        <v>1</v>
      </c>
      <c r="AI25" s="202">
        <f t="shared" ca="1" si="69"/>
        <v>1</v>
      </c>
      <c r="AJ25" s="394">
        <f t="shared" ca="1" si="4"/>
        <v>99999</v>
      </c>
      <c r="AK25" s="394" t="str">
        <f t="shared" ca="1" si="5"/>
        <v/>
      </c>
      <c r="AL25" s="395" t="str">
        <f t="shared" ca="1" si="6"/>
        <v/>
      </c>
      <c r="AN25" s="396">
        <f t="shared" ca="1" si="60"/>
        <v>0</v>
      </c>
      <c r="AO25" s="393">
        <f t="shared" ca="1" si="37"/>
        <v>99999</v>
      </c>
      <c r="AP25" s="202" t="str">
        <f t="shared" ca="1" si="38"/>
        <v/>
      </c>
      <c r="AQ25" s="202" t="str">
        <f t="shared" ca="1" si="70"/>
        <v/>
      </c>
      <c r="AR25" s="394">
        <f t="shared" ca="1" si="7"/>
        <v>99999</v>
      </c>
      <c r="AS25" s="394" t="str">
        <f t="shared" ca="1" si="8"/>
        <v/>
      </c>
      <c r="AT25" s="395" t="str">
        <f t="shared" ca="1" si="9"/>
        <v/>
      </c>
      <c r="AU25" s="202"/>
      <c r="AV25" s="396">
        <f t="shared" ca="1" si="61"/>
        <v>0</v>
      </c>
      <c r="AW25" s="393">
        <f t="shared" ca="1" si="40"/>
        <v>99999</v>
      </c>
      <c r="AX25" s="202" t="str">
        <f t="shared" ca="1" si="41"/>
        <v/>
      </c>
      <c r="AY25" s="202" t="str">
        <f t="shared" ca="1" si="71"/>
        <v/>
      </c>
      <c r="AZ25" s="394">
        <f t="shared" ca="1" si="10"/>
        <v>99999</v>
      </c>
      <c r="BA25" s="394" t="str">
        <f t="shared" ca="1" si="11"/>
        <v/>
      </c>
      <c r="BB25" s="395" t="str">
        <f t="shared" ca="1" si="12"/>
        <v/>
      </c>
      <c r="BD25" s="396">
        <f t="shared" ca="1" si="62"/>
        <v>0</v>
      </c>
      <c r="BE25" s="393">
        <f t="shared" ca="1" si="43"/>
        <v>99999</v>
      </c>
      <c r="BF25" s="202" t="str">
        <f t="shared" ca="1" si="44"/>
        <v/>
      </c>
      <c r="BG25" s="202" t="str">
        <f t="shared" ca="1" si="72"/>
        <v/>
      </c>
      <c r="BH25" s="394">
        <f t="shared" ca="1" si="13"/>
        <v>99999</v>
      </c>
      <c r="BI25" s="394" t="str">
        <f t="shared" ca="1" si="14"/>
        <v/>
      </c>
      <c r="BJ25" s="395" t="str">
        <f t="shared" ca="1" si="15"/>
        <v/>
      </c>
      <c r="BK25" s="202"/>
      <c r="BL25" s="396">
        <f t="shared" ca="1" si="63"/>
        <v>0</v>
      </c>
      <c r="BM25" s="393">
        <f t="shared" ca="1" si="46"/>
        <v>99999</v>
      </c>
      <c r="BN25" s="202" t="str">
        <f t="shared" ca="1" si="47"/>
        <v/>
      </c>
      <c r="BO25" s="202" t="str">
        <f t="shared" ca="1" si="73"/>
        <v/>
      </c>
      <c r="BP25" s="394">
        <f t="shared" ca="1" si="16"/>
        <v>99999</v>
      </c>
      <c r="BQ25" s="394" t="str">
        <f t="shared" ca="1" si="17"/>
        <v/>
      </c>
      <c r="BR25" s="395" t="str">
        <f t="shared" ca="1" si="18"/>
        <v/>
      </c>
      <c r="BT25" s="396">
        <f t="shared" ca="1" si="64"/>
        <v>0</v>
      </c>
      <c r="BU25" s="393">
        <f t="shared" ca="1" si="49"/>
        <v>99999</v>
      </c>
      <c r="BV25" s="202" t="str">
        <f t="shared" ca="1" si="50"/>
        <v/>
      </c>
      <c r="BW25" s="202" t="str">
        <f t="shared" ca="1" si="74"/>
        <v/>
      </c>
      <c r="BX25" s="394">
        <f t="shared" ca="1" si="19"/>
        <v>99999</v>
      </c>
      <c r="BY25" s="394" t="str">
        <f t="shared" ca="1" si="20"/>
        <v/>
      </c>
      <c r="BZ25" s="395" t="str">
        <f t="shared" ca="1" si="21"/>
        <v/>
      </c>
      <c r="CA25" s="202"/>
      <c r="CB25" s="396">
        <f t="shared" ca="1" si="65"/>
        <v>0</v>
      </c>
      <c r="CC25" s="393">
        <f t="shared" ca="1" si="52"/>
        <v>99999</v>
      </c>
      <c r="CD25" s="202" t="str">
        <f t="shared" ca="1" si="53"/>
        <v/>
      </c>
      <c r="CE25" s="202" t="str">
        <f t="shared" ca="1" si="75"/>
        <v/>
      </c>
      <c r="CF25" s="394">
        <f t="shared" ca="1" si="22"/>
        <v>99999</v>
      </c>
      <c r="CG25" s="394" t="str">
        <f t="shared" ca="1" si="23"/>
        <v/>
      </c>
      <c r="CH25" s="395" t="str">
        <f t="shared" ca="1" si="24"/>
        <v/>
      </c>
      <c r="CJ25" s="396">
        <f t="shared" ca="1" si="66"/>
        <v>0</v>
      </c>
      <c r="CK25" s="393">
        <f t="shared" ca="1" si="55"/>
        <v>99999</v>
      </c>
      <c r="CL25" s="202" t="str">
        <f t="shared" ca="1" si="56"/>
        <v/>
      </c>
      <c r="CM25" s="202" t="str">
        <f t="shared" ca="1" si="76"/>
        <v/>
      </c>
      <c r="CN25" s="394">
        <f t="shared" ca="1" si="25"/>
        <v>99999</v>
      </c>
      <c r="CO25" s="394" t="str">
        <f t="shared" ca="1" si="26"/>
        <v/>
      </c>
      <c r="CP25" s="395" t="str">
        <f t="shared" ca="1" si="27"/>
        <v/>
      </c>
    </row>
    <row r="26" spans="1:94" ht="15.95" customHeight="1" thickTop="1" x14ac:dyDescent="0.25">
      <c r="D26" s="159">
        <f t="shared" ca="1" si="28"/>
        <v>2</v>
      </c>
      <c r="E26" s="159">
        <f t="shared" ca="1" si="29"/>
        <v>47</v>
      </c>
      <c r="F26" s="159">
        <f ca="1">IF($E26="",0,COUNTIF($E$7:$E26,INDEX($E$79:$E$150,ROW($A20))))</f>
        <v>0</v>
      </c>
      <c r="G26" s="205"/>
      <c r="H26" s="200">
        <v>20</v>
      </c>
      <c r="I26" s="227">
        <f ca="1">IF(OR($X$3,$H26&gt;Calc!$B$13/2*$D$6),"",$T$6+QUOTIENT(($H26-1),$T$22)*($T$8+$T$10)/1440+SUM($Q$7:$Q25)/1440)</f>
        <v>0.47916666666666669</v>
      </c>
      <c r="J26" s="229">
        <f ca="1">IF(OR($X$3,$H26&gt;Calc!$B$13/2*$D$6),"",MOD(($H26-1),$T$22)+1)</f>
        <v>2</v>
      </c>
      <c r="K26" s="54">
        <f ca="1"/>
        <v>4</v>
      </c>
      <c r="L26" s="53" t="s">
        <v>5</v>
      </c>
      <c r="M26" s="55">
        <f ca="1"/>
        <v>7</v>
      </c>
      <c r="N26" s="52" t="str">
        <f t="shared" ca="1" si="30"/>
        <v>Maibach 1822 eV</v>
      </c>
      <c r="O26" s="50" t="s">
        <v>5</v>
      </c>
      <c r="P26" s="51" t="str">
        <f t="shared" ca="1" si="31"/>
        <v>SSV Wildbach</v>
      </c>
      <c r="Q26" s="381"/>
      <c r="R26" s="220"/>
      <c r="S26" s="221"/>
      <c r="T26" s="221"/>
      <c r="U26" s="221"/>
      <c r="V26" s="221"/>
      <c r="W26" s="202">
        <f t="shared" ca="1" si="58"/>
        <v>0</v>
      </c>
      <c r="X26" s="396">
        <f t="shared" ca="1" si="67"/>
        <v>0</v>
      </c>
      <c r="Y26" s="393">
        <f t="shared" ca="1" si="32"/>
        <v>99999</v>
      </c>
      <c r="Z26" s="202" t="str">
        <f t="shared" ca="1" si="0"/>
        <v/>
      </c>
      <c r="AA26" s="202" t="str">
        <f t="shared" ca="1" si="68"/>
        <v/>
      </c>
      <c r="AB26" s="394">
        <f t="shared" ca="1" si="1"/>
        <v>99999</v>
      </c>
      <c r="AC26" s="394" t="str">
        <f t="shared" ca="1" si="2"/>
        <v/>
      </c>
      <c r="AD26" s="395" t="str">
        <f t="shared" ca="1" si="3"/>
        <v/>
      </c>
      <c r="AE26" s="202"/>
      <c r="AF26" s="396">
        <f t="shared" ca="1" si="59"/>
        <v>0</v>
      </c>
      <c r="AG26" s="393">
        <f t="shared" ca="1" si="34"/>
        <v>99999</v>
      </c>
      <c r="AH26" s="202" t="str">
        <f t="shared" ca="1" si="35"/>
        <v/>
      </c>
      <c r="AI26" s="202" t="str">
        <f t="shared" ca="1" si="69"/>
        <v/>
      </c>
      <c r="AJ26" s="394">
        <f t="shared" ca="1" si="4"/>
        <v>99999</v>
      </c>
      <c r="AK26" s="394" t="str">
        <f t="shared" ca="1" si="5"/>
        <v/>
      </c>
      <c r="AL26" s="395" t="str">
        <f t="shared" ca="1" si="6"/>
        <v/>
      </c>
      <c r="AN26" s="396">
        <f t="shared" ca="1" si="60"/>
        <v>0</v>
      </c>
      <c r="AO26" s="393">
        <f t="shared" ca="1" si="37"/>
        <v>99999</v>
      </c>
      <c r="AP26" s="202" t="str">
        <f t="shared" ca="1" si="38"/>
        <v/>
      </c>
      <c r="AQ26" s="202" t="str">
        <f t="shared" ca="1" si="70"/>
        <v/>
      </c>
      <c r="AR26" s="394">
        <f t="shared" ca="1" si="7"/>
        <v>99999</v>
      </c>
      <c r="AS26" s="394" t="str">
        <f t="shared" ca="1" si="8"/>
        <v/>
      </c>
      <c r="AT26" s="395" t="str">
        <f t="shared" ca="1" si="9"/>
        <v/>
      </c>
      <c r="AU26" s="202"/>
      <c r="AV26" s="396">
        <f t="shared" ca="1" si="61"/>
        <v>0</v>
      </c>
      <c r="AW26" s="393">
        <f t="shared" ca="1" si="40"/>
        <v>0.47916666666666669</v>
      </c>
      <c r="AX26" s="202">
        <f t="shared" ca="1" si="41"/>
        <v>7</v>
      </c>
      <c r="AY26" s="202">
        <f t="shared" ca="1" si="71"/>
        <v>2</v>
      </c>
      <c r="AZ26" s="394">
        <f t="shared" ca="1" si="10"/>
        <v>99999</v>
      </c>
      <c r="BA26" s="394" t="str">
        <f t="shared" ca="1" si="11"/>
        <v/>
      </c>
      <c r="BB26" s="395" t="str">
        <f t="shared" ca="1" si="12"/>
        <v/>
      </c>
      <c r="BD26" s="396">
        <f t="shared" ca="1" si="62"/>
        <v>0</v>
      </c>
      <c r="BE26" s="393">
        <f t="shared" ca="1" si="43"/>
        <v>99999</v>
      </c>
      <c r="BF26" s="202" t="str">
        <f t="shared" ca="1" si="44"/>
        <v/>
      </c>
      <c r="BG26" s="202" t="str">
        <f t="shared" ca="1" si="72"/>
        <v/>
      </c>
      <c r="BH26" s="394">
        <f t="shared" ca="1" si="13"/>
        <v>99999</v>
      </c>
      <c r="BI26" s="394" t="str">
        <f t="shared" ca="1" si="14"/>
        <v/>
      </c>
      <c r="BJ26" s="395" t="str">
        <f t="shared" ca="1" si="15"/>
        <v/>
      </c>
      <c r="BK26" s="202"/>
      <c r="BL26" s="396">
        <f t="shared" ca="1" si="63"/>
        <v>0</v>
      </c>
      <c r="BM26" s="393">
        <f t="shared" ca="1" si="46"/>
        <v>99999</v>
      </c>
      <c r="BN26" s="202" t="str">
        <f t="shared" ca="1" si="47"/>
        <v/>
      </c>
      <c r="BO26" s="202" t="str">
        <f t="shared" ca="1" si="73"/>
        <v/>
      </c>
      <c r="BP26" s="394">
        <f t="shared" ca="1" si="16"/>
        <v>99999</v>
      </c>
      <c r="BQ26" s="394" t="str">
        <f t="shared" ca="1" si="17"/>
        <v/>
      </c>
      <c r="BR26" s="395" t="str">
        <f t="shared" ca="1" si="18"/>
        <v/>
      </c>
      <c r="BT26" s="396">
        <f t="shared" ca="1" si="64"/>
        <v>0</v>
      </c>
      <c r="BU26" s="393">
        <f t="shared" ca="1" si="49"/>
        <v>0.47916666666666669</v>
      </c>
      <c r="BV26" s="202">
        <f t="shared" ca="1" si="50"/>
        <v>4</v>
      </c>
      <c r="BW26" s="202">
        <f t="shared" ca="1" si="74"/>
        <v>2</v>
      </c>
      <c r="BX26" s="394">
        <f t="shared" ca="1" si="19"/>
        <v>99999</v>
      </c>
      <c r="BY26" s="394" t="str">
        <f t="shared" ca="1" si="20"/>
        <v/>
      </c>
      <c r="BZ26" s="395" t="str">
        <f t="shared" ca="1" si="21"/>
        <v/>
      </c>
      <c r="CA26" s="202"/>
      <c r="CB26" s="396">
        <f t="shared" ca="1" si="65"/>
        <v>0</v>
      </c>
      <c r="CC26" s="393">
        <f t="shared" ca="1" si="52"/>
        <v>99999</v>
      </c>
      <c r="CD26" s="202" t="str">
        <f t="shared" ca="1" si="53"/>
        <v/>
      </c>
      <c r="CE26" s="202" t="str">
        <f t="shared" ca="1" si="75"/>
        <v/>
      </c>
      <c r="CF26" s="394">
        <f t="shared" ca="1" si="22"/>
        <v>99999</v>
      </c>
      <c r="CG26" s="394" t="str">
        <f t="shared" ca="1" si="23"/>
        <v/>
      </c>
      <c r="CH26" s="395" t="str">
        <f t="shared" ca="1" si="24"/>
        <v/>
      </c>
      <c r="CJ26" s="396">
        <f t="shared" ca="1" si="66"/>
        <v>0</v>
      </c>
      <c r="CK26" s="393">
        <f t="shared" ca="1" si="55"/>
        <v>99999</v>
      </c>
      <c r="CL26" s="202" t="str">
        <f t="shared" ca="1" si="56"/>
        <v/>
      </c>
      <c r="CM26" s="202" t="str">
        <f t="shared" ca="1" si="76"/>
        <v/>
      </c>
      <c r="CN26" s="394">
        <f t="shared" ca="1" si="25"/>
        <v>99999</v>
      </c>
      <c r="CO26" s="394" t="str">
        <f t="shared" ca="1" si="26"/>
        <v/>
      </c>
      <c r="CP26" s="395" t="str">
        <f t="shared" ca="1" si="27"/>
        <v/>
      </c>
    </row>
    <row r="27" spans="1:94" ht="15.95" customHeight="1" x14ac:dyDescent="0.25">
      <c r="B27" s="470" t="str">
        <f>Language!$E$63</f>
        <v>Duplicate names lead to
incorrect table values</v>
      </c>
      <c r="C27" s="470"/>
      <c r="D27" s="159">
        <f t="shared" ca="1" si="28"/>
        <v>2</v>
      </c>
      <c r="E27" s="159">
        <f t="shared" ca="1" si="29"/>
        <v>65</v>
      </c>
      <c r="F27" s="159">
        <f ca="1">IF($E27="",0,COUNTIF($E$7:$E27,INDEX($E$79:$E$150,ROW($A21))))</f>
        <v>0</v>
      </c>
      <c r="G27" s="205"/>
      <c r="H27" s="200">
        <v>21</v>
      </c>
      <c r="I27" s="227">
        <f ca="1">IF(OR($X$3,$H27&gt;Calc!$B$13/2*$D$6),"",$T$6+QUOTIENT(($H27-1),$T$22)*($T$8+$T$10)/1440+SUM($Q$7:$Q26)/1440)</f>
        <v>0.47916666666666669</v>
      </c>
      <c r="J27" s="229">
        <f ca="1">IF(OR($X$3,$H27&gt;Calc!$B$13/2*$D$6),"",MOD(($H27-1),$T$22)+1)</f>
        <v>3</v>
      </c>
      <c r="K27" s="54">
        <f ca="1"/>
        <v>6</v>
      </c>
      <c r="L27" s="53" t="s">
        <v>5</v>
      </c>
      <c r="M27" s="55">
        <f ca="1"/>
        <v>5</v>
      </c>
      <c r="N27" s="52" t="str">
        <f t="shared" ca="1" si="30"/>
        <v>Inter Mailand</v>
      </c>
      <c r="O27" s="50" t="s">
        <v>5</v>
      </c>
      <c r="P27" s="51" t="str">
        <f t="shared" ca="1" si="31"/>
        <v>VFB Essenheim</v>
      </c>
      <c r="Q27" s="381"/>
      <c r="R27" s="220"/>
      <c r="S27" s="221"/>
      <c r="T27" s="221"/>
      <c r="U27" s="221"/>
      <c r="V27" s="221"/>
      <c r="W27" s="202">
        <f t="shared" ca="1" si="58"/>
        <v>0</v>
      </c>
      <c r="X27" s="396">
        <f t="shared" ca="1" si="67"/>
        <v>0</v>
      </c>
      <c r="Y27" s="393">
        <f t="shared" ca="1" si="32"/>
        <v>99999</v>
      </c>
      <c r="Z27" s="202" t="str">
        <f t="shared" ca="1" si="0"/>
        <v/>
      </c>
      <c r="AA27" s="202" t="str">
        <f t="shared" ca="1" si="68"/>
        <v/>
      </c>
      <c r="AB27" s="394">
        <f t="shared" ca="1" si="1"/>
        <v>99999</v>
      </c>
      <c r="AC27" s="394" t="str">
        <f t="shared" ca="1" si="2"/>
        <v/>
      </c>
      <c r="AD27" s="395" t="str">
        <f t="shared" ca="1" si="3"/>
        <v/>
      </c>
      <c r="AE27" s="202"/>
      <c r="AF27" s="396">
        <f t="shared" ca="1" si="59"/>
        <v>0</v>
      </c>
      <c r="AG27" s="393">
        <f t="shared" ca="1" si="34"/>
        <v>99999</v>
      </c>
      <c r="AH27" s="202" t="str">
        <f t="shared" ca="1" si="35"/>
        <v/>
      </c>
      <c r="AI27" s="202" t="str">
        <f t="shared" ca="1" si="69"/>
        <v/>
      </c>
      <c r="AJ27" s="394">
        <f t="shared" ca="1" si="4"/>
        <v>99999</v>
      </c>
      <c r="AK27" s="394" t="str">
        <f t="shared" ca="1" si="5"/>
        <v/>
      </c>
      <c r="AL27" s="395" t="str">
        <f t="shared" ca="1" si="6"/>
        <v/>
      </c>
      <c r="AN27" s="396">
        <f t="shared" ca="1" si="60"/>
        <v>0</v>
      </c>
      <c r="AO27" s="393">
        <f t="shared" ca="1" si="37"/>
        <v>99999</v>
      </c>
      <c r="AP27" s="202" t="str">
        <f t="shared" ca="1" si="38"/>
        <v/>
      </c>
      <c r="AQ27" s="202" t="str">
        <f t="shared" ca="1" si="70"/>
        <v/>
      </c>
      <c r="AR27" s="394">
        <f t="shared" ca="1" si="7"/>
        <v>99999</v>
      </c>
      <c r="AS27" s="394" t="str">
        <f t="shared" ca="1" si="8"/>
        <v/>
      </c>
      <c r="AT27" s="395" t="str">
        <f t="shared" ca="1" si="9"/>
        <v/>
      </c>
      <c r="AU27" s="202"/>
      <c r="AV27" s="396">
        <f t="shared" ca="1" si="61"/>
        <v>0</v>
      </c>
      <c r="AW27" s="393">
        <f t="shared" ca="1" si="40"/>
        <v>99999</v>
      </c>
      <c r="AX27" s="202" t="str">
        <f t="shared" ca="1" si="41"/>
        <v/>
      </c>
      <c r="AY27" s="202" t="str">
        <f t="shared" ca="1" si="71"/>
        <v/>
      </c>
      <c r="AZ27" s="394">
        <f t="shared" ca="1" si="10"/>
        <v>99999</v>
      </c>
      <c r="BA27" s="394" t="str">
        <f t="shared" ca="1" si="11"/>
        <v/>
      </c>
      <c r="BB27" s="395" t="str">
        <f t="shared" ca="1" si="12"/>
        <v/>
      </c>
      <c r="BD27" s="396">
        <f t="shared" ca="1" si="62"/>
        <v>0</v>
      </c>
      <c r="BE27" s="393">
        <f t="shared" ca="1" si="43"/>
        <v>0.47916666666666669</v>
      </c>
      <c r="BF27" s="202">
        <f t="shared" ca="1" si="44"/>
        <v>6</v>
      </c>
      <c r="BG27" s="202">
        <f t="shared" ca="1" si="72"/>
        <v>3</v>
      </c>
      <c r="BH27" s="394">
        <f t="shared" ca="1" si="13"/>
        <v>99999</v>
      </c>
      <c r="BI27" s="394" t="str">
        <f t="shared" ca="1" si="14"/>
        <v/>
      </c>
      <c r="BJ27" s="395" t="str">
        <f t="shared" ca="1" si="15"/>
        <v/>
      </c>
      <c r="BK27" s="202"/>
      <c r="BL27" s="396">
        <f t="shared" ca="1" si="63"/>
        <v>0</v>
      </c>
      <c r="BM27" s="393">
        <f t="shared" ca="1" si="46"/>
        <v>0.47916666666666669</v>
      </c>
      <c r="BN27" s="202">
        <f t="shared" ca="1" si="47"/>
        <v>5</v>
      </c>
      <c r="BO27" s="202">
        <f t="shared" ca="1" si="73"/>
        <v>3</v>
      </c>
      <c r="BP27" s="394">
        <f t="shared" ca="1" si="16"/>
        <v>99999</v>
      </c>
      <c r="BQ27" s="394" t="str">
        <f t="shared" ca="1" si="17"/>
        <v/>
      </c>
      <c r="BR27" s="395" t="str">
        <f t="shared" ca="1" si="18"/>
        <v/>
      </c>
      <c r="BT27" s="396">
        <f t="shared" ca="1" si="64"/>
        <v>0</v>
      </c>
      <c r="BU27" s="393">
        <f t="shared" ca="1" si="49"/>
        <v>99999</v>
      </c>
      <c r="BV27" s="202" t="str">
        <f t="shared" ca="1" si="50"/>
        <v/>
      </c>
      <c r="BW27" s="202" t="str">
        <f t="shared" ca="1" si="74"/>
        <v/>
      </c>
      <c r="BX27" s="394">
        <f t="shared" ca="1" si="19"/>
        <v>99999</v>
      </c>
      <c r="BY27" s="394" t="str">
        <f t="shared" ca="1" si="20"/>
        <v/>
      </c>
      <c r="BZ27" s="395" t="str">
        <f t="shared" ca="1" si="21"/>
        <v/>
      </c>
      <c r="CA27" s="202"/>
      <c r="CB27" s="396">
        <f t="shared" ca="1" si="65"/>
        <v>0</v>
      </c>
      <c r="CC27" s="393">
        <f t="shared" ca="1" si="52"/>
        <v>99999</v>
      </c>
      <c r="CD27" s="202" t="str">
        <f t="shared" ca="1" si="53"/>
        <v/>
      </c>
      <c r="CE27" s="202" t="str">
        <f t="shared" ca="1" si="75"/>
        <v/>
      </c>
      <c r="CF27" s="394">
        <f t="shared" ca="1" si="22"/>
        <v>99999</v>
      </c>
      <c r="CG27" s="394" t="str">
        <f t="shared" ca="1" si="23"/>
        <v/>
      </c>
      <c r="CH27" s="395" t="str">
        <f t="shared" ca="1" si="24"/>
        <v/>
      </c>
      <c r="CJ27" s="396">
        <f t="shared" ca="1" si="66"/>
        <v>0</v>
      </c>
      <c r="CK27" s="393">
        <f t="shared" ca="1" si="55"/>
        <v>99999</v>
      </c>
      <c r="CL27" s="202" t="str">
        <f t="shared" ca="1" si="56"/>
        <v/>
      </c>
      <c r="CM27" s="202" t="str">
        <f t="shared" ca="1" si="76"/>
        <v/>
      </c>
      <c r="CN27" s="394">
        <f t="shared" ca="1" si="25"/>
        <v>99999</v>
      </c>
      <c r="CO27" s="394" t="str">
        <f t="shared" ca="1" si="26"/>
        <v/>
      </c>
      <c r="CP27" s="395" t="str">
        <f t="shared" ca="1" si="27"/>
        <v/>
      </c>
    </row>
    <row r="28" spans="1:94" ht="15.95" customHeight="1" x14ac:dyDescent="0.25">
      <c r="B28" s="470"/>
      <c r="C28" s="470"/>
      <c r="D28" s="159">
        <f t="shared" ca="1" si="28"/>
        <v>2</v>
      </c>
      <c r="E28" s="159">
        <f t="shared" ca="1" si="29"/>
        <v>27</v>
      </c>
      <c r="F28" s="159">
        <f ca="1">IF($E28="",0,COUNTIF($E$7:$E28,INDEX($E$79:$E$150,ROW($A22))))</f>
        <v>1</v>
      </c>
      <c r="G28" s="205"/>
      <c r="H28" s="200">
        <v>22</v>
      </c>
      <c r="I28" s="227">
        <f ca="1">IF(OR($X$3,$H28&gt;Calc!$B$13/2*$D$6),"",$T$6+QUOTIENT(($H28-1),$T$22)*($T$8+$T$10)/1440+SUM($Q$7:$Q27)/1440)</f>
        <v>0.49652777777777779</v>
      </c>
      <c r="J28" s="229">
        <f ca="1">IF(OR($X$3,$H28&gt;Calc!$B$13/2*$D$6),"",MOD(($H28-1),$T$22)+1)</f>
        <v>1</v>
      </c>
      <c r="K28" s="54">
        <f ca="1"/>
        <v>2</v>
      </c>
      <c r="L28" s="53" t="s">
        <v>5</v>
      </c>
      <c r="M28" s="55">
        <f ca="1"/>
        <v>7</v>
      </c>
      <c r="N28" s="52" t="str">
        <f t="shared" ca="1" si="30"/>
        <v>FC Barcelona</v>
      </c>
      <c r="O28" s="50" t="s">
        <v>5</v>
      </c>
      <c r="P28" s="51" t="str">
        <f t="shared" ca="1" si="31"/>
        <v>SSV Wildbach</v>
      </c>
      <c r="Q28" s="381"/>
      <c r="R28" s="220"/>
      <c r="S28" s="221"/>
      <c r="T28" s="221"/>
      <c r="U28" s="221"/>
      <c r="V28" s="221"/>
      <c r="W28" s="202">
        <f t="shared" ca="1" si="58"/>
        <v>0</v>
      </c>
      <c r="X28" s="396">
        <f t="shared" ca="1" si="67"/>
        <v>0</v>
      </c>
      <c r="Y28" s="393">
        <f t="shared" ca="1" si="32"/>
        <v>99999</v>
      </c>
      <c r="Z28" s="202" t="str">
        <f t="shared" ca="1" si="0"/>
        <v/>
      </c>
      <c r="AA28" s="202" t="str">
        <f t="shared" ca="1" si="68"/>
        <v/>
      </c>
      <c r="AB28" s="394">
        <f t="shared" ca="1" si="1"/>
        <v>99999</v>
      </c>
      <c r="AC28" s="394" t="str">
        <f t="shared" ca="1" si="2"/>
        <v/>
      </c>
      <c r="AD28" s="395" t="str">
        <f t="shared" ca="1" si="3"/>
        <v/>
      </c>
      <c r="AE28" s="202"/>
      <c r="AF28" s="396">
        <f t="shared" ca="1" si="59"/>
        <v>0</v>
      </c>
      <c r="AG28" s="393">
        <f t="shared" ca="1" si="34"/>
        <v>0.49652777777777779</v>
      </c>
      <c r="AH28" s="202">
        <f t="shared" ca="1" si="35"/>
        <v>7</v>
      </c>
      <c r="AI28" s="202">
        <f t="shared" ca="1" si="69"/>
        <v>1</v>
      </c>
      <c r="AJ28" s="394">
        <f t="shared" ca="1" si="4"/>
        <v>99999</v>
      </c>
      <c r="AK28" s="394" t="str">
        <f t="shared" ca="1" si="5"/>
        <v/>
      </c>
      <c r="AL28" s="395" t="str">
        <f t="shared" ca="1" si="6"/>
        <v/>
      </c>
      <c r="AN28" s="396">
        <f t="shared" ca="1" si="60"/>
        <v>0</v>
      </c>
      <c r="AO28" s="393">
        <f t="shared" ca="1" si="37"/>
        <v>99999</v>
      </c>
      <c r="AP28" s="202" t="str">
        <f t="shared" ca="1" si="38"/>
        <v/>
      </c>
      <c r="AQ28" s="202" t="str">
        <f t="shared" ca="1" si="70"/>
        <v/>
      </c>
      <c r="AR28" s="394">
        <f t="shared" ca="1" si="7"/>
        <v>99999</v>
      </c>
      <c r="AS28" s="394" t="str">
        <f t="shared" ca="1" si="8"/>
        <v/>
      </c>
      <c r="AT28" s="395" t="str">
        <f t="shared" ca="1" si="9"/>
        <v/>
      </c>
      <c r="AU28" s="202"/>
      <c r="AV28" s="396">
        <f t="shared" ca="1" si="61"/>
        <v>0</v>
      </c>
      <c r="AW28" s="393">
        <f t="shared" ca="1" si="40"/>
        <v>99999</v>
      </c>
      <c r="AX28" s="202" t="str">
        <f t="shared" ca="1" si="41"/>
        <v/>
      </c>
      <c r="AY28" s="202" t="str">
        <f t="shared" ca="1" si="71"/>
        <v/>
      </c>
      <c r="AZ28" s="394">
        <f t="shared" ca="1" si="10"/>
        <v>99999</v>
      </c>
      <c r="BA28" s="394" t="str">
        <f t="shared" ca="1" si="11"/>
        <v/>
      </c>
      <c r="BB28" s="395" t="str">
        <f t="shared" ca="1" si="12"/>
        <v/>
      </c>
      <c r="BD28" s="396">
        <f t="shared" ca="1" si="62"/>
        <v>0</v>
      </c>
      <c r="BE28" s="393">
        <f t="shared" ca="1" si="43"/>
        <v>99999</v>
      </c>
      <c r="BF28" s="202" t="str">
        <f t="shared" ca="1" si="44"/>
        <v/>
      </c>
      <c r="BG28" s="202" t="str">
        <f t="shared" ca="1" si="72"/>
        <v/>
      </c>
      <c r="BH28" s="394">
        <f t="shared" ca="1" si="13"/>
        <v>99999</v>
      </c>
      <c r="BI28" s="394" t="str">
        <f t="shared" ca="1" si="14"/>
        <v/>
      </c>
      <c r="BJ28" s="395" t="str">
        <f t="shared" ca="1" si="15"/>
        <v/>
      </c>
      <c r="BK28" s="202"/>
      <c r="BL28" s="396">
        <f t="shared" ca="1" si="63"/>
        <v>0</v>
      </c>
      <c r="BM28" s="393">
        <f t="shared" ca="1" si="46"/>
        <v>99999</v>
      </c>
      <c r="BN28" s="202" t="str">
        <f t="shared" ca="1" si="47"/>
        <v/>
      </c>
      <c r="BO28" s="202" t="str">
        <f t="shared" ca="1" si="73"/>
        <v/>
      </c>
      <c r="BP28" s="394">
        <f t="shared" ca="1" si="16"/>
        <v>99999</v>
      </c>
      <c r="BQ28" s="394" t="str">
        <f t="shared" ca="1" si="17"/>
        <v/>
      </c>
      <c r="BR28" s="395" t="str">
        <f t="shared" ca="1" si="18"/>
        <v/>
      </c>
      <c r="BT28" s="396">
        <f t="shared" ca="1" si="64"/>
        <v>0</v>
      </c>
      <c r="BU28" s="393">
        <f t="shared" ca="1" si="49"/>
        <v>0.49652777777777779</v>
      </c>
      <c r="BV28" s="202">
        <f t="shared" ca="1" si="50"/>
        <v>2</v>
      </c>
      <c r="BW28" s="202">
        <f t="shared" ca="1" si="74"/>
        <v>1</v>
      </c>
      <c r="BX28" s="394">
        <f t="shared" ca="1" si="19"/>
        <v>99999</v>
      </c>
      <c r="BY28" s="394" t="str">
        <f t="shared" ca="1" si="20"/>
        <v/>
      </c>
      <c r="BZ28" s="395" t="str">
        <f t="shared" ca="1" si="21"/>
        <v/>
      </c>
      <c r="CA28" s="202"/>
      <c r="CB28" s="396">
        <f t="shared" ca="1" si="65"/>
        <v>0</v>
      </c>
      <c r="CC28" s="393">
        <f t="shared" ca="1" si="52"/>
        <v>99999</v>
      </c>
      <c r="CD28" s="202" t="str">
        <f t="shared" ca="1" si="53"/>
        <v/>
      </c>
      <c r="CE28" s="202" t="str">
        <f t="shared" ca="1" si="75"/>
        <v/>
      </c>
      <c r="CF28" s="394">
        <f t="shared" ca="1" si="22"/>
        <v>99999</v>
      </c>
      <c r="CG28" s="394" t="str">
        <f t="shared" ca="1" si="23"/>
        <v/>
      </c>
      <c r="CH28" s="395" t="str">
        <f t="shared" ca="1" si="24"/>
        <v/>
      </c>
      <c r="CJ28" s="396">
        <f t="shared" ca="1" si="66"/>
        <v>0</v>
      </c>
      <c r="CK28" s="393">
        <f t="shared" ca="1" si="55"/>
        <v>99999</v>
      </c>
      <c r="CL28" s="202" t="str">
        <f t="shared" ca="1" si="56"/>
        <v/>
      </c>
      <c r="CM28" s="202" t="str">
        <f t="shared" ca="1" si="76"/>
        <v/>
      </c>
      <c r="CN28" s="394">
        <f t="shared" ca="1" si="25"/>
        <v>99999</v>
      </c>
      <c r="CO28" s="394" t="str">
        <f t="shared" ca="1" si="26"/>
        <v/>
      </c>
      <c r="CP28" s="395" t="str">
        <f t="shared" ca="1" si="27"/>
        <v/>
      </c>
    </row>
    <row r="29" spans="1:94" ht="15.95" customHeight="1" x14ac:dyDescent="0.25">
      <c r="B29" s="470"/>
      <c r="C29" s="470"/>
      <c r="D29" s="159">
        <f t="shared" ca="1" si="28"/>
        <v>2</v>
      </c>
      <c r="E29" s="159">
        <f t="shared" ca="1" si="29"/>
        <v>63</v>
      </c>
      <c r="F29" s="159">
        <f ca="1">IF($E29="",0,COUNTIF($E$7:$E29,INDEX($E$79:$E$150,ROW($A23))))</f>
        <v>1</v>
      </c>
      <c r="G29" s="205"/>
      <c r="H29" s="200">
        <v>23</v>
      </c>
      <c r="I29" s="227">
        <f ca="1">IF(OR($X$3,$H29&gt;Calc!$B$13/2*$D$6),"",$T$6+QUOTIENT(($H29-1),$T$22)*($T$8+$T$10)/1440+SUM($Q$7:$Q28)/1440)</f>
        <v>0.49652777777777779</v>
      </c>
      <c r="J29" s="229">
        <f ca="1">IF(OR($X$3,$H29&gt;Calc!$B$13/2*$D$6),"",MOD(($H29-1),$T$22)+1)</f>
        <v>2</v>
      </c>
      <c r="K29" s="54">
        <f ca="1"/>
        <v>6</v>
      </c>
      <c r="L29" s="53" t="s">
        <v>5</v>
      </c>
      <c r="M29" s="55">
        <f ca="1"/>
        <v>3</v>
      </c>
      <c r="N29" s="52" t="str">
        <f t="shared" ca="1" si="30"/>
        <v>Inter Mailand</v>
      </c>
      <c r="O29" s="50" t="s">
        <v>5</v>
      </c>
      <c r="P29" s="51" t="str">
        <f t="shared" ca="1" si="31"/>
        <v>Eintracht Frankfurt</v>
      </c>
      <c r="Q29" s="381"/>
      <c r="R29" s="220"/>
      <c r="S29" s="221"/>
      <c r="T29" s="221"/>
      <c r="U29" s="221"/>
      <c r="V29" s="221"/>
      <c r="W29" s="202">
        <f t="shared" ca="1" si="58"/>
        <v>0</v>
      </c>
      <c r="X29" s="396">
        <f t="shared" ca="1" si="67"/>
        <v>0</v>
      </c>
      <c r="Y29" s="393">
        <f t="shared" ca="1" si="32"/>
        <v>99999</v>
      </c>
      <c r="Z29" s="202" t="str">
        <f t="shared" ca="1" si="0"/>
        <v/>
      </c>
      <c r="AA29" s="202" t="str">
        <f t="shared" ca="1" si="68"/>
        <v/>
      </c>
      <c r="AB29" s="394">
        <f t="shared" ca="1" si="1"/>
        <v>99999</v>
      </c>
      <c r="AC29" s="394" t="str">
        <f t="shared" ca="1" si="2"/>
        <v/>
      </c>
      <c r="AD29" s="395" t="str">
        <f t="shared" ca="1" si="3"/>
        <v/>
      </c>
      <c r="AE29" s="202"/>
      <c r="AF29" s="396">
        <f t="shared" ca="1" si="59"/>
        <v>0</v>
      </c>
      <c r="AG29" s="393">
        <f t="shared" ca="1" si="34"/>
        <v>99999</v>
      </c>
      <c r="AH29" s="202" t="str">
        <f t="shared" ca="1" si="35"/>
        <v/>
      </c>
      <c r="AI29" s="202" t="str">
        <f t="shared" ca="1" si="69"/>
        <v/>
      </c>
      <c r="AJ29" s="394">
        <f t="shared" ca="1" si="4"/>
        <v>99999</v>
      </c>
      <c r="AK29" s="394" t="str">
        <f t="shared" ca="1" si="5"/>
        <v/>
      </c>
      <c r="AL29" s="395" t="str">
        <f t="shared" ca="1" si="6"/>
        <v/>
      </c>
      <c r="AN29" s="396">
        <f t="shared" ca="1" si="60"/>
        <v>0</v>
      </c>
      <c r="AO29" s="393">
        <f t="shared" ca="1" si="37"/>
        <v>0.49652777777777779</v>
      </c>
      <c r="AP29" s="202">
        <f t="shared" ca="1" si="38"/>
        <v>6</v>
      </c>
      <c r="AQ29" s="202">
        <f t="shared" ca="1" si="70"/>
        <v>2</v>
      </c>
      <c r="AR29" s="394">
        <f t="shared" ca="1" si="7"/>
        <v>99999</v>
      </c>
      <c r="AS29" s="394" t="str">
        <f t="shared" ca="1" si="8"/>
        <v/>
      </c>
      <c r="AT29" s="395" t="str">
        <f t="shared" ca="1" si="9"/>
        <v/>
      </c>
      <c r="AU29" s="202"/>
      <c r="AV29" s="396">
        <f t="shared" ca="1" si="61"/>
        <v>0</v>
      </c>
      <c r="AW29" s="393">
        <f t="shared" ca="1" si="40"/>
        <v>99999</v>
      </c>
      <c r="AX29" s="202" t="str">
        <f t="shared" ca="1" si="41"/>
        <v/>
      </c>
      <c r="AY29" s="202" t="str">
        <f t="shared" ca="1" si="71"/>
        <v/>
      </c>
      <c r="AZ29" s="394">
        <f t="shared" ca="1" si="10"/>
        <v>99999</v>
      </c>
      <c r="BA29" s="394" t="str">
        <f t="shared" ca="1" si="11"/>
        <v/>
      </c>
      <c r="BB29" s="395" t="str">
        <f t="shared" ca="1" si="12"/>
        <v/>
      </c>
      <c r="BD29" s="396">
        <f t="shared" ca="1" si="62"/>
        <v>0</v>
      </c>
      <c r="BE29" s="393">
        <f t="shared" ca="1" si="43"/>
        <v>99999</v>
      </c>
      <c r="BF29" s="202" t="str">
        <f t="shared" ca="1" si="44"/>
        <v/>
      </c>
      <c r="BG29" s="202" t="str">
        <f t="shared" ca="1" si="72"/>
        <v/>
      </c>
      <c r="BH29" s="394">
        <f t="shared" ca="1" si="13"/>
        <v>99999</v>
      </c>
      <c r="BI29" s="394" t="str">
        <f t="shared" ca="1" si="14"/>
        <v/>
      </c>
      <c r="BJ29" s="395" t="str">
        <f t="shared" ca="1" si="15"/>
        <v/>
      </c>
      <c r="BK29" s="202"/>
      <c r="BL29" s="396">
        <f t="shared" ca="1" si="63"/>
        <v>0</v>
      </c>
      <c r="BM29" s="393">
        <f t="shared" ca="1" si="46"/>
        <v>0.49652777777777779</v>
      </c>
      <c r="BN29" s="202">
        <f t="shared" ca="1" si="47"/>
        <v>3</v>
      </c>
      <c r="BO29" s="202">
        <f t="shared" ca="1" si="73"/>
        <v>2</v>
      </c>
      <c r="BP29" s="394">
        <f t="shared" ca="1" si="16"/>
        <v>99999</v>
      </c>
      <c r="BQ29" s="394" t="str">
        <f t="shared" ca="1" si="17"/>
        <v/>
      </c>
      <c r="BR29" s="395" t="str">
        <f t="shared" ca="1" si="18"/>
        <v/>
      </c>
      <c r="BT29" s="396">
        <f t="shared" ca="1" si="64"/>
        <v>0</v>
      </c>
      <c r="BU29" s="393">
        <f t="shared" ca="1" si="49"/>
        <v>99999</v>
      </c>
      <c r="BV29" s="202" t="str">
        <f t="shared" ca="1" si="50"/>
        <v/>
      </c>
      <c r="BW29" s="202" t="str">
        <f t="shared" ca="1" si="74"/>
        <v/>
      </c>
      <c r="BX29" s="394">
        <f t="shared" ca="1" si="19"/>
        <v>99999</v>
      </c>
      <c r="BY29" s="394" t="str">
        <f t="shared" ca="1" si="20"/>
        <v/>
      </c>
      <c r="BZ29" s="395" t="str">
        <f t="shared" ca="1" si="21"/>
        <v/>
      </c>
      <c r="CA29" s="202"/>
      <c r="CB29" s="396">
        <f t="shared" ca="1" si="65"/>
        <v>0</v>
      </c>
      <c r="CC29" s="393">
        <f t="shared" ca="1" si="52"/>
        <v>99999</v>
      </c>
      <c r="CD29" s="202" t="str">
        <f t="shared" ca="1" si="53"/>
        <v/>
      </c>
      <c r="CE29" s="202" t="str">
        <f t="shared" ca="1" si="75"/>
        <v/>
      </c>
      <c r="CF29" s="394">
        <f t="shared" ca="1" si="22"/>
        <v>99999</v>
      </c>
      <c r="CG29" s="394" t="str">
        <f t="shared" ca="1" si="23"/>
        <v/>
      </c>
      <c r="CH29" s="395" t="str">
        <f t="shared" ca="1" si="24"/>
        <v/>
      </c>
      <c r="CJ29" s="396">
        <f t="shared" ca="1" si="66"/>
        <v>0</v>
      </c>
      <c r="CK29" s="393">
        <f t="shared" ca="1" si="55"/>
        <v>99999</v>
      </c>
      <c r="CL29" s="202" t="str">
        <f t="shared" ca="1" si="56"/>
        <v/>
      </c>
      <c r="CM29" s="202" t="str">
        <f t="shared" ca="1" si="76"/>
        <v/>
      </c>
      <c r="CN29" s="394">
        <f t="shared" ca="1" si="25"/>
        <v>99999</v>
      </c>
      <c r="CO29" s="394" t="str">
        <f t="shared" ca="1" si="26"/>
        <v/>
      </c>
      <c r="CP29" s="395" t="str">
        <f t="shared" ca="1" si="27"/>
        <v/>
      </c>
    </row>
    <row r="30" spans="1:94" ht="15.95" customHeight="1" x14ac:dyDescent="0.25">
      <c r="D30" s="159">
        <f t="shared" ca="1" si="28"/>
        <v>2</v>
      </c>
      <c r="E30" s="159">
        <f t="shared" ca="1" si="29"/>
        <v>45</v>
      </c>
      <c r="F30" s="159">
        <f ca="1">IF($E30="",0,COUNTIF($E$7:$E30,INDEX($E$79:$E$150,ROW($A24))))</f>
        <v>1</v>
      </c>
      <c r="G30" s="205"/>
      <c r="H30" s="200">
        <v>24</v>
      </c>
      <c r="I30" s="227">
        <f ca="1">IF(OR($X$3,$H30&gt;Calc!$B$13/2*$D$6),"",$T$6+QUOTIENT(($H30-1),$T$22)*($T$8+$T$10)/1440+SUM($Q$7:$Q29)/1440)</f>
        <v>0.49652777777777779</v>
      </c>
      <c r="J30" s="229">
        <f ca="1">IF(OR($X$3,$H30&gt;Calc!$B$13/2*$D$6),"",MOD(($H30-1),$T$22)+1)</f>
        <v>3</v>
      </c>
      <c r="K30" s="54">
        <f ca="1"/>
        <v>4</v>
      </c>
      <c r="L30" s="53" t="s">
        <v>5</v>
      </c>
      <c r="M30" s="55">
        <f ca="1"/>
        <v>5</v>
      </c>
      <c r="N30" s="52" t="str">
        <f t="shared" ca="1" si="30"/>
        <v>Maibach 1822 eV</v>
      </c>
      <c r="O30" s="50" t="s">
        <v>5</v>
      </c>
      <c r="P30" s="51" t="str">
        <f t="shared" ca="1" si="31"/>
        <v>VFB Essenheim</v>
      </c>
      <c r="Q30" s="381"/>
      <c r="R30" s="220"/>
      <c r="S30" s="221"/>
      <c r="T30" s="221"/>
      <c r="U30" s="221"/>
      <c r="V30" s="221"/>
      <c r="W30" s="202">
        <f t="shared" ca="1" si="58"/>
        <v>0</v>
      </c>
      <c r="X30" s="396">
        <f t="shared" ca="1" si="67"/>
        <v>0</v>
      </c>
      <c r="Y30" s="393">
        <f t="shared" ca="1" si="32"/>
        <v>99999</v>
      </c>
      <c r="Z30" s="202" t="str">
        <f t="shared" ca="1" si="0"/>
        <v/>
      </c>
      <c r="AA30" s="202" t="str">
        <f t="shared" ca="1" si="68"/>
        <v/>
      </c>
      <c r="AB30" s="394">
        <f t="shared" ca="1" si="1"/>
        <v>99999</v>
      </c>
      <c r="AC30" s="394" t="str">
        <f t="shared" ca="1" si="2"/>
        <v/>
      </c>
      <c r="AD30" s="395" t="str">
        <f t="shared" ca="1" si="3"/>
        <v/>
      </c>
      <c r="AE30" s="202"/>
      <c r="AF30" s="396">
        <f t="shared" ca="1" si="59"/>
        <v>0</v>
      </c>
      <c r="AG30" s="393">
        <f t="shared" ca="1" si="34"/>
        <v>99999</v>
      </c>
      <c r="AH30" s="202" t="str">
        <f t="shared" ca="1" si="35"/>
        <v/>
      </c>
      <c r="AI30" s="202" t="str">
        <f t="shared" ca="1" si="69"/>
        <v/>
      </c>
      <c r="AJ30" s="394">
        <f t="shared" ca="1" si="4"/>
        <v>99999</v>
      </c>
      <c r="AK30" s="394" t="str">
        <f t="shared" ca="1" si="5"/>
        <v/>
      </c>
      <c r="AL30" s="395" t="str">
        <f t="shared" ca="1" si="6"/>
        <v/>
      </c>
      <c r="AN30" s="396">
        <f t="shared" ca="1" si="60"/>
        <v>0</v>
      </c>
      <c r="AO30" s="393">
        <f t="shared" ca="1" si="37"/>
        <v>99999</v>
      </c>
      <c r="AP30" s="202" t="str">
        <f t="shared" ca="1" si="38"/>
        <v/>
      </c>
      <c r="AQ30" s="202" t="str">
        <f t="shared" ca="1" si="70"/>
        <v/>
      </c>
      <c r="AR30" s="394">
        <f t="shared" ca="1" si="7"/>
        <v>99999</v>
      </c>
      <c r="AS30" s="394" t="str">
        <f t="shared" ca="1" si="8"/>
        <v/>
      </c>
      <c r="AT30" s="395" t="str">
        <f t="shared" ca="1" si="9"/>
        <v/>
      </c>
      <c r="AU30" s="202"/>
      <c r="AV30" s="396">
        <f t="shared" ca="1" si="61"/>
        <v>0</v>
      </c>
      <c r="AW30" s="393">
        <f t="shared" ca="1" si="40"/>
        <v>0.49652777777777779</v>
      </c>
      <c r="AX30" s="202">
        <f t="shared" ca="1" si="41"/>
        <v>5</v>
      </c>
      <c r="AY30" s="202">
        <f t="shared" ca="1" si="71"/>
        <v>3</v>
      </c>
      <c r="AZ30" s="394">
        <f t="shared" ca="1" si="10"/>
        <v>99999</v>
      </c>
      <c r="BA30" s="394" t="str">
        <f t="shared" ca="1" si="11"/>
        <v/>
      </c>
      <c r="BB30" s="395" t="str">
        <f t="shared" ca="1" si="12"/>
        <v/>
      </c>
      <c r="BD30" s="396">
        <f t="shared" ca="1" si="62"/>
        <v>0</v>
      </c>
      <c r="BE30" s="393">
        <f t="shared" ca="1" si="43"/>
        <v>0.49652777777777779</v>
      </c>
      <c r="BF30" s="202">
        <f t="shared" ca="1" si="44"/>
        <v>4</v>
      </c>
      <c r="BG30" s="202">
        <f t="shared" ca="1" si="72"/>
        <v>3</v>
      </c>
      <c r="BH30" s="394">
        <f t="shared" ca="1" si="13"/>
        <v>99999</v>
      </c>
      <c r="BI30" s="394" t="str">
        <f t="shared" ca="1" si="14"/>
        <v/>
      </c>
      <c r="BJ30" s="395" t="str">
        <f t="shared" ca="1" si="15"/>
        <v/>
      </c>
      <c r="BK30" s="202"/>
      <c r="BL30" s="396">
        <f t="shared" ca="1" si="63"/>
        <v>0</v>
      </c>
      <c r="BM30" s="393">
        <f t="shared" ca="1" si="46"/>
        <v>99999</v>
      </c>
      <c r="BN30" s="202" t="str">
        <f t="shared" ca="1" si="47"/>
        <v/>
      </c>
      <c r="BO30" s="202" t="str">
        <f t="shared" ca="1" si="73"/>
        <v/>
      </c>
      <c r="BP30" s="394">
        <f t="shared" ca="1" si="16"/>
        <v>99999</v>
      </c>
      <c r="BQ30" s="394" t="str">
        <f t="shared" ca="1" si="17"/>
        <v/>
      </c>
      <c r="BR30" s="395" t="str">
        <f t="shared" ca="1" si="18"/>
        <v/>
      </c>
      <c r="BT30" s="396">
        <f t="shared" ca="1" si="64"/>
        <v>0</v>
      </c>
      <c r="BU30" s="393">
        <f t="shared" ca="1" si="49"/>
        <v>99999</v>
      </c>
      <c r="BV30" s="202" t="str">
        <f t="shared" ca="1" si="50"/>
        <v/>
      </c>
      <c r="BW30" s="202" t="str">
        <f t="shared" ca="1" si="74"/>
        <v/>
      </c>
      <c r="BX30" s="394">
        <f t="shared" ca="1" si="19"/>
        <v>99999</v>
      </c>
      <c r="BY30" s="394" t="str">
        <f t="shared" ca="1" si="20"/>
        <v/>
      </c>
      <c r="BZ30" s="395" t="str">
        <f t="shared" ca="1" si="21"/>
        <v/>
      </c>
      <c r="CA30" s="202"/>
      <c r="CB30" s="396">
        <f t="shared" ca="1" si="65"/>
        <v>0</v>
      </c>
      <c r="CC30" s="393">
        <f t="shared" ca="1" si="52"/>
        <v>99999</v>
      </c>
      <c r="CD30" s="202" t="str">
        <f t="shared" ca="1" si="53"/>
        <v/>
      </c>
      <c r="CE30" s="202" t="str">
        <f t="shared" ca="1" si="75"/>
        <v/>
      </c>
      <c r="CF30" s="394">
        <f t="shared" ca="1" si="22"/>
        <v>99999</v>
      </c>
      <c r="CG30" s="394" t="str">
        <f t="shared" ca="1" si="23"/>
        <v/>
      </c>
      <c r="CH30" s="395" t="str">
        <f t="shared" ca="1" si="24"/>
        <v/>
      </c>
      <c r="CJ30" s="396">
        <f t="shared" ca="1" si="66"/>
        <v>0</v>
      </c>
      <c r="CK30" s="393">
        <f t="shared" ca="1" si="55"/>
        <v>99999</v>
      </c>
      <c r="CL30" s="202" t="str">
        <f t="shared" ca="1" si="56"/>
        <v/>
      </c>
      <c r="CM30" s="202" t="str">
        <f t="shared" ca="1" si="76"/>
        <v/>
      </c>
      <c r="CN30" s="394">
        <f t="shared" ca="1" si="25"/>
        <v>99999</v>
      </c>
      <c r="CO30" s="394" t="str">
        <f t="shared" ca="1" si="26"/>
        <v/>
      </c>
      <c r="CP30" s="395" t="str">
        <f t="shared" ca="1" si="27"/>
        <v/>
      </c>
    </row>
    <row r="31" spans="1:94" ht="15.95" customHeight="1" x14ac:dyDescent="0.25">
      <c r="D31" s="159">
        <f t="shared" ca="1" si="28"/>
        <v>2</v>
      </c>
      <c r="E31" s="159">
        <f t="shared" ca="1" si="29"/>
        <v>17</v>
      </c>
      <c r="F31" s="159">
        <f ca="1">IF($E31="",0,COUNTIF($E$7:$E31,INDEX($E$79:$E$150,ROW($A25))))</f>
        <v>1</v>
      </c>
      <c r="G31" s="205"/>
      <c r="H31" s="200">
        <v>25</v>
      </c>
      <c r="I31" s="227">
        <f ca="1">IF(OR($X$3,$H31&gt;Calc!$B$13/2*$D$6),"",$T$6+QUOTIENT(($H31-1),$T$22)*($T$8+$T$10)/1440+SUM($Q$7:$Q30)/1440)</f>
        <v>0.51388888888888884</v>
      </c>
      <c r="J31" s="229">
        <f ca="1">IF(OR($X$3,$H31&gt;Calc!$B$13/2*$D$6),"",MOD(($H31-1),$T$22)+1)</f>
        <v>1</v>
      </c>
      <c r="K31" s="54">
        <f ca="1"/>
        <v>1</v>
      </c>
      <c r="L31" s="53" t="s">
        <v>5</v>
      </c>
      <c r="M31" s="55">
        <f ca="1"/>
        <v>7</v>
      </c>
      <c r="N31" s="52" t="str">
        <f t="shared" ca="1" si="30"/>
        <v>1. FC Riedwald</v>
      </c>
      <c r="O31" s="50" t="s">
        <v>5</v>
      </c>
      <c r="P31" s="51" t="str">
        <f t="shared" ca="1" si="31"/>
        <v>SSV Wildbach</v>
      </c>
      <c r="Q31" s="381"/>
      <c r="R31" s="220"/>
      <c r="S31" s="221"/>
      <c r="T31" s="221"/>
      <c r="U31" s="221"/>
      <c r="V31" s="221"/>
      <c r="W31" s="202">
        <f t="shared" ca="1" si="58"/>
        <v>0</v>
      </c>
      <c r="X31" s="396">
        <f t="shared" ca="1" si="67"/>
        <v>0</v>
      </c>
      <c r="Y31" s="393">
        <f t="shared" ca="1" si="32"/>
        <v>0.51388888888888884</v>
      </c>
      <c r="Z31" s="202">
        <f t="shared" ca="1" si="0"/>
        <v>7</v>
      </c>
      <c r="AA31" s="202">
        <f t="shared" ca="1" si="68"/>
        <v>1</v>
      </c>
      <c r="AB31" s="394">
        <f t="shared" ca="1" si="1"/>
        <v>99999</v>
      </c>
      <c r="AC31" s="394" t="str">
        <f t="shared" ca="1" si="2"/>
        <v/>
      </c>
      <c r="AD31" s="395" t="str">
        <f t="shared" ca="1" si="3"/>
        <v/>
      </c>
      <c r="AE31" s="202"/>
      <c r="AF31" s="396">
        <f t="shared" ca="1" si="59"/>
        <v>0</v>
      </c>
      <c r="AG31" s="393">
        <f t="shared" ca="1" si="34"/>
        <v>99999</v>
      </c>
      <c r="AH31" s="202" t="str">
        <f t="shared" ca="1" si="35"/>
        <v/>
      </c>
      <c r="AI31" s="202" t="str">
        <f t="shared" ca="1" si="69"/>
        <v/>
      </c>
      <c r="AJ31" s="394">
        <f t="shared" ca="1" si="4"/>
        <v>99999</v>
      </c>
      <c r="AK31" s="394" t="str">
        <f t="shared" ca="1" si="5"/>
        <v/>
      </c>
      <c r="AL31" s="395" t="str">
        <f t="shared" ca="1" si="6"/>
        <v/>
      </c>
      <c r="AN31" s="396">
        <f t="shared" ca="1" si="60"/>
        <v>0</v>
      </c>
      <c r="AO31" s="393">
        <f t="shared" ca="1" si="37"/>
        <v>99999</v>
      </c>
      <c r="AP31" s="202" t="str">
        <f t="shared" ca="1" si="38"/>
        <v/>
      </c>
      <c r="AQ31" s="202" t="str">
        <f t="shared" ca="1" si="70"/>
        <v/>
      </c>
      <c r="AR31" s="394">
        <f t="shared" ca="1" si="7"/>
        <v>99999</v>
      </c>
      <c r="AS31" s="394" t="str">
        <f t="shared" ca="1" si="8"/>
        <v/>
      </c>
      <c r="AT31" s="395" t="str">
        <f t="shared" ca="1" si="9"/>
        <v/>
      </c>
      <c r="AU31" s="202"/>
      <c r="AV31" s="396">
        <f t="shared" ca="1" si="61"/>
        <v>0</v>
      </c>
      <c r="AW31" s="393">
        <f t="shared" ca="1" si="40"/>
        <v>99999</v>
      </c>
      <c r="AX31" s="202" t="str">
        <f t="shared" ca="1" si="41"/>
        <v/>
      </c>
      <c r="AY31" s="202" t="str">
        <f t="shared" ca="1" si="71"/>
        <v/>
      </c>
      <c r="AZ31" s="394">
        <f t="shared" ca="1" si="10"/>
        <v>99999</v>
      </c>
      <c r="BA31" s="394" t="str">
        <f t="shared" ca="1" si="11"/>
        <v/>
      </c>
      <c r="BB31" s="395" t="str">
        <f t="shared" ca="1" si="12"/>
        <v/>
      </c>
      <c r="BD31" s="396">
        <f t="shared" ca="1" si="62"/>
        <v>0</v>
      </c>
      <c r="BE31" s="393">
        <f t="shared" ca="1" si="43"/>
        <v>99999</v>
      </c>
      <c r="BF31" s="202" t="str">
        <f t="shared" ca="1" si="44"/>
        <v/>
      </c>
      <c r="BG31" s="202" t="str">
        <f t="shared" ca="1" si="72"/>
        <v/>
      </c>
      <c r="BH31" s="394">
        <f t="shared" ca="1" si="13"/>
        <v>99999</v>
      </c>
      <c r="BI31" s="394" t="str">
        <f t="shared" ca="1" si="14"/>
        <v/>
      </c>
      <c r="BJ31" s="395" t="str">
        <f t="shared" ca="1" si="15"/>
        <v/>
      </c>
      <c r="BK31" s="202"/>
      <c r="BL31" s="396">
        <f t="shared" ca="1" si="63"/>
        <v>0</v>
      </c>
      <c r="BM31" s="393">
        <f t="shared" ca="1" si="46"/>
        <v>99999</v>
      </c>
      <c r="BN31" s="202" t="str">
        <f t="shared" ca="1" si="47"/>
        <v/>
      </c>
      <c r="BO31" s="202" t="str">
        <f t="shared" ca="1" si="73"/>
        <v/>
      </c>
      <c r="BP31" s="394">
        <f t="shared" ca="1" si="16"/>
        <v>99999</v>
      </c>
      <c r="BQ31" s="394" t="str">
        <f t="shared" ca="1" si="17"/>
        <v/>
      </c>
      <c r="BR31" s="395" t="str">
        <f t="shared" ca="1" si="18"/>
        <v/>
      </c>
      <c r="BT31" s="396">
        <f t="shared" ca="1" si="64"/>
        <v>0</v>
      </c>
      <c r="BU31" s="393">
        <f t="shared" ca="1" si="49"/>
        <v>0.51388888888888884</v>
      </c>
      <c r="BV31" s="202">
        <f t="shared" ca="1" si="50"/>
        <v>1</v>
      </c>
      <c r="BW31" s="202">
        <f t="shared" ca="1" si="74"/>
        <v>1</v>
      </c>
      <c r="BX31" s="394">
        <f t="shared" ca="1" si="19"/>
        <v>99999</v>
      </c>
      <c r="BY31" s="394" t="str">
        <f t="shared" ca="1" si="20"/>
        <v/>
      </c>
      <c r="BZ31" s="395" t="str">
        <f t="shared" ca="1" si="21"/>
        <v/>
      </c>
      <c r="CA31" s="202"/>
      <c r="CB31" s="396">
        <f t="shared" ca="1" si="65"/>
        <v>0</v>
      </c>
      <c r="CC31" s="393">
        <f t="shared" ca="1" si="52"/>
        <v>99999</v>
      </c>
      <c r="CD31" s="202" t="str">
        <f t="shared" ca="1" si="53"/>
        <v/>
      </c>
      <c r="CE31" s="202" t="str">
        <f t="shared" ca="1" si="75"/>
        <v/>
      </c>
      <c r="CF31" s="394">
        <f t="shared" ca="1" si="22"/>
        <v>99999</v>
      </c>
      <c r="CG31" s="394" t="str">
        <f t="shared" ca="1" si="23"/>
        <v/>
      </c>
      <c r="CH31" s="395" t="str">
        <f t="shared" ca="1" si="24"/>
        <v/>
      </c>
      <c r="CJ31" s="396">
        <f t="shared" ca="1" si="66"/>
        <v>0</v>
      </c>
      <c r="CK31" s="393">
        <f t="shared" ca="1" si="55"/>
        <v>99999</v>
      </c>
      <c r="CL31" s="202" t="str">
        <f t="shared" ca="1" si="56"/>
        <v/>
      </c>
      <c r="CM31" s="202" t="str">
        <f t="shared" ca="1" si="76"/>
        <v/>
      </c>
      <c r="CN31" s="394">
        <f t="shared" ca="1" si="25"/>
        <v>99999</v>
      </c>
      <c r="CO31" s="394" t="str">
        <f t="shared" ca="1" si="26"/>
        <v/>
      </c>
      <c r="CP31" s="395" t="str">
        <f t="shared" ca="1" si="27"/>
        <v/>
      </c>
    </row>
    <row r="32" spans="1:94" ht="15.95" customHeight="1" x14ac:dyDescent="0.25">
      <c r="D32" s="159">
        <f t="shared" ca="1" si="28"/>
        <v>2</v>
      </c>
      <c r="E32" s="159">
        <f t="shared" ca="1" si="29"/>
        <v>52</v>
      </c>
      <c r="F32" s="159">
        <f ca="1">IF($E32="",0,COUNTIF($E$7:$E32,INDEX($E$79:$E$150,ROW($A26))))</f>
        <v>1</v>
      </c>
      <c r="G32" s="205"/>
      <c r="H32" s="200">
        <v>26</v>
      </c>
      <c r="I32" s="227">
        <f ca="1">IF(OR($X$3,$H32&gt;Calc!$B$13/2*$D$6),"",$T$6+QUOTIENT(($H32-1),$T$22)*($T$8+$T$10)/1440+SUM($Q$7:$Q31)/1440)</f>
        <v>0.51388888888888884</v>
      </c>
      <c r="J32" s="229">
        <f ca="1">IF(OR($X$3,$H32&gt;Calc!$B$13/2*$D$6),"",MOD(($H32-1),$T$22)+1)</f>
        <v>2</v>
      </c>
      <c r="K32" s="54">
        <f ca="1"/>
        <v>5</v>
      </c>
      <c r="L32" s="53" t="s">
        <v>5</v>
      </c>
      <c r="M32" s="55">
        <f ca="1"/>
        <v>2</v>
      </c>
      <c r="N32" s="52" t="str">
        <f t="shared" ca="1" si="30"/>
        <v>VFB Essenheim</v>
      </c>
      <c r="O32" s="50" t="s">
        <v>5</v>
      </c>
      <c r="P32" s="51" t="str">
        <f t="shared" ca="1" si="31"/>
        <v>FC Barcelona</v>
      </c>
      <c r="Q32" s="381"/>
      <c r="R32" s="220"/>
      <c r="S32" s="221"/>
      <c r="T32" s="221"/>
      <c r="U32" s="221"/>
      <c r="V32" s="221"/>
      <c r="W32" s="202">
        <f t="shared" ca="1" si="58"/>
        <v>0</v>
      </c>
      <c r="X32" s="396">
        <f t="shared" ca="1" si="67"/>
        <v>0</v>
      </c>
      <c r="Y32" s="393">
        <f t="shared" ca="1" si="32"/>
        <v>99999</v>
      </c>
      <c r="Z32" s="202" t="str">
        <f t="shared" ca="1" si="0"/>
        <v/>
      </c>
      <c r="AA32" s="202" t="str">
        <f t="shared" ca="1" si="68"/>
        <v/>
      </c>
      <c r="AB32" s="394">
        <f t="shared" ca="1" si="1"/>
        <v>99999</v>
      </c>
      <c r="AC32" s="394" t="str">
        <f t="shared" ca="1" si="2"/>
        <v/>
      </c>
      <c r="AD32" s="395" t="str">
        <f t="shared" ca="1" si="3"/>
        <v/>
      </c>
      <c r="AE32" s="202"/>
      <c r="AF32" s="396">
        <f t="shared" ca="1" si="59"/>
        <v>0</v>
      </c>
      <c r="AG32" s="393">
        <f t="shared" ca="1" si="34"/>
        <v>0.51388888888888884</v>
      </c>
      <c r="AH32" s="202">
        <f t="shared" ca="1" si="35"/>
        <v>5</v>
      </c>
      <c r="AI32" s="202">
        <f t="shared" ca="1" si="69"/>
        <v>2</v>
      </c>
      <c r="AJ32" s="394">
        <f t="shared" ca="1" si="4"/>
        <v>99999</v>
      </c>
      <c r="AK32" s="394" t="str">
        <f t="shared" ca="1" si="5"/>
        <v/>
      </c>
      <c r="AL32" s="395" t="str">
        <f t="shared" ca="1" si="6"/>
        <v/>
      </c>
      <c r="AN32" s="396">
        <f t="shared" ca="1" si="60"/>
        <v>0</v>
      </c>
      <c r="AO32" s="393">
        <f t="shared" ca="1" si="37"/>
        <v>99999</v>
      </c>
      <c r="AP32" s="202" t="str">
        <f t="shared" ca="1" si="38"/>
        <v/>
      </c>
      <c r="AQ32" s="202" t="str">
        <f t="shared" ca="1" si="70"/>
        <v/>
      </c>
      <c r="AR32" s="394">
        <f t="shared" ca="1" si="7"/>
        <v>99999</v>
      </c>
      <c r="AS32" s="394" t="str">
        <f t="shared" ca="1" si="8"/>
        <v/>
      </c>
      <c r="AT32" s="395" t="str">
        <f t="shared" ca="1" si="9"/>
        <v/>
      </c>
      <c r="AU32" s="202"/>
      <c r="AV32" s="396">
        <f t="shared" ca="1" si="61"/>
        <v>0</v>
      </c>
      <c r="AW32" s="393">
        <f t="shared" ca="1" si="40"/>
        <v>99999</v>
      </c>
      <c r="AX32" s="202" t="str">
        <f t="shared" ca="1" si="41"/>
        <v/>
      </c>
      <c r="AY32" s="202" t="str">
        <f t="shared" ca="1" si="71"/>
        <v/>
      </c>
      <c r="AZ32" s="394">
        <f t="shared" ca="1" si="10"/>
        <v>99999</v>
      </c>
      <c r="BA32" s="394" t="str">
        <f t="shared" ca="1" si="11"/>
        <v/>
      </c>
      <c r="BB32" s="395" t="str">
        <f t="shared" ca="1" si="12"/>
        <v/>
      </c>
      <c r="BD32" s="396">
        <f t="shared" ca="1" si="62"/>
        <v>0</v>
      </c>
      <c r="BE32" s="393">
        <f t="shared" ca="1" si="43"/>
        <v>0.51388888888888884</v>
      </c>
      <c r="BF32" s="202">
        <f t="shared" ca="1" si="44"/>
        <v>2</v>
      </c>
      <c r="BG32" s="202">
        <f t="shared" ca="1" si="72"/>
        <v>2</v>
      </c>
      <c r="BH32" s="394">
        <f t="shared" ca="1" si="13"/>
        <v>99999</v>
      </c>
      <c r="BI32" s="394" t="str">
        <f t="shared" ca="1" si="14"/>
        <v/>
      </c>
      <c r="BJ32" s="395" t="str">
        <f t="shared" ca="1" si="15"/>
        <v/>
      </c>
      <c r="BK32" s="202"/>
      <c r="BL32" s="396">
        <f t="shared" ca="1" si="63"/>
        <v>0</v>
      </c>
      <c r="BM32" s="393">
        <f t="shared" ca="1" si="46"/>
        <v>99999</v>
      </c>
      <c r="BN32" s="202" t="str">
        <f t="shared" ca="1" si="47"/>
        <v/>
      </c>
      <c r="BO32" s="202" t="str">
        <f t="shared" ca="1" si="73"/>
        <v/>
      </c>
      <c r="BP32" s="394">
        <f t="shared" ca="1" si="16"/>
        <v>99999</v>
      </c>
      <c r="BQ32" s="394" t="str">
        <f t="shared" ca="1" si="17"/>
        <v/>
      </c>
      <c r="BR32" s="395" t="str">
        <f t="shared" ca="1" si="18"/>
        <v/>
      </c>
      <c r="BT32" s="396">
        <f t="shared" ca="1" si="64"/>
        <v>0</v>
      </c>
      <c r="BU32" s="393">
        <f t="shared" ca="1" si="49"/>
        <v>99999</v>
      </c>
      <c r="BV32" s="202" t="str">
        <f t="shared" ca="1" si="50"/>
        <v/>
      </c>
      <c r="BW32" s="202" t="str">
        <f t="shared" ca="1" si="74"/>
        <v/>
      </c>
      <c r="BX32" s="394">
        <f t="shared" ca="1" si="19"/>
        <v>99999</v>
      </c>
      <c r="BY32" s="394" t="str">
        <f t="shared" ca="1" si="20"/>
        <v/>
      </c>
      <c r="BZ32" s="395" t="str">
        <f t="shared" ca="1" si="21"/>
        <v/>
      </c>
      <c r="CA32" s="202"/>
      <c r="CB32" s="396">
        <f t="shared" ca="1" si="65"/>
        <v>0</v>
      </c>
      <c r="CC32" s="393">
        <f t="shared" ca="1" si="52"/>
        <v>99999</v>
      </c>
      <c r="CD32" s="202" t="str">
        <f t="shared" ca="1" si="53"/>
        <v/>
      </c>
      <c r="CE32" s="202" t="str">
        <f t="shared" ca="1" si="75"/>
        <v/>
      </c>
      <c r="CF32" s="394">
        <f t="shared" ca="1" si="22"/>
        <v>99999</v>
      </c>
      <c r="CG32" s="394" t="str">
        <f t="shared" ca="1" si="23"/>
        <v/>
      </c>
      <c r="CH32" s="395" t="str">
        <f t="shared" ca="1" si="24"/>
        <v/>
      </c>
      <c r="CJ32" s="396">
        <f t="shared" ca="1" si="66"/>
        <v>0</v>
      </c>
      <c r="CK32" s="393">
        <f t="shared" ca="1" si="55"/>
        <v>99999</v>
      </c>
      <c r="CL32" s="202" t="str">
        <f t="shared" ca="1" si="56"/>
        <v/>
      </c>
      <c r="CM32" s="202" t="str">
        <f t="shared" ca="1" si="76"/>
        <v/>
      </c>
      <c r="CN32" s="394">
        <f t="shared" ca="1" si="25"/>
        <v>99999</v>
      </c>
      <c r="CO32" s="394" t="str">
        <f t="shared" ca="1" si="26"/>
        <v/>
      </c>
      <c r="CP32" s="395" t="str">
        <f t="shared" ca="1" si="27"/>
        <v/>
      </c>
    </row>
    <row r="33" spans="4:94" ht="15.95" customHeight="1" x14ac:dyDescent="0.25">
      <c r="D33" s="159">
        <f t="shared" ca="1" si="28"/>
        <v>2</v>
      </c>
      <c r="E33" s="159">
        <f t="shared" ca="1" si="29"/>
        <v>34</v>
      </c>
      <c r="F33" s="159">
        <f ca="1">IF($E33="",0,COUNTIF($E$7:$E33,INDEX($E$79:$E$150,ROW($A27))))</f>
        <v>1</v>
      </c>
      <c r="G33" s="205"/>
      <c r="H33" s="200">
        <v>27</v>
      </c>
      <c r="I33" s="227">
        <f ca="1">IF(OR($X$3,$H33&gt;Calc!$B$13/2*$D$6),"",$T$6+QUOTIENT(($H33-1),$T$22)*($T$8+$T$10)/1440+SUM($Q$7:$Q32)/1440)</f>
        <v>0.51388888888888884</v>
      </c>
      <c r="J33" s="229">
        <f ca="1">IF(OR($X$3,$H33&gt;Calc!$B$13/2*$D$6),"",MOD(($H33-1),$T$22)+1)</f>
        <v>3</v>
      </c>
      <c r="K33" s="54">
        <f ca="1"/>
        <v>3</v>
      </c>
      <c r="L33" s="53" t="s">
        <v>5</v>
      </c>
      <c r="M33" s="55">
        <f ca="1"/>
        <v>4</v>
      </c>
      <c r="N33" s="52" t="str">
        <f t="shared" ca="1" si="30"/>
        <v>Eintracht Frankfurt</v>
      </c>
      <c r="O33" s="50" t="s">
        <v>5</v>
      </c>
      <c r="P33" s="51" t="str">
        <f t="shared" ca="1" si="31"/>
        <v>Maibach 1822 eV</v>
      </c>
      <c r="Q33" s="381"/>
      <c r="R33" s="220"/>
      <c r="S33" s="221"/>
      <c r="T33" s="221"/>
      <c r="U33" s="221"/>
      <c r="V33" s="221"/>
      <c r="W33" s="202">
        <f t="shared" ca="1" si="58"/>
        <v>0</v>
      </c>
      <c r="X33" s="396">
        <f t="shared" ca="1" si="67"/>
        <v>0</v>
      </c>
      <c r="Y33" s="393">
        <f t="shared" ca="1" si="32"/>
        <v>99999</v>
      </c>
      <c r="Z33" s="202" t="str">
        <f t="shared" ca="1" si="0"/>
        <v/>
      </c>
      <c r="AA33" s="202" t="str">
        <f t="shared" ca="1" si="68"/>
        <v/>
      </c>
      <c r="AB33" s="394">
        <f t="shared" ca="1" si="1"/>
        <v>99999</v>
      </c>
      <c r="AC33" s="394" t="str">
        <f t="shared" ca="1" si="2"/>
        <v/>
      </c>
      <c r="AD33" s="395" t="str">
        <f t="shared" ca="1" si="3"/>
        <v/>
      </c>
      <c r="AE33" s="202"/>
      <c r="AF33" s="396">
        <f t="shared" ca="1" si="59"/>
        <v>0</v>
      </c>
      <c r="AG33" s="393">
        <f t="shared" ca="1" si="34"/>
        <v>99999</v>
      </c>
      <c r="AH33" s="202" t="str">
        <f t="shared" ca="1" si="35"/>
        <v/>
      </c>
      <c r="AI33" s="202" t="str">
        <f t="shared" ca="1" si="69"/>
        <v/>
      </c>
      <c r="AJ33" s="394">
        <f t="shared" ca="1" si="4"/>
        <v>99999</v>
      </c>
      <c r="AK33" s="394" t="str">
        <f t="shared" ca="1" si="5"/>
        <v/>
      </c>
      <c r="AL33" s="395" t="str">
        <f t="shared" ca="1" si="6"/>
        <v/>
      </c>
      <c r="AN33" s="396">
        <f t="shared" ca="1" si="60"/>
        <v>0</v>
      </c>
      <c r="AO33" s="393">
        <f t="shared" ca="1" si="37"/>
        <v>0.51388888888888884</v>
      </c>
      <c r="AP33" s="202">
        <f t="shared" ca="1" si="38"/>
        <v>4</v>
      </c>
      <c r="AQ33" s="202">
        <f t="shared" ca="1" si="70"/>
        <v>3</v>
      </c>
      <c r="AR33" s="394">
        <f t="shared" ca="1" si="7"/>
        <v>99999</v>
      </c>
      <c r="AS33" s="394" t="str">
        <f t="shared" ca="1" si="8"/>
        <v/>
      </c>
      <c r="AT33" s="395" t="str">
        <f t="shared" ca="1" si="9"/>
        <v/>
      </c>
      <c r="AU33" s="202"/>
      <c r="AV33" s="396">
        <f t="shared" ca="1" si="61"/>
        <v>0</v>
      </c>
      <c r="AW33" s="393">
        <f t="shared" ca="1" si="40"/>
        <v>0.51388888888888884</v>
      </c>
      <c r="AX33" s="202">
        <f t="shared" ca="1" si="41"/>
        <v>3</v>
      </c>
      <c r="AY33" s="202">
        <f t="shared" ca="1" si="71"/>
        <v>3</v>
      </c>
      <c r="AZ33" s="394">
        <f t="shared" ca="1" si="10"/>
        <v>99999</v>
      </c>
      <c r="BA33" s="394" t="str">
        <f t="shared" ca="1" si="11"/>
        <v/>
      </c>
      <c r="BB33" s="395" t="str">
        <f t="shared" ca="1" si="12"/>
        <v/>
      </c>
      <c r="BD33" s="396">
        <f t="shared" ca="1" si="62"/>
        <v>0</v>
      </c>
      <c r="BE33" s="393">
        <f t="shared" ca="1" si="43"/>
        <v>99999</v>
      </c>
      <c r="BF33" s="202" t="str">
        <f t="shared" ca="1" si="44"/>
        <v/>
      </c>
      <c r="BG33" s="202" t="str">
        <f t="shared" ca="1" si="72"/>
        <v/>
      </c>
      <c r="BH33" s="394">
        <f t="shared" ca="1" si="13"/>
        <v>99999</v>
      </c>
      <c r="BI33" s="394" t="str">
        <f t="shared" ca="1" si="14"/>
        <v/>
      </c>
      <c r="BJ33" s="395" t="str">
        <f t="shared" ca="1" si="15"/>
        <v/>
      </c>
      <c r="BK33" s="202"/>
      <c r="BL33" s="396">
        <f t="shared" ca="1" si="63"/>
        <v>0</v>
      </c>
      <c r="BM33" s="393">
        <f t="shared" ca="1" si="46"/>
        <v>99999</v>
      </c>
      <c r="BN33" s="202" t="str">
        <f t="shared" ca="1" si="47"/>
        <v/>
      </c>
      <c r="BO33" s="202" t="str">
        <f t="shared" ca="1" si="73"/>
        <v/>
      </c>
      <c r="BP33" s="394">
        <f t="shared" ca="1" si="16"/>
        <v>99999</v>
      </c>
      <c r="BQ33" s="394" t="str">
        <f t="shared" ca="1" si="17"/>
        <v/>
      </c>
      <c r="BR33" s="395" t="str">
        <f t="shared" ca="1" si="18"/>
        <v/>
      </c>
      <c r="BT33" s="396">
        <f t="shared" ca="1" si="64"/>
        <v>0</v>
      </c>
      <c r="BU33" s="393">
        <f t="shared" ca="1" si="49"/>
        <v>99999</v>
      </c>
      <c r="BV33" s="202" t="str">
        <f t="shared" ca="1" si="50"/>
        <v/>
      </c>
      <c r="BW33" s="202" t="str">
        <f t="shared" ca="1" si="74"/>
        <v/>
      </c>
      <c r="BX33" s="394">
        <f t="shared" ca="1" si="19"/>
        <v>99999</v>
      </c>
      <c r="BY33" s="394" t="str">
        <f t="shared" ca="1" si="20"/>
        <v/>
      </c>
      <c r="BZ33" s="395" t="str">
        <f t="shared" ca="1" si="21"/>
        <v/>
      </c>
      <c r="CA33" s="202"/>
      <c r="CB33" s="396">
        <f t="shared" ca="1" si="65"/>
        <v>0</v>
      </c>
      <c r="CC33" s="393">
        <f t="shared" ca="1" si="52"/>
        <v>99999</v>
      </c>
      <c r="CD33" s="202" t="str">
        <f t="shared" ca="1" si="53"/>
        <v/>
      </c>
      <c r="CE33" s="202" t="str">
        <f t="shared" ca="1" si="75"/>
        <v/>
      </c>
      <c r="CF33" s="394">
        <f t="shared" ca="1" si="22"/>
        <v>99999</v>
      </c>
      <c r="CG33" s="394" t="str">
        <f t="shared" ca="1" si="23"/>
        <v/>
      </c>
      <c r="CH33" s="395" t="str">
        <f t="shared" ca="1" si="24"/>
        <v/>
      </c>
      <c r="CJ33" s="396">
        <f t="shared" ca="1" si="66"/>
        <v>0</v>
      </c>
      <c r="CK33" s="393">
        <f t="shared" ca="1" si="55"/>
        <v>99999</v>
      </c>
      <c r="CL33" s="202" t="str">
        <f t="shared" ca="1" si="56"/>
        <v/>
      </c>
      <c r="CM33" s="202" t="str">
        <f t="shared" ca="1" si="76"/>
        <v/>
      </c>
      <c r="CN33" s="394">
        <f t="shared" ca="1" si="25"/>
        <v>99999</v>
      </c>
      <c r="CO33" s="394" t="str">
        <f t="shared" ca="1" si="26"/>
        <v/>
      </c>
      <c r="CP33" s="395" t="str">
        <f t="shared" ca="1" si="27"/>
        <v/>
      </c>
    </row>
    <row r="34" spans="4:94" ht="15.95" customHeight="1" x14ac:dyDescent="0.25">
      <c r="D34" s="159">
        <f t="shared" ca="1" si="28"/>
        <v>2</v>
      </c>
      <c r="E34" s="159">
        <f t="shared" ca="1" si="29"/>
        <v>61</v>
      </c>
      <c r="F34" s="159">
        <f ca="1">IF($E34="",0,COUNTIF($E$7:$E34,INDEX($E$79:$E$150,ROW($A28))))</f>
        <v>1</v>
      </c>
      <c r="G34" s="205"/>
      <c r="H34" s="200">
        <v>28</v>
      </c>
      <c r="I34" s="227">
        <f ca="1">IF(OR($X$3,$H34&gt;Calc!$B$13/2*$D$6),"",$T$6+QUOTIENT(($H34-1),$T$22)*($T$8+$T$10)/1440+SUM($Q$7:$Q33)/1440)</f>
        <v>0.53125</v>
      </c>
      <c r="J34" s="229">
        <f ca="1">IF(OR($X$3,$H34&gt;Calc!$B$13/2*$D$6),"",MOD(($H34-1),$T$22)+1)</f>
        <v>1</v>
      </c>
      <c r="K34" s="54">
        <f ca="1"/>
        <v>6</v>
      </c>
      <c r="L34" s="53" t="s">
        <v>5</v>
      </c>
      <c r="M34" s="55">
        <f ca="1"/>
        <v>1</v>
      </c>
      <c r="N34" s="52" t="str">
        <f t="shared" ca="1" si="30"/>
        <v>Inter Mailand</v>
      </c>
      <c r="O34" s="50" t="s">
        <v>5</v>
      </c>
      <c r="P34" s="51" t="str">
        <f t="shared" ca="1" si="31"/>
        <v>1. FC Riedwald</v>
      </c>
      <c r="Q34" s="381"/>
      <c r="R34" s="220"/>
      <c r="S34" s="221"/>
      <c r="T34" s="221"/>
      <c r="U34" s="221"/>
      <c r="V34" s="221"/>
      <c r="W34" s="202">
        <f t="shared" ca="1" si="58"/>
        <v>0</v>
      </c>
      <c r="X34" s="396">
        <f t="shared" ca="1" si="67"/>
        <v>0</v>
      </c>
      <c r="Y34" s="393">
        <f t="shared" ca="1" si="32"/>
        <v>0.53125</v>
      </c>
      <c r="Z34" s="202">
        <f t="shared" ca="1" si="0"/>
        <v>6</v>
      </c>
      <c r="AA34" s="202">
        <f t="shared" ca="1" si="68"/>
        <v>1</v>
      </c>
      <c r="AB34" s="394">
        <f t="shared" ca="1" si="1"/>
        <v>99999</v>
      </c>
      <c r="AC34" s="394" t="str">
        <f t="shared" ca="1" si="2"/>
        <v/>
      </c>
      <c r="AD34" s="395" t="str">
        <f t="shared" ca="1" si="3"/>
        <v/>
      </c>
      <c r="AE34" s="202"/>
      <c r="AF34" s="396">
        <f t="shared" ca="1" si="59"/>
        <v>0</v>
      </c>
      <c r="AG34" s="393">
        <f t="shared" ca="1" si="34"/>
        <v>99999</v>
      </c>
      <c r="AH34" s="202" t="str">
        <f t="shared" ca="1" si="35"/>
        <v/>
      </c>
      <c r="AI34" s="202" t="str">
        <f t="shared" ca="1" si="69"/>
        <v/>
      </c>
      <c r="AJ34" s="394">
        <f t="shared" ca="1" si="4"/>
        <v>99999</v>
      </c>
      <c r="AK34" s="394" t="str">
        <f t="shared" ca="1" si="5"/>
        <v/>
      </c>
      <c r="AL34" s="395" t="str">
        <f t="shared" ca="1" si="6"/>
        <v/>
      </c>
      <c r="AN34" s="396">
        <f t="shared" ca="1" si="60"/>
        <v>0</v>
      </c>
      <c r="AO34" s="393">
        <f t="shared" ca="1" si="37"/>
        <v>99999</v>
      </c>
      <c r="AP34" s="202" t="str">
        <f t="shared" ca="1" si="38"/>
        <v/>
      </c>
      <c r="AQ34" s="202" t="str">
        <f t="shared" ca="1" si="70"/>
        <v/>
      </c>
      <c r="AR34" s="394">
        <f t="shared" ca="1" si="7"/>
        <v>99999</v>
      </c>
      <c r="AS34" s="394" t="str">
        <f t="shared" ca="1" si="8"/>
        <v/>
      </c>
      <c r="AT34" s="395" t="str">
        <f t="shared" ca="1" si="9"/>
        <v/>
      </c>
      <c r="AU34" s="202"/>
      <c r="AV34" s="396">
        <f t="shared" ca="1" si="61"/>
        <v>0</v>
      </c>
      <c r="AW34" s="393">
        <f t="shared" ca="1" si="40"/>
        <v>99999</v>
      </c>
      <c r="AX34" s="202" t="str">
        <f t="shared" ca="1" si="41"/>
        <v/>
      </c>
      <c r="AY34" s="202" t="str">
        <f t="shared" ca="1" si="71"/>
        <v/>
      </c>
      <c r="AZ34" s="394">
        <f t="shared" ca="1" si="10"/>
        <v>99999</v>
      </c>
      <c r="BA34" s="394" t="str">
        <f t="shared" ca="1" si="11"/>
        <v/>
      </c>
      <c r="BB34" s="395" t="str">
        <f t="shared" ca="1" si="12"/>
        <v/>
      </c>
      <c r="BD34" s="396">
        <f t="shared" ca="1" si="62"/>
        <v>0</v>
      </c>
      <c r="BE34" s="393">
        <f t="shared" ca="1" si="43"/>
        <v>99999</v>
      </c>
      <c r="BF34" s="202" t="str">
        <f t="shared" ca="1" si="44"/>
        <v/>
      </c>
      <c r="BG34" s="202" t="str">
        <f t="shared" ca="1" si="72"/>
        <v/>
      </c>
      <c r="BH34" s="394">
        <f t="shared" ca="1" si="13"/>
        <v>99999</v>
      </c>
      <c r="BI34" s="394" t="str">
        <f t="shared" ca="1" si="14"/>
        <v/>
      </c>
      <c r="BJ34" s="395" t="str">
        <f t="shared" ca="1" si="15"/>
        <v/>
      </c>
      <c r="BK34" s="202"/>
      <c r="BL34" s="396">
        <f t="shared" ca="1" si="63"/>
        <v>0</v>
      </c>
      <c r="BM34" s="393">
        <f t="shared" ca="1" si="46"/>
        <v>0.53125</v>
      </c>
      <c r="BN34" s="202">
        <f t="shared" ca="1" si="47"/>
        <v>1</v>
      </c>
      <c r="BO34" s="202">
        <f t="shared" ca="1" si="73"/>
        <v>1</v>
      </c>
      <c r="BP34" s="394">
        <f t="shared" ca="1" si="16"/>
        <v>99999</v>
      </c>
      <c r="BQ34" s="394" t="str">
        <f t="shared" ca="1" si="17"/>
        <v/>
      </c>
      <c r="BR34" s="395" t="str">
        <f t="shared" ca="1" si="18"/>
        <v/>
      </c>
      <c r="BT34" s="396">
        <f t="shared" ca="1" si="64"/>
        <v>0</v>
      </c>
      <c r="BU34" s="393">
        <f t="shared" ca="1" si="49"/>
        <v>99999</v>
      </c>
      <c r="BV34" s="202" t="str">
        <f t="shared" ca="1" si="50"/>
        <v/>
      </c>
      <c r="BW34" s="202" t="str">
        <f t="shared" ca="1" si="74"/>
        <v/>
      </c>
      <c r="BX34" s="394">
        <f t="shared" ca="1" si="19"/>
        <v>99999</v>
      </c>
      <c r="BY34" s="394" t="str">
        <f t="shared" ca="1" si="20"/>
        <v/>
      </c>
      <c r="BZ34" s="395" t="str">
        <f t="shared" ca="1" si="21"/>
        <v/>
      </c>
      <c r="CA34" s="202"/>
      <c r="CB34" s="396">
        <f t="shared" ca="1" si="65"/>
        <v>0</v>
      </c>
      <c r="CC34" s="393">
        <f t="shared" ca="1" si="52"/>
        <v>99999</v>
      </c>
      <c r="CD34" s="202" t="str">
        <f t="shared" ca="1" si="53"/>
        <v/>
      </c>
      <c r="CE34" s="202" t="str">
        <f t="shared" ca="1" si="75"/>
        <v/>
      </c>
      <c r="CF34" s="394">
        <f t="shared" ca="1" si="22"/>
        <v>99999</v>
      </c>
      <c r="CG34" s="394" t="str">
        <f t="shared" ca="1" si="23"/>
        <v/>
      </c>
      <c r="CH34" s="395" t="str">
        <f t="shared" ca="1" si="24"/>
        <v/>
      </c>
      <c r="CJ34" s="396">
        <f t="shared" ca="1" si="66"/>
        <v>0</v>
      </c>
      <c r="CK34" s="393">
        <f t="shared" ca="1" si="55"/>
        <v>99999</v>
      </c>
      <c r="CL34" s="202" t="str">
        <f t="shared" ca="1" si="56"/>
        <v/>
      </c>
      <c r="CM34" s="202" t="str">
        <f t="shared" ca="1" si="76"/>
        <v/>
      </c>
      <c r="CN34" s="394">
        <f t="shared" ca="1" si="25"/>
        <v>99999</v>
      </c>
      <c r="CO34" s="394" t="str">
        <f t="shared" ca="1" si="26"/>
        <v/>
      </c>
      <c r="CP34" s="395" t="str">
        <f t="shared" ca="1" si="27"/>
        <v/>
      </c>
    </row>
    <row r="35" spans="4:94" ht="15.95" customHeight="1" x14ac:dyDescent="0.25">
      <c r="D35" s="159">
        <f t="shared" ca="1" si="28"/>
        <v>2</v>
      </c>
      <c r="E35" s="159">
        <f t="shared" ca="1" si="29"/>
        <v>75</v>
      </c>
      <c r="F35" s="159">
        <f ca="1">IF($E35="",0,COUNTIF($E$7:$E35,INDEX($E$79:$E$150,ROW($A29))))</f>
        <v>1</v>
      </c>
      <c r="G35" s="205"/>
      <c r="H35" s="200">
        <v>29</v>
      </c>
      <c r="I35" s="227">
        <f ca="1">IF(OR($X$3,$H35&gt;Calc!$B$13/2*$D$6),"",$T$6+QUOTIENT(($H35-1),$T$22)*($T$8+$T$10)/1440+SUM($Q$7:$Q34)/1440)</f>
        <v>0.53125</v>
      </c>
      <c r="J35" s="229">
        <f ca="1">IF(OR($X$3,$H35&gt;Calc!$B$13/2*$D$6),"",MOD(($H35-1),$T$22)+1)</f>
        <v>2</v>
      </c>
      <c r="K35" s="54">
        <f ca="1"/>
        <v>7</v>
      </c>
      <c r="L35" s="53" t="s">
        <v>5</v>
      </c>
      <c r="M35" s="55">
        <f ca="1"/>
        <v>5</v>
      </c>
      <c r="N35" s="52" t="str">
        <f t="shared" ca="1" si="30"/>
        <v>SSV Wildbach</v>
      </c>
      <c r="O35" s="50" t="s">
        <v>5</v>
      </c>
      <c r="P35" s="51" t="str">
        <f t="shared" ca="1" si="31"/>
        <v>VFB Essenheim</v>
      </c>
      <c r="Q35" s="381"/>
      <c r="R35" s="220"/>
      <c r="S35" s="221"/>
      <c r="T35" s="221"/>
      <c r="U35" s="221"/>
      <c r="V35" s="221"/>
      <c r="W35" s="202">
        <f t="shared" ca="1" si="58"/>
        <v>0</v>
      </c>
      <c r="X35" s="396">
        <f t="shared" ca="1" si="67"/>
        <v>0</v>
      </c>
      <c r="Y35" s="393">
        <f t="shared" ca="1" si="32"/>
        <v>99999</v>
      </c>
      <c r="Z35" s="202" t="str">
        <f t="shared" ca="1" si="0"/>
        <v/>
      </c>
      <c r="AA35" s="202" t="str">
        <f t="shared" ca="1" si="68"/>
        <v/>
      </c>
      <c r="AB35" s="394">
        <f t="shared" ca="1" si="1"/>
        <v>99999</v>
      </c>
      <c r="AC35" s="394" t="str">
        <f t="shared" ca="1" si="2"/>
        <v/>
      </c>
      <c r="AD35" s="395" t="str">
        <f t="shared" ca="1" si="3"/>
        <v/>
      </c>
      <c r="AE35" s="202"/>
      <c r="AF35" s="396">
        <f t="shared" ca="1" si="59"/>
        <v>0</v>
      </c>
      <c r="AG35" s="393">
        <f t="shared" ca="1" si="34"/>
        <v>99999</v>
      </c>
      <c r="AH35" s="202" t="str">
        <f t="shared" ca="1" si="35"/>
        <v/>
      </c>
      <c r="AI35" s="202" t="str">
        <f t="shared" ca="1" si="69"/>
        <v/>
      </c>
      <c r="AJ35" s="394">
        <f t="shared" ca="1" si="4"/>
        <v>99999</v>
      </c>
      <c r="AK35" s="394" t="str">
        <f t="shared" ca="1" si="5"/>
        <v/>
      </c>
      <c r="AL35" s="395" t="str">
        <f t="shared" ca="1" si="6"/>
        <v/>
      </c>
      <c r="AN35" s="396">
        <f t="shared" ca="1" si="60"/>
        <v>0</v>
      </c>
      <c r="AO35" s="393">
        <f t="shared" ca="1" si="37"/>
        <v>99999</v>
      </c>
      <c r="AP35" s="202" t="str">
        <f t="shared" ca="1" si="38"/>
        <v/>
      </c>
      <c r="AQ35" s="202" t="str">
        <f t="shared" ca="1" si="70"/>
        <v/>
      </c>
      <c r="AR35" s="394">
        <f t="shared" ca="1" si="7"/>
        <v>99999</v>
      </c>
      <c r="AS35" s="394" t="str">
        <f t="shared" ca="1" si="8"/>
        <v/>
      </c>
      <c r="AT35" s="395" t="str">
        <f t="shared" ca="1" si="9"/>
        <v/>
      </c>
      <c r="AU35" s="202"/>
      <c r="AV35" s="396">
        <f t="shared" ca="1" si="61"/>
        <v>0</v>
      </c>
      <c r="AW35" s="393">
        <f t="shared" ca="1" si="40"/>
        <v>99999</v>
      </c>
      <c r="AX35" s="202" t="str">
        <f t="shared" ca="1" si="41"/>
        <v/>
      </c>
      <c r="AY35" s="202" t="str">
        <f t="shared" ca="1" si="71"/>
        <v/>
      </c>
      <c r="AZ35" s="394">
        <f t="shared" ca="1" si="10"/>
        <v>99999</v>
      </c>
      <c r="BA35" s="394" t="str">
        <f t="shared" ca="1" si="11"/>
        <v/>
      </c>
      <c r="BB35" s="395" t="str">
        <f t="shared" ca="1" si="12"/>
        <v/>
      </c>
      <c r="BD35" s="396">
        <f t="shared" ca="1" si="62"/>
        <v>0</v>
      </c>
      <c r="BE35" s="393">
        <f t="shared" ca="1" si="43"/>
        <v>0.53125</v>
      </c>
      <c r="BF35" s="202">
        <f t="shared" ca="1" si="44"/>
        <v>7</v>
      </c>
      <c r="BG35" s="202">
        <f t="shared" ca="1" si="72"/>
        <v>2</v>
      </c>
      <c r="BH35" s="394">
        <f t="shared" ca="1" si="13"/>
        <v>99999</v>
      </c>
      <c r="BI35" s="394" t="str">
        <f t="shared" ca="1" si="14"/>
        <v/>
      </c>
      <c r="BJ35" s="395" t="str">
        <f t="shared" ca="1" si="15"/>
        <v/>
      </c>
      <c r="BK35" s="202"/>
      <c r="BL35" s="396">
        <f t="shared" ca="1" si="63"/>
        <v>0</v>
      </c>
      <c r="BM35" s="393">
        <f t="shared" ca="1" si="46"/>
        <v>99999</v>
      </c>
      <c r="BN35" s="202" t="str">
        <f t="shared" ca="1" si="47"/>
        <v/>
      </c>
      <c r="BO35" s="202" t="str">
        <f t="shared" ca="1" si="73"/>
        <v/>
      </c>
      <c r="BP35" s="394">
        <f t="shared" ca="1" si="16"/>
        <v>99999</v>
      </c>
      <c r="BQ35" s="394" t="str">
        <f t="shared" ca="1" si="17"/>
        <v/>
      </c>
      <c r="BR35" s="395" t="str">
        <f t="shared" ca="1" si="18"/>
        <v/>
      </c>
      <c r="BT35" s="396">
        <f t="shared" ca="1" si="64"/>
        <v>0</v>
      </c>
      <c r="BU35" s="393">
        <f t="shared" ca="1" si="49"/>
        <v>0.53125</v>
      </c>
      <c r="BV35" s="202">
        <f t="shared" ca="1" si="50"/>
        <v>5</v>
      </c>
      <c r="BW35" s="202">
        <f t="shared" ca="1" si="74"/>
        <v>2</v>
      </c>
      <c r="BX35" s="394">
        <f t="shared" ca="1" si="19"/>
        <v>99999</v>
      </c>
      <c r="BY35" s="394" t="str">
        <f t="shared" ca="1" si="20"/>
        <v/>
      </c>
      <c r="BZ35" s="395" t="str">
        <f t="shared" ca="1" si="21"/>
        <v/>
      </c>
      <c r="CA35" s="202"/>
      <c r="CB35" s="396">
        <f t="shared" ca="1" si="65"/>
        <v>0</v>
      </c>
      <c r="CC35" s="393">
        <f t="shared" ca="1" si="52"/>
        <v>99999</v>
      </c>
      <c r="CD35" s="202" t="str">
        <f t="shared" ca="1" si="53"/>
        <v/>
      </c>
      <c r="CE35" s="202" t="str">
        <f t="shared" ca="1" si="75"/>
        <v/>
      </c>
      <c r="CF35" s="394">
        <f t="shared" ca="1" si="22"/>
        <v>99999</v>
      </c>
      <c r="CG35" s="394" t="str">
        <f t="shared" ca="1" si="23"/>
        <v/>
      </c>
      <c r="CH35" s="395" t="str">
        <f t="shared" ca="1" si="24"/>
        <v/>
      </c>
      <c r="CJ35" s="396">
        <f t="shared" ca="1" si="66"/>
        <v>0</v>
      </c>
      <c r="CK35" s="393">
        <f t="shared" ca="1" si="55"/>
        <v>99999</v>
      </c>
      <c r="CL35" s="202" t="str">
        <f t="shared" ca="1" si="56"/>
        <v/>
      </c>
      <c r="CM35" s="202" t="str">
        <f t="shared" ca="1" si="76"/>
        <v/>
      </c>
      <c r="CN35" s="394">
        <f t="shared" ca="1" si="25"/>
        <v>99999</v>
      </c>
      <c r="CO35" s="394" t="str">
        <f t="shared" ca="1" si="26"/>
        <v/>
      </c>
      <c r="CP35" s="395" t="str">
        <f t="shared" ca="1" si="27"/>
        <v/>
      </c>
    </row>
    <row r="36" spans="4:94" ht="15.95" customHeight="1" x14ac:dyDescent="0.25">
      <c r="D36" s="159">
        <f t="shared" ca="1" si="28"/>
        <v>2</v>
      </c>
      <c r="E36" s="159">
        <f t="shared" ca="1" si="29"/>
        <v>23</v>
      </c>
      <c r="F36" s="159">
        <f ca="1">IF($E36="",0,COUNTIF($E$7:$E36,INDEX($E$79:$E$150,ROW($A30))))</f>
        <v>1</v>
      </c>
      <c r="G36" s="205"/>
      <c r="H36" s="200">
        <v>30</v>
      </c>
      <c r="I36" s="227">
        <f ca="1">IF(OR($X$3,$H36&gt;Calc!$B$13/2*$D$6),"",$T$6+QUOTIENT(($H36-1),$T$22)*($T$8+$T$10)/1440+SUM($Q$7:$Q35)/1440)</f>
        <v>0.53125</v>
      </c>
      <c r="J36" s="229">
        <f ca="1">IF(OR($X$3,$H36&gt;Calc!$B$13/2*$D$6),"",MOD(($H36-1),$T$22)+1)</f>
        <v>3</v>
      </c>
      <c r="K36" s="54">
        <f ca="1"/>
        <v>2</v>
      </c>
      <c r="L36" s="53" t="s">
        <v>5</v>
      </c>
      <c r="M36" s="55">
        <f ca="1"/>
        <v>3</v>
      </c>
      <c r="N36" s="52" t="str">
        <f t="shared" ca="1" si="30"/>
        <v>FC Barcelona</v>
      </c>
      <c r="O36" s="50" t="s">
        <v>5</v>
      </c>
      <c r="P36" s="51" t="str">
        <f t="shared" ca="1" si="31"/>
        <v>Eintracht Frankfurt</v>
      </c>
      <c r="Q36" s="381"/>
      <c r="R36" s="220"/>
      <c r="S36" s="221"/>
      <c r="T36" s="221"/>
      <c r="U36" s="221"/>
      <c r="V36" s="221"/>
      <c r="W36" s="202">
        <f t="shared" ca="1" si="58"/>
        <v>0</v>
      </c>
      <c r="X36" s="396">
        <f t="shared" ca="1" si="67"/>
        <v>0</v>
      </c>
      <c r="Y36" s="393">
        <f t="shared" ca="1" si="32"/>
        <v>99999</v>
      </c>
      <c r="Z36" s="202" t="str">
        <f t="shared" ca="1" si="0"/>
        <v/>
      </c>
      <c r="AA36" s="202" t="str">
        <f t="shared" ca="1" si="68"/>
        <v/>
      </c>
      <c r="AB36" s="394">
        <f t="shared" ca="1" si="1"/>
        <v>99999</v>
      </c>
      <c r="AC36" s="394" t="str">
        <f t="shared" ca="1" si="2"/>
        <v/>
      </c>
      <c r="AD36" s="395" t="str">
        <f t="shared" ca="1" si="3"/>
        <v/>
      </c>
      <c r="AE36" s="202"/>
      <c r="AF36" s="396">
        <f t="shared" ca="1" si="59"/>
        <v>0</v>
      </c>
      <c r="AG36" s="393">
        <f t="shared" ca="1" si="34"/>
        <v>0.53125</v>
      </c>
      <c r="AH36" s="202">
        <f t="shared" ca="1" si="35"/>
        <v>3</v>
      </c>
      <c r="AI36" s="202">
        <f t="shared" ca="1" si="69"/>
        <v>3</v>
      </c>
      <c r="AJ36" s="394">
        <f t="shared" ca="1" si="4"/>
        <v>99999</v>
      </c>
      <c r="AK36" s="394" t="str">
        <f t="shared" ca="1" si="5"/>
        <v/>
      </c>
      <c r="AL36" s="395" t="str">
        <f t="shared" ca="1" si="6"/>
        <v/>
      </c>
      <c r="AN36" s="396">
        <f t="shared" ca="1" si="60"/>
        <v>0</v>
      </c>
      <c r="AO36" s="393">
        <f t="shared" ca="1" si="37"/>
        <v>0.53125</v>
      </c>
      <c r="AP36" s="202">
        <f t="shared" ca="1" si="38"/>
        <v>2</v>
      </c>
      <c r="AQ36" s="202">
        <f t="shared" ca="1" si="70"/>
        <v>3</v>
      </c>
      <c r="AR36" s="394">
        <f t="shared" ca="1" si="7"/>
        <v>99999</v>
      </c>
      <c r="AS36" s="394" t="str">
        <f t="shared" ca="1" si="8"/>
        <v/>
      </c>
      <c r="AT36" s="395" t="str">
        <f t="shared" ca="1" si="9"/>
        <v/>
      </c>
      <c r="AU36" s="202"/>
      <c r="AV36" s="396">
        <f t="shared" ca="1" si="61"/>
        <v>0</v>
      </c>
      <c r="AW36" s="393">
        <f t="shared" ca="1" si="40"/>
        <v>99999</v>
      </c>
      <c r="AX36" s="202" t="str">
        <f t="shared" ca="1" si="41"/>
        <v/>
      </c>
      <c r="AY36" s="202" t="str">
        <f t="shared" ca="1" si="71"/>
        <v/>
      </c>
      <c r="AZ36" s="394">
        <f t="shared" ca="1" si="10"/>
        <v>99999</v>
      </c>
      <c r="BA36" s="394" t="str">
        <f t="shared" ca="1" si="11"/>
        <v/>
      </c>
      <c r="BB36" s="395" t="str">
        <f t="shared" ca="1" si="12"/>
        <v/>
      </c>
      <c r="BD36" s="396">
        <f t="shared" ca="1" si="62"/>
        <v>0</v>
      </c>
      <c r="BE36" s="393">
        <f t="shared" ca="1" si="43"/>
        <v>99999</v>
      </c>
      <c r="BF36" s="202" t="str">
        <f t="shared" ca="1" si="44"/>
        <v/>
      </c>
      <c r="BG36" s="202" t="str">
        <f t="shared" ca="1" si="72"/>
        <v/>
      </c>
      <c r="BH36" s="394">
        <f t="shared" ca="1" si="13"/>
        <v>99999</v>
      </c>
      <c r="BI36" s="394" t="str">
        <f t="shared" ca="1" si="14"/>
        <v/>
      </c>
      <c r="BJ36" s="395" t="str">
        <f t="shared" ca="1" si="15"/>
        <v/>
      </c>
      <c r="BK36" s="202"/>
      <c r="BL36" s="396">
        <f t="shared" ca="1" si="63"/>
        <v>0</v>
      </c>
      <c r="BM36" s="393">
        <f t="shared" ca="1" si="46"/>
        <v>99999</v>
      </c>
      <c r="BN36" s="202" t="str">
        <f t="shared" ca="1" si="47"/>
        <v/>
      </c>
      <c r="BO36" s="202" t="str">
        <f t="shared" ca="1" si="73"/>
        <v/>
      </c>
      <c r="BP36" s="394">
        <f t="shared" ca="1" si="16"/>
        <v>99999</v>
      </c>
      <c r="BQ36" s="394" t="str">
        <f t="shared" ca="1" si="17"/>
        <v/>
      </c>
      <c r="BR36" s="395" t="str">
        <f t="shared" ca="1" si="18"/>
        <v/>
      </c>
      <c r="BT36" s="396">
        <f t="shared" ca="1" si="64"/>
        <v>0</v>
      </c>
      <c r="BU36" s="393">
        <f t="shared" ca="1" si="49"/>
        <v>99999</v>
      </c>
      <c r="BV36" s="202" t="str">
        <f t="shared" ca="1" si="50"/>
        <v/>
      </c>
      <c r="BW36" s="202" t="str">
        <f t="shared" ca="1" si="74"/>
        <v/>
      </c>
      <c r="BX36" s="394">
        <f t="shared" ca="1" si="19"/>
        <v>99999</v>
      </c>
      <c r="BY36" s="394" t="str">
        <f t="shared" ca="1" si="20"/>
        <v/>
      </c>
      <c r="BZ36" s="395" t="str">
        <f t="shared" ca="1" si="21"/>
        <v/>
      </c>
      <c r="CA36" s="202"/>
      <c r="CB36" s="396">
        <f t="shared" ca="1" si="65"/>
        <v>0</v>
      </c>
      <c r="CC36" s="393">
        <f t="shared" ca="1" si="52"/>
        <v>99999</v>
      </c>
      <c r="CD36" s="202" t="str">
        <f t="shared" ca="1" si="53"/>
        <v/>
      </c>
      <c r="CE36" s="202" t="str">
        <f t="shared" ca="1" si="75"/>
        <v/>
      </c>
      <c r="CF36" s="394">
        <f t="shared" ca="1" si="22"/>
        <v>99999</v>
      </c>
      <c r="CG36" s="394" t="str">
        <f t="shared" ca="1" si="23"/>
        <v/>
      </c>
      <c r="CH36" s="395" t="str">
        <f t="shared" ca="1" si="24"/>
        <v/>
      </c>
      <c r="CJ36" s="396">
        <f t="shared" ca="1" si="66"/>
        <v>0</v>
      </c>
      <c r="CK36" s="393">
        <f t="shared" ca="1" si="55"/>
        <v>99999</v>
      </c>
      <c r="CL36" s="202" t="str">
        <f t="shared" ca="1" si="56"/>
        <v/>
      </c>
      <c r="CM36" s="202" t="str">
        <f t="shared" ca="1" si="76"/>
        <v/>
      </c>
      <c r="CN36" s="394">
        <f t="shared" ca="1" si="25"/>
        <v>99999</v>
      </c>
      <c r="CO36" s="394" t="str">
        <f t="shared" ca="1" si="26"/>
        <v/>
      </c>
      <c r="CP36" s="395" t="str">
        <f t="shared" ca="1" si="27"/>
        <v/>
      </c>
    </row>
    <row r="37" spans="4:94" ht="15.95" customHeight="1" x14ac:dyDescent="0.25">
      <c r="D37" s="159">
        <f t="shared" ca="1" si="28"/>
        <v>2</v>
      </c>
      <c r="E37" s="159">
        <f t="shared" ca="1" si="29"/>
        <v>15</v>
      </c>
      <c r="F37" s="159">
        <f ca="1">IF($E37="",0,COUNTIF($E$7:$E37,INDEX($E$79:$E$150,ROW($A31))))</f>
        <v>1</v>
      </c>
      <c r="G37" s="205"/>
      <c r="H37" s="200">
        <v>31</v>
      </c>
      <c r="I37" s="227">
        <f ca="1">IF(OR($X$3,$H37&gt;Calc!$B$13/2*$D$6),"",$T$6+QUOTIENT(($H37-1),$T$22)*($T$8+$T$10)/1440+SUM($Q$7:$Q36)/1440)</f>
        <v>0.54861111111111116</v>
      </c>
      <c r="J37" s="229">
        <f ca="1">IF(OR($X$3,$H37&gt;Calc!$B$13/2*$D$6),"",MOD(($H37-1),$T$22)+1)</f>
        <v>1</v>
      </c>
      <c r="K37" s="54">
        <f ca="1"/>
        <v>1</v>
      </c>
      <c r="L37" s="53" t="s">
        <v>5</v>
      </c>
      <c r="M37" s="55">
        <f ca="1"/>
        <v>5</v>
      </c>
      <c r="N37" s="52" t="str">
        <f t="shared" ca="1" si="30"/>
        <v>1. FC Riedwald</v>
      </c>
      <c r="O37" s="50" t="s">
        <v>5</v>
      </c>
      <c r="P37" s="51" t="str">
        <f t="shared" ca="1" si="31"/>
        <v>VFB Essenheim</v>
      </c>
      <c r="Q37" s="381"/>
      <c r="R37" s="220"/>
      <c r="S37" s="221"/>
      <c r="T37" s="221"/>
      <c r="U37" s="221"/>
      <c r="V37" s="221"/>
      <c r="W37" s="202">
        <f t="shared" ca="1" si="58"/>
        <v>0</v>
      </c>
      <c r="X37" s="396">
        <f t="shared" ca="1" si="67"/>
        <v>0</v>
      </c>
      <c r="Y37" s="393">
        <f t="shared" ca="1" si="32"/>
        <v>0.54861111111111116</v>
      </c>
      <c r="Z37" s="202">
        <f t="shared" ca="1" si="0"/>
        <v>5</v>
      </c>
      <c r="AA37" s="202">
        <f t="shared" ca="1" si="68"/>
        <v>1</v>
      </c>
      <c r="AB37" s="394">
        <f t="shared" ca="1" si="1"/>
        <v>99999</v>
      </c>
      <c r="AC37" s="394" t="str">
        <f t="shared" ca="1" si="2"/>
        <v/>
      </c>
      <c r="AD37" s="395" t="str">
        <f t="shared" ca="1" si="3"/>
        <v/>
      </c>
      <c r="AE37" s="202"/>
      <c r="AF37" s="396">
        <f t="shared" ca="1" si="59"/>
        <v>0</v>
      </c>
      <c r="AG37" s="393">
        <f t="shared" ca="1" si="34"/>
        <v>99999</v>
      </c>
      <c r="AH37" s="202" t="str">
        <f t="shared" ca="1" si="35"/>
        <v/>
      </c>
      <c r="AI37" s="202" t="str">
        <f t="shared" ca="1" si="69"/>
        <v/>
      </c>
      <c r="AJ37" s="394">
        <f t="shared" ca="1" si="4"/>
        <v>99999</v>
      </c>
      <c r="AK37" s="394" t="str">
        <f t="shared" ca="1" si="5"/>
        <v/>
      </c>
      <c r="AL37" s="395" t="str">
        <f t="shared" ca="1" si="6"/>
        <v/>
      </c>
      <c r="AN37" s="396">
        <f t="shared" ca="1" si="60"/>
        <v>0</v>
      </c>
      <c r="AO37" s="393">
        <f t="shared" ca="1" si="37"/>
        <v>99999</v>
      </c>
      <c r="AP37" s="202" t="str">
        <f t="shared" ca="1" si="38"/>
        <v/>
      </c>
      <c r="AQ37" s="202" t="str">
        <f t="shared" ca="1" si="70"/>
        <v/>
      </c>
      <c r="AR37" s="394">
        <f t="shared" ca="1" si="7"/>
        <v>99999</v>
      </c>
      <c r="AS37" s="394" t="str">
        <f t="shared" ca="1" si="8"/>
        <v/>
      </c>
      <c r="AT37" s="395" t="str">
        <f t="shared" ca="1" si="9"/>
        <v/>
      </c>
      <c r="AU37" s="202"/>
      <c r="AV37" s="396">
        <f t="shared" ca="1" si="61"/>
        <v>0</v>
      </c>
      <c r="AW37" s="393">
        <f t="shared" ca="1" si="40"/>
        <v>99999</v>
      </c>
      <c r="AX37" s="202" t="str">
        <f t="shared" ca="1" si="41"/>
        <v/>
      </c>
      <c r="AY37" s="202" t="str">
        <f t="shared" ca="1" si="71"/>
        <v/>
      </c>
      <c r="AZ37" s="394">
        <f t="shared" ca="1" si="10"/>
        <v>99999</v>
      </c>
      <c r="BA37" s="394" t="str">
        <f t="shared" ca="1" si="11"/>
        <v/>
      </c>
      <c r="BB37" s="395" t="str">
        <f t="shared" ca="1" si="12"/>
        <v/>
      </c>
      <c r="BD37" s="396">
        <f t="shared" ca="1" si="62"/>
        <v>0</v>
      </c>
      <c r="BE37" s="393">
        <f t="shared" ca="1" si="43"/>
        <v>0.54861111111111116</v>
      </c>
      <c r="BF37" s="202">
        <f t="shared" ca="1" si="44"/>
        <v>1</v>
      </c>
      <c r="BG37" s="202">
        <f t="shared" ca="1" si="72"/>
        <v>1</v>
      </c>
      <c r="BH37" s="394">
        <f t="shared" ca="1" si="13"/>
        <v>99999</v>
      </c>
      <c r="BI37" s="394" t="str">
        <f t="shared" ca="1" si="14"/>
        <v/>
      </c>
      <c r="BJ37" s="395" t="str">
        <f t="shared" ca="1" si="15"/>
        <v/>
      </c>
      <c r="BK37" s="202"/>
      <c r="BL37" s="396">
        <f t="shared" ca="1" si="63"/>
        <v>0</v>
      </c>
      <c r="BM37" s="393">
        <f t="shared" ca="1" si="46"/>
        <v>99999</v>
      </c>
      <c r="BN37" s="202" t="str">
        <f t="shared" ca="1" si="47"/>
        <v/>
      </c>
      <c r="BO37" s="202" t="str">
        <f t="shared" ca="1" si="73"/>
        <v/>
      </c>
      <c r="BP37" s="394">
        <f t="shared" ca="1" si="16"/>
        <v>99999</v>
      </c>
      <c r="BQ37" s="394" t="str">
        <f t="shared" ca="1" si="17"/>
        <v/>
      </c>
      <c r="BR37" s="395" t="str">
        <f t="shared" ca="1" si="18"/>
        <v/>
      </c>
      <c r="BT37" s="396">
        <f t="shared" ca="1" si="64"/>
        <v>0</v>
      </c>
      <c r="BU37" s="393">
        <f t="shared" ca="1" si="49"/>
        <v>99999</v>
      </c>
      <c r="BV37" s="202" t="str">
        <f t="shared" ca="1" si="50"/>
        <v/>
      </c>
      <c r="BW37" s="202" t="str">
        <f t="shared" ca="1" si="74"/>
        <v/>
      </c>
      <c r="BX37" s="394">
        <f t="shared" ca="1" si="19"/>
        <v>99999</v>
      </c>
      <c r="BY37" s="394" t="str">
        <f t="shared" ca="1" si="20"/>
        <v/>
      </c>
      <c r="BZ37" s="395" t="str">
        <f t="shared" ca="1" si="21"/>
        <v/>
      </c>
      <c r="CA37" s="202"/>
      <c r="CB37" s="396">
        <f t="shared" ca="1" si="65"/>
        <v>0</v>
      </c>
      <c r="CC37" s="393">
        <f t="shared" ca="1" si="52"/>
        <v>99999</v>
      </c>
      <c r="CD37" s="202" t="str">
        <f t="shared" ca="1" si="53"/>
        <v/>
      </c>
      <c r="CE37" s="202" t="str">
        <f t="shared" ca="1" si="75"/>
        <v/>
      </c>
      <c r="CF37" s="394">
        <f t="shared" ca="1" si="22"/>
        <v>99999</v>
      </c>
      <c r="CG37" s="394" t="str">
        <f t="shared" ca="1" si="23"/>
        <v/>
      </c>
      <c r="CH37" s="395" t="str">
        <f t="shared" ca="1" si="24"/>
        <v/>
      </c>
      <c r="CJ37" s="396">
        <f t="shared" ca="1" si="66"/>
        <v>0</v>
      </c>
      <c r="CK37" s="393">
        <f t="shared" ca="1" si="55"/>
        <v>99999</v>
      </c>
      <c r="CL37" s="202" t="str">
        <f t="shared" ca="1" si="56"/>
        <v/>
      </c>
      <c r="CM37" s="202" t="str">
        <f t="shared" ca="1" si="76"/>
        <v/>
      </c>
      <c r="CN37" s="394">
        <f t="shared" ca="1" si="25"/>
        <v>99999</v>
      </c>
      <c r="CO37" s="394" t="str">
        <f t="shared" ca="1" si="26"/>
        <v/>
      </c>
      <c r="CP37" s="395" t="str">
        <f t="shared" ca="1" si="27"/>
        <v/>
      </c>
    </row>
    <row r="38" spans="4:94" ht="15.95" customHeight="1" x14ac:dyDescent="0.25">
      <c r="D38" s="159">
        <f t="shared" ca="1" si="28"/>
        <v>2</v>
      </c>
      <c r="E38" s="159">
        <f t="shared" ca="1" si="29"/>
        <v>64</v>
      </c>
      <c r="F38" s="159">
        <f ca="1">IF($E38="",0,COUNTIF($E$7:$E38,INDEX($E$79:$E$150,ROW($A32))))</f>
        <v>1</v>
      </c>
      <c r="G38" s="205"/>
      <c r="H38" s="200">
        <v>32</v>
      </c>
      <c r="I38" s="227">
        <f ca="1">IF(OR($X$3,$H38&gt;Calc!$B$13/2*$D$6),"",$T$6+QUOTIENT(($H38-1),$T$22)*($T$8+$T$10)/1440+SUM($Q$7:$Q37)/1440)</f>
        <v>0.54861111111111116</v>
      </c>
      <c r="J38" s="229">
        <f ca="1">IF(OR($X$3,$H38&gt;Calc!$B$13/2*$D$6),"",MOD(($H38-1),$T$22)+1)</f>
        <v>2</v>
      </c>
      <c r="K38" s="54">
        <f ca="1"/>
        <v>6</v>
      </c>
      <c r="L38" s="53" t="s">
        <v>5</v>
      </c>
      <c r="M38" s="55">
        <f ca="1"/>
        <v>4</v>
      </c>
      <c r="N38" s="52" t="str">
        <f t="shared" ca="1" si="30"/>
        <v>Inter Mailand</v>
      </c>
      <c r="O38" s="50" t="s">
        <v>5</v>
      </c>
      <c r="P38" s="51" t="str">
        <f t="shared" ca="1" si="31"/>
        <v>Maibach 1822 eV</v>
      </c>
      <c r="Q38" s="381"/>
      <c r="R38" s="220"/>
      <c r="S38" s="221"/>
      <c r="T38" s="221"/>
      <c r="U38" s="221"/>
      <c r="V38" s="221"/>
      <c r="W38" s="202">
        <f t="shared" ca="1" si="58"/>
        <v>0</v>
      </c>
      <c r="X38" s="396">
        <f t="shared" ca="1" si="67"/>
        <v>0</v>
      </c>
      <c r="Y38" s="393">
        <f t="shared" ca="1" si="32"/>
        <v>99999</v>
      </c>
      <c r="Z38" s="202" t="str">
        <f t="shared" ca="1" si="0"/>
        <v/>
      </c>
      <c r="AA38" s="202" t="str">
        <f t="shared" ca="1" si="68"/>
        <v/>
      </c>
      <c r="AB38" s="394">
        <f t="shared" ca="1" si="1"/>
        <v>99999</v>
      </c>
      <c r="AC38" s="394" t="str">
        <f t="shared" ca="1" si="2"/>
        <v/>
      </c>
      <c r="AD38" s="395" t="str">
        <f t="shared" ca="1" si="3"/>
        <v/>
      </c>
      <c r="AE38" s="202"/>
      <c r="AF38" s="396">
        <f t="shared" ca="1" si="59"/>
        <v>0</v>
      </c>
      <c r="AG38" s="393">
        <f t="shared" ca="1" si="34"/>
        <v>99999</v>
      </c>
      <c r="AH38" s="202" t="str">
        <f t="shared" ca="1" si="35"/>
        <v/>
      </c>
      <c r="AI38" s="202" t="str">
        <f t="shared" ca="1" si="69"/>
        <v/>
      </c>
      <c r="AJ38" s="394">
        <f t="shared" ca="1" si="4"/>
        <v>99999</v>
      </c>
      <c r="AK38" s="394" t="str">
        <f t="shared" ca="1" si="5"/>
        <v/>
      </c>
      <c r="AL38" s="395" t="str">
        <f t="shared" ca="1" si="6"/>
        <v/>
      </c>
      <c r="AN38" s="396">
        <f t="shared" ca="1" si="60"/>
        <v>0</v>
      </c>
      <c r="AO38" s="393">
        <f t="shared" ca="1" si="37"/>
        <v>99999</v>
      </c>
      <c r="AP38" s="202" t="str">
        <f t="shared" ca="1" si="38"/>
        <v/>
      </c>
      <c r="AQ38" s="202" t="str">
        <f t="shared" ca="1" si="70"/>
        <v/>
      </c>
      <c r="AR38" s="394">
        <f t="shared" ca="1" si="7"/>
        <v>99999</v>
      </c>
      <c r="AS38" s="394" t="str">
        <f t="shared" ca="1" si="8"/>
        <v/>
      </c>
      <c r="AT38" s="395" t="str">
        <f t="shared" ca="1" si="9"/>
        <v/>
      </c>
      <c r="AU38" s="202"/>
      <c r="AV38" s="396">
        <f t="shared" ca="1" si="61"/>
        <v>0</v>
      </c>
      <c r="AW38" s="393">
        <f t="shared" ca="1" si="40"/>
        <v>0.54861111111111116</v>
      </c>
      <c r="AX38" s="202">
        <f t="shared" ca="1" si="41"/>
        <v>6</v>
      </c>
      <c r="AY38" s="202">
        <f t="shared" ca="1" si="71"/>
        <v>2</v>
      </c>
      <c r="AZ38" s="394">
        <f t="shared" ca="1" si="10"/>
        <v>99999</v>
      </c>
      <c r="BA38" s="394" t="str">
        <f t="shared" ca="1" si="11"/>
        <v/>
      </c>
      <c r="BB38" s="395" t="str">
        <f t="shared" ca="1" si="12"/>
        <v/>
      </c>
      <c r="BD38" s="396">
        <f t="shared" ca="1" si="62"/>
        <v>0</v>
      </c>
      <c r="BE38" s="393">
        <f t="shared" ca="1" si="43"/>
        <v>99999</v>
      </c>
      <c r="BF38" s="202" t="str">
        <f t="shared" ca="1" si="44"/>
        <v/>
      </c>
      <c r="BG38" s="202" t="str">
        <f t="shared" ca="1" si="72"/>
        <v/>
      </c>
      <c r="BH38" s="394">
        <f t="shared" ca="1" si="13"/>
        <v>99999</v>
      </c>
      <c r="BI38" s="394" t="str">
        <f t="shared" ca="1" si="14"/>
        <v/>
      </c>
      <c r="BJ38" s="395" t="str">
        <f t="shared" ca="1" si="15"/>
        <v/>
      </c>
      <c r="BK38" s="202"/>
      <c r="BL38" s="396">
        <f t="shared" ca="1" si="63"/>
        <v>0</v>
      </c>
      <c r="BM38" s="393">
        <f t="shared" ca="1" si="46"/>
        <v>0.54861111111111116</v>
      </c>
      <c r="BN38" s="202">
        <f t="shared" ca="1" si="47"/>
        <v>4</v>
      </c>
      <c r="BO38" s="202">
        <f t="shared" ca="1" si="73"/>
        <v>2</v>
      </c>
      <c r="BP38" s="394">
        <f t="shared" ca="1" si="16"/>
        <v>99999</v>
      </c>
      <c r="BQ38" s="394" t="str">
        <f t="shared" ca="1" si="17"/>
        <v/>
      </c>
      <c r="BR38" s="395" t="str">
        <f t="shared" ca="1" si="18"/>
        <v/>
      </c>
      <c r="BT38" s="396">
        <f t="shared" ca="1" si="64"/>
        <v>0</v>
      </c>
      <c r="BU38" s="393">
        <f t="shared" ca="1" si="49"/>
        <v>99999</v>
      </c>
      <c r="BV38" s="202" t="str">
        <f t="shared" ca="1" si="50"/>
        <v/>
      </c>
      <c r="BW38" s="202" t="str">
        <f t="shared" ca="1" si="74"/>
        <v/>
      </c>
      <c r="BX38" s="394">
        <f t="shared" ca="1" si="19"/>
        <v>99999</v>
      </c>
      <c r="BY38" s="394" t="str">
        <f t="shared" ca="1" si="20"/>
        <v/>
      </c>
      <c r="BZ38" s="395" t="str">
        <f t="shared" ca="1" si="21"/>
        <v/>
      </c>
      <c r="CA38" s="202"/>
      <c r="CB38" s="396">
        <f t="shared" ca="1" si="65"/>
        <v>0</v>
      </c>
      <c r="CC38" s="393">
        <f t="shared" ca="1" si="52"/>
        <v>99999</v>
      </c>
      <c r="CD38" s="202" t="str">
        <f t="shared" ca="1" si="53"/>
        <v/>
      </c>
      <c r="CE38" s="202" t="str">
        <f t="shared" ca="1" si="75"/>
        <v/>
      </c>
      <c r="CF38" s="394">
        <f t="shared" ca="1" si="22"/>
        <v>99999</v>
      </c>
      <c r="CG38" s="394" t="str">
        <f t="shared" ca="1" si="23"/>
        <v/>
      </c>
      <c r="CH38" s="395" t="str">
        <f t="shared" ca="1" si="24"/>
        <v/>
      </c>
      <c r="CJ38" s="396">
        <f t="shared" ca="1" si="66"/>
        <v>0</v>
      </c>
      <c r="CK38" s="393">
        <f t="shared" ca="1" si="55"/>
        <v>99999</v>
      </c>
      <c r="CL38" s="202" t="str">
        <f t="shared" ca="1" si="56"/>
        <v/>
      </c>
      <c r="CM38" s="202" t="str">
        <f t="shared" ca="1" si="76"/>
        <v/>
      </c>
      <c r="CN38" s="394">
        <f t="shared" ca="1" si="25"/>
        <v>99999</v>
      </c>
      <c r="CO38" s="394" t="str">
        <f t="shared" ca="1" si="26"/>
        <v/>
      </c>
      <c r="CP38" s="395" t="str">
        <f t="shared" ca="1" si="27"/>
        <v/>
      </c>
    </row>
    <row r="39" spans="4:94" ht="15.95" customHeight="1" x14ac:dyDescent="0.25">
      <c r="D39" s="159">
        <f t="shared" ca="1" si="28"/>
        <v>2</v>
      </c>
      <c r="E39" s="159">
        <f t="shared" ca="1" si="29"/>
        <v>37</v>
      </c>
      <c r="F39" s="159">
        <f ca="1">IF($E39="",0,COUNTIF($E$7:$E39,INDEX($E$79:$E$150,ROW($A33))))</f>
        <v>1</v>
      </c>
      <c r="G39" s="205"/>
      <c r="H39" s="200">
        <v>33</v>
      </c>
      <c r="I39" s="227">
        <f ca="1">IF(OR($X$3,$H39&gt;Calc!$B$13/2*$D$6),"",$T$6+QUOTIENT(($H39-1),$T$22)*($T$8+$T$10)/1440+SUM($Q$7:$Q38)/1440)</f>
        <v>0.54861111111111116</v>
      </c>
      <c r="J39" s="229">
        <f ca="1">IF(OR($X$3,$H39&gt;Calc!$B$13/2*$D$6),"",MOD(($H39-1),$T$22)+1)</f>
        <v>3</v>
      </c>
      <c r="K39" s="54">
        <f ca="1"/>
        <v>3</v>
      </c>
      <c r="L39" s="53" t="s">
        <v>5</v>
      </c>
      <c r="M39" s="55">
        <f ca="1"/>
        <v>7</v>
      </c>
      <c r="N39" s="52" t="str">
        <f t="shared" ca="1" si="30"/>
        <v>Eintracht Frankfurt</v>
      </c>
      <c r="O39" s="50" t="s">
        <v>5</v>
      </c>
      <c r="P39" s="51" t="str">
        <f t="shared" ca="1" si="31"/>
        <v>SSV Wildbach</v>
      </c>
      <c r="Q39" s="381"/>
      <c r="R39" s="220"/>
      <c r="S39" s="221"/>
      <c r="T39" s="221"/>
      <c r="U39" s="221"/>
      <c r="V39" s="221"/>
      <c r="W39" s="202">
        <f t="shared" ca="1" si="58"/>
        <v>0</v>
      </c>
      <c r="X39" s="396">
        <f t="shared" ca="1" si="67"/>
        <v>0</v>
      </c>
      <c r="Y39" s="393">
        <f t="shared" ca="1" si="32"/>
        <v>99999</v>
      </c>
      <c r="Z39" s="202" t="str">
        <f t="shared" ca="1" si="0"/>
        <v/>
      </c>
      <c r="AA39" s="202" t="str">
        <f t="shared" ca="1" si="68"/>
        <v/>
      </c>
      <c r="AB39" s="394">
        <f t="shared" ca="1" si="1"/>
        <v>99999</v>
      </c>
      <c r="AC39" s="394" t="str">
        <f t="shared" ref="AC39:AC70" ca="1" si="77">IFERROR(VLOOKUP(AB39,Y$7:AA$78,3,0),"")</f>
        <v/>
      </c>
      <c r="AD39" s="395" t="str">
        <f t="shared" ref="AD39:AD70" ca="1" si="78">IFERROR(VLOOKUP(VLOOKUP(AB39,Y$7:Z$78,2,0),$B$8:$C$25,2,0),"")</f>
        <v/>
      </c>
      <c r="AE39" s="202"/>
      <c r="AF39" s="396">
        <f t="shared" ca="1" si="59"/>
        <v>0</v>
      </c>
      <c r="AG39" s="393">
        <f t="shared" ca="1" si="34"/>
        <v>99999</v>
      </c>
      <c r="AH39" s="202" t="str">
        <f t="shared" ca="1" si="35"/>
        <v/>
      </c>
      <c r="AI39" s="202" t="str">
        <f t="shared" ca="1" si="69"/>
        <v/>
      </c>
      <c r="AJ39" s="394">
        <f t="shared" ca="1" si="4"/>
        <v>99999</v>
      </c>
      <c r="AK39" s="394" t="str">
        <f t="shared" ref="AK39:AK70" ca="1" si="79">IFERROR(VLOOKUP(AJ39,AG$7:AI$78,3,0),"")</f>
        <v/>
      </c>
      <c r="AL39" s="395" t="str">
        <f t="shared" ref="AL39:AL70" ca="1" si="80">IFERROR(VLOOKUP(VLOOKUP(AJ39,AG$7:AH$78,2,0),$B$8:$C$25,2,0),"")</f>
        <v/>
      </c>
      <c r="AN39" s="396">
        <f t="shared" ca="1" si="60"/>
        <v>0</v>
      </c>
      <c r="AO39" s="393">
        <f t="shared" ca="1" si="37"/>
        <v>0.54861111111111116</v>
      </c>
      <c r="AP39" s="202">
        <f t="shared" ca="1" si="38"/>
        <v>7</v>
      </c>
      <c r="AQ39" s="202">
        <f t="shared" ca="1" si="70"/>
        <v>3</v>
      </c>
      <c r="AR39" s="394">
        <f t="shared" ca="1" si="7"/>
        <v>99999</v>
      </c>
      <c r="AS39" s="394" t="str">
        <f t="shared" ref="AS39:AS70" ca="1" si="81">IFERROR(VLOOKUP(AR39,AO$7:AQ$78,3,0),"")</f>
        <v/>
      </c>
      <c r="AT39" s="395" t="str">
        <f t="shared" ref="AT39:AT70" ca="1" si="82">IFERROR(VLOOKUP(VLOOKUP(AR39,AO$7:AP$78,2,0),$B$8:$C$25,2,0),"")</f>
        <v/>
      </c>
      <c r="AU39" s="202"/>
      <c r="AV39" s="396">
        <f t="shared" ca="1" si="61"/>
        <v>0</v>
      </c>
      <c r="AW39" s="393">
        <f t="shared" ca="1" si="40"/>
        <v>99999</v>
      </c>
      <c r="AX39" s="202" t="str">
        <f t="shared" ca="1" si="41"/>
        <v/>
      </c>
      <c r="AY39" s="202" t="str">
        <f t="shared" ca="1" si="71"/>
        <v/>
      </c>
      <c r="AZ39" s="394">
        <f t="shared" ca="1" si="10"/>
        <v>99999</v>
      </c>
      <c r="BA39" s="394" t="str">
        <f t="shared" ref="BA39:BA70" ca="1" si="83">IFERROR(VLOOKUP(AZ39,AW$7:AY$78,3,0),"")</f>
        <v/>
      </c>
      <c r="BB39" s="395" t="str">
        <f t="shared" ref="BB39:BB70" ca="1" si="84">IFERROR(VLOOKUP(VLOOKUP(AZ39,AW$7:AX$78,2,0),$B$8:$C$25,2,0),"")</f>
        <v/>
      </c>
      <c r="BD39" s="396">
        <f t="shared" ca="1" si="62"/>
        <v>0</v>
      </c>
      <c r="BE39" s="393">
        <f t="shared" ca="1" si="43"/>
        <v>99999</v>
      </c>
      <c r="BF39" s="202" t="str">
        <f t="shared" ca="1" si="44"/>
        <v/>
      </c>
      <c r="BG39" s="202" t="str">
        <f t="shared" ca="1" si="72"/>
        <v/>
      </c>
      <c r="BH39" s="394">
        <f t="shared" ca="1" si="13"/>
        <v>99999</v>
      </c>
      <c r="BI39" s="394" t="str">
        <f t="shared" ref="BI39:BI70" ca="1" si="85">IFERROR(VLOOKUP(BH39,BE$7:BG$78,3,0),"")</f>
        <v/>
      </c>
      <c r="BJ39" s="395" t="str">
        <f t="shared" ref="BJ39:BJ70" ca="1" si="86">IFERROR(VLOOKUP(VLOOKUP(BH39,BE$7:BF$78,2,0),$B$8:$C$25,2,0),"")</f>
        <v/>
      </c>
      <c r="BK39" s="202"/>
      <c r="BL39" s="396">
        <f t="shared" ca="1" si="63"/>
        <v>0</v>
      </c>
      <c r="BM39" s="393">
        <f t="shared" ca="1" si="46"/>
        <v>99999</v>
      </c>
      <c r="BN39" s="202" t="str">
        <f t="shared" ca="1" si="47"/>
        <v/>
      </c>
      <c r="BO39" s="202" t="str">
        <f t="shared" ca="1" si="73"/>
        <v/>
      </c>
      <c r="BP39" s="394">
        <f t="shared" ca="1" si="16"/>
        <v>99999</v>
      </c>
      <c r="BQ39" s="394" t="str">
        <f t="shared" ref="BQ39:BQ70" ca="1" si="87">IFERROR(VLOOKUP(BP39,BM$7:BO$78,3,0),"")</f>
        <v/>
      </c>
      <c r="BR39" s="395" t="str">
        <f t="shared" ref="BR39:BR70" ca="1" si="88">IFERROR(VLOOKUP(VLOOKUP(BP39,BM$7:BN$78,2,0),$B$8:$C$25,2,0),"")</f>
        <v/>
      </c>
      <c r="BT39" s="396">
        <f t="shared" ca="1" si="64"/>
        <v>0</v>
      </c>
      <c r="BU39" s="393">
        <f t="shared" ca="1" si="49"/>
        <v>0.54861111111111116</v>
      </c>
      <c r="BV39" s="202">
        <f t="shared" ca="1" si="50"/>
        <v>3</v>
      </c>
      <c r="BW39" s="202">
        <f t="shared" ca="1" si="74"/>
        <v>3</v>
      </c>
      <c r="BX39" s="394">
        <f t="shared" ca="1" si="19"/>
        <v>99999</v>
      </c>
      <c r="BY39" s="394" t="str">
        <f t="shared" ref="BY39:BY70" ca="1" si="89">IFERROR(VLOOKUP(BX39,BU$7:BW$78,3,0),"")</f>
        <v/>
      </c>
      <c r="BZ39" s="395" t="str">
        <f t="shared" ref="BZ39:BZ70" ca="1" si="90">IFERROR(VLOOKUP(VLOOKUP(BX39,BU$7:BV$78,2,0),$B$8:$C$25,2,0),"")</f>
        <v/>
      </c>
      <c r="CA39" s="202"/>
      <c r="CB39" s="396">
        <f t="shared" ca="1" si="65"/>
        <v>0</v>
      </c>
      <c r="CC39" s="393">
        <f t="shared" ca="1" si="52"/>
        <v>99999</v>
      </c>
      <c r="CD39" s="202" t="str">
        <f t="shared" ca="1" si="53"/>
        <v/>
      </c>
      <c r="CE39" s="202" t="str">
        <f t="shared" ca="1" si="75"/>
        <v/>
      </c>
      <c r="CF39" s="394">
        <f t="shared" ca="1" si="22"/>
        <v>99999</v>
      </c>
      <c r="CG39" s="394" t="str">
        <f t="shared" ref="CG39:CG70" ca="1" si="91">IFERROR(VLOOKUP(CF39,CC$7:CE$78,3,0),"")</f>
        <v/>
      </c>
      <c r="CH39" s="395" t="str">
        <f t="shared" ref="CH39:CH70" ca="1" si="92">IFERROR(VLOOKUP(VLOOKUP(CF39,CC$7:CD$78,2,0),$B$8:$C$25,2,0),"")</f>
        <v/>
      </c>
      <c r="CJ39" s="396">
        <f t="shared" ca="1" si="66"/>
        <v>0</v>
      </c>
      <c r="CK39" s="393">
        <f t="shared" ca="1" si="55"/>
        <v>99999</v>
      </c>
      <c r="CL39" s="202" t="str">
        <f t="shared" ca="1" si="56"/>
        <v/>
      </c>
      <c r="CM39" s="202" t="str">
        <f t="shared" ca="1" si="76"/>
        <v/>
      </c>
      <c r="CN39" s="394">
        <f t="shared" ca="1" si="25"/>
        <v>99999</v>
      </c>
      <c r="CO39" s="394" t="str">
        <f t="shared" ref="CO39:CO70" ca="1" si="93">IFERROR(VLOOKUP(CN39,CK$7:CM$78,3,0),"")</f>
        <v/>
      </c>
      <c r="CP39" s="395" t="str">
        <f t="shared" ref="CP39:CP70" ca="1" si="94">IFERROR(VLOOKUP(VLOOKUP(CN39,CK$7:CL$78,2,0),$B$8:$C$25,2,0),"")</f>
        <v/>
      </c>
    </row>
    <row r="40" spans="4:94" ht="15.95" customHeight="1" x14ac:dyDescent="0.25">
      <c r="D40" s="159">
        <f t="shared" ca="1" si="28"/>
        <v>2</v>
      </c>
      <c r="E40" s="159">
        <f t="shared" ca="1" si="29"/>
        <v>41</v>
      </c>
      <c r="F40" s="159">
        <f ca="1">IF($E40="",0,COUNTIF($E$7:$E40,INDEX($E$79:$E$150,ROW($A34))))</f>
        <v>1</v>
      </c>
      <c r="G40" s="205"/>
      <c r="H40" s="200">
        <v>34</v>
      </c>
      <c r="I40" s="227">
        <f ca="1">IF(OR($X$3,$H40&gt;Calc!$B$13/2*$D$6),"",$T$6+QUOTIENT(($H40-1),$T$22)*($T$8+$T$10)/1440+SUM($Q$7:$Q39)/1440)</f>
        <v>0.56597222222222221</v>
      </c>
      <c r="J40" s="229">
        <f ca="1">IF(OR($X$3,$H40&gt;Calc!$B$13/2*$D$6),"",MOD(($H40-1),$T$22)+1)</f>
        <v>1</v>
      </c>
      <c r="K40" s="54">
        <f ca="1"/>
        <v>4</v>
      </c>
      <c r="L40" s="53" t="s">
        <v>5</v>
      </c>
      <c r="M40" s="55">
        <f ca="1"/>
        <v>1</v>
      </c>
      <c r="N40" s="52" t="str">
        <f t="shared" ca="1" si="30"/>
        <v>Maibach 1822 eV</v>
      </c>
      <c r="O40" s="50" t="s">
        <v>5</v>
      </c>
      <c r="P40" s="51" t="str">
        <f t="shared" ca="1" si="31"/>
        <v>1. FC Riedwald</v>
      </c>
      <c r="Q40" s="381"/>
      <c r="R40" s="220"/>
      <c r="S40" s="221"/>
      <c r="T40" s="221"/>
      <c r="U40" s="221"/>
      <c r="V40" s="221"/>
      <c r="W40" s="202">
        <f t="shared" ca="1" si="58"/>
        <v>0</v>
      </c>
      <c r="X40" s="396">
        <f t="shared" ca="1" si="67"/>
        <v>0</v>
      </c>
      <c r="Y40" s="393">
        <f t="shared" ca="1" si="32"/>
        <v>0.56597222222222221</v>
      </c>
      <c r="Z40" s="202">
        <f t="shared" ca="1" si="0"/>
        <v>4</v>
      </c>
      <c r="AA40" s="202">
        <f t="shared" ca="1" si="68"/>
        <v>1</v>
      </c>
      <c r="AB40" s="394">
        <f t="shared" ca="1" si="1"/>
        <v>99999</v>
      </c>
      <c r="AC40" s="394" t="str">
        <f t="shared" ca="1" si="77"/>
        <v/>
      </c>
      <c r="AD40" s="395" t="str">
        <f t="shared" ca="1" si="78"/>
        <v/>
      </c>
      <c r="AE40" s="202"/>
      <c r="AF40" s="396">
        <f t="shared" ca="1" si="59"/>
        <v>0</v>
      </c>
      <c r="AG40" s="393">
        <f t="shared" ca="1" si="34"/>
        <v>99999</v>
      </c>
      <c r="AH40" s="202" t="str">
        <f t="shared" ca="1" si="35"/>
        <v/>
      </c>
      <c r="AI40" s="202" t="str">
        <f t="shared" ca="1" si="69"/>
        <v/>
      </c>
      <c r="AJ40" s="394">
        <f t="shared" ca="1" si="4"/>
        <v>99999</v>
      </c>
      <c r="AK40" s="394" t="str">
        <f t="shared" ca="1" si="79"/>
        <v/>
      </c>
      <c r="AL40" s="395" t="str">
        <f t="shared" ca="1" si="80"/>
        <v/>
      </c>
      <c r="AN40" s="396">
        <f t="shared" ca="1" si="60"/>
        <v>0</v>
      </c>
      <c r="AO40" s="393">
        <f t="shared" ca="1" si="37"/>
        <v>99999</v>
      </c>
      <c r="AP40" s="202" t="str">
        <f t="shared" ca="1" si="38"/>
        <v/>
      </c>
      <c r="AQ40" s="202" t="str">
        <f t="shared" ca="1" si="70"/>
        <v/>
      </c>
      <c r="AR40" s="394">
        <f t="shared" ca="1" si="7"/>
        <v>99999</v>
      </c>
      <c r="AS40" s="394" t="str">
        <f t="shared" ca="1" si="81"/>
        <v/>
      </c>
      <c r="AT40" s="395" t="str">
        <f t="shared" ca="1" si="82"/>
        <v/>
      </c>
      <c r="AU40" s="202"/>
      <c r="AV40" s="396">
        <f t="shared" ca="1" si="61"/>
        <v>0</v>
      </c>
      <c r="AW40" s="393">
        <f t="shared" ca="1" si="40"/>
        <v>0.56597222222222221</v>
      </c>
      <c r="AX40" s="202">
        <f t="shared" ca="1" si="41"/>
        <v>1</v>
      </c>
      <c r="AY40" s="202">
        <f t="shared" ca="1" si="71"/>
        <v>1</v>
      </c>
      <c r="AZ40" s="394">
        <f t="shared" ca="1" si="10"/>
        <v>99999</v>
      </c>
      <c r="BA40" s="394" t="str">
        <f t="shared" ca="1" si="83"/>
        <v/>
      </c>
      <c r="BB40" s="395" t="str">
        <f t="shared" ca="1" si="84"/>
        <v/>
      </c>
      <c r="BD40" s="396">
        <f t="shared" ca="1" si="62"/>
        <v>0</v>
      </c>
      <c r="BE40" s="393">
        <f t="shared" ca="1" si="43"/>
        <v>99999</v>
      </c>
      <c r="BF40" s="202" t="str">
        <f t="shared" ca="1" si="44"/>
        <v/>
      </c>
      <c r="BG40" s="202" t="str">
        <f t="shared" ca="1" si="72"/>
        <v/>
      </c>
      <c r="BH40" s="394">
        <f t="shared" ca="1" si="13"/>
        <v>99999</v>
      </c>
      <c r="BI40" s="394" t="str">
        <f t="shared" ca="1" si="85"/>
        <v/>
      </c>
      <c r="BJ40" s="395" t="str">
        <f t="shared" ca="1" si="86"/>
        <v/>
      </c>
      <c r="BK40" s="202"/>
      <c r="BL40" s="396">
        <f t="shared" ca="1" si="63"/>
        <v>0</v>
      </c>
      <c r="BM40" s="393">
        <f t="shared" ca="1" si="46"/>
        <v>99999</v>
      </c>
      <c r="BN40" s="202" t="str">
        <f t="shared" ca="1" si="47"/>
        <v/>
      </c>
      <c r="BO40" s="202" t="str">
        <f t="shared" ca="1" si="73"/>
        <v/>
      </c>
      <c r="BP40" s="394">
        <f t="shared" ca="1" si="16"/>
        <v>99999</v>
      </c>
      <c r="BQ40" s="394" t="str">
        <f t="shared" ca="1" si="87"/>
        <v/>
      </c>
      <c r="BR40" s="395" t="str">
        <f t="shared" ca="1" si="88"/>
        <v/>
      </c>
      <c r="BT40" s="396">
        <f t="shared" ca="1" si="64"/>
        <v>0</v>
      </c>
      <c r="BU40" s="393">
        <f t="shared" ca="1" si="49"/>
        <v>99999</v>
      </c>
      <c r="BV40" s="202" t="str">
        <f t="shared" ca="1" si="50"/>
        <v/>
      </c>
      <c r="BW40" s="202" t="str">
        <f t="shared" ca="1" si="74"/>
        <v/>
      </c>
      <c r="BX40" s="394">
        <f t="shared" ca="1" si="19"/>
        <v>99999</v>
      </c>
      <c r="BY40" s="394" t="str">
        <f t="shared" ca="1" si="89"/>
        <v/>
      </c>
      <c r="BZ40" s="395" t="str">
        <f t="shared" ca="1" si="90"/>
        <v/>
      </c>
      <c r="CA40" s="202"/>
      <c r="CB40" s="396">
        <f t="shared" ca="1" si="65"/>
        <v>0</v>
      </c>
      <c r="CC40" s="393">
        <f t="shared" ca="1" si="52"/>
        <v>99999</v>
      </c>
      <c r="CD40" s="202" t="str">
        <f t="shared" ca="1" si="53"/>
        <v/>
      </c>
      <c r="CE40" s="202" t="str">
        <f t="shared" ca="1" si="75"/>
        <v/>
      </c>
      <c r="CF40" s="394">
        <f t="shared" ca="1" si="22"/>
        <v>99999</v>
      </c>
      <c r="CG40" s="394" t="str">
        <f t="shared" ca="1" si="91"/>
        <v/>
      </c>
      <c r="CH40" s="395" t="str">
        <f t="shared" ca="1" si="92"/>
        <v/>
      </c>
      <c r="CJ40" s="396">
        <f t="shared" ca="1" si="66"/>
        <v>0</v>
      </c>
      <c r="CK40" s="393">
        <f t="shared" ca="1" si="55"/>
        <v>99999</v>
      </c>
      <c r="CL40" s="202" t="str">
        <f t="shared" ca="1" si="56"/>
        <v/>
      </c>
      <c r="CM40" s="202" t="str">
        <f t="shared" ca="1" si="76"/>
        <v/>
      </c>
      <c r="CN40" s="394">
        <f t="shared" ca="1" si="25"/>
        <v>99999</v>
      </c>
      <c r="CO40" s="394" t="str">
        <f t="shared" ca="1" si="93"/>
        <v/>
      </c>
      <c r="CP40" s="395" t="str">
        <f t="shared" ca="1" si="94"/>
        <v/>
      </c>
    </row>
    <row r="41" spans="4:94" ht="15.95" customHeight="1" x14ac:dyDescent="0.25">
      <c r="D41" s="159">
        <f t="shared" ca="1" si="28"/>
        <v>2</v>
      </c>
      <c r="E41" s="159">
        <f t="shared" ca="1" si="29"/>
        <v>53</v>
      </c>
      <c r="F41" s="159">
        <f ca="1">IF($E41="",0,COUNTIF($E$7:$E41,INDEX($E$79:$E$150,ROW($A35))))</f>
        <v>1</v>
      </c>
      <c r="G41" s="205"/>
      <c r="H41" s="200">
        <v>35</v>
      </c>
      <c r="I41" s="227">
        <f ca="1">IF(OR($X$3,$H41&gt;Calc!$B$13/2*$D$6),"",$T$6+QUOTIENT(($H41-1),$T$22)*($T$8+$T$10)/1440+SUM($Q$7:$Q40)/1440)</f>
        <v>0.56597222222222221</v>
      </c>
      <c r="J41" s="229">
        <f ca="1">IF(OR($X$3,$H41&gt;Calc!$B$13/2*$D$6),"",MOD(($H41-1),$T$22)+1)</f>
        <v>2</v>
      </c>
      <c r="K41" s="54">
        <f ca="1"/>
        <v>5</v>
      </c>
      <c r="L41" s="53" t="s">
        <v>5</v>
      </c>
      <c r="M41" s="55">
        <f ca="1"/>
        <v>3</v>
      </c>
      <c r="N41" s="52" t="str">
        <f t="shared" ca="1" si="30"/>
        <v>VFB Essenheim</v>
      </c>
      <c r="O41" s="50" t="s">
        <v>5</v>
      </c>
      <c r="P41" s="51" t="str">
        <f t="shared" ca="1" si="31"/>
        <v>Eintracht Frankfurt</v>
      </c>
      <c r="Q41" s="381"/>
      <c r="R41" s="220"/>
      <c r="S41" s="221"/>
      <c r="T41" s="221"/>
      <c r="U41" s="221"/>
      <c r="V41" s="221"/>
      <c r="W41" s="202">
        <f t="shared" ca="1" si="58"/>
        <v>0</v>
      </c>
      <c r="X41" s="396">
        <f t="shared" ca="1" si="67"/>
        <v>0</v>
      </c>
      <c r="Y41" s="393">
        <f t="shared" ca="1" si="32"/>
        <v>99999</v>
      </c>
      <c r="Z41" s="202" t="str">
        <f t="shared" ca="1" si="0"/>
        <v/>
      </c>
      <c r="AA41" s="202" t="str">
        <f t="shared" ca="1" si="68"/>
        <v/>
      </c>
      <c r="AB41" s="394">
        <f t="shared" ca="1" si="1"/>
        <v>99999</v>
      </c>
      <c r="AC41" s="394" t="str">
        <f t="shared" ca="1" si="77"/>
        <v/>
      </c>
      <c r="AD41" s="395" t="str">
        <f t="shared" ca="1" si="78"/>
        <v/>
      </c>
      <c r="AE41" s="202"/>
      <c r="AF41" s="396">
        <f t="shared" ca="1" si="59"/>
        <v>0</v>
      </c>
      <c r="AG41" s="393">
        <f t="shared" ca="1" si="34"/>
        <v>99999</v>
      </c>
      <c r="AH41" s="202" t="str">
        <f t="shared" ca="1" si="35"/>
        <v/>
      </c>
      <c r="AI41" s="202" t="str">
        <f t="shared" ca="1" si="69"/>
        <v/>
      </c>
      <c r="AJ41" s="394">
        <f t="shared" ca="1" si="4"/>
        <v>99999</v>
      </c>
      <c r="AK41" s="394" t="str">
        <f t="shared" ca="1" si="79"/>
        <v/>
      </c>
      <c r="AL41" s="395" t="str">
        <f t="shared" ca="1" si="80"/>
        <v/>
      </c>
      <c r="AN41" s="396">
        <f t="shared" ca="1" si="60"/>
        <v>0</v>
      </c>
      <c r="AO41" s="393">
        <f t="shared" ca="1" si="37"/>
        <v>0.56597222222222221</v>
      </c>
      <c r="AP41" s="202">
        <f t="shared" ca="1" si="38"/>
        <v>5</v>
      </c>
      <c r="AQ41" s="202">
        <f t="shared" ca="1" si="70"/>
        <v>2</v>
      </c>
      <c r="AR41" s="394">
        <f t="shared" ca="1" si="7"/>
        <v>99999</v>
      </c>
      <c r="AS41" s="394" t="str">
        <f t="shared" ca="1" si="81"/>
        <v/>
      </c>
      <c r="AT41" s="395" t="str">
        <f t="shared" ca="1" si="82"/>
        <v/>
      </c>
      <c r="AU41" s="202"/>
      <c r="AV41" s="396">
        <f t="shared" ca="1" si="61"/>
        <v>0</v>
      </c>
      <c r="AW41" s="393">
        <f t="shared" ca="1" si="40"/>
        <v>99999</v>
      </c>
      <c r="AX41" s="202" t="str">
        <f t="shared" ca="1" si="41"/>
        <v/>
      </c>
      <c r="AY41" s="202" t="str">
        <f t="shared" ca="1" si="71"/>
        <v/>
      </c>
      <c r="AZ41" s="394">
        <f t="shared" ca="1" si="10"/>
        <v>99999</v>
      </c>
      <c r="BA41" s="394" t="str">
        <f t="shared" ca="1" si="83"/>
        <v/>
      </c>
      <c r="BB41" s="395" t="str">
        <f t="shared" ca="1" si="84"/>
        <v/>
      </c>
      <c r="BD41" s="396">
        <f t="shared" ca="1" si="62"/>
        <v>0</v>
      </c>
      <c r="BE41" s="393">
        <f t="shared" ca="1" si="43"/>
        <v>0.56597222222222221</v>
      </c>
      <c r="BF41" s="202">
        <f t="shared" ca="1" si="44"/>
        <v>3</v>
      </c>
      <c r="BG41" s="202">
        <f t="shared" ca="1" si="72"/>
        <v>2</v>
      </c>
      <c r="BH41" s="394">
        <f t="shared" ca="1" si="13"/>
        <v>99999</v>
      </c>
      <c r="BI41" s="394" t="str">
        <f t="shared" ca="1" si="85"/>
        <v/>
      </c>
      <c r="BJ41" s="395" t="str">
        <f t="shared" ca="1" si="86"/>
        <v/>
      </c>
      <c r="BK41" s="202"/>
      <c r="BL41" s="396">
        <f t="shared" ca="1" si="63"/>
        <v>0</v>
      </c>
      <c r="BM41" s="393">
        <f t="shared" ca="1" si="46"/>
        <v>99999</v>
      </c>
      <c r="BN41" s="202" t="str">
        <f t="shared" ca="1" si="47"/>
        <v/>
      </c>
      <c r="BO41" s="202" t="str">
        <f t="shared" ca="1" si="73"/>
        <v/>
      </c>
      <c r="BP41" s="394">
        <f t="shared" ca="1" si="16"/>
        <v>99999</v>
      </c>
      <c r="BQ41" s="394" t="str">
        <f t="shared" ca="1" si="87"/>
        <v/>
      </c>
      <c r="BR41" s="395" t="str">
        <f t="shared" ca="1" si="88"/>
        <v/>
      </c>
      <c r="BT41" s="396">
        <f t="shared" ca="1" si="64"/>
        <v>0</v>
      </c>
      <c r="BU41" s="393">
        <f t="shared" ca="1" si="49"/>
        <v>99999</v>
      </c>
      <c r="BV41" s="202" t="str">
        <f t="shared" ca="1" si="50"/>
        <v/>
      </c>
      <c r="BW41" s="202" t="str">
        <f t="shared" ca="1" si="74"/>
        <v/>
      </c>
      <c r="BX41" s="394">
        <f t="shared" ca="1" si="19"/>
        <v>99999</v>
      </c>
      <c r="BY41" s="394" t="str">
        <f t="shared" ca="1" si="89"/>
        <v/>
      </c>
      <c r="BZ41" s="395" t="str">
        <f t="shared" ca="1" si="90"/>
        <v/>
      </c>
      <c r="CA41" s="202"/>
      <c r="CB41" s="396">
        <f t="shared" ca="1" si="65"/>
        <v>0</v>
      </c>
      <c r="CC41" s="393">
        <f t="shared" ca="1" si="52"/>
        <v>99999</v>
      </c>
      <c r="CD41" s="202" t="str">
        <f t="shared" ca="1" si="53"/>
        <v/>
      </c>
      <c r="CE41" s="202" t="str">
        <f t="shared" ca="1" si="75"/>
        <v/>
      </c>
      <c r="CF41" s="394">
        <f t="shared" ca="1" si="22"/>
        <v>99999</v>
      </c>
      <c r="CG41" s="394" t="str">
        <f t="shared" ca="1" si="91"/>
        <v/>
      </c>
      <c r="CH41" s="395" t="str">
        <f t="shared" ca="1" si="92"/>
        <v/>
      </c>
      <c r="CJ41" s="396">
        <f t="shared" ca="1" si="66"/>
        <v>0</v>
      </c>
      <c r="CK41" s="393">
        <f t="shared" ca="1" si="55"/>
        <v>99999</v>
      </c>
      <c r="CL41" s="202" t="str">
        <f t="shared" ca="1" si="56"/>
        <v/>
      </c>
      <c r="CM41" s="202" t="str">
        <f t="shared" ca="1" si="76"/>
        <v/>
      </c>
      <c r="CN41" s="394">
        <f t="shared" ca="1" si="25"/>
        <v>99999</v>
      </c>
      <c r="CO41" s="394" t="str">
        <f t="shared" ca="1" si="93"/>
        <v/>
      </c>
      <c r="CP41" s="395" t="str">
        <f t="shared" ca="1" si="94"/>
        <v/>
      </c>
    </row>
    <row r="42" spans="4:94" ht="15.95" customHeight="1" x14ac:dyDescent="0.25">
      <c r="D42" s="159">
        <f t="shared" ca="1" si="28"/>
        <v>2</v>
      </c>
      <c r="E42" s="159">
        <f t="shared" ca="1" si="29"/>
        <v>26</v>
      </c>
      <c r="F42" s="159">
        <f ca="1">IF($E42="",0,COUNTIF($E$7:$E42,INDEX($E$79:$E$150,ROW($A36))))</f>
        <v>1</v>
      </c>
      <c r="G42" s="205"/>
      <c r="H42" s="200">
        <v>36</v>
      </c>
      <c r="I42" s="227">
        <f ca="1">IF(OR($X$3,$H42&gt;Calc!$B$13/2*$D$6),"",$T$6+QUOTIENT(($H42-1),$T$22)*($T$8+$T$10)/1440+SUM($Q$7:$Q41)/1440)</f>
        <v>0.56597222222222221</v>
      </c>
      <c r="J42" s="229">
        <f ca="1">IF(OR($X$3,$H42&gt;Calc!$B$13/2*$D$6),"",MOD(($H42-1),$T$22)+1)</f>
        <v>3</v>
      </c>
      <c r="K42" s="54">
        <f ca="1"/>
        <v>2</v>
      </c>
      <c r="L42" s="53" t="s">
        <v>5</v>
      </c>
      <c r="M42" s="55">
        <f ca="1"/>
        <v>6</v>
      </c>
      <c r="N42" s="52" t="str">
        <f t="shared" ca="1" si="30"/>
        <v>FC Barcelona</v>
      </c>
      <c r="O42" s="50" t="s">
        <v>5</v>
      </c>
      <c r="P42" s="51" t="str">
        <f t="shared" ca="1" si="31"/>
        <v>Inter Mailand</v>
      </c>
      <c r="Q42" s="381"/>
      <c r="R42" s="220"/>
      <c r="S42" s="221"/>
      <c r="T42" s="221"/>
      <c r="U42" s="221"/>
      <c r="V42" s="221"/>
      <c r="W42" s="202">
        <f t="shared" ca="1" si="58"/>
        <v>0</v>
      </c>
      <c r="X42" s="396">
        <f t="shared" ca="1" si="67"/>
        <v>0</v>
      </c>
      <c r="Y42" s="393">
        <f t="shared" ca="1" si="32"/>
        <v>99999</v>
      </c>
      <c r="Z42" s="202" t="str">
        <f t="shared" ca="1" si="0"/>
        <v/>
      </c>
      <c r="AA42" s="202" t="str">
        <f t="shared" ca="1" si="68"/>
        <v/>
      </c>
      <c r="AB42" s="394">
        <f t="shared" ca="1" si="1"/>
        <v>99999</v>
      </c>
      <c r="AC42" s="394" t="str">
        <f t="shared" ca="1" si="77"/>
        <v/>
      </c>
      <c r="AD42" s="395" t="str">
        <f t="shared" ca="1" si="78"/>
        <v/>
      </c>
      <c r="AE42" s="202"/>
      <c r="AF42" s="396">
        <f t="shared" ca="1" si="59"/>
        <v>0</v>
      </c>
      <c r="AG42" s="393">
        <f t="shared" ca="1" si="34"/>
        <v>0.56597222222222221</v>
      </c>
      <c r="AH42" s="202">
        <f t="shared" ca="1" si="35"/>
        <v>6</v>
      </c>
      <c r="AI42" s="202">
        <f t="shared" ca="1" si="69"/>
        <v>3</v>
      </c>
      <c r="AJ42" s="394">
        <f t="shared" ca="1" si="4"/>
        <v>99999</v>
      </c>
      <c r="AK42" s="394" t="str">
        <f t="shared" ca="1" si="79"/>
        <v/>
      </c>
      <c r="AL42" s="395" t="str">
        <f t="shared" ca="1" si="80"/>
        <v/>
      </c>
      <c r="AN42" s="396">
        <f t="shared" ca="1" si="60"/>
        <v>0</v>
      </c>
      <c r="AO42" s="393">
        <f t="shared" ca="1" si="37"/>
        <v>99999</v>
      </c>
      <c r="AP42" s="202" t="str">
        <f t="shared" ca="1" si="38"/>
        <v/>
      </c>
      <c r="AQ42" s="202" t="str">
        <f t="shared" ca="1" si="70"/>
        <v/>
      </c>
      <c r="AR42" s="394">
        <f t="shared" ca="1" si="7"/>
        <v>99999</v>
      </c>
      <c r="AS42" s="394" t="str">
        <f t="shared" ca="1" si="81"/>
        <v/>
      </c>
      <c r="AT42" s="395" t="str">
        <f t="shared" ca="1" si="82"/>
        <v/>
      </c>
      <c r="AU42" s="202"/>
      <c r="AV42" s="396">
        <f t="shared" ca="1" si="61"/>
        <v>0</v>
      </c>
      <c r="AW42" s="393">
        <f t="shared" ca="1" si="40"/>
        <v>99999</v>
      </c>
      <c r="AX42" s="202" t="str">
        <f t="shared" ca="1" si="41"/>
        <v/>
      </c>
      <c r="AY42" s="202" t="str">
        <f t="shared" ca="1" si="71"/>
        <v/>
      </c>
      <c r="AZ42" s="394">
        <f t="shared" ca="1" si="10"/>
        <v>99999</v>
      </c>
      <c r="BA42" s="394" t="str">
        <f t="shared" ca="1" si="83"/>
        <v/>
      </c>
      <c r="BB42" s="395" t="str">
        <f t="shared" ca="1" si="84"/>
        <v/>
      </c>
      <c r="BD42" s="396">
        <f t="shared" ca="1" si="62"/>
        <v>0</v>
      </c>
      <c r="BE42" s="393">
        <f t="shared" ca="1" si="43"/>
        <v>99999</v>
      </c>
      <c r="BF42" s="202" t="str">
        <f t="shared" ca="1" si="44"/>
        <v/>
      </c>
      <c r="BG42" s="202" t="str">
        <f t="shared" ca="1" si="72"/>
        <v/>
      </c>
      <c r="BH42" s="394">
        <f t="shared" ca="1" si="13"/>
        <v>99999</v>
      </c>
      <c r="BI42" s="394" t="str">
        <f t="shared" ca="1" si="85"/>
        <v/>
      </c>
      <c r="BJ42" s="395" t="str">
        <f t="shared" ca="1" si="86"/>
        <v/>
      </c>
      <c r="BK42" s="202"/>
      <c r="BL42" s="396">
        <f t="shared" ca="1" si="63"/>
        <v>0</v>
      </c>
      <c r="BM42" s="393">
        <f t="shared" ca="1" si="46"/>
        <v>0.56597222222222221</v>
      </c>
      <c r="BN42" s="202">
        <f t="shared" ca="1" si="47"/>
        <v>2</v>
      </c>
      <c r="BO42" s="202">
        <f t="shared" ca="1" si="73"/>
        <v>3</v>
      </c>
      <c r="BP42" s="394">
        <f t="shared" ca="1" si="16"/>
        <v>99999</v>
      </c>
      <c r="BQ42" s="394" t="str">
        <f t="shared" ca="1" si="87"/>
        <v/>
      </c>
      <c r="BR42" s="395" t="str">
        <f t="shared" ca="1" si="88"/>
        <v/>
      </c>
      <c r="BT42" s="396">
        <f t="shared" ca="1" si="64"/>
        <v>0</v>
      </c>
      <c r="BU42" s="393">
        <f t="shared" ca="1" si="49"/>
        <v>99999</v>
      </c>
      <c r="BV42" s="202" t="str">
        <f t="shared" ca="1" si="50"/>
        <v/>
      </c>
      <c r="BW42" s="202" t="str">
        <f t="shared" ca="1" si="74"/>
        <v/>
      </c>
      <c r="BX42" s="394">
        <f t="shared" ca="1" si="19"/>
        <v>99999</v>
      </c>
      <c r="BY42" s="394" t="str">
        <f t="shared" ca="1" si="89"/>
        <v/>
      </c>
      <c r="BZ42" s="395" t="str">
        <f t="shared" ca="1" si="90"/>
        <v/>
      </c>
      <c r="CA42" s="202"/>
      <c r="CB42" s="396">
        <f t="shared" ca="1" si="65"/>
        <v>0</v>
      </c>
      <c r="CC42" s="393">
        <f t="shared" ca="1" si="52"/>
        <v>99999</v>
      </c>
      <c r="CD42" s="202" t="str">
        <f t="shared" ca="1" si="53"/>
        <v/>
      </c>
      <c r="CE42" s="202" t="str">
        <f t="shared" ca="1" si="75"/>
        <v/>
      </c>
      <c r="CF42" s="394">
        <f t="shared" ca="1" si="22"/>
        <v>99999</v>
      </c>
      <c r="CG42" s="394" t="str">
        <f t="shared" ca="1" si="91"/>
        <v/>
      </c>
      <c r="CH42" s="395" t="str">
        <f t="shared" ca="1" si="92"/>
        <v/>
      </c>
      <c r="CJ42" s="396">
        <f t="shared" ca="1" si="66"/>
        <v>0</v>
      </c>
      <c r="CK42" s="393">
        <f t="shared" ca="1" si="55"/>
        <v>99999</v>
      </c>
      <c r="CL42" s="202" t="str">
        <f t="shared" ca="1" si="56"/>
        <v/>
      </c>
      <c r="CM42" s="202" t="str">
        <f t="shared" ca="1" si="76"/>
        <v/>
      </c>
      <c r="CN42" s="394">
        <f t="shared" ca="1" si="25"/>
        <v>99999</v>
      </c>
      <c r="CO42" s="394" t="str">
        <f t="shared" ca="1" si="93"/>
        <v/>
      </c>
      <c r="CP42" s="395" t="str">
        <f t="shared" ca="1" si="94"/>
        <v/>
      </c>
    </row>
    <row r="43" spans="4:94" ht="17.25" x14ac:dyDescent="0.25">
      <c r="D43" s="159">
        <f t="shared" ca="1" si="28"/>
        <v>2</v>
      </c>
      <c r="E43" s="159">
        <f t="shared" ca="1" si="29"/>
        <v>13</v>
      </c>
      <c r="F43" s="159">
        <f ca="1">IF($E43="",0,COUNTIF($E$7:$E43,INDEX($E$79:$E$150,ROW($A37))))</f>
        <v>1</v>
      </c>
      <c r="G43" s="205"/>
      <c r="H43" s="200">
        <v>37</v>
      </c>
      <c r="I43" s="227">
        <f ca="1">IF(OR($X$3,$H43&gt;Calc!$B$13/2*$D$6),"",$T$6+QUOTIENT(($H43-1),$T$22)*($T$8+$T$10)/1440+SUM($Q$7:$Q42)/1440)</f>
        <v>0.58333333333333337</v>
      </c>
      <c r="J43" s="229">
        <f ca="1">IF(OR($X$3,$H43&gt;Calc!$B$13/2*$D$6),"",MOD(($H43-1),$T$22)+1)</f>
        <v>1</v>
      </c>
      <c r="K43" s="54">
        <f ca="1"/>
        <v>1</v>
      </c>
      <c r="L43" s="53" t="s">
        <v>5</v>
      </c>
      <c r="M43" s="55">
        <f ca="1"/>
        <v>3</v>
      </c>
      <c r="N43" s="52" t="str">
        <f t="shared" ca="1" si="30"/>
        <v>1. FC Riedwald</v>
      </c>
      <c r="O43" s="50" t="s">
        <v>5</v>
      </c>
      <c r="P43" s="51" t="str">
        <f t="shared" ca="1" si="31"/>
        <v>Eintracht Frankfurt</v>
      </c>
      <c r="Q43" s="381"/>
      <c r="R43" s="220"/>
      <c r="S43" s="221"/>
      <c r="T43" s="221"/>
      <c r="U43" s="221"/>
      <c r="V43" s="221"/>
      <c r="W43" s="202">
        <f t="shared" ca="1" si="58"/>
        <v>0</v>
      </c>
      <c r="X43" s="396">
        <f t="shared" ca="1" si="67"/>
        <v>0</v>
      </c>
      <c r="Y43" s="393">
        <f t="shared" ca="1" si="32"/>
        <v>0.58333333333333337</v>
      </c>
      <c r="Z43" s="202">
        <f t="shared" ca="1" si="0"/>
        <v>3</v>
      </c>
      <c r="AA43" s="202">
        <f t="shared" ca="1" si="68"/>
        <v>1</v>
      </c>
      <c r="AB43" s="394">
        <f t="shared" ca="1" si="1"/>
        <v>99999</v>
      </c>
      <c r="AC43" s="394" t="str">
        <f t="shared" ca="1" si="77"/>
        <v/>
      </c>
      <c r="AD43" s="395" t="str">
        <f t="shared" ca="1" si="78"/>
        <v/>
      </c>
      <c r="AE43" s="202"/>
      <c r="AF43" s="396">
        <f t="shared" ca="1" si="59"/>
        <v>0</v>
      </c>
      <c r="AG43" s="393">
        <f t="shared" ca="1" si="34"/>
        <v>99999</v>
      </c>
      <c r="AH43" s="202" t="str">
        <f t="shared" ca="1" si="35"/>
        <v/>
      </c>
      <c r="AI43" s="202" t="str">
        <f t="shared" ca="1" si="69"/>
        <v/>
      </c>
      <c r="AJ43" s="394">
        <f t="shared" ca="1" si="4"/>
        <v>99999</v>
      </c>
      <c r="AK43" s="394" t="str">
        <f t="shared" ca="1" si="79"/>
        <v/>
      </c>
      <c r="AL43" s="395" t="str">
        <f t="shared" ca="1" si="80"/>
        <v/>
      </c>
      <c r="AN43" s="396">
        <f t="shared" ca="1" si="60"/>
        <v>0</v>
      </c>
      <c r="AO43" s="393">
        <f t="shared" ca="1" si="37"/>
        <v>0.58333333333333337</v>
      </c>
      <c r="AP43" s="202">
        <f t="shared" ca="1" si="38"/>
        <v>1</v>
      </c>
      <c r="AQ43" s="202">
        <f t="shared" ca="1" si="70"/>
        <v>1</v>
      </c>
      <c r="AR43" s="394">
        <f t="shared" ca="1" si="7"/>
        <v>99999</v>
      </c>
      <c r="AS43" s="394" t="str">
        <f t="shared" ca="1" si="81"/>
        <v/>
      </c>
      <c r="AT43" s="395" t="str">
        <f t="shared" ca="1" si="82"/>
        <v/>
      </c>
      <c r="AU43" s="202"/>
      <c r="AV43" s="396">
        <f t="shared" ca="1" si="61"/>
        <v>0</v>
      </c>
      <c r="AW43" s="393">
        <f t="shared" ca="1" si="40"/>
        <v>99999</v>
      </c>
      <c r="AX43" s="202" t="str">
        <f t="shared" ca="1" si="41"/>
        <v/>
      </c>
      <c r="AY43" s="202" t="str">
        <f t="shared" ca="1" si="71"/>
        <v/>
      </c>
      <c r="AZ43" s="394">
        <f t="shared" ca="1" si="10"/>
        <v>99999</v>
      </c>
      <c r="BA43" s="394" t="str">
        <f t="shared" ca="1" si="83"/>
        <v/>
      </c>
      <c r="BB43" s="395" t="str">
        <f t="shared" ca="1" si="84"/>
        <v/>
      </c>
      <c r="BD43" s="396">
        <f t="shared" ca="1" si="62"/>
        <v>0</v>
      </c>
      <c r="BE43" s="393">
        <f t="shared" ca="1" si="43"/>
        <v>99999</v>
      </c>
      <c r="BF43" s="202" t="str">
        <f t="shared" ca="1" si="44"/>
        <v/>
      </c>
      <c r="BG43" s="202" t="str">
        <f t="shared" ca="1" si="72"/>
        <v/>
      </c>
      <c r="BH43" s="394">
        <f t="shared" ca="1" si="13"/>
        <v>99999</v>
      </c>
      <c r="BI43" s="394" t="str">
        <f t="shared" ca="1" si="85"/>
        <v/>
      </c>
      <c r="BJ43" s="395" t="str">
        <f t="shared" ca="1" si="86"/>
        <v/>
      </c>
      <c r="BK43" s="202"/>
      <c r="BL43" s="396">
        <f t="shared" ca="1" si="63"/>
        <v>0</v>
      </c>
      <c r="BM43" s="393">
        <f t="shared" ca="1" si="46"/>
        <v>99999</v>
      </c>
      <c r="BN43" s="202" t="str">
        <f t="shared" ca="1" si="47"/>
        <v/>
      </c>
      <c r="BO43" s="202" t="str">
        <f t="shared" ca="1" si="73"/>
        <v/>
      </c>
      <c r="BP43" s="394">
        <f t="shared" ca="1" si="16"/>
        <v>99999</v>
      </c>
      <c r="BQ43" s="394" t="str">
        <f t="shared" ca="1" si="87"/>
        <v/>
      </c>
      <c r="BR43" s="395" t="str">
        <f t="shared" ca="1" si="88"/>
        <v/>
      </c>
      <c r="BT43" s="396">
        <f t="shared" ca="1" si="64"/>
        <v>0</v>
      </c>
      <c r="BU43" s="393">
        <f t="shared" ca="1" si="49"/>
        <v>99999</v>
      </c>
      <c r="BV43" s="202" t="str">
        <f t="shared" ca="1" si="50"/>
        <v/>
      </c>
      <c r="BW43" s="202" t="str">
        <f t="shared" ca="1" si="74"/>
        <v/>
      </c>
      <c r="BX43" s="394">
        <f t="shared" ca="1" si="19"/>
        <v>99999</v>
      </c>
      <c r="BY43" s="394" t="str">
        <f t="shared" ca="1" si="89"/>
        <v/>
      </c>
      <c r="BZ43" s="395" t="str">
        <f t="shared" ca="1" si="90"/>
        <v/>
      </c>
      <c r="CA43" s="202"/>
      <c r="CB43" s="396">
        <f t="shared" ca="1" si="65"/>
        <v>0</v>
      </c>
      <c r="CC43" s="393">
        <f t="shared" ca="1" si="52"/>
        <v>99999</v>
      </c>
      <c r="CD43" s="202" t="str">
        <f t="shared" ca="1" si="53"/>
        <v/>
      </c>
      <c r="CE43" s="202" t="str">
        <f t="shared" ca="1" si="75"/>
        <v/>
      </c>
      <c r="CF43" s="394">
        <f t="shared" ca="1" si="22"/>
        <v>99999</v>
      </c>
      <c r="CG43" s="394" t="str">
        <f t="shared" ca="1" si="91"/>
        <v/>
      </c>
      <c r="CH43" s="395" t="str">
        <f t="shared" ca="1" si="92"/>
        <v/>
      </c>
      <c r="CJ43" s="396">
        <f t="shared" ca="1" si="66"/>
        <v>0</v>
      </c>
      <c r="CK43" s="393">
        <f t="shared" ca="1" si="55"/>
        <v>99999</v>
      </c>
      <c r="CL43" s="202" t="str">
        <f t="shared" ca="1" si="56"/>
        <v/>
      </c>
      <c r="CM43" s="202" t="str">
        <f t="shared" ca="1" si="76"/>
        <v/>
      </c>
      <c r="CN43" s="394">
        <f t="shared" ca="1" si="25"/>
        <v>99999</v>
      </c>
      <c r="CO43" s="394" t="str">
        <f t="shared" ca="1" si="93"/>
        <v/>
      </c>
      <c r="CP43" s="395" t="str">
        <f t="shared" ca="1" si="94"/>
        <v/>
      </c>
    </row>
    <row r="44" spans="4:94" ht="17.25" x14ac:dyDescent="0.25">
      <c r="D44" s="159">
        <f t="shared" ca="1" si="28"/>
        <v>2</v>
      </c>
      <c r="E44" s="159">
        <f t="shared" ca="1" si="29"/>
        <v>42</v>
      </c>
      <c r="F44" s="159">
        <f ca="1">IF($E44="",0,COUNTIF($E$7:$E44,INDEX($E$79:$E$150,ROW($A38))))</f>
        <v>1</v>
      </c>
      <c r="G44" s="205"/>
      <c r="H44" s="200">
        <v>38</v>
      </c>
      <c r="I44" s="227">
        <f ca="1">IF(OR($X$3,$H44&gt;Calc!$B$13/2*$D$6),"",$T$6+QUOTIENT(($H44-1),$T$22)*($T$8+$T$10)/1440+SUM($Q$7:$Q43)/1440)</f>
        <v>0.58333333333333337</v>
      </c>
      <c r="J44" s="229">
        <f ca="1">IF(OR($X$3,$H44&gt;Calc!$B$13/2*$D$6),"",MOD(($H44-1),$T$22)+1)</f>
        <v>2</v>
      </c>
      <c r="K44" s="54">
        <f ca="1"/>
        <v>4</v>
      </c>
      <c r="L44" s="53" t="s">
        <v>5</v>
      </c>
      <c r="M44" s="55">
        <f ca="1"/>
        <v>2</v>
      </c>
      <c r="N44" s="52" t="str">
        <f t="shared" ca="1" si="30"/>
        <v>Maibach 1822 eV</v>
      </c>
      <c r="O44" s="50" t="s">
        <v>5</v>
      </c>
      <c r="P44" s="51" t="str">
        <f t="shared" ca="1" si="31"/>
        <v>FC Barcelona</v>
      </c>
      <c r="Q44" s="381"/>
      <c r="R44" s="220"/>
      <c r="S44" s="221"/>
      <c r="T44" s="221"/>
      <c r="U44" s="221"/>
      <c r="V44" s="221"/>
      <c r="W44" s="202">
        <f t="shared" ca="1" si="58"/>
        <v>0</v>
      </c>
      <c r="X44" s="396">
        <f t="shared" ca="1" si="67"/>
        <v>0</v>
      </c>
      <c r="Y44" s="393">
        <f t="shared" ca="1" si="32"/>
        <v>99999</v>
      </c>
      <c r="Z44" s="202" t="str">
        <f t="shared" ca="1" si="0"/>
        <v/>
      </c>
      <c r="AA44" s="202" t="str">
        <f t="shared" ca="1" si="68"/>
        <v/>
      </c>
      <c r="AB44" s="394">
        <f t="shared" ca="1" si="1"/>
        <v>99999</v>
      </c>
      <c r="AC44" s="394" t="str">
        <f t="shared" ca="1" si="77"/>
        <v/>
      </c>
      <c r="AD44" s="395" t="str">
        <f t="shared" ca="1" si="78"/>
        <v/>
      </c>
      <c r="AE44" s="202"/>
      <c r="AF44" s="396">
        <f t="shared" ca="1" si="59"/>
        <v>0</v>
      </c>
      <c r="AG44" s="393">
        <f t="shared" ca="1" si="34"/>
        <v>0.58333333333333337</v>
      </c>
      <c r="AH44" s="202">
        <f t="shared" ca="1" si="35"/>
        <v>4</v>
      </c>
      <c r="AI44" s="202">
        <f t="shared" ca="1" si="69"/>
        <v>2</v>
      </c>
      <c r="AJ44" s="394">
        <f t="shared" ca="1" si="4"/>
        <v>99999</v>
      </c>
      <c r="AK44" s="394" t="str">
        <f t="shared" ca="1" si="79"/>
        <v/>
      </c>
      <c r="AL44" s="395" t="str">
        <f t="shared" ca="1" si="80"/>
        <v/>
      </c>
      <c r="AN44" s="396">
        <f t="shared" ca="1" si="60"/>
        <v>0</v>
      </c>
      <c r="AO44" s="393">
        <f t="shared" ca="1" si="37"/>
        <v>99999</v>
      </c>
      <c r="AP44" s="202" t="str">
        <f t="shared" ca="1" si="38"/>
        <v/>
      </c>
      <c r="AQ44" s="202" t="str">
        <f t="shared" ca="1" si="70"/>
        <v/>
      </c>
      <c r="AR44" s="394">
        <f t="shared" ca="1" si="7"/>
        <v>99999</v>
      </c>
      <c r="AS44" s="394" t="str">
        <f t="shared" ca="1" si="81"/>
        <v/>
      </c>
      <c r="AT44" s="395" t="str">
        <f t="shared" ca="1" si="82"/>
        <v/>
      </c>
      <c r="AU44" s="202"/>
      <c r="AV44" s="396">
        <f t="shared" ca="1" si="61"/>
        <v>0</v>
      </c>
      <c r="AW44" s="393">
        <f t="shared" ca="1" si="40"/>
        <v>0.58333333333333337</v>
      </c>
      <c r="AX44" s="202">
        <f t="shared" ca="1" si="41"/>
        <v>2</v>
      </c>
      <c r="AY44" s="202">
        <f t="shared" ca="1" si="71"/>
        <v>2</v>
      </c>
      <c r="AZ44" s="394">
        <f t="shared" ca="1" si="10"/>
        <v>99999</v>
      </c>
      <c r="BA44" s="394" t="str">
        <f t="shared" ca="1" si="83"/>
        <v/>
      </c>
      <c r="BB44" s="395" t="str">
        <f t="shared" ca="1" si="84"/>
        <v/>
      </c>
      <c r="BD44" s="396">
        <f t="shared" ca="1" si="62"/>
        <v>0</v>
      </c>
      <c r="BE44" s="393">
        <f t="shared" ca="1" si="43"/>
        <v>99999</v>
      </c>
      <c r="BF44" s="202" t="str">
        <f t="shared" ca="1" si="44"/>
        <v/>
      </c>
      <c r="BG44" s="202" t="str">
        <f t="shared" ca="1" si="72"/>
        <v/>
      </c>
      <c r="BH44" s="394">
        <f t="shared" ca="1" si="13"/>
        <v>99999</v>
      </c>
      <c r="BI44" s="394" t="str">
        <f t="shared" ca="1" si="85"/>
        <v/>
      </c>
      <c r="BJ44" s="395" t="str">
        <f t="shared" ca="1" si="86"/>
        <v/>
      </c>
      <c r="BK44" s="202"/>
      <c r="BL44" s="396">
        <f t="shared" ca="1" si="63"/>
        <v>0</v>
      </c>
      <c r="BM44" s="393">
        <f t="shared" ca="1" si="46"/>
        <v>99999</v>
      </c>
      <c r="BN44" s="202" t="str">
        <f t="shared" ca="1" si="47"/>
        <v/>
      </c>
      <c r="BO44" s="202" t="str">
        <f t="shared" ca="1" si="73"/>
        <v/>
      </c>
      <c r="BP44" s="394">
        <f t="shared" ca="1" si="16"/>
        <v>99999</v>
      </c>
      <c r="BQ44" s="394" t="str">
        <f t="shared" ca="1" si="87"/>
        <v/>
      </c>
      <c r="BR44" s="395" t="str">
        <f t="shared" ca="1" si="88"/>
        <v/>
      </c>
      <c r="BT44" s="396">
        <f t="shared" ca="1" si="64"/>
        <v>0</v>
      </c>
      <c r="BU44" s="393">
        <f t="shared" ca="1" si="49"/>
        <v>99999</v>
      </c>
      <c r="BV44" s="202" t="str">
        <f t="shared" ca="1" si="50"/>
        <v/>
      </c>
      <c r="BW44" s="202" t="str">
        <f t="shared" ca="1" si="74"/>
        <v/>
      </c>
      <c r="BX44" s="394">
        <f t="shared" ca="1" si="19"/>
        <v>99999</v>
      </c>
      <c r="BY44" s="394" t="str">
        <f t="shared" ca="1" si="89"/>
        <v/>
      </c>
      <c r="BZ44" s="395" t="str">
        <f t="shared" ca="1" si="90"/>
        <v/>
      </c>
      <c r="CA44" s="202"/>
      <c r="CB44" s="396">
        <f t="shared" ca="1" si="65"/>
        <v>0</v>
      </c>
      <c r="CC44" s="393">
        <f t="shared" ca="1" si="52"/>
        <v>99999</v>
      </c>
      <c r="CD44" s="202" t="str">
        <f t="shared" ca="1" si="53"/>
        <v/>
      </c>
      <c r="CE44" s="202" t="str">
        <f t="shared" ca="1" si="75"/>
        <v/>
      </c>
      <c r="CF44" s="394">
        <f t="shared" ca="1" si="22"/>
        <v>99999</v>
      </c>
      <c r="CG44" s="394" t="str">
        <f t="shared" ca="1" si="91"/>
        <v/>
      </c>
      <c r="CH44" s="395" t="str">
        <f t="shared" ca="1" si="92"/>
        <v/>
      </c>
      <c r="CJ44" s="396">
        <f t="shared" ca="1" si="66"/>
        <v>0</v>
      </c>
      <c r="CK44" s="393">
        <f t="shared" ca="1" si="55"/>
        <v>99999</v>
      </c>
      <c r="CL44" s="202" t="str">
        <f t="shared" ca="1" si="56"/>
        <v/>
      </c>
      <c r="CM44" s="202" t="str">
        <f t="shared" ca="1" si="76"/>
        <v/>
      </c>
      <c r="CN44" s="394">
        <f t="shared" ca="1" si="25"/>
        <v>99999</v>
      </c>
      <c r="CO44" s="394" t="str">
        <f t="shared" ca="1" si="93"/>
        <v/>
      </c>
      <c r="CP44" s="395" t="str">
        <f t="shared" ca="1" si="94"/>
        <v/>
      </c>
    </row>
    <row r="45" spans="4:94" ht="17.25" x14ac:dyDescent="0.25">
      <c r="D45" s="159">
        <f t="shared" ca="1" si="28"/>
        <v>2</v>
      </c>
      <c r="E45" s="159">
        <f t="shared" ca="1" si="29"/>
        <v>67</v>
      </c>
      <c r="F45" s="159">
        <f ca="1">IF($E45="",0,COUNTIF($E$7:$E45,INDEX($E$79:$E$150,ROW($A39))))</f>
        <v>1</v>
      </c>
      <c r="G45" s="205"/>
      <c r="H45" s="200">
        <v>39</v>
      </c>
      <c r="I45" s="227">
        <f ca="1">IF(OR($X$3,$H45&gt;Calc!$B$13/2*$D$6),"",$T$6+QUOTIENT(($H45-1),$T$22)*($T$8+$T$10)/1440+SUM($Q$7:$Q44)/1440)</f>
        <v>0.58333333333333337</v>
      </c>
      <c r="J45" s="229">
        <f ca="1">IF(OR($X$3,$H45&gt;Calc!$B$13/2*$D$6),"",MOD(($H45-1),$T$22)+1)</f>
        <v>3</v>
      </c>
      <c r="K45" s="54">
        <f ca="1"/>
        <v>6</v>
      </c>
      <c r="L45" s="53" t="s">
        <v>5</v>
      </c>
      <c r="M45" s="55">
        <f ca="1"/>
        <v>7</v>
      </c>
      <c r="N45" s="52" t="str">
        <f t="shared" ca="1" si="30"/>
        <v>Inter Mailand</v>
      </c>
      <c r="O45" s="50" t="s">
        <v>5</v>
      </c>
      <c r="P45" s="51" t="str">
        <f t="shared" ca="1" si="31"/>
        <v>SSV Wildbach</v>
      </c>
      <c r="Q45" s="381"/>
      <c r="R45" s="220"/>
      <c r="S45" s="221"/>
      <c r="T45" s="221"/>
      <c r="U45" s="221"/>
      <c r="V45" s="221"/>
      <c r="W45" s="202">
        <f t="shared" ca="1" si="58"/>
        <v>0</v>
      </c>
      <c r="X45" s="396">
        <f t="shared" ca="1" si="67"/>
        <v>0</v>
      </c>
      <c r="Y45" s="393">
        <f t="shared" ca="1" si="32"/>
        <v>99999</v>
      </c>
      <c r="Z45" s="202" t="str">
        <f t="shared" ca="1" si="0"/>
        <v/>
      </c>
      <c r="AA45" s="202" t="str">
        <f t="shared" ca="1" si="68"/>
        <v/>
      </c>
      <c r="AB45" s="394">
        <f t="shared" ca="1" si="1"/>
        <v>99999</v>
      </c>
      <c r="AC45" s="394" t="str">
        <f t="shared" ca="1" si="77"/>
        <v/>
      </c>
      <c r="AD45" s="395" t="str">
        <f t="shared" ca="1" si="78"/>
        <v/>
      </c>
      <c r="AE45" s="202"/>
      <c r="AF45" s="396">
        <f t="shared" ca="1" si="59"/>
        <v>0</v>
      </c>
      <c r="AG45" s="393">
        <f t="shared" ca="1" si="34"/>
        <v>99999</v>
      </c>
      <c r="AH45" s="202" t="str">
        <f t="shared" ca="1" si="35"/>
        <v/>
      </c>
      <c r="AI45" s="202" t="str">
        <f t="shared" ca="1" si="69"/>
        <v/>
      </c>
      <c r="AJ45" s="394">
        <f t="shared" ca="1" si="4"/>
        <v>99999</v>
      </c>
      <c r="AK45" s="394" t="str">
        <f t="shared" ca="1" si="79"/>
        <v/>
      </c>
      <c r="AL45" s="395" t="str">
        <f t="shared" ca="1" si="80"/>
        <v/>
      </c>
      <c r="AN45" s="396">
        <f t="shared" ca="1" si="60"/>
        <v>0</v>
      </c>
      <c r="AO45" s="393">
        <f t="shared" ca="1" si="37"/>
        <v>99999</v>
      </c>
      <c r="AP45" s="202" t="str">
        <f t="shared" ca="1" si="38"/>
        <v/>
      </c>
      <c r="AQ45" s="202" t="str">
        <f t="shared" ca="1" si="70"/>
        <v/>
      </c>
      <c r="AR45" s="394">
        <f t="shared" ca="1" si="7"/>
        <v>99999</v>
      </c>
      <c r="AS45" s="394" t="str">
        <f t="shared" ca="1" si="81"/>
        <v/>
      </c>
      <c r="AT45" s="395" t="str">
        <f t="shared" ca="1" si="82"/>
        <v/>
      </c>
      <c r="AU45" s="202"/>
      <c r="AV45" s="396">
        <f t="shared" ca="1" si="61"/>
        <v>0</v>
      </c>
      <c r="AW45" s="393">
        <f t="shared" ca="1" si="40"/>
        <v>99999</v>
      </c>
      <c r="AX45" s="202" t="str">
        <f t="shared" ca="1" si="41"/>
        <v/>
      </c>
      <c r="AY45" s="202" t="str">
        <f t="shared" ca="1" si="71"/>
        <v/>
      </c>
      <c r="AZ45" s="394">
        <f t="shared" ca="1" si="10"/>
        <v>99999</v>
      </c>
      <c r="BA45" s="394" t="str">
        <f t="shared" ca="1" si="83"/>
        <v/>
      </c>
      <c r="BB45" s="395" t="str">
        <f t="shared" ca="1" si="84"/>
        <v/>
      </c>
      <c r="BD45" s="396">
        <f t="shared" ca="1" si="62"/>
        <v>0</v>
      </c>
      <c r="BE45" s="393">
        <f t="shared" ca="1" si="43"/>
        <v>99999</v>
      </c>
      <c r="BF45" s="202" t="str">
        <f t="shared" ca="1" si="44"/>
        <v/>
      </c>
      <c r="BG45" s="202" t="str">
        <f t="shared" ca="1" si="72"/>
        <v/>
      </c>
      <c r="BH45" s="394">
        <f t="shared" ca="1" si="13"/>
        <v>99999</v>
      </c>
      <c r="BI45" s="394" t="str">
        <f t="shared" ca="1" si="85"/>
        <v/>
      </c>
      <c r="BJ45" s="395" t="str">
        <f t="shared" ca="1" si="86"/>
        <v/>
      </c>
      <c r="BK45" s="202"/>
      <c r="BL45" s="396">
        <f t="shared" ca="1" si="63"/>
        <v>0</v>
      </c>
      <c r="BM45" s="393">
        <f t="shared" ca="1" si="46"/>
        <v>0.58333333333333337</v>
      </c>
      <c r="BN45" s="202">
        <f t="shared" ca="1" si="47"/>
        <v>7</v>
      </c>
      <c r="BO45" s="202">
        <f t="shared" ca="1" si="73"/>
        <v>3</v>
      </c>
      <c r="BP45" s="394">
        <f t="shared" ca="1" si="16"/>
        <v>99999</v>
      </c>
      <c r="BQ45" s="394" t="str">
        <f t="shared" ca="1" si="87"/>
        <v/>
      </c>
      <c r="BR45" s="395" t="str">
        <f t="shared" ca="1" si="88"/>
        <v/>
      </c>
      <c r="BT45" s="396">
        <f t="shared" ca="1" si="64"/>
        <v>0</v>
      </c>
      <c r="BU45" s="393">
        <f t="shared" ca="1" si="49"/>
        <v>0.58333333333333337</v>
      </c>
      <c r="BV45" s="202">
        <f t="shared" ca="1" si="50"/>
        <v>6</v>
      </c>
      <c r="BW45" s="202">
        <f t="shared" ca="1" si="74"/>
        <v>3</v>
      </c>
      <c r="BX45" s="394">
        <f t="shared" ca="1" si="19"/>
        <v>99999</v>
      </c>
      <c r="BY45" s="394" t="str">
        <f t="shared" ca="1" si="89"/>
        <v/>
      </c>
      <c r="BZ45" s="395" t="str">
        <f t="shared" ca="1" si="90"/>
        <v/>
      </c>
      <c r="CA45" s="202"/>
      <c r="CB45" s="396">
        <f t="shared" ca="1" si="65"/>
        <v>0</v>
      </c>
      <c r="CC45" s="393">
        <f t="shared" ca="1" si="52"/>
        <v>99999</v>
      </c>
      <c r="CD45" s="202" t="str">
        <f t="shared" ca="1" si="53"/>
        <v/>
      </c>
      <c r="CE45" s="202" t="str">
        <f t="shared" ca="1" si="75"/>
        <v/>
      </c>
      <c r="CF45" s="394">
        <f t="shared" ca="1" si="22"/>
        <v>99999</v>
      </c>
      <c r="CG45" s="394" t="str">
        <f t="shared" ca="1" si="91"/>
        <v/>
      </c>
      <c r="CH45" s="395" t="str">
        <f t="shared" ca="1" si="92"/>
        <v/>
      </c>
      <c r="CJ45" s="396">
        <f t="shared" ca="1" si="66"/>
        <v>0</v>
      </c>
      <c r="CK45" s="393">
        <f t="shared" ca="1" si="55"/>
        <v>99999</v>
      </c>
      <c r="CL45" s="202" t="str">
        <f t="shared" ca="1" si="56"/>
        <v/>
      </c>
      <c r="CM45" s="202" t="str">
        <f t="shared" ca="1" si="76"/>
        <v/>
      </c>
      <c r="CN45" s="394">
        <f t="shared" ca="1" si="25"/>
        <v>99999</v>
      </c>
      <c r="CO45" s="394" t="str">
        <f t="shared" ca="1" si="93"/>
        <v/>
      </c>
      <c r="CP45" s="395" t="str">
        <f t="shared" ca="1" si="94"/>
        <v/>
      </c>
    </row>
    <row r="46" spans="4:94" ht="17.25" x14ac:dyDescent="0.25">
      <c r="D46" s="159">
        <f t="shared" ca="1" si="28"/>
        <v>2</v>
      </c>
      <c r="E46" s="159">
        <f t="shared" ca="1" si="29"/>
        <v>21</v>
      </c>
      <c r="F46" s="159">
        <f ca="1">IF($E46="",0,COUNTIF($E$7:$E46,INDEX($E$79:$E$150,ROW($A40))))</f>
        <v>1</v>
      </c>
      <c r="G46" s="205"/>
      <c r="H46" s="200">
        <v>40</v>
      </c>
      <c r="I46" s="227">
        <f ca="1">IF(OR($X$3,$H46&gt;Calc!$B$13/2*$D$6),"",$T$6+QUOTIENT(($H46-1),$T$22)*($T$8+$T$10)/1440+SUM($Q$7:$Q45)/1440)</f>
        <v>0.60069444444444442</v>
      </c>
      <c r="J46" s="229">
        <f ca="1">IF(OR($X$3,$H46&gt;Calc!$B$13/2*$D$6),"",MOD(($H46-1),$T$22)+1)</f>
        <v>1</v>
      </c>
      <c r="K46" s="54">
        <f ca="1"/>
        <v>2</v>
      </c>
      <c r="L46" s="53" t="s">
        <v>5</v>
      </c>
      <c r="M46" s="55">
        <f ca="1"/>
        <v>1</v>
      </c>
      <c r="N46" s="52" t="str">
        <f t="shared" ca="1" si="30"/>
        <v>FC Barcelona</v>
      </c>
      <c r="O46" s="50" t="s">
        <v>5</v>
      </c>
      <c r="P46" s="51" t="str">
        <f t="shared" ca="1" si="31"/>
        <v>1. FC Riedwald</v>
      </c>
      <c r="Q46" s="381"/>
      <c r="R46" s="220"/>
      <c r="S46" s="221"/>
      <c r="T46" s="221"/>
      <c r="U46" s="221"/>
      <c r="V46" s="221"/>
      <c r="W46" s="202">
        <f t="shared" ca="1" si="58"/>
        <v>0</v>
      </c>
      <c r="X46" s="396">
        <f t="shared" ca="1" si="67"/>
        <v>0</v>
      </c>
      <c r="Y46" s="393">
        <f t="shared" ca="1" si="32"/>
        <v>0.60069444444444442</v>
      </c>
      <c r="Z46" s="202">
        <f t="shared" ca="1" si="0"/>
        <v>2</v>
      </c>
      <c r="AA46" s="202">
        <f t="shared" ca="1" si="68"/>
        <v>1</v>
      </c>
      <c r="AB46" s="394">
        <f t="shared" ca="1" si="1"/>
        <v>99999</v>
      </c>
      <c r="AC46" s="394" t="str">
        <f t="shared" ca="1" si="77"/>
        <v/>
      </c>
      <c r="AD46" s="395" t="str">
        <f t="shared" ca="1" si="78"/>
        <v/>
      </c>
      <c r="AE46" s="202"/>
      <c r="AF46" s="396">
        <f t="shared" ca="1" si="59"/>
        <v>0</v>
      </c>
      <c r="AG46" s="393">
        <f t="shared" ca="1" si="34"/>
        <v>0.60069444444444442</v>
      </c>
      <c r="AH46" s="202">
        <f t="shared" ca="1" si="35"/>
        <v>1</v>
      </c>
      <c r="AI46" s="202">
        <f t="shared" ca="1" si="69"/>
        <v>1</v>
      </c>
      <c r="AJ46" s="394">
        <f t="shared" ca="1" si="4"/>
        <v>99999</v>
      </c>
      <c r="AK46" s="394" t="str">
        <f t="shared" ca="1" si="79"/>
        <v/>
      </c>
      <c r="AL46" s="395" t="str">
        <f t="shared" ca="1" si="80"/>
        <v/>
      </c>
      <c r="AN46" s="396">
        <f t="shared" ca="1" si="60"/>
        <v>0</v>
      </c>
      <c r="AO46" s="393">
        <f t="shared" ca="1" si="37"/>
        <v>99999</v>
      </c>
      <c r="AP46" s="202" t="str">
        <f t="shared" ca="1" si="38"/>
        <v/>
      </c>
      <c r="AQ46" s="202" t="str">
        <f t="shared" ca="1" si="70"/>
        <v/>
      </c>
      <c r="AR46" s="394">
        <f t="shared" ca="1" si="7"/>
        <v>99999</v>
      </c>
      <c r="AS46" s="394" t="str">
        <f t="shared" ca="1" si="81"/>
        <v/>
      </c>
      <c r="AT46" s="395" t="str">
        <f t="shared" ca="1" si="82"/>
        <v/>
      </c>
      <c r="AU46" s="202"/>
      <c r="AV46" s="396">
        <f t="shared" ca="1" si="61"/>
        <v>0</v>
      </c>
      <c r="AW46" s="393">
        <f t="shared" ca="1" si="40"/>
        <v>99999</v>
      </c>
      <c r="AX46" s="202" t="str">
        <f t="shared" ca="1" si="41"/>
        <v/>
      </c>
      <c r="AY46" s="202" t="str">
        <f t="shared" ca="1" si="71"/>
        <v/>
      </c>
      <c r="AZ46" s="394">
        <f t="shared" ca="1" si="10"/>
        <v>99999</v>
      </c>
      <c r="BA46" s="394" t="str">
        <f t="shared" ca="1" si="83"/>
        <v/>
      </c>
      <c r="BB46" s="395" t="str">
        <f t="shared" ca="1" si="84"/>
        <v/>
      </c>
      <c r="BD46" s="396">
        <f t="shared" ca="1" si="62"/>
        <v>0</v>
      </c>
      <c r="BE46" s="393">
        <f t="shared" ca="1" si="43"/>
        <v>99999</v>
      </c>
      <c r="BF46" s="202" t="str">
        <f t="shared" ca="1" si="44"/>
        <v/>
      </c>
      <c r="BG46" s="202" t="str">
        <f t="shared" ca="1" si="72"/>
        <v/>
      </c>
      <c r="BH46" s="394">
        <f t="shared" ca="1" si="13"/>
        <v>99999</v>
      </c>
      <c r="BI46" s="394" t="str">
        <f t="shared" ca="1" si="85"/>
        <v/>
      </c>
      <c r="BJ46" s="395" t="str">
        <f t="shared" ca="1" si="86"/>
        <v/>
      </c>
      <c r="BK46" s="202"/>
      <c r="BL46" s="396">
        <f t="shared" ca="1" si="63"/>
        <v>0</v>
      </c>
      <c r="BM46" s="393">
        <f t="shared" ca="1" si="46"/>
        <v>99999</v>
      </c>
      <c r="BN46" s="202" t="str">
        <f t="shared" ca="1" si="47"/>
        <v/>
      </c>
      <c r="BO46" s="202" t="str">
        <f t="shared" ca="1" si="73"/>
        <v/>
      </c>
      <c r="BP46" s="394">
        <f t="shared" ca="1" si="16"/>
        <v>99999</v>
      </c>
      <c r="BQ46" s="394" t="str">
        <f t="shared" ca="1" si="87"/>
        <v/>
      </c>
      <c r="BR46" s="395" t="str">
        <f t="shared" ca="1" si="88"/>
        <v/>
      </c>
      <c r="BT46" s="396">
        <f t="shared" ca="1" si="64"/>
        <v>0</v>
      </c>
      <c r="BU46" s="393">
        <f t="shared" ca="1" si="49"/>
        <v>99999</v>
      </c>
      <c r="BV46" s="202" t="str">
        <f t="shared" ca="1" si="50"/>
        <v/>
      </c>
      <c r="BW46" s="202" t="str">
        <f t="shared" ca="1" si="74"/>
        <v/>
      </c>
      <c r="BX46" s="394">
        <f t="shared" ca="1" si="19"/>
        <v>99999</v>
      </c>
      <c r="BY46" s="394" t="str">
        <f t="shared" ca="1" si="89"/>
        <v/>
      </c>
      <c r="BZ46" s="395" t="str">
        <f t="shared" ca="1" si="90"/>
        <v/>
      </c>
      <c r="CA46" s="202"/>
      <c r="CB46" s="396">
        <f t="shared" ca="1" si="65"/>
        <v>0</v>
      </c>
      <c r="CC46" s="393">
        <f t="shared" ca="1" si="52"/>
        <v>99999</v>
      </c>
      <c r="CD46" s="202" t="str">
        <f t="shared" ca="1" si="53"/>
        <v/>
      </c>
      <c r="CE46" s="202" t="str">
        <f t="shared" ca="1" si="75"/>
        <v/>
      </c>
      <c r="CF46" s="394">
        <f t="shared" ca="1" si="22"/>
        <v>99999</v>
      </c>
      <c r="CG46" s="394" t="str">
        <f t="shared" ca="1" si="91"/>
        <v/>
      </c>
      <c r="CH46" s="395" t="str">
        <f t="shared" ca="1" si="92"/>
        <v/>
      </c>
      <c r="CJ46" s="396">
        <f t="shared" ca="1" si="66"/>
        <v>0</v>
      </c>
      <c r="CK46" s="393">
        <f t="shared" ca="1" si="55"/>
        <v>99999</v>
      </c>
      <c r="CL46" s="202" t="str">
        <f t="shared" ca="1" si="56"/>
        <v/>
      </c>
      <c r="CM46" s="202" t="str">
        <f t="shared" ca="1" si="76"/>
        <v/>
      </c>
      <c r="CN46" s="394">
        <f t="shared" ca="1" si="25"/>
        <v>99999</v>
      </c>
      <c r="CO46" s="394" t="str">
        <f t="shared" ca="1" si="93"/>
        <v/>
      </c>
      <c r="CP46" s="395" t="str">
        <f t="shared" ca="1" si="94"/>
        <v/>
      </c>
    </row>
    <row r="47" spans="4:94" ht="17.25" x14ac:dyDescent="0.25">
      <c r="D47" s="159">
        <f t="shared" ca="1" si="28"/>
        <v>2</v>
      </c>
      <c r="E47" s="159">
        <f t="shared" ca="1" si="29"/>
        <v>74</v>
      </c>
      <c r="F47" s="159">
        <f ca="1">IF($E47="",0,COUNTIF($E$7:$E47,INDEX($E$79:$E$150,ROW($A41))))</f>
        <v>1</v>
      </c>
      <c r="G47" s="205"/>
      <c r="H47" s="200">
        <v>41</v>
      </c>
      <c r="I47" s="227">
        <f ca="1">IF(OR($X$3,$H47&gt;Calc!$B$13/2*$D$6),"",$T$6+QUOTIENT(($H47-1),$T$22)*($T$8+$T$10)/1440+SUM($Q$7:$Q46)/1440)</f>
        <v>0.60069444444444442</v>
      </c>
      <c r="J47" s="229">
        <f ca="1">IF(OR($X$3,$H47&gt;Calc!$B$13/2*$D$6),"",MOD(($H47-1),$T$22)+1)</f>
        <v>2</v>
      </c>
      <c r="K47" s="54">
        <f ca="1"/>
        <v>7</v>
      </c>
      <c r="L47" s="53" t="s">
        <v>5</v>
      </c>
      <c r="M47" s="55">
        <f ca="1"/>
        <v>4</v>
      </c>
      <c r="N47" s="52" t="str">
        <f t="shared" ca="1" si="30"/>
        <v>SSV Wildbach</v>
      </c>
      <c r="O47" s="50" t="s">
        <v>5</v>
      </c>
      <c r="P47" s="51" t="str">
        <f t="shared" ca="1" si="31"/>
        <v>Maibach 1822 eV</v>
      </c>
      <c r="Q47" s="381"/>
      <c r="R47" s="220"/>
      <c r="S47" s="221"/>
      <c r="T47" s="221"/>
      <c r="U47" s="221"/>
      <c r="V47" s="221"/>
      <c r="W47" s="202">
        <f t="shared" ca="1" si="58"/>
        <v>0</v>
      </c>
      <c r="X47" s="396">
        <f t="shared" ca="1" si="67"/>
        <v>0</v>
      </c>
      <c r="Y47" s="393">
        <f t="shared" ca="1" si="32"/>
        <v>99999</v>
      </c>
      <c r="Z47" s="202" t="str">
        <f t="shared" ca="1" si="0"/>
        <v/>
      </c>
      <c r="AA47" s="202" t="str">
        <f t="shared" ca="1" si="68"/>
        <v/>
      </c>
      <c r="AB47" s="394">
        <f t="shared" ca="1" si="1"/>
        <v>99999</v>
      </c>
      <c r="AC47" s="394" t="str">
        <f t="shared" ca="1" si="77"/>
        <v/>
      </c>
      <c r="AD47" s="395" t="str">
        <f t="shared" ca="1" si="78"/>
        <v/>
      </c>
      <c r="AE47" s="202"/>
      <c r="AF47" s="396">
        <f t="shared" ca="1" si="59"/>
        <v>0</v>
      </c>
      <c r="AG47" s="393">
        <f t="shared" ca="1" si="34"/>
        <v>99999</v>
      </c>
      <c r="AH47" s="202" t="str">
        <f t="shared" ca="1" si="35"/>
        <v/>
      </c>
      <c r="AI47" s="202" t="str">
        <f t="shared" ca="1" si="69"/>
        <v/>
      </c>
      <c r="AJ47" s="394">
        <f t="shared" ca="1" si="4"/>
        <v>99999</v>
      </c>
      <c r="AK47" s="394" t="str">
        <f t="shared" ca="1" si="79"/>
        <v/>
      </c>
      <c r="AL47" s="395" t="str">
        <f t="shared" ca="1" si="80"/>
        <v/>
      </c>
      <c r="AN47" s="396">
        <f t="shared" ca="1" si="60"/>
        <v>0</v>
      </c>
      <c r="AO47" s="393">
        <f t="shared" ca="1" si="37"/>
        <v>99999</v>
      </c>
      <c r="AP47" s="202" t="str">
        <f t="shared" ca="1" si="38"/>
        <v/>
      </c>
      <c r="AQ47" s="202" t="str">
        <f t="shared" ca="1" si="70"/>
        <v/>
      </c>
      <c r="AR47" s="394">
        <f t="shared" ca="1" si="7"/>
        <v>99999</v>
      </c>
      <c r="AS47" s="394" t="str">
        <f t="shared" ca="1" si="81"/>
        <v/>
      </c>
      <c r="AT47" s="395" t="str">
        <f t="shared" ca="1" si="82"/>
        <v/>
      </c>
      <c r="AU47" s="202"/>
      <c r="AV47" s="396">
        <f t="shared" ca="1" si="61"/>
        <v>0</v>
      </c>
      <c r="AW47" s="393">
        <f t="shared" ca="1" si="40"/>
        <v>0.60069444444444442</v>
      </c>
      <c r="AX47" s="202">
        <f t="shared" ca="1" si="41"/>
        <v>7</v>
      </c>
      <c r="AY47" s="202">
        <f t="shared" ca="1" si="71"/>
        <v>2</v>
      </c>
      <c r="AZ47" s="394">
        <f t="shared" ca="1" si="10"/>
        <v>99999</v>
      </c>
      <c r="BA47" s="394" t="str">
        <f t="shared" ca="1" si="83"/>
        <v/>
      </c>
      <c r="BB47" s="395" t="str">
        <f t="shared" ca="1" si="84"/>
        <v/>
      </c>
      <c r="BD47" s="396">
        <f t="shared" ca="1" si="62"/>
        <v>0</v>
      </c>
      <c r="BE47" s="393">
        <f t="shared" ca="1" si="43"/>
        <v>99999</v>
      </c>
      <c r="BF47" s="202" t="str">
        <f t="shared" ca="1" si="44"/>
        <v/>
      </c>
      <c r="BG47" s="202" t="str">
        <f t="shared" ca="1" si="72"/>
        <v/>
      </c>
      <c r="BH47" s="394">
        <f t="shared" ca="1" si="13"/>
        <v>99999</v>
      </c>
      <c r="BI47" s="394" t="str">
        <f t="shared" ca="1" si="85"/>
        <v/>
      </c>
      <c r="BJ47" s="395" t="str">
        <f t="shared" ca="1" si="86"/>
        <v/>
      </c>
      <c r="BK47" s="202"/>
      <c r="BL47" s="396">
        <f t="shared" ca="1" si="63"/>
        <v>0</v>
      </c>
      <c r="BM47" s="393">
        <f t="shared" ca="1" si="46"/>
        <v>99999</v>
      </c>
      <c r="BN47" s="202" t="str">
        <f t="shared" ca="1" si="47"/>
        <v/>
      </c>
      <c r="BO47" s="202" t="str">
        <f t="shared" ca="1" si="73"/>
        <v/>
      </c>
      <c r="BP47" s="394">
        <f t="shared" ca="1" si="16"/>
        <v>99999</v>
      </c>
      <c r="BQ47" s="394" t="str">
        <f t="shared" ca="1" si="87"/>
        <v/>
      </c>
      <c r="BR47" s="395" t="str">
        <f t="shared" ca="1" si="88"/>
        <v/>
      </c>
      <c r="BT47" s="396">
        <f t="shared" ca="1" si="64"/>
        <v>0</v>
      </c>
      <c r="BU47" s="393">
        <f t="shared" ca="1" si="49"/>
        <v>0.60069444444444442</v>
      </c>
      <c r="BV47" s="202">
        <f t="shared" ca="1" si="50"/>
        <v>4</v>
      </c>
      <c r="BW47" s="202">
        <f t="shared" ca="1" si="74"/>
        <v>2</v>
      </c>
      <c r="BX47" s="394">
        <f t="shared" ca="1" si="19"/>
        <v>99999</v>
      </c>
      <c r="BY47" s="394" t="str">
        <f t="shared" ca="1" si="89"/>
        <v/>
      </c>
      <c r="BZ47" s="395" t="str">
        <f t="shared" ca="1" si="90"/>
        <v/>
      </c>
      <c r="CA47" s="202"/>
      <c r="CB47" s="396">
        <f t="shared" ca="1" si="65"/>
        <v>0</v>
      </c>
      <c r="CC47" s="393">
        <f t="shared" ca="1" si="52"/>
        <v>99999</v>
      </c>
      <c r="CD47" s="202" t="str">
        <f t="shared" ca="1" si="53"/>
        <v/>
      </c>
      <c r="CE47" s="202" t="str">
        <f t="shared" ca="1" si="75"/>
        <v/>
      </c>
      <c r="CF47" s="394">
        <f t="shared" ca="1" si="22"/>
        <v>99999</v>
      </c>
      <c r="CG47" s="394" t="str">
        <f t="shared" ca="1" si="91"/>
        <v/>
      </c>
      <c r="CH47" s="395" t="str">
        <f t="shared" ca="1" si="92"/>
        <v/>
      </c>
      <c r="CJ47" s="396">
        <f t="shared" ca="1" si="66"/>
        <v>0</v>
      </c>
      <c r="CK47" s="393">
        <f t="shared" ca="1" si="55"/>
        <v>99999</v>
      </c>
      <c r="CL47" s="202" t="str">
        <f t="shared" ca="1" si="56"/>
        <v/>
      </c>
      <c r="CM47" s="202" t="str">
        <f t="shared" ca="1" si="76"/>
        <v/>
      </c>
      <c r="CN47" s="394">
        <f t="shared" ca="1" si="25"/>
        <v>99999</v>
      </c>
      <c r="CO47" s="394" t="str">
        <f t="shared" ca="1" si="93"/>
        <v/>
      </c>
      <c r="CP47" s="395" t="str">
        <f t="shared" ca="1" si="94"/>
        <v/>
      </c>
    </row>
    <row r="48" spans="4:94" ht="17.25" x14ac:dyDescent="0.25">
      <c r="D48" s="159">
        <f t="shared" ca="1" si="28"/>
        <v>2</v>
      </c>
      <c r="E48" s="159">
        <f t="shared" ca="1" si="29"/>
        <v>56</v>
      </c>
      <c r="F48" s="159">
        <f ca="1">IF($E48="",0,COUNTIF($E$7:$E48,INDEX($E$79:$E$150,ROW($A42))))</f>
        <v>1</v>
      </c>
      <c r="G48" s="205"/>
      <c r="H48" s="200">
        <v>42</v>
      </c>
      <c r="I48" s="227">
        <f ca="1">IF(OR($X$3,$H48&gt;Calc!$B$13/2*$D$6),"",$T$6+QUOTIENT(($H48-1),$T$22)*($T$8+$T$10)/1440+SUM($Q$7:$Q47)/1440)</f>
        <v>0.60069444444444442</v>
      </c>
      <c r="J48" s="229">
        <f ca="1">IF(OR($X$3,$H48&gt;Calc!$B$13/2*$D$6),"",MOD(($H48-1),$T$22)+1)</f>
        <v>3</v>
      </c>
      <c r="K48" s="54">
        <f ca="1"/>
        <v>5</v>
      </c>
      <c r="L48" s="53" t="s">
        <v>5</v>
      </c>
      <c r="M48" s="55">
        <f ca="1"/>
        <v>6</v>
      </c>
      <c r="N48" s="52" t="str">
        <f t="shared" ca="1" si="30"/>
        <v>VFB Essenheim</v>
      </c>
      <c r="O48" s="50" t="s">
        <v>5</v>
      </c>
      <c r="P48" s="51" t="str">
        <f t="shared" ca="1" si="31"/>
        <v>Inter Mailand</v>
      </c>
      <c r="Q48" s="381"/>
      <c r="R48" s="220"/>
      <c r="S48" s="221"/>
      <c r="T48" s="221"/>
      <c r="U48" s="221"/>
      <c r="V48" s="221"/>
      <c r="W48" s="202">
        <f t="shared" ca="1" si="58"/>
        <v>0</v>
      </c>
      <c r="X48" s="396">
        <f t="shared" ca="1" si="67"/>
        <v>0</v>
      </c>
      <c r="Y48" s="393">
        <f t="shared" ca="1" si="32"/>
        <v>99999</v>
      </c>
      <c r="Z48" s="202" t="str">
        <f t="shared" ca="1" si="0"/>
        <v/>
      </c>
      <c r="AA48" s="202" t="str">
        <f t="shared" ca="1" si="68"/>
        <v/>
      </c>
      <c r="AB48" s="394">
        <f t="shared" ca="1" si="1"/>
        <v>99999</v>
      </c>
      <c r="AC48" s="394" t="str">
        <f t="shared" ca="1" si="77"/>
        <v/>
      </c>
      <c r="AD48" s="395" t="str">
        <f t="shared" ca="1" si="78"/>
        <v/>
      </c>
      <c r="AE48" s="202"/>
      <c r="AF48" s="396">
        <f t="shared" ca="1" si="59"/>
        <v>0</v>
      </c>
      <c r="AG48" s="393">
        <f t="shared" ca="1" si="34"/>
        <v>99999</v>
      </c>
      <c r="AH48" s="202" t="str">
        <f t="shared" ca="1" si="35"/>
        <v/>
      </c>
      <c r="AI48" s="202" t="str">
        <f t="shared" ca="1" si="69"/>
        <v/>
      </c>
      <c r="AJ48" s="394">
        <f t="shared" ca="1" si="4"/>
        <v>99999</v>
      </c>
      <c r="AK48" s="394" t="str">
        <f t="shared" ca="1" si="79"/>
        <v/>
      </c>
      <c r="AL48" s="395" t="str">
        <f t="shared" ca="1" si="80"/>
        <v/>
      </c>
      <c r="AN48" s="396">
        <f t="shared" ca="1" si="60"/>
        <v>0</v>
      </c>
      <c r="AO48" s="393">
        <f t="shared" ca="1" si="37"/>
        <v>99999</v>
      </c>
      <c r="AP48" s="202" t="str">
        <f t="shared" ca="1" si="38"/>
        <v/>
      </c>
      <c r="AQ48" s="202" t="str">
        <f t="shared" ca="1" si="70"/>
        <v/>
      </c>
      <c r="AR48" s="394">
        <f t="shared" ca="1" si="7"/>
        <v>99999</v>
      </c>
      <c r="AS48" s="394" t="str">
        <f t="shared" ca="1" si="81"/>
        <v/>
      </c>
      <c r="AT48" s="395" t="str">
        <f t="shared" ca="1" si="82"/>
        <v/>
      </c>
      <c r="AU48" s="202"/>
      <c r="AV48" s="396">
        <f t="shared" ca="1" si="61"/>
        <v>0</v>
      </c>
      <c r="AW48" s="393">
        <f t="shared" ca="1" si="40"/>
        <v>99999</v>
      </c>
      <c r="AX48" s="202" t="str">
        <f t="shared" ca="1" si="41"/>
        <v/>
      </c>
      <c r="AY48" s="202" t="str">
        <f t="shared" ca="1" si="71"/>
        <v/>
      </c>
      <c r="AZ48" s="394">
        <f t="shared" ca="1" si="10"/>
        <v>99999</v>
      </c>
      <c r="BA48" s="394" t="str">
        <f t="shared" ca="1" si="83"/>
        <v/>
      </c>
      <c r="BB48" s="395" t="str">
        <f t="shared" ca="1" si="84"/>
        <v/>
      </c>
      <c r="BD48" s="396">
        <f t="shared" ca="1" si="62"/>
        <v>0</v>
      </c>
      <c r="BE48" s="393">
        <f t="shared" ca="1" si="43"/>
        <v>0.60069444444444442</v>
      </c>
      <c r="BF48" s="202">
        <f t="shared" ca="1" si="44"/>
        <v>6</v>
      </c>
      <c r="BG48" s="202">
        <f t="shared" ca="1" si="72"/>
        <v>3</v>
      </c>
      <c r="BH48" s="394">
        <f t="shared" ca="1" si="13"/>
        <v>99999</v>
      </c>
      <c r="BI48" s="394" t="str">
        <f t="shared" ca="1" si="85"/>
        <v/>
      </c>
      <c r="BJ48" s="395" t="str">
        <f t="shared" ca="1" si="86"/>
        <v/>
      </c>
      <c r="BK48" s="202"/>
      <c r="BL48" s="396">
        <f t="shared" ca="1" si="63"/>
        <v>0</v>
      </c>
      <c r="BM48" s="393">
        <f t="shared" ca="1" si="46"/>
        <v>0.60069444444444442</v>
      </c>
      <c r="BN48" s="202">
        <f t="shared" ca="1" si="47"/>
        <v>5</v>
      </c>
      <c r="BO48" s="202">
        <f t="shared" ca="1" si="73"/>
        <v>3</v>
      </c>
      <c r="BP48" s="394">
        <f t="shared" ca="1" si="16"/>
        <v>99999</v>
      </c>
      <c r="BQ48" s="394" t="str">
        <f t="shared" ca="1" si="87"/>
        <v/>
      </c>
      <c r="BR48" s="395" t="str">
        <f t="shared" ca="1" si="88"/>
        <v/>
      </c>
      <c r="BT48" s="396">
        <f t="shared" ca="1" si="64"/>
        <v>0</v>
      </c>
      <c r="BU48" s="393">
        <f t="shared" ca="1" si="49"/>
        <v>99999</v>
      </c>
      <c r="BV48" s="202" t="str">
        <f t="shared" ca="1" si="50"/>
        <v/>
      </c>
      <c r="BW48" s="202" t="str">
        <f t="shared" ca="1" si="74"/>
        <v/>
      </c>
      <c r="BX48" s="394">
        <f t="shared" ca="1" si="19"/>
        <v>99999</v>
      </c>
      <c r="BY48" s="394" t="str">
        <f t="shared" ca="1" si="89"/>
        <v/>
      </c>
      <c r="BZ48" s="395" t="str">
        <f t="shared" ca="1" si="90"/>
        <v/>
      </c>
      <c r="CA48" s="202"/>
      <c r="CB48" s="396">
        <f t="shared" ca="1" si="65"/>
        <v>0</v>
      </c>
      <c r="CC48" s="393">
        <f t="shared" ca="1" si="52"/>
        <v>99999</v>
      </c>
      <c r="CD48" s="202" t="str">
        <f t="shared" ca="1" si="53"/>
        <v/>
      </c>
      <c r="CE48" s="202" t="str">
        <f t="shared" ca="1" si="75"/>
        <v/>
      </c>
      <c r="CF48" s="394">
        <f t="shared" ca="1" si="22"/>
        <v>99999</v>
      </c>
      <c r="CG48" s="394" t="str">
        <f t="shared" ca="1" si="91"/>
        <v/>
      </c>
      <c r="CH48" s="395" t="str">
        <f t="shared" ca="1" si="92"/>
        <v/>
      </c>
      <c r="CJ48" s="396">
        <f t="shared" ca="1" si="66"/>
        <v>0</v>
      </c>
      <c r="CK48" s="393">
        <f t="shared" ca="1" si="55"/>
        <v>99999</v>
      </c>
      <c r="CL48" s="202" t="str">
        <f t="shared" ca="1" si="56"/>
        <v/>
      </c>
      <c r="CM48" s="202" t="str">
        <f t="shared" ca="1" si="76"/>
        <v/>
      </c>
      <c r="CN48" s="394">
        <f t="shared" ca="1" si="25"/>
        <v>99999</v>
      </c>
      <c r="CO48" s="394" t="str">
        <f t="shared" ca="1" si="93"/>
        <v/>
      </c>
      <c r="CP48" s="395" t="str">
        <f t="shared" ca="1" si="94"/>
        <v/>
      </c>
    </row>
    <row r="49" spans="4:94" ht="17.25" x14ac:dyDescent="0.25">
      <c r="D49" s="159">
        <f t="shared" ca="1" si="28"/>
        <v>0</v>
      </c>
      <c r="E49" s="159" t="str">
        <f t="shared" ca="1" si="29"/>
        <v/>
      </c>
      <c r="F49" s="159">
        <f ca="1">IF($E49="",0,COUNTIF($E$7:$E49,INDEX($E$79:$E$150,ROW($A43))))</f>
        <v>0</v>
      </c>
      <c r="G49" s="205"/>
      <c r="H49" s="200">
        <v>43</v>
      </c>
      <c r="I49" s="227" t="str">
        <f ca="1">IF(OR($X$3,$H49&gt;Calc!$B$13/2*$D$6),"",$T$6+QUOTIENT(($H49-1),$T$22)*($T$8+$T$10)/1440+SUM($Q$7:$Q48)/1440)</f>
        <v/>
      </c>
      <c r="J49" s="229" t="str">
        <f ca="1">IF(OR($X$3,$H49&gt;Calc!$B$13/2*$D$6),"",MOD(($H49-1),$T$22)+1)</f>
        <v/>
      </c>
      <c r="K49" s="54" t="str">
        <f ca="1"/>
        <v/>
      </c>
      <c r="L49" s="53" t="s">
        <v>5</v>
      </c>
      <c r="M49" s="55" t="str">
        <f ca="1"/>
        <v/>
      </c>
      <c r="N49" s="52" t="str">
        <f t="shared" ca="1" si="30"/>
        <v/>
      </c>
      <c r="O49" s="50" t="s">
        <v>5</v>
      </c>
      <c r="P49" s="51" t="str">
        <f t="shared" ca="1" si="31"/>
        <v/>
      </c>
      <c r="Q49" s="381"/>
      <c r="R49" s="220"/>
      <c r="S49" s="221"/>
      <c r="T49" s="221"/>
      <c r="U49" s="221"/>
      <c r="V49" s="221"/>
      <c r="W49" s="202">
        <f t="shared" ca="1" si="58"/>
        <v>0</v>
      </c>
      <c r="X49" s="396">
        <f t="shared" ca="1" si="67"/>
        <v>0</v>
      </c>
      <c r="Y49" s="393">
        <f t="shared" ca="1" si="32"/>
        <v>99999</v>
      </c>
      <c r="Z49" s="202" t="str">
        <f t="shared" ca="1" si="0"/>
        <v/>
      </c>
      <c r="AA49" s="202" t="str">
        <f t="shared" ca="1" si="68"/>
        <v/>
      </c>
      <c r="AB49" s="394">
        <f t="shared" ca="1" si="1"/>
        <v>99999</v>
      </c>
      <c r="AC49" s="394" t="str">
        <f t="shared" ca="1" si="77"/>
        <v/>
      </c>
      <c r="AD49" s="395" t="str">
        <f t="shared" ca="1" si="78"/>
        <v/>
      </c>
      <c r="AE49" s="202"/>
      <c r="AF49" s="396">
        <f t="shared" ca="1" si="59"/>
        <v>0</v>
      </c>
      <c r="AG49" s="393">
        <f t="shared" ca="1" si="34"/>
        <v>99999</v>
      </c>
      <c r="AH49" s="202" t="str">
        <f t="shared" ca="1" si="35"/>
        <v/>
      </c>
      <c r="AI49" s="202" t="str">
        <f t="shared" ca="1" si="69"/>
        <v/>
      </c>
      <c r="AJ49" s="394">
        <f t="shared" ca="1" si="4"/>
        <v>99999</v>
      </c>
      <c r="AK49" s="394" t="str">
        <f t="shared" ca="1" si="79"/>
        <v/>
      </c>
      <c r="AL49" s="395" t="str">
        <f t="shared" ca="1" si="80"/>
        <v/>
      </c>
      <c r="AN49" s="396">
        <f t="shared" ca="1" si="60"/>
        <v>0</v>
      </c>
      <c r="AO49" s="393">
        <f t="shared" ca="1" si="37"/>
        <v>99999</v>
      </c>
      <c r="AP49" s="202" t="str">
        <f t="shared" ca="1" si="38"/>
        <v/>
      </c>
      <c r="AQ49" s="202" t="str">
        <f t="shared" ca="1" si="70"/>
        <v/>
      </c>
      <c r="AR49" s="394">
        <f t="shared" ca="1" si="7"/>
        <v>99999</v>
      </c>
      <c r="AS49" s="394" t="str">
        <f t="shared" ca="1" si="81"/>
        <v/>
      </c>
      <c r="AT49" s="395" t="str">
        <f t="shared" ca="1" si="82"/>
        <v/>
      </c>
      <c r="AU49" s="202"/>
      <c r="AV49" s="396">
        <f t="shared" ca="1" si="61"/>
        <v>0</v>
      </c>
      <c r="AW49" s="393">
        <f t="shared" ca="1" si="40"/>
        <v>99999</v>
      </c>
      <c r="AX49" s="202" t="str">
        <f t="shared" ca="1" si="41"/>
        <v/>
      </c>
      <c r="AY49" s="202" t="str">
        <f t="shared" ca="1" si="71"/>
        <v/>
      </c>
      <c r="AZ49" s="394">
        <f t="shared" ca="1" si="10"/>
        <v>99999</v>
      </c>
      <c r="BA49" s="394" t="str">
        <f t="shared" ca="1" si="83"/>
        <v/>
      </c>
      <c r="BB49" s="395" t="str">
        <f t="shared" ca="1" si="84"/>
        <v/>
      </c>
      <c r="BD49" s="396">
        <f t="shared" ca="1" si="62"/>
        <v>0</v>
      </c>
      <c r="BE49" s="393">
        <f t="shared" ca="1" si="43"/>
        <v>99999</v>
      </c>
      <c r="BF49" s="202" t="str">
        <f t="shared" ca="1" si="44"/>
        <v/>
      </c>
      <c r="BG49" s="202" t="str">
        <f t="shared" ca="1" si="72"/>
        <v/>
      </c>
      <c r="BH49" s="394">
        <f t="shared" ca="1" si="13"/>
        <v>99999</v>
      </c>
      <c r="BI49" s="394" t="str">
        <f t="shared" ca="1" si="85"/>
        <v/>
      </c>
      <c r="BJ49" s="395" t="str">
        <f t="shared" ca="1" si="86"/>
        <v/>
      </c>
      <c r="BK49" s="202"/>
      <c r="BL49" s="396">
        <f t="shared" ca="1" si="63"/>
        <v>0</v>
      </c>
      <c r="BM49" s="393">
        <f t="shared" ca="1" si="46"/>
        <v>99999</v>
      </c>
      <c r="BN49" s="202" t="str">
        <f t="shared" ca="1" si="47"/>
        <v/>
      </c>
      <c r="BO49" s="202" t="str">
        <f t="shared" ca="1" si="73"/>
        <v/>
      </c>
      <c r="BP49" s="394">
        <f t="shared" ca="1" si="16"/>
        <v>99999</v>
      </c>
      <c r="BQ49" s="394" t="str">
        <f t="shared" ca="1" si="87"/>
        <v/>
      </c>
      <c r="BR49" s="395" t="str">
        <f t="shared" ca="1" si="88"/>
        <v/>
      </c>
      <c r="BT49" s="396">
        <f t="shared" ca="1" si="64"/>
        <v>0</v>
      </c>
      <c r="BU49" s="393">
        <f t="shared" ca="1" si="49"/>
        <v>99999</v>
      </c>
      <c r="BV49" s="202" t="str">
        <f t="shared" ca="1" si="50"/>
        <v/>
      </c>
      <c r="BW49" s="202" t="str">
        <f t="shared" ca="1" si="74"/>
        <v/>
      </c>
      <c r="BX49" s="394">
        <f t="shared" ca="1" si="19"/>
        <v>99999</v>
      </c>
      <c r="BY49" s="394" t="str">
        <f t="shared" ca="1" si="89"/>
        <v/>
      </c>
      <c r="BZ49" s="395" t="str">
        <f t="shared" ca="1" si="90"/>
        <v/>
      </c>
      <c r="CA49" s="202"/>
      <c r="CB49" s="396">
        <f t="shared" ca="1" si="65"/>
        <v>0</v>
      </c>
      <c r="CC49" s="393">
        <f t="shared" ca="1" si="52"/>
        <v>99999</v>
      </c>
      <c r="CD49" s="202" t="str">
        <f t="shared" ca="1" si="53"/>
        <v/>
      </c>
      <c r="CE49" s="202" t="str">
        <f t="shared" ca="1" si="75"/>
        <v/>
      </c>
      <c r="CF49" s="394">
        <f t="shared" ca="1" si="22"/>
        <v>99999</v>
      </c>
      <c r="CG49" s="394" t="str">
        <f t="shared" ca="1" si="91"/>
        <v/>
      </c>
      <c r="CH49" s="395" t="str">
        <f t="shared" ca="1" si="92"/>
        <v/>
      </c>
      <c r="CJ49" s="396">
        <f t="shared" ca="1" si="66"/>
        <v>0</v>
      </c>
      <c r="CK49" s="393">
        <f t="shared" ca="1" si="55"/>
        <v>99999</v>
      </c>
      <c r="CL49" s="202" t="str">
        <f t="shared" ca="1" si="56"/>
        <v/>
      </c>
      <c r="CM49" s="202" t="str">
        <f t="shared" ca="1" si="76"/>
        <v/>
      </c>
      <c r="CN49" s="394">
        <f t="shared" ca="1" si="25"/>
        <v>99999</v>
      </c>
      <c r="CO49" s="394" t="str">
        <f t="shared" ca="1" si="93"/>
        <v/>
      </c>
      <c r="CP49" s="395" t="str">
        <f t="shared" ca="1" si="94"/>
        <v/>
      </c>
    </row>
    <row r="50" spans="4:94" ht="17.25" x14ac:dyDescent="0.25">
      <c r="D50" s="159">
        <f t="shared" ca="1" si="28"/>
        <v>0</v>
      </c>
      <c r="E50" s="159" t="str">
        <f t="shared" ca="1" si="29"/>
        <v/>
      </c>
      <c r="F50" s="159">
        <f ca="1">IF($E50="",0,COUNTIF($E$7:$E50,INDEX($E$79:$E$150,ROW($A44))))</f>
        <v>0</v>
      </c>
      <c r="G50" s="205"/>
      <c r="H50" s="200">
        <v>44</v>
      </c>
      <c r="I50" s="227" t="str">
        <f ca="1">IF(OR($X$3,$H50&gt;Calc!$B$13/2*$D$6),"",$T$6+QUOTIENT(($H50-1),$T$22)*($T$8+$T$10)/1440+SUM($Q$7:$Q49)/1440)</f>
        <v/>
      </c>
      <c r="J50" s="229" t="str">
        <f ca="1">IF(OR($X$3,$H50&gt;Calc!$B$13/2*$D$6),"",MOD(($H50-1),$T$22)+1)</f>
        <v/>
      </c>
      <c r="K50" s="54" t="str">
        <f ca="1"/>
        <v/>
      </c>
      <c r="L50" s="53" t="s">
        <v>5</v>
      </c>
      <c r="M50" s="55" t="str">
        <f ca="1"/>
        <v/>
      </c>
      <c r="N50" s="52" t="str">
        <f t="shared" ca="1" si="30"/>
        <v/>
      </c>
      <c r="O50" s="50" t="s">
        <v>5</v>
      </c>
      <c r="P50" s="51" t="str">
        <f t="shared" ca="1" si="31"/>
        <v/>
      </c>
      <c r="Q50" s="381"/>
      <c r="R50" s="220"/>
      <c r="S50" s="222"/>
      <c r="T50" s="222"/>
      <c r="U50" s="222"/>
      <c r="V50" s="222"/>
      <c r="W50" s="202">
        <f t="shared" ca="1" si="58"/>
        <v>0</v>
      </c>
      <c r="X50" s="396">
        <f t="shared" ca="1" si="67"/>
        <v>0</v>
      </c>
      <c r="Y50" s="393">
        <f t="shared" ca="1" si="32"/>
        <v>99999</v>
      </c>
      <c r="Z50" s="202" t="str">
        <f t="shared" ca="1" si="0"/>
        <v/>
      </c>
      <c r="AA50" s="202" t="str">
        <f t="shared" ca="1" si="68"/>
        <v/>
      </c>
      <c r="AB50" s="394">
        <f t="shared" ca="1" si="1"/>
        <v>99999</v>
      </c>
      <c r="AC50" s="394" t="str">
        <f t="shared" ca="1" si="77"/>
        <v/>
      </c>
      <c r="AD50" s="395" t="str">
        <f t="shared" ca="1" si="78"/>
        <v/>
      </c>
      <c r="AE50" s="202"/>
      <c r="AF50" s="396">
        <f t="shared" ca="1" si="59"/>
        <v>0</v>
      </c>
      <c r="AG50" s="393">
        <f t="shared" ca="1" si="34"/>
        <v>99999</v>
      </c>
      <c r="AH50" s="202" t="str">
        <f t="shared" ca="1" si="35"/>
        <v/>
      </c>
      <c r="AI50" s="202" t="str">
        <f t="shared" ca="1" si="69"/>
        <v/>
      </c>
      <c r="AJ50" s="394">
        <f t="shared" ca="1" si="4"/>
        <v>99999</v>
      </c>
      <c r="AK50" s="394" t="str">
        <f t="shared" ca="1" si="79"/>
        <v/>
      </c>
      <c r="AL50" s="395" t="str">
        <f t="shared" ca="1" si="80"/>
        <v/>
      </c>
      <c r="AN50" s="396">
        <f t="shared" ca="1" si="60"/>
        <v>0</v>
      </c>
      <c r="AO50" s="393">
        <f t="shared" ca="1" si="37"/>
        <v>99999</v>
      </c>
      <c r="AP50" s="202" t="str">
        <f t="shared" ca="1" si="38"/>
        <v/>
      </c>
      <c r="AQ50" s="202" t="str">
        <f t="shared" ca="1" si="70"/>
        <v/>
      </c>
      <c r="AR50" s="394">
        <f t="shared" ca="1" si="7"/>
        <v>99999</v>
      </c>
      <c r="AS50" s="394" t="str">
        <f t="shared" ca="1" si="81"/>
        <v/>
      </c>
      <c r="AT50" s="395" t="str">
        <f t="shared" ca="1" si="82"/>
        <v/>
      </c>
      <c r="AU50" s="202"/>
      <c r="AV50" s="396">
        <f t="shared" ca="1" si="61"/>
        <v>0</v>
      </c>
      <c r="AW50" s="393">
        <f t="shared" ca="1" si="40"/>
        <v>99999</v>
      </c>
      <c r="AX50" s="202" t="str">
        <f t="shared" ca="1" si="41"/>
        <v/>
      </c>
      <c r="AY50" s="202" t="str">
        <f t="shared" ca="1" si="71"/>
        <v/>
      </c>
      <c r="AZ50" s="394">
        <f t="shared" ca="1" si="10"/>
        <v>99999</v>
      </c>
      <c r="BA50" s="394" t="str">
        <f t="shared" ca="1" si="83"/>
        <v/>
      </c>
      <c r="BB50" s="395" t="str">
        <f t="shared" ca="1" si="84"/>
        <v/>
      </c>
      <c r="BD50" s="396">
        <f t="shared" ca="1" si="62"/>
        <v>0</v>
      </c>
      <c r="BE50" s="393">
        <f t="shared" ca="1" si="43"/>
        <v>99999</v>
      </c>
      <c r="BF50" s="202" t="str">
        <f t="shared" ca="1" si="44"/>
        <v/>
      </c>
      <c r="BG50" s="202" t="str">
        <f t="shared" ca="1" si="72"/>
        <v/>
      </c>
      <c r="BH50" s="394">
        <f t="shared" ca="1" si="13"/>
        <v>99999</v>
      </c>
      <c r="BI50" s="394" t="str">
        <f t="shared" ca="1" si="85"/>
        <v/>
      </c>
      <c r="BJ50" s="395" t="str">
        <f t="shared" ca="1" si="86"/>
        <v/>
      </c>
      <c r="BK50" s="202"/>
      <c r="BL50" s="396">
        <f t="shared" ca="1" si="63"/>
        <v>0</v>
      </c>
      <c r="BM50" s="393">
        <f t="shared" ca="1" si="46"/>
        <v>99999</v>
      </c>
      <c r="BN50" s="202" t="str">
        <f t="shared" ca="1" si="47"/>
        <v/>
      </c>
      <c r="BO50" s="202" t="str">
        <f t="shared" ca="1" si="73"/>
        <v/>
      </c>
      <c r="BP50" s="394">
        <f t="shared" ca="1" si="16"/>
        <v>99999</v>
      </c>
      <c r="BQ50" s="394" t="str">
        <f t="shared" ca="1" si="87"/>
        <v/>
      </c>
      <c r="BR50" s="395" t="str">
        <f t="shared" ca="1" si="88"/>
        <v/>
      </c>
      <c r="BT50" s="396">
        <f t="shared" ca="1" si="64"/>
        <v>0</v>
      </c>
      <c r="BU50" s="393">
        <f t="shared" ca="1" si="49"/>
        <v>99999</v>
      </c>
      <c r="BV50" s="202" t="str">
        <f t="shared" ca="1" si="50"/>
        <v/>
      </c>
      <c r="BW50" s="202" t="str">
        <f t="shared" ca="1" si="74"/>
        <v/>
      </c>
      <c r="BX50" s="394">
        <f t="shared" ca="1" si="19"/>
        <v>99999</v>
      </c>
      <c r="BY50" s="394" t="str">
        <f t="shared" ca="1" si="89"/>
        <v/>
      </c>
      <c r="BZ50" s="395" t="str">
        <f t="shared" ca="1" si="90"/>
        <v/>
      </c>
      <c r="CA50" s="202"/>
      <c r="CB50" s="396">
        <f t="shared" ca="1" si="65"/>
        <v>0</v>
      </c>
      <c r="CC50" s="393">
        <f t="shared" ca="1" si="52"/>
        <v>99999</v>
      </c>
      <c r="CD50" s="202" t="str">
        <f t="shared" ca="1" si="53"/>
        <v/>
      </c>
      <c r="CE50" s="202" t="str">
        <f t="shared" ca="1" si="75"/>
        <v/>
      </c>
      <c r="CF50" s="394">
        <f t="shared" ca="1" si="22"/>
        <v>99999</v>
      </c>
      <c r="CG50" s="394" t="str">
        <f t="shared" ca="1" si="91"/>
        <v/>
      </c>
      <c r="CH50" s="395" t="str">
        <f t="shared" ca="1" si="92"/>
        <v/>
      </c>
      <c r="CJ50" s="396">
        <f t="shared" ca="1" si="66"/>
        <v>0</v>
      </c>
      <c r="CK50" s="393">
        <f t="shared" ca="1" si="55"/>
        <v>99999</v>
      </c>
      <c r="CL50" s="202" t="str">
        <f t="shared" ca="1" si="56"/>
        <v/>
      </c>
      <c r="CM50" s="202" t="str">
        <f t="shared" ca="1" si="76"/>
        <v/>
      </c>
      <c r="CN50" s="394">
        <f t="shared" ca="1" si="25"/>
        <v>99999</v>
      </c>
      <c r="CO50" s="394" t="str">
        <f t="shared" ca="1" si="93"/>
        <v/>
      </c>
      <c r="CP50" s="395" t="str">
        <f t="shared" ca="1" si="94"/>
        <v/>
      </c>
    </row>
    <row r="51" spans="4:94" ht="17.25" x14ac:dyDescent="0.2">
      <c r="D51" s="159">
        <f t="shared" ca="1" si="28"/>
        <v>0</v>
      </c>
      <c r="E51" s="159" t="str">
        <f t="shared" ca="1" si="29"/>
        <v/>
      </c>
      <c r="F51" s="159">
        <f ca="1">IF($E51="",0,COUNTIF($E$7:$E51,INDEX($E$79:$E$150,ROW($A45))))</f>
        <v>0</v>
      </c>
      <c r="G51" s="205"/>
      <c r="H51" s="200">
        <v>45</v>
      </c>
      <c r="I51" s="227" t="str">
        <f ca="1">IF(OR($X$3,$H51&gt;Calc!$B$13/2*$D$6),"",$T$6+QUOTIENT(($H51-1),$T$22)*($T$8+$T$10)/1440+SUM($Q$7:$Q50)/1440)</f>
        <v/>
      </c>
      <c r="J51" s="229" t="str">
        <f ca="1">IF(OR($X$3,$H51&gt;Calc!$B$13/2*$D$6),"",MOD(($H51-1),$T$22)+1)</f>
        <v/>
      </c>
      <c r="K51" s="54" t="str">
        <f ca="1"/>
        <v/>
      </c>
      <c r="L51" s="53" t="s">
        <v>5</v>
      </c>
      <c r="M51" s="55" t="str">
        <f ca="1"/>
        <v/>
      </c>
      <c r="N51" s="52" t="str">
        <f t="shared" ca="1" si="30"/>
        <v/>
      </c>
      <c r="O51" s="50" t="s">
        <v>5</v>
      </c>
      <c r="P51" s="51" t="str">
        <f t="shared" ca="1" si="31"/>
        <v/>
      </c>
      <c r="Q51" s="381"/>
      <c r="R51" s="220"/>
      <c r="S51" s="223"/>
      <c r="T51" s="223"/>
      <c r="U51" s="223"/>
      <c r="V51" s="223"/>
      <c r="W51" s="202">
        <f t="shared" ca="1" si="58"/>
        <v>0</v>
      </c>
      <c r="X51" s="396">
        <f t="shared" ca="1" si="67"/>
        <v>0</v>
      </c>
      <c r="Y51" s="393">
        <f t="shared" ca="1" si="32"/>
        <v>99999</v>
      </c>
      <c r="Z51" s="202" t="str">
        <f t="shared" ca="1" si="0"/>
        <v/>
      </c>
      <c r="AA51" s="202" t="str">
        <f t="shared" ca="1" si="68"/>
        <v/>
      </c>
      <c r="AB51" s="394">
        <f t="shared" ca="1" si="1"/>
        <v>99999</v>
      </c>
      <c r="AC51" s="394" t="str">
        <f t="shared" ca="1" si="77"/>
        <v/>
      </c>
      <c r="AD51" s="395" t="str">
        <f t="shared" ca="1" si="78"/>
        <v/>
      </c>
      <c r="AE51" s="202"/>
      <c r="AF51" s="396">
        <f t="shared" ca="1" si="59"/>
        <v>0</v>
      </c>
      <c r="AG51" s="393">
        <f t="shared" ca="1" si="34"/>
        <v>99999</v>
      </c>
      <c r="AH51" s="202" t="str">
        <f t="shared" ca="1" si="35"/>
        <v/>
      </c>
      <c r="AI51" s="202" t="str">
        <f t="shared" ca="1" si="69"/>
        <v/>
      </c>
      <c r="AJ51" s="394">
        <f t="shared" ca="1" si="4"/>
        <v>99999</v>
      </c>
      <c r="AK51" s="394" t="str">
        <f t="shared" ca="1" si="79"/>
        <v/>
      </c>
      <c r="AL51" s="395" t="str">
        <f t="shared" ca="1" si="80"/>
        <v/>
      </c>
      <c r="AN51" s="396">
        <f t="shared" ca="1" si="60"/>
        <v>0</v>
      </c>
      <c r="AO51" s="393">
        <f t="shared" ca="1" si="37"/>
        <v>99999</v>
      </c>
      <c r="AP51" s="202" t="str">
        <f t="shared" ca="1" si="38"/>
        <v/>
      </c>
      <c r="AQ51" s="202" t="str">
        <f t="shared" ca="1" si="70"/>
        <v/>
      </c>
      <c r="AR51" s="394">
        <f t="shared" ca="1" si="7"/>
        <v>99999</v>
      </c>
      <c r="AS51" s="394" t="str">
        <f t="shared" ca="1" si="81"/>
        <v/>
      </c>
      <c r="AT51" s="395" t="str">
        <f t="shared" ca="1" si="82"/>
        <v/>
      </c>
      <c r="AU51" s="202"/>
      <c r="AV51" s="396">
        <f t="shared" ca="1" si="61"/>
        <v>0</v>
      </c>
      <c r="AW51" s="393">
        <f t="shared" ca="1" si="40"/>
        <v>99999</v>
      </c>
      <c r="AX51" s="202" t="str">
        <f t="shared" ca="1" si="41"/>
        <v/>
      </c>
      <c r="AY51" s="202" t="str">
        <f t="shared" ca="1" si="71"/>
        <v/>
      </c>
      <c r="AZ51" s="394">
        <f t="shared" ca="1" si="10"/>
        <v>99999</v>
      </c>
      <c r="BA51" s="394" t="str">
        <f t="shared" ca="1" si="83"/>
        <v/>
      </c>
      <c r="BB51" s="395" t="str">
        <f t="shared" ca="1" si="84"/>
        <v/>
      </c>
      <c r="BD51" s="396">
        <f t="shared" ca="1" si="62"/>
        <v>0</v>
      </c>
      <c r="BE51" s="393">
        <f t="shared" ca="1" si="43"/>
        <v>99999</v>
      </c>
      <c r="BF51" s="202" t="str">
        <f t="shared" ca="1" si="44"/>
        <v/>
      </c>
      <c r="BG51" s="202" t="str">
        <f t="shared" ca="1" si="72"/>
        <v/>
      </c>
      <c r="BH51" s="394">
        <f t="shared" ca="1" si="13"/>
        <v>99999</v>
      </c>
      <c r="BI51" s="394" t="str">
        <f t="shared" ca="1" si="85"/>
        <v/>
      </c>
      <c r="BJ51" s="395" t="str">
        <f t="shared" ca="1" si="86"/>
        <v/>
      </c>
      <c r="BK51" s="202"/>
      <c r="BL51" s="396">
        <f t="shared" ca="1" si="63"/>
        <v>0</v>
      </c>
      <c r="BM51" s="393">
        <f t="shared" ca="1" si="46"/>
        <v>99999</v>
      </c>
      <c r="BN51" s="202" t="str">
        <f t="shared" ca="1" si="47"/>
        <v/>
      </c>
      <c r="BO51" s="202" t="str">
        <f t="shared" ca="1" si="73"/>
        <v/>
      </c>
      <c r="BP51" s="394">
        <f t="shared" ca="1" si="16"/>
        <v>99999</v>
      </c>
      <c r="BQ51" s="394" t="str">
        <f t="shared" ca="1" si="87"/>
        <v/>
      </c>
      <c r="BR51" s="395" t="str">
        <f t="shared" ca="1" si="88"/>
        <v/>
      </c>
      <c r="BT51" s="396">
        <f t="shared" ca="1" si="64"/>
        <v>0</v>
      </c>
      <c r="BU51" s="393">
        <f t="shared" ca="1" si="49"/>
        <v>99999</v>
      </c>
      <c r="BV51" s="202" t="str">
        <f t="shared" ca="1" si="50"/>
        <v/>
      </c>
      <c r="BW51" s="202" t="str">
        <f t="shared" ca="1" si="74"/>
        <v/>
      </c>
      <c r="BX51" s="394">
        <f t="shared" ca="1" si="19"/>
        <v>99999</v>
      </c>
      <c r="BY51" s="394" t="str">
        <f t="shared" ca="1" si="89"/>
        <v/>
      </c>
      <c r="BZ51" s="395" t="str">
        <f t="shared" ca="1" si="90"/>
        <v/>
      </c>
      <c r="CA51" s="202"/>
      <c r="CB51" s="396">
        <f t="shared" ca="1" si="65"/>
        <v>0</v>
      </c>
      <c r="CC51" s="393">
        <f t="shared" ca="1" si="52"/>
        <v>99999</v>
      </c>
      <c r="CD51" s="202" t="str">
        <f t="shared" ca="1" si="53"/>
        <v/>
      </c>
      <c r="CE51" s="202" t="str">
        <f t="shared" ca="1" si="75"/>
        <v/>
      </c>
      <c r="CF51" s="394">
        <f t="shared" ca="1" si="22"/>
        <v>99999</v>
      </c>
      <c r="CG51" s="394" t="str">
        <f t="shared" ca="1" si="91"/>
        <v/>
      </c>
      <c r="CH51" s="395" t="str">
        <f t="shared" ca="1" si="92"/>
        <v/>
      </c>
      <c r="CJ51" s="396">
        <f t="shared" ca="1" si="66"/>
        <v>0</v>
      </c>
      <c r="CK51" s="393">
        <f t="shared" ca="1" si="55"/>
        <v>99999</v>
      </c>
      <c r="CL51" s="202" t="str">
        <f t="shared" ca="1" si="56"/>
        <v/>
      </c>
      <c r="CM51" s="202" t="str">
        <f t="shared" ca="1" si="76"/>
        <v/>
      </c>
      <c r="CN51" s="394">
        <f t="shared" ca="1" si="25"/>
        <v>99999</v>
      </c>
      <c r="CO51" s="394" t="str">
        <f t="shared" ca="1" si="93"/>
        <v/>
      </c>
      <c r="CP51" s="395" t="str">
        <f t="shared" ca="1" si="94"/>
        <v/>
      </c>
    </row>
    <row r="52" spans="4:94" ht="17.25" x14ac:dyDescent="0.2">
      <c r="D52" s="159">
        <f t="shared" ca="1" si="28"/>
        <v>0</v>
      </c>
      <c r="E52" s="159" t="str">
        <f t="shared" ca="1" si="29"/>
        <v/>
      </c>
      <c r="F52" s="159">
        <f ca="1">IF($E52="",0,COUNTIF($E$7:$E52,INDEX($E$79:$E$150,ROW($A46))))</f>
        <v>0</v>
      </c>
      <c r="G52" s="205"/>
      <c r="H52" s="200">
        <v>46</v>
      </c>
      <c r="I52" s="227" t="str">
        <f ca="1">IF(OR($X$3,$H52&gt;Calc!$B$13/2*$D$6),"",$T$6+QUOTIENT(($H52-1),$T$22)*($T$8+$T$10)/1440+SUM($Q$7:$Q51)/1440)</f>
        <v/>
      </c>
      <c r="J52" s="229" t="str">
        <f ca="1">IF(OR($X$3,$H52&gt;Calc!$B$13/2*$D$6),"",MOD(($H52-1),$T$22)+1)</f>
        <v/>
      </c>
      <c r="K52" s="54" t="str">
        <f ca="1"/>
        <v/>
      </c>
      <c r="L52" s="53" t="s">
        <v>5</v>
      </c>
      <c r="M52" s="55" t="str">
        <f ca="1"/>
        <v/>
      </c>
      <c r="N52" s="52" t="str">
        <f t="shared" ca="1" si="30"/>
        <v/>
      </c>
      <c r="O52" s="50" t="s">
        <v>5</v>
      </c>
      <c r="P52" s="51" t="str">
        <f t="shared" ca="1" si="31"/>
        <v/>
      </c>
      <c r="Q52" s="381"/>
      <c r="R52" s="220"/>
      <c r="S52" s="224"/>
      <c r="T52" s="224"/>
      <c r="U52" s="224"/>
      <c r="V52" s="224"/>
      <c r="W52" s="202">
        <f t="shared" ca="1" si="58"/>
        <v>0</v>
      </c>
      <c r="X52" s="396">
        <f t="shared" ca="1" si="67"/>
        <v>0</v>
      </c>
      <c r="Y52" s="393">
        <f t="shared" ca="1" si="32"/>
        <v>99999</v>
      </c>
      <c r="Z52" s="202" t="str">
        <f t="shared" ca="1" si="0"/>
        <v/>
      </c>
      <c r="AA52" s="202" t="str">
        <f t="shared" ca="1" si="68"/>
        <v/>
      </c>
      <c r="AB52" s="394">
        <f t="shared" ca="1" si="1"/>
        <v>99999</v>
      </c>
      <c r="AC52" s="394" t="str">
        <f t="shared" ca="1" si="77"/>
        <v/>
      </c>
      <c r="AD52" s="395" t="str">
        <f t="shared" ca="1" si="78"/>
        <v/>
      </c>
      <c r="AE52" s="202"/>
      <c r="AF52" s="396">
        <f t="shared" ca="1" si="59"/>
        <v>0</v>
      </c>
      <c r="AG52" s="393">
        <f t="shared" ca="1" si="34"/>
        <v>99999</v>
      </c>
      <c r="AH52" s="202" t="str">
        <f t="shared" ca="1" si="35"/>
        <v/>
      </c>
      <c r="AI52" s="202" t="str">
        <f t="shared" ca="1" si="69"/>
        <v/>
      </c>
      <c r="AJ52" s="394">
        <f t="shared" ca="1" si="4"/>
        <v>99999</v>
      </c>
      <c r="AK52" s="394" t="str">
        <f t="shared" ca="1" si="79"/>
        <v/>
      </c>
      <c r="AL52" s="395" t="str">
        <f t="shared" ca="1" si="80"/>
        <v/>
      </c>
      <c r="AN52" s="396">
        <f t="shared" ca="1" si="60"/>
        <v>0</v>
      </c>
      <c r="AO52" s="393">
        <f t="shared" ca="1" si="37"/>
        <v>99999</v>
      </c>
      <c r="AP52" s="202" t="str">
        <f t="shared" ca="1" si="38"/>
        <v/>
      </c>
      <c r="AQ52" s="202" t="str">
        <f t="shared" ca="1" si="70"/>
        <v/>
      </c>
      <c r="AR52" s="394">
        <f t="shared" ca="1" si="7"/>
        <v>99999</v>
      </c>
      <c r="AS52" s="394" t="str">
        <f t="shared" ca="1" si="81"/>
        <v/>
      </c>
      <c r="AT52" s="395" t="str">
        <f t="shared" ca="1" si="82"/>
        <v/>
      </c>
      <c r="AU52" s="202"/>
      <c r="AV52" s="396">
        <f t="shared" ca="1" si="61"/>
        <v>0</v>
      </c>
      <c r="AW52" s="393">
        <f t="shared" ca="1" si="40"/>
        <v>99999</v>
      </c>
      <c r="AX52" s="202" t="str">
        <f t="shared" ca="1" si="41"/>
        <v/>
      </c>
      <c r="AY52" s="202" t="str">
        <f t="shared" ca="1" si="71"/>
        <v/>
      </c>
      <c r="AZ52" s="394">
        <f t="shared" ca="1" si="10"/>
        <v>99999</v>
      </c>
      <c r="BA52" s="394" t="str">
        <f t="shared" ca="1" si="83"/>
        <v/>
      </c>
      <c r="BB52" s="395" t="str">
        <f t="shared" ca="1" si="84"/>
        <v/>
      </c>
      <c r="BD52" s="396">
        <f t="shared" ca="1" si="62"/>
        <v>0</v>
      </c>
      <c r="BE52" s="393">
        <f t="shared" ca="1" si="43"/>
        <v>99999</v>
      </c>
      <c r="BF52" s="202" t="str">
        <f t="shared" ca="1" si="44"/>
        <v/>
      </c>
      <c r="BG52" s="202" t="str">
        <f t="shared" ca="1" si="72"/>
        <v/>
      </c>
      <c r="BH52" s="394">
        <f t="shared" ca="1" si="13"/>
        <v>99999</v>
      </c>
      <c r="BI52" s="394" t="str">
        <f t="shared" ca="1" si="85"/>
        <v/>
      </c>
      <c r="BJ52" s="395" t="str">
        <f t="shared" ca="1" si="86"/>
        <v/>
      </c>
      <c r="BK52" s="202"/>
      <c r="BL52" s="396">
        <f t="shared" ca="1" si="63"/>
        <v>0</v>
      </c>
      <c r="BM52" s="393">
        <f t="shared" ca="1" si="46"/>
        <v>99999</v>
      </c>
      <c r="BN52" s="202" t="str">
        <f t="shared" ca="1" si="47"/>
        <v/>
      </c>
      <c r="BO52" s="202" t="str">
        <f t="shared" ca="1" si="73"/>
        <v/>
      </c>
      <c r="BP52" s="394">
        <f t="shared" ca="1" si="16"/>
        <v>99999</v>
      </c>
      <c r="BQ52" s="394" t="str">
        <f t="shared" ca="1" si="87"/>
        <v/>
      </c>
      <c r="BR52" s="395" t="str">
        <f t="shared" ca="1" si="88"/>
        <v/>
      </c>
      <c r="BT52" s="396">
        <f t="shared" ca="1" si="64"/>
        <v>0</v>
      </c>
      <c r="BU52" s="393">
        <f t="shared" ca="1" si="49"/>
        <v>99999</v>
      </c>
      <c r="BV52" s="202" t="str">
        <f t="shared" ca="1" si="50"/>
        <v/>
      </c>
      <c r="BW52" s="202" t="str">
        <f t="shared" ca="1" si="74"/>
        <v/>
      </c>
      <c r="BX52" s="394">
        <f t="shared" ca="1" si="19"/>
        <v>99999</v>
      </c>
      <c r="BY52" s="394" t="str">
        <f t="shared" ca="1" si="89"/>
        <v/>
      </c>
      <c r="BZ52" s="395" t="str">
        <f t="shared" ca="1" si="90"/>
        <v/>
      </c>
      <c r="CA52" s="202"/>
      <c r="CB52" s="396">
        <f t="shared" ca="1" si="65"/>
        <v>0</v>
      </c>
      <c r="CC52" s="393">
        <f t="shared" ca="1" si="52"/>
        <v>99999</v>
      </c>
      <c r="CD52" s="202" t="str">
        <f t="shared" ca="1" si="53"/>
        <v/>
      </c>
      <c r="CE52" s="202" t="str">
        <f t="shared" ca="1" si="75"/>
        <v/>
      </c>
      <c r="CF52" s="394">
        <f t="shared" ca="1" si="22"/>
        <v>99999</v>
      </c>
      <c r="CG52" s="394" t="str">
        <f t="shared" ca="1" si="91"/>
        <v/>
      </c>
      <c r="CH52" s="395" t="str">
        <f t="shared" ca="1" si="92"/>
        <v/>
      </c>
      <c r="CJ52" s="396">
        <f t="shared" ca="1" si="66"/>
        <v>0</v>
      </c>
      <c r="CK52" s="393">
        <f t="shared" ca="1" si="55"/>
        <v>99999</v>
      </c>
      <c r="CL52" s="202" t="str">
        <f t="shared" ca="1" si="56"/>
        <v/>
      </c>
      <c r="CM52" s="202" t="str">
        <f t="shared" ca="1" si="76"/>
        <v/>
      </c>
      <c r="CN52" s="394">
        <f t="shared" ca="1" si="25"/>
        <v>99999</v>
      </c>
      <c r="CO52" s="394" t="str">
        <f t="shared" ca="1" si="93"/>
        <v/>
      </c>
      <c r="CP52" s="395" t="str">
        <f t="shared" ca="1" si="94"/>
        <v/>
      </c>
    </row>
    <row r="53" spans="4:94" ht="17.25" x14ac:dyDescent="0.25">
      <c r="D53" s="159">
        <f t="shared" ca="1" si="28"/>
        <v>0</v>
      </c>
      <c r="E53" s="159" t="str">
        <f t="shared" ca="1" si="29"/>
        <v/>
      </c>
      <c r="F53" s="159">
        <f ca="1">IF($E53="",0,COUNTIF($E$7:$E53,INDEX($E$79:$E$150,ROW($A47))))</f>
        <v>0</v>
      </c>
      <c r="G53" s="205"/>
      <c r="H53" s="200">
        <v>47</v>
      </c>
      <c r="I53" s="227" t="str">
        <f ca="1">IF(OR($X$3,$H53&gt;Calc!$B$13/2*$D$6),"",$T$6+QUOTIENT(($H53-1),$T$22)*($T$8+$T$10)/1440+SUM($Q$7:$Q52)/1440)</f>
        <v/>
      </c>
      <c r="J53" s="229" t="str">
        <f ca="1">IF(OR($X$3,$H53&gt;Calc!$B$13/2*$D$6),"",MOD(($H53-1),$T$22)+1)</f>
        <v/>
      </c>
      <c r="K53" s="54" t="str">
        <f ca="1"/>
        <v/>
      </c>
      <c r="L53" s="53" t="s">
        <v>5</v>
      </c>
      <c r="M53" s="55" t="str">
        <f ca="1"/>
        <v/>
      </c>
      <c r="N53" s="52" t="str">
        <f t="shared" ca="1" si="30"/>
        <v/>
      </c>
      <c r="O53" s="50" t="s">
        <v>5</v>
      </c>
      <c r="P53" s="51" t="str">
        <f t="shared" ca="1" si="31"/>
        <v/>
      </c>
      <c r="Q53" s="381"/>
      <c r="R53" s="220"/>
      <c r="S53" s="222"/>
      <c r="T53" s="222"/>
      <c r="U53" s="222"/>
      <c r="V53" s="222"/>
      <c r="W53" s="202">
        <f t="shared" ca="1" si="58"/>
        <v>0</v>
      </c>
      <c r="X53" s="396">
        <f t="shared" ca="1" si="67"/>
        <v>0</v>
      </c>
      <c r="Y53" s="393">
        <f t="shared" ca="1" si="32"/>
        <v>99999</v>
      </c>
      <c r="Z53" s="202" t="str">
        <f t="shared" ca="1" si="0"/>
        <v/>
      </c>
      <c r="AA53" s="202" t="str">
        <f t="shared" ca="1" si="68"/>
        <v/>
      </c>
      <c r="AB53" s="394">
        <f t="shared" ca="1" si="1"/>
        <v>99999</v>
      </c>
      <c r="AC53" s="394" t="str">
        <f t="shared" ca="1" si="77"/>
        <v/>
      </c>
      <c r="AD53" s="395" t="str">
        <f t="shared" ca="1" si="78"/>
        <v/>
      </c>
      <c r="AE53" s="202"/>
      <c r="AF53" s="396">
        <f t="shared" ca="1" si="59"/>
        <v>0</v>
      </c>
      <c r="AG53" s="393">
        <f t="shared" ca="1" si="34"/>
        <v>99999</v>
      </c>
      <c r="AH53" s="202" t="str">
        <f t="shared" ca="1" si="35"/>
        <v/>
      </c>
      <c r="AI53" s="202" t="str">
        <f t="shared" ca="1" si="69"/>
        <v/>
      </c>
      <c r="AJ53" s="394">
        <f t="shared" ca="1" si="4"/>
        <v>99999</v>
      </c>
      <c r="AK53" s="394" t="str">
        <f t="shared" ca="1" si="79"/>
        <v/>
      </c>
      <c r="AL53" s="395" t="str">
        <f t="shared" ca="1" si="80"/>
        <v/>
      </c>
      <c r="AN53" s="396">
        <f t="shared" ca="1" si="60"/>
        <v>0</v>
      </c>
      <c r="AO53" s="393">
        <f t="shared" ca="1" si="37"/>
        <v>99999</v>
      </c>
      <c r="AP53" s="202" t="str">
        <f t="shared" ca="1" si="38"/>
        <v/>
      </c>
      <c r="AQ53" s="202" t="str">
        <f t="shared" ca="1" si="70"/>
        <v/>
      </c>
      <c r="AR53" s="394">
        <f t="shared" ca="1" si="7"/>
        <v>99999</v>
      </c>
      <c r="AS53" s="394" t="str">
        <f t="shared" ca="1" si="81"/>
        <v/>
      </c>
      <c r="AT53" s="395" t="str">
        <f t="shared" ca="1" si="82"/>
        <v/>
      </c>
      <c r="AU53" s="202"/>
      <c r="AV53" s="396">
        <f t="shared" ca="1" si="61"/>
        <v>0</v>
      </c>
      <c r="AW53" s="393">
        <f t="shared" ca="1" si="40"/>
        <v>99999</v>
      </c>
      <c r="AX53" s="202" t="str">
        <f t="shared" ca="1" si="41"/>
        <v/>
      </c>
      <c r="AY53" s="202" t="str">
        <f t="shared" ca="1" si="71"/>
        <v/>
      </c>
      <c r="AZ53" s="394">
        <f t="shared" ca="1" si="10"/>
        <v>99999</v>
      </c>
      <c r="BA53" s="394" t="str">
        <f t="shared" ca="1" si="83"/>
        <v/>
      </c>
      <c r="BB53" s="395" t="str">
        <f t="shared" ca="1" si="84"/>
        <v/>
      </c>
      <c r="BD53" s="396">
        <f t="shared" ca="1" si="62"/>
        <v>0</v>
      </c>
      <c r="BE53" s="393">
        <f t="shared" ca="1" si="43"/>
        <v>99999</v>
      </c>
      <c r="BF53" s="202" t="str">
        <f t="shared" ca="1" si="44"/>
        <v/>
      </c>
      <c r="BG53" s="202" t="str">
        <f t="shared" ca="1" si="72"/>
        <v/>
      </c>
      <c r="BH53" s="394">
        <f t="shared" ca="1" si="13"/>
        <v>99999</v>
      </c>
      <c r="BI53" s="394" t="str">
        <f t="shared" ca="1" si="85"/>
        <v/>
      </c>
      <c r="BJ53" s="395" t="str">
        <f t="shared" ca="1" si="86"/>
        <v/>
      </c>
      <c r="BK53" s="202"/>
      <c r="BL53" s="396">
        <f t="shared" ca="1" si="63"/>
        <v>0</v>
      </c>
      <c r="BM53" s="393">
        <f t="shared" ca="1" si="46"/>
        <v>99999</v>
      </c>
      <c r="BN53" s="202" t="str">
        <f t="shared" ca="1" si="47"/>
        <v/>
      </c>
      <c r="BO53" s="202" t="str">
        <f t="shared" ca="1" si="73"/>
        <v/>
      </c>
      <c r="BP53" s="394">
        <f t="shared" ca="1" si="16"/>
        <v>99999</v>
      </c>
      <c r="BQ53" s="394" t="str">
        <f t="shared" ca="1" si="87"/>
        <v/>
      </c>
      <c r="BR53" s="395" t="str">
        <f t="shared" ca="1" si="88"/>
        <v/>
      </c>
      <c r="BT53" s="396">
        <f t="shared" ca="1" si="64"/>
        <v>0</v>
      </c>
      <c r="BU53" s="393">
        <f t="shared" ca="1" si="49"/>
        <v>99999</v>
      </c>
      <c r="BV53" s="202" t="str">
        <f t="shared" ca="1" si="50"/>
        <v/>
      </c>
      <c r="BW53" s="202" t="str">
        <f t="shared" ca="1" si="74"/>
        <v/>
      </c>
      <c r="BX53" s="394">
        <f t="shared" ca="1" si="19"/>
        <v>99999</v>
      </c>
      <c r="BY53" s="394" t="str">
        <f t="shared" ca="1" si="89"/>
        <v/>
      </c>
      <c r="BZ53" s="395" t="str">
        <f t="shared" ca="1" si="90"/>
        <v/>
      </c>
      <c r="CA53" s="202"/>
      <c r="CB53" s="396">
        <f t="shared" ca="1" si="65"/>
        <v>0</v>
      </c>
      <c r="CC53" s="393">
        <f t="shared" ca="1" si="52"/>
        <v>99999</v>
      </c>
      <c r="CD53" s="202" t="str">
        <f t="shared" ca="1" si="53"/>
        <v/>
      </c>
      <c r="CE53" s="202" t="str">
        <f t="shared" ca="1" si="75"/>
        <v/>
      </c>
      <c r="CF53" s="394">
        <f t="shared" ca="1" si="22"/>
        <v>99999</v>
      </c>
      <c r="CG53" s="394" t="str">
        <f t="shared" ca="1" si="91"/>
        <v/>
      </c>
      <c r="CH53" s="395" t="str">
        <f t="shared" ca="1" si="92"/>
        <v/>
      </c>
      <c r="CJ53" s="396">
        <f t="shared" ca="1" si="66"/>
        <v>0</v>
      </c>
      <c r="CK53" s="393">
        <f t="shared" ca="1" si="55"/>
        <v>99999</v>
      </c>
      <c r="CL53" s="202" t="str">
        <f t="shared" ca="1" si="56"/>
        <v/>
      </c>
      <c r="CM53" s="202" t="str">
        <f t="shared" ca="1" si="76"/>
        <v/>
      </c>
      <c r="CN53" s="394">
        <f t="shared" ca="1" si="25"/>
        <v>99999</v>
      </c>
      <c r="CO53" s="394" t="str">
        <f t="shared" ca="1" si="93"/>
        <v/>
      </c>
      <c r="CP53" s="395" t="str">
        <f t="shared" ca="1" si="94"/>
        <v/>
      </c>
    </row>
    <row r="54" spans="4:94" ht="17.25" x14ac:dyDescent="0.25">
      <c r="D54" s="159">
        <f t="shared" ca="1" si="28"/>
        <v>0</v>
      </c>
      <c r="E54" s="159" t="str">
        <f t="shared" ca="1" si="29"/>
        <v/>
      </c>
      <c r="F54" s="159">
        <f ca="1">IF($E54="",0,COUNTIF($E$7:$E54,INDEX($E$79:$E$150,ROW($A48))))</f>
        <v>0</v>
      </c>
      <c r="G54" s="205"/>
      <c r="H54" s="200">
        <v>48</v>
      </c>
      <c r="I54" s="227" t="str">
        <f ca="1">IF(OR($X$3,$H54&gt;Calc!$B$13/2*$D$6),"",$T$6+QUOTIENT(($H54-1),$T$22)*($T$8+$T$10)/1440+SUM($Q$7:$Q53)/1440)</f>
        <v/>
      </c>
      <c r="J54" s="229" t="str">
        <f ca="1">IF(OR($X$3,$H54&gt;Calc!$B$13/2*$D$6),"",MOD(($H54-1),$T$22)+1)</f>
        <v/>
      </c>
      <c r="K54" s="54" t="str">
        <f ca="1"/>
        <v/>
      </c>
      <c r="L54" s="53" t="s">
        <v>5</v>
      </c>
      <c r="M54" s="55" t="str">
        <f ca="1"/>
        <v/>
      </c>
      <c r="N54" s="52" t="str">
        <f t="shared" ca="1" si="30"/>
        <v/>
      </c>
      <c r="O54" s="50" t="s">
        <v>5</v>
      </c>
      <c r="P54" s="51" t="str">
        <f t="shared" ca="1" si="31"/>
        <v/>
      </c>
      <c r="Q54" s="381"/>
      <c r="R54" s="220"/>
      <c r="S54" s="222"/>
      <c r="T54" s="222"/>
      <c r="U54" s="222"/>
      <c r="V54" s="222"/>
      <c r="W54" s="202">
        <f t="shared" ca="1" si="58"/>
        <v>0</v>
      </c>
      <c r="X54" s="396">
        <f t="shared" ca="1" si="67"/>
        <v>0</v>
      </c>
      <c r="Y54" s="393">
        <f t="shared" ca="1" si="32"/>
        <v>99999</v>
      </c>
      <c r="Z54" s="202" t="str">
        <f t="shared" ca="1" si="0"/>
        <v/>
      </c>
      <c r="AA54" s="202" t="str">
        <f t="shared" ca="1" si="68"/>
        <v/>
      </c>
      <c r="AB54" s="394">
        <f t="shared" ca="1" si="1"/>
        <v>99999</v>
      </c>
      <c r="AC54" s="394" t="str">
        <f t="shared" ca="1" si="77"/>
        <v/>
      </c>
      <c r="AD54" s="395" t="str">
        <f t="shared" ca="1" si="78"/>
        <v/>
      </c>
      <c r="AE54" s="202"/>
      <c r="AF54" s="396">
        <f t="shared" ca="1" si="59"/>
        <v>0</v>
      </c>
      <c r="AG54" s="393">
        <f t="shared" ca="1" si="34"/>
        <v>99999</v>
      </c>
      <c r="AH54" s="202" t="str">
        <f t="shared" ca="1" si="35"/>
        <v/>
      </c>
      <c r="AI54" s="202" t="str">
        <f t="shared" ca="1" si="69"/>
        <v/>
      </c>
      <c r="AJ54" s="394">
        <f t="shared" ca="1" si="4"/>
        <v>99999</v>
      </c>
      <c r="AK54" s="394" t="str">
        <f t="shared" ca="1" si="79"/>
        <v/>
      </c>
      <c r="AL54" s="395" t="str">
        <f t="shared" ca="1" si="80"/>
        <v/>
      </c>
      <c r="AN54" s="396">
        <f t="shared" ca="1" si="60"/>
        <v>0</v>
      </c>
      <c r="AO54" s="393">
        <f t="shared" ca="1" si="37"/>
        <v>99999</v>
      </c>
      <c r="AP54" s="202" t="str">
        <f t="shared" ca="1" si="38"/>
        <v/>
      </c>
      <c r="AQ54" s="202" t="str">
        <f t="shared" ca="1" si="70"/>
        <v/>
      </c>
      <c r="AR54" s="394">
        <f t="shared" ca="1" si="7"/>
        <v>99999</v>
      </c>
      <c r="AS54" s="394" t="str">
        <f t="shared" ca="1" si="81"/>
        <v/>
      </c>
      <c r="AT54" s="395" t="str">
        <f t="shared" ca="1" si="82"/>
        <v/>
      </c>
      <c r="AU54" s="202"/>
      <c r="AV54" s="396">
        <f t="shared" ca="1" si="61"/>
        <v>0</v>
      </c>
      <c r="AW54" s="393">
        <f t="shared" ca="1" si="40"/>
        <v>99999</v>
      </c>
      <c r="AX54" s="202" t="str">
        <f t="shared" ca="1" si="41"/>
        <v/>
      </c>
      <c r="AY54" s="202" t="str">
        <f t="shared" ca="1" si="71"/>
        <v/>
      </c>
      <c r="AZ54" s="394">
        <f t="shared" ca="1" si="10"/>
        <v>99999</v>
      </c>
      <c r="BA54" s="394" t="str">
        <f t="shared" ca="1" si="83"/>
        <v/>
      </c>
      <c r="BB54" s="395" t="str">
        <f t="shared" ca="1" si="84"/>
        <v/>
      </c>
      <c r="BD54" s="396">
        <f t="shared" ca="1" si="62"/>
        <v>0</v>
      </c>
      <c r="BE54" s="393">
        <f t="shared" ca="1" si="43"/>
        <v>99999</v>
      </c>
      <c r="BF54" s="202" t="str">
        <f t="shared" ca="1" si="44"/>
        <v/>
      </c>
      <c r="BG54" s="202" t="str">
        <f t="shared" ca="1" si="72"/>
        <v/>
      </c>
      <c r="BH54" s="394">
        <f t="shared" ca="1" si="13"/>
        <v>99999</v>
      </c>
      <c r="BI54" s="394" t="str">
        <f t="shared" ca="1" si="85"/>
        <v/>
      </c>
      <c r="BJ54" s="395" t="str">
        <f t="shared" ca="1" si="86"/>
        <v/>
      </c>
      <c r="BK54" s="202"/>
      <c r="BL54" s="396">
        <f t="shared" ca="1" si="63"/>
        <v>0</v>
      </c>
      <c r="BM54" s="393">
        <f t="shared" ca="1" si="46"/>
        <v>99999</v>
      </c>
      <c r="BN54" s="202" t="str">
        <f t="shared" ca="1" si="47"/>
        <v/>
      </c>
      <c r="BO54" s="202" t="str">
        <f t="shared" ca="1" si="73"/>
        <v/>
      </c>
      <c r="BP54" s="394">
        <f t="shared" ca="1" si="16"/>
        <v>99999</v>
      </c>
      <c r="BQ54" s="394" t="str">
        <f t="shared" ca="1" si="87"/>
        <v/>
      </c>
      <c r="BR54" s="395" t="str">
        <f t="shared" ca="1" si="88"/>
        <v/>
      </c>
      <c r="BT54" s="396">
        <f t="shared" ca="1" si="64"/>
        <v>0</v>
      </c>
      <c r="BU54" s="393">
        <f t="shared" ca="1" si="49"/>
        <v>99999</v>
      </c>
      <c r="BV54" s="202" t="str">
        <f t="shared" ca="1" si="50"/>
        <v/>
      </c>
      <c r="BW54" s="202" t="str">
        <f t="shared" ca="1" si="74"/>
        <v/>
      </c>
      <c r="BX54" s="394">
        <f t="shared" ca="1" si="19"/>
        <v>99999</v>
      </c>
      <c r="BY54" s="394" t="str">
        <f t="shared" ca="1" si="89"/>
        <v/>
      </c>
      <c r="BZ54" s="395" t="str">
        <f t="shared" ca="1" si="90"/>
        <v/>
      </c>
      <c r="CA54" s="202"/>
      <c r="CB54" s="396">
        <f t="shared" ca="1" si="65"/>
        <v>0</v>
      </c>
      <c r="CC54" s="393">
        <f t="shared" ca="1" si="52"/>
        <v>99999</v>
      </c>
      <c r="CD54" s="202" t="str">
        <f t="shared" ca="1" si="53"/>
        <v/>
      </c>
      <c r="CE54" s="202" t="str">
        <f t="shared" ca="1" si="75"/>
        <v/>
      </c>
      <c r="CF54" s="394">
        <f t="shared" ca="1" si="22"/>
        <v>99999</v>
      </c>
      <c r="CG54" s="394" t="str">
        <f t="shared" ca="1" si="91"/>
        <v/>
      </c>
      <c r="CH54" s="395" t="str">
        <f t="shared" ca="1" si="92"/>
        <v/>
      </c>
      <c r="CJ54" s="396">
        <f t="shared" ca="1" si="66"/>
        <v>0</v>
      </c>
      <c r="CK54" s="393">
        <f t="shared" ca="1" si="55"/>
        <v>99999</v>
      </c>
      <c r="CL54" s="202" t="str">
        <f t="shared" ca="1" si="56"/>
        <v/>
      </c>
      <c r="CM54" s="202" t="str">
        <f t="shared" ca="1" si="76"/>
        <v/>
      </c>
      <c r="CN54" s="394">
        <f t="shared" ca="1" si="25"/>
        <v>99999</v>
      </c>
      <c r="CO54" s="394" t="str">
        <f t="shared" ca="1" si="93"/>
        <v/>
      </c>
      <c r="CP54" s="395" t="str">
        <f t="shared" ca="1" si="94"/>
        <v/>
      </c>
    </row>
    <row r="55" spans="4:94" ht="17.25" x14ac:dyDescent="0.25">
      <c r="D55" s="159">
        <f t="shared" ca="1" si="28"/>
        <v>0</v>
      </c>
      <c r="E55" s="159" t="str">
        <f t="shared" ca="1" si="29"/>
        <v/>
      </c>
      <c r="F55" s="159">
        <f ca="1">IF($E55="",0,COUNTIF($E$7:$E55,INDEX($E$79:$E$150,ROW($A49))))</f>
        <v>0</v>
      </c>
      <c r="G55" s="205"/>
      <c r="H55" s="200">
        <v>49</v>
      </c>
      <c r="I55" s="227" t="str">
        <f ca="1">IF(OR($X$3,$H55&gt;Calc!$B$13/2*$D$6),"",$T$6+QUOTIENT(($H55-1),$T$22)*($T$8+$T$10)/1440+SUM($Q$7:$Q54)/1440)</f>
        <v/>
      </c>
      <c r="J55" s="229" t="str">
        <f ca="1">IF(OR($X$3,$H55&gt;Calc!$B$13/2*$D$6),"",MOD(($H55-1),$T$22)+1)</f>
        <v/>
      </c>
      <c r="K55" s="54" t="str">
        <f ca="1"/>
        <v/>
      </c>
      <c r="L55" s="53" t="s">
        <v>5</v>
      </c>
      <c r="M55" s="55" t="str">
        <f ca="1"/>
        <v/>
      </c>
      <c r="N55" s="52" t="str">
        <f t="shared" ca="1" si="30"/>
        <v/>
      </c>
      <c r="O55" s="50" t="s">
        <v>5</v>
      </c>
      <c r="P55" s="51" t="str">
        <f t="shared" ca="1" si="31"/>
        <v/>
      </c>
      <c r="Q55" s="381"/>
      <c r="R55" s="220"/>
      <c r="S55" s="222"/>
      <c r="T55" s="222"/>
      <c r="U55" s="222"/>
      <c r="V55" s="222"/>
      <c r="W55" s="202">
        <f t="shared" ca="1" si="58"/>
        <v>0</v>
      </c>
      <c r="X55" s="396">
        <f t="shared" ca="1" si="67"/>
        <v>0</v>
      </c>
      <c r="Y55" s="393">
        <f t="shared" ca="1" si="32"/>
        <v>99999</v>
      </c>
      <c r="Z55" s="202" t="str">
        <f t="shared" ca="1" si="0"/>
        <v/>
      </c>
      <c r="AA55" s="202" t="str">
        <f t="shared" ca="1" si="68"/>
        <v/>
      </c>
      <c r="AB55" s="394">
        <f t="shared" ca="1" si="1"/>
        <v>99999</v>
      </c>
      <c r="AC55" s="394" t="str">
        <f t="shared" ca="1" si="77"/>
        <v/>
      </c>
      <c r="AD55" s="395" t="str">
        <f t="shared" ca="1" si="78"/>
        <v/>
      </c>
      <c r="AE55" s="202"/>
      <c r="AF55" s="396">
        <f t="shared" ca="1" si="59"/>
        <v>0</v>
      </c>
      <c r="AG55" s="393">
        <f t="shared" ca="1" si="34"/>
        <v>99999</v>
      </c>
      <c r="AH55" s="202" t="str">
        <f t="shared" ca="1" si="35"/>
        <v/>
      </c>
      <c r="AI55" s="202" t="str">
        <f t="shared" ca="1" si="69"/>
        <v/>
      </c>
      <c r="AJ55" s="394">
        <f t="shared" ca="1" si="4"/>
        <v>99999</v>
      </c>
      <c r="AK55" s="394" t="str">
        <f t="shared" ca="1" si="79"/>
        <v/>
      </c>
      <c r="AL55" s="395" t="str">
        <f t="shared" ca="1" si="80"/>
        <v/>
      </c>
      <c r="AN55" s="396">
        <f t="shared" ca="1" si="60"/>
        <v>0</v>
      </c>
      <c r="AO55" s="393">
        <f t="shared" ca="1" si="37"/>
        <v>99999</v>
      </c>
      <c r="AP55" s="202" t="str">
        <f t="shared" ca="1" si="38"/>
        <v/>
      </c>
      <c r="AQ55" s="202" t="str">
        <f t="shared" ca="1" si="70"/>
        <v/>
      </c>
      <c r="AR55" s="394">
        <f t="shared" ca="1" si="7"/>
        <v>99999</v>
      </c>
      <c r="AS55" s="394" t="str">
        <f t="shared" ca="1" si="81"/>
        <v/>
      </c>
      <c r="AT55" s="395" t="str">
        <f t="shared" ca="1" si="82"/>
        <v/>
      </c>
      <c r="AU55" s="202"/>
      <c r="AV55" s="396">
        <f t="shared" ca="1" si="61"/>
        <v>0</v>
      </c>
      <c r="AW55" s="393">
        <f t="shared" ca="1" si="40"/>
        <v>99999</v>
      </c>
      <c r="AX55" s="202" t="str">
        <f t="shared" ca="1" si="41"/>
        <v/>
      </c>
      <c r="AY55" s="202" t="str">
        <f t="shared" ca="1" si="71"/>
        <v/>
      </c>
      <c r="AZ55" s="394">
        <f t="shared" ca="1" si="10"/>
        <v>99999</v>
      </c>
      <c r="BA55" s="394" t="str">
        <f t="shared" ca="1" si="83"/>
        <v/>
      </c>
      <c r="BB55" s="395" t="str">
        <f t="shared" ca="1" si="84"/>
        <v/>
      </c>
      <c r="BD55" s="396">
        <f t="shared" ca="1" si="62"/>
        <v>0</v>
      </c>
      <c r="BE55" s="393">
        <f t="shared" ca="1" si="43"/>
        <v>99999</v>
      </c>
      <c r="BF55" s="202" t="str">
        <f t="shared" ca="1" si="44"/>
        <v/>
      </c>
      <c r="BG55" s="202" t="str">
        <f t="shared" ca="1" si="72"/>
        <v/>
      </c>
      <c r="BH55" s="394">
        <f t="shared" ca="1" si="13"/>
        <v>99999</v>
      </c>
      <c r="BI55" s="394" t="str">
        <f t="shared" ca="1" si="85"/>
        <v/>
      </c>
      <c r="BJ55" s="395" t="str">
        <f t="shared" ca="1" si="86"/>
        <v/>
      </c>
      <c r="BK55" s="202"/>
      <c r="BL55" s="396">
        <f t="shared" ca="1" si="63"/>
        <v>0</v>
      </c>
      <c r="BM55" s="393">
        <f t="shared" ca="1" si="46"/>
        <v>99999</v>
      </c>
      <c r="BN55" s="202" t="str">
        <f t="shared" ca="1" si="47"/>
        <v/>
      </c>
      <c r="BO55" s="202" t="str">
        <f t="shared" ca="1" si="73"/>
        <v/>
      </c>
      <c r="BP55" s="394">
        <f t="shared" ca="1" si="16"/>
        <v>99999</v>
      </c>
      <c r="BQ55" s="394" t="str">
        <f t="shared" ca="1" si="87"/>
        <v/>
      </c>
      <c r="BR55" s="395" t="str">
        <f t="shared" ca="1" si="88"/>
        <v/>
      </c>
      <c r="BT55" s="396">
        <f t="shared" ca="1" si="64"/>
        <v>0</v>
      </c>
      <c r="BU55" s="393">
        <f t="shared" ca="1" si="49"/>
        <v>99999</v>
      </c>
      <c r="BV55" s="202" t="str">
        <f t="shared" ca="1" si="50"/>
        <v/>
      </c>
      <c r="BW55" s="202" t="str">
        <f t="shared" ca="1" si="74"/>
        <v/>
      </c>
      <c r="BX55" s="394">
        <f t="shared" ca="1" si="19"/>
        <v>99999</v>
      </c>
      <c r="BY55" s="394" t="str">
        <f t="shared" ca="1" si="89"/>
        <v/>
      </c>
      <c r="BZ55" s="395" t="str">
        <f t="shared" ca="1" si="90"/>
        <v/>
      </c>
      <c r="CA55" s="202"/>
      <c r="CB55" s="396">
        <f t="shared" ca="1" si="65"/>
        <v>0</v>
      </c>
      <c r="CC55" s="393">
        <f t="shared" ca="1" si="52"/>
        <v>99999</v>
      </c>
      <c r="CD55" s="202" t="str">
        <f t="shared" ca="1" si="53"/>
        <v/>
      </c>
      <c r="CE55" s="202" t="str">
        <f t="shared" ca="1" si="75"/>
        <v/>
      </c>
      <c r="CF55" s="394">
        <f t="shared" ca="1" si="22"/>
        <v>99999</v>
      </c>
      <c r="CG55" s="394" t="str">
        <f t="shared" ca="1" si="91"/>
        <v/>
      </c>
      <c r="CH55" s="395" t="str">
        <f t="shared" ca="1" si="92"/>
        <v/>
      </c>
      <c r="CJ55" s="396">
        <f t="shared" ca="1" si="66"/>
        <v>0</v>
      </c>
      <c r="CK55" s="393">
        <f t="shared" ca="1" si="55"/>
        <v>99999</v>
      </c>
      <c r="CL55" s="202" t="str">
        <f t="shared" ca="1" si="56"/>
        <v/>
      </c>
      <c r="CM55" s="202" t="str">
        <f t="shared" ca="1" si="76"/>
        <v/>
      </c>
      <c r="CN55" s="394">
        <f t="shared" ca="1" si="25"/>
        <v>99999</v>
      </c>
      <c r="CO55" s="394" t="str">
        <f t="shared" ca="1" si="93"/>
        <v/>
      </c>
      <c r="CP55" s="395" t="str">
        <f t="shared" ca="1" si="94"/>
        <v/>
      </c>
    </row>
    <row r="56" spans="4:94" ht="17.25" x14ac:dyDescent="0.2">
      <c r="D56" s="159">
        <f t="shared" ca="1" si="28"/>
        <v>0</v>
      </c>
      <c r="E56" s="159" t="str">
        <f t="shared" ca="1" si="29"/>
        <v/>
      </c>
      <c r="F56" s="159">
        <f ca="1">IF($E56="",0,COUNTIF($E$7:$E56,INDEX($E$79:$E$150,ROW($A50))))</f>
        <v>0</v>
      </c>
      <c r="G56" s="205"/>
      <c r="H56" s="200">
        <v>50</v>
      </c>
      <c r="I56" s="227" t="str">
        <f ca="1">IF(OR($X$3,$H56&gt;Calc!$B$13/2*$D$6),"",$T$6+QUOTIENT(($H56-1),$T$22)*($T$8+$T$10)/1440+SUM($Q$7:$Q55)/1440)</f>
        <v/>
      </c>
      <c r="J56" s="229" t="str">
        <f ca="1">IF(OR($X$3,$H56&gt;Calc!$B$13/2*$D$6),"",MOD(($H56-1),$T$22)+1)</f>
        <v/>
      </c>
      <c r="K56" s="54" t="str">
        <f ca="1"/>
        <v/>
      </c>
      <c r="L56" s="53" t="s">
        <v>5</v>
      </c>
      <c r="M56" s="55" t="str">
        <f ca="1"/>
        <v/>
      </c>
      <c r="N56" s="52" t="str">
        <f t="shared" ca="1" si="30"/>
        <v/>
      </c>
      <c r="O56" s="50" t="s">
        <v>5</v>
      </c>
      <c r="P56" s="51" t="str">
        <f t="shared" ca="1" si="31"/>
        <v/>
      </c>
      <c r="Q56" s="381"/>
      <c r="R56" s="220"/>
      <c r="S56" s="223"/>
      <c r="T56" s="223"/>
      <c r="U56" s="223"/>
      <c r="V56" s="223"/>
      <c r="W56" s="202">
        <f t="shared" ca="1" si="58"/>
        <v>0</v>
      </c>
      <c r="X56" s="396">
        <f t="shared" ca="1" si="67"/>
        <v>0</v>
      </c>
      <c r="Y56" s="393">
        <f t="shared" ca="1" si="32"/>
        <v>99999</v>
      </c>
      <c r="Z56" s="202" t="str">
        <f t="shared" ca="1" si="0"/>
        <v/>
      </c>
      <c r="AA56" s="202" t="str">
        <f t="shared" ca="1" si="68"/>
        <v/>
      </c>
      <c r="AB56" s="394">
        <f t="shared" ca="1" si="1"/>
        <v>99999</v>
      </c>
      <c r="AC56" s="394" t="str">
        <f t="shared" ca="1" si="77"/>
        <v/>
      </c>
      <c r="AD56" s="395" t="str">
        <f t="shared" ca="1" si="78"/>
        <v/>
      </c>
      <c r="AE56" s="202"/>
      <c r="AF56" s="396">
        <f t="shared" ca="1" si="59"/>
        <v>0</v>
      </c>
      <c r="AG56" s="393">
        <f t="shared" ca="1" si="34"/>
        <v>99999</v>
      </c>
      <c r="AH56" s="202" t="str">
        <f t="shared" ca="1" si="35"/>
        <v/>
      </c>
      <c r="AI56" s="202" t="str">
        <f t="shared" ca="1" si="69"/>
        <v/>
      </c>
      <c r="AJ56" s="394">
        <f t="shared" ca="1" si="4"/>
        <v>99999</v>
      </c>
      <c r="AK56" s="394" t="str">
        <f t="shared" ca="1" si="79"/>
        <v/>
      </c>
      <c r="AL56" s="395" t="str">
        <f t="shared" ca="1" si="80"/>
        <v/>
      </c>
      <c r="AN56" s="396">
        <f t="shared" ca="1" si="60"/>
        <v>0</v>
      </c>
      <c r="AO56" s="393">
        <f t="shared" ca="1" si="37"/>
        <v>99999</v>
      </c>
      <c r="AP56" s="202" t="str">
        <f t="shared" ca="1" si="38"/>
        <v/>
      </c>
      <c r="AQ56" s="202" t="str">
        <f t="shared" ca="1" si="70"/>
        <v/>
      </c>
      <c r="AR56" s="394">
        <f t="shared" ca="1" si="7"/>
        <v>99999</v>
      </c>
      <c r="AS56" s="394" t="str">
        <f t="shared" ca="1" si="81"/>
        <v/>
      </c>
      <c r="AT56" s="395" t="str">
        <f t="shared" ca="1" si="82"/>
        <v/>
      </c>
      <c r="AU56" s="202"/>
      <c r="AV56" s="396">
        <f t="shared" ca="1" si="61"/>
        <v>0</v>
      </c>
      <c r="AW56" s="393">
        <f t="shared" ca="1" si="40"/>
        <v>99999</v>
      </c>
      <c r="AX56" s="202" t="str">
        <f t="shared" ca="1" si="41"/>
        <v/>
      </c>
      <c r="AY56" s="202" t="str">
        <f t="shared" ca="1" si="71"/>
        <v/>
      </c>
      <c r="AZ56" s="394">
        <f t="shared" ca="1" si="10"/>
        <v>99999</v>
      </c>
      <c r="BA56" s="394" t="str">
        <f t="shared" ca="1" si="83"/>
        <v/>
      </c>
      <c r="BB56" s="395" t="str">
        <f t="shared" ca="1" si="84"/>
        <v/>
      </c>
      <c r="BD56" s="396">
        <f t="shared" ca="1" si="62"/>
        <v>0</v>
      </c>
      <c r="BE56" s="393">
        <f t="shared" ca="1" si="43"/>
        <v>99999</v>
      </c>
      <c r="BF56" s="202" t="str">
        <f t="shared" ca="1" si="44"/>
        <v/>
      </c>
      <c r="BG56" s="202" t="str">
        <f t="shared" ca="1" si="72"/>
        <v/>
      </c>
      <c r="BH56" s="394">
        <f t="shared" ca="1" si="13"/>
        <v>99999</v>
      </c>
      <c r="BI56" s="394" t="str">
        <f t="shared" ca="1" si="85"/>
        <v/>
      </c>
      <c r="BJ56" s="395" t="str">
        <f t="shared" ca="1" si="86"/>
        <v/>
      </c>
      <c r="BK56" s="202"/>
      <c r="BL56" s="396">
        <f t="shared" ca="1" si="63"/>
        <v>0</v>
      </c>
      <c r="BM56" s="393">
        <f t="shared" ca="1" si="46"/>
        <v>99999</v>
      </c>
      <c r="BN56" s="202" t="str">
        <f t="shared" ca="1" si="47"/>
        <v/>
      </c>
      <c r="BO56" s="202" t="str">
        <f t="shared" ca="1" si="73"/>
        <v/>
      </c>
      <c r="BP56" s="394">
        <f t="shared" ca="1" si="16"/>
        <v>99999</v>
      </c>
      <c r="BQ56" s="394" t="str">
        <f t="shared" ca="1" si="87"/>
        <v/>
      </c>
      <c r="BR56" s="395" t="str">
        <f t="shared" ca="1" si="88"/>
        <v/>
      </c>
      <c r="BT56" s="396">
        <f t="shared" ca="1" si="64"/>
        <v>0</v>
      </c>
      <c r="BU56" s="393">
        <f t="shared" ca="1" si="49"/>
        <v>99999</v>
      </c>
      <c r="BV56" s="202" t="str">
        <f t="shared" ca="1" si="50"/>
        <v/>
      </c>
      <c r="BW56" s="202" t="str">
        <f t="shared" ca="1" si="74"/>
        <v/>
      </c>
      <c r="BX56" s="394">
        <f t="shared" ca="1" si="19"/>
        <v>99999</v>
      </c>
      <c r="BY56" s="394" t="str">
        <f t="shared" ca="1" si="89"/>
        <v/>
      </c>
      <c r="BZ56" s="395" t="str">
        <f t="shared" ca="1" si="90"/>
        <v/>
      </c>
      <c r="CA56" s="202"/>
      <c r="CB56" s="396">
        <f t="shared" ca="1" si="65"/>
        <v>0</v>
      </c>
      <c r="CC56" s="393">
        <f t="shared" ca="1" si="52"/>
        <v>99999</v>
      </c>
      <c r="CD56" s="202" t="str">
        <f t="shared" ca="1" si="53"/>
        <v/>
      </c>
      <c r="CE56" s="202" t="str">
        <f t="shared" ca="1" si="75"/>
        <v/>
      </c>
      <c r="CF56" s="394">
        <f t="shared" ca="1" si="22"/>
        <v>99999</v>
      </c>
      <c r="CG56" s="394" t="str">
        <f t="shared" ca="1" si="91"/>
        <v/>
      </c>
      <c r="CH56" s="395" t="str">
        <f t="shared" ca="1" si="92"/>
        <v/>
      </c>
      <c r="CJ56" s="396">
        <f t="shared" ca="1" si="66"/>
        <v>0</v>
      </c>
      <c r="CK56" s="393">
        <f t="shared" ca="1" si="55"/>
        <v>99999</v>
      </c>
      <c r="CL56" s="202" t="str">
        <f t="shared" ca="1" si="56"/>
        <v/>
      </c>
      <c r="CM56" s="202" t="str">
        <f t="shared" ca="1" si="76"/>
        <v/>
      </c>
      <c r="CN56" s="394">
        <f t="shared" ca="1" si="25"/>
        <v>99999</v>
      </c>
      <c r="CO56" s="394" t="str">
        <f t="shared" ca="1" si="93"/>
        <v/>
      </c>
      <c r="CP56" s="395" t="str">
        <f t="shared" ca="1" si="94"/>
        <v/>
      </c>
    </row>
    <row r="57" spans="4:94" ht="17.25" x14ac:dyDescent="0.2">
      <c r="D57" s="159">
        <f t="shared" ca="1" si="28"/>
        <v>0</v>
      </c>
      <c r="E57" s="159" t="str">
        <f t="shared" ca="1" si="29"/>
        <v/>
      </c>
      <c r="F57" s="159">
        <f ca="1">IF($E57="",0,COUNTIF($E$7:$E57,INDEX($E$79:$E$150,ROW($A51))))</f>
        <v>0</v>
      </c>
      <c r="G57" s="205"/>
      <c r="H57" s="200">
        <v>51</v>
      </c>
      <c r="I57" s="227" t="str">
        <f ca="1">IF(OR($X$3,$H57&gt;Calc!$B$13/2*$D$6),"",$T$6+QUOTIENT(($H57-1),$T$22)*($T$8+$T$10)/1440+SUM($Q$7:$Q56)/1440)</f>
        <v/>
      </c>
      <c r="J57" s="229" t="str">
        <f ca="1">IF(OR($X$3,$H57&gt;Calc!$B$13/2*$D$6),"",MOD(($H57-1),$T$22)+1)</f>
        <v/>
      </c>
      <c r="K57" s="54" t="str">
        <f ca="1"/>
        <v/>
      </c>
      <c r="L57" s="53" t="s">
        <v>5</v>
      </c>
      <c r="M57" s="55" t="str">
        <f ca="1"/>
        <v/>
      </c>
      <c r="N57" s="52" t="str">
        <f t="shared" ca="1" si="30"/>
        <v/>
      </c>
      <c r="O57" s="50" t="s">
        <v>5</v>
      </c>
      <c r="P57" s="51" t="str">
        <f t="shared" ca="1" si="31"/>
        <v/>
      </c>
      <c r="Q57" s="381"/>
      <c r="R57" s="220"/>
      <c r="S57" s="224"/>
      <c r="T57" s="224"/>
      <c r="U57" s="224"/>
      <c r="V57" s="224"/>
      <c r="W57" s="202">
        <f t="shared" ca="1" si="58"/>
        <v>0</v>
      </c>
      <c r="X57" s="396">
        <f t="shared" ca="1" si="67"/>
        <v>0</v>
      </c>
      <c r="Y57" s="393">
        <f t="shared" ca="1" si="32"/>
        <v>99999</v>
      </c>
      <c r="Z57" s="202" t="str">
        <f t="shared" ca="1" si="0"/>
        <v/>
      </c>
      <c r="AA57" s="202" t="str">
        <f t="shared" ca="1" si="68"/>
        <v/>
      </c>
      <c r="AB57" s="394">
        <f t="shared" ca="1" si="1"/>
        <v>99999</v>
      </c>
      <c r="AC57" s="394" t="str">
        <f t="shared" ca="1" si="77"/>
        <v/>
      </c>
      <c r="AD57" s="395" t="str">
        <f t="shared" ca="1" si="78"/>
        <v/>
      </c>
      <c r="AE57" s="202"/>
      <c r="AF57" s="396">
        <f t="shared" ca="1" si="59"/>
        <v>0</v>
      </c>
      <c r="AG57" s="393">
        <f t="shared" ca="1" si="34"/>
        <v>99999</v>
      </c>
      <c r="AH57" s="202" t="str">
        <f t="shared" ca="1" si="35"/>
        <v/>
      </c>
      <c r="AI57" s="202" t="str">
        <f t="shared" ca="1" si="69"/>
        <v/>
      </c>
      <c r="AJ57" s="394">
        <f t="shared" ca="1" si="4"/>
        <v>99999</v>
      </c>
      <c r="AK57" s="394" t="str">
        <f t="shared" ca="1" si="79"/>
        <v/>
      </c>
      <c r="AL57" s="395" t="str">
        <f t="shared" ca="1" si="80"/>
        <v/>
      </c>
      <c r="AN57" s="396">
        <f t="shared" ca="1" si="60"/>
        <v>0</v>
      </c>
      <c r="AO57" s="393">
        <f t="shared" ca="1" si="37"/>
        <v>99999</v>
      </c>
      <c r="AP57" s="202" t="str">
        <f t="shared" ca="1" si="38"/>
        <v/>
      </c>
      <c r="AQ57" s="202" t="str">
        <f t="shared" ca="1" si="70"/>
        <v/>
      </c>
      <c r="AR57" s="394">
        <f t="shared" ca="1" si="7"/>
        <v>99999</v>
      </c>
      <c r="AS57" s="394" t="str">
        <f t="shared" ca="1" si="81"/>
        <v/>
      </c>
      <c r="AT57" s="395" t="str">
        <f t="shared" ca="1" si="82"/>
        <v/>
      </c>
      <c r="AU57" s="202"/>
      <c r="AV57" s="396">
        <f t="shared" ca="1" si="61"/>
        <v>0</v>
      </c>
      <c r="AW57" s="393">
        <f t="shared" ca="1" si="40"/>
        <v>99999</v>
      </c>
      <c r="AX57" s="202" t="str">
        <f t="shared" ca="1" si="41"/>
        <v/>
      </c>
      <c r="AY57" s="202" t="str">
        <f t="shared" ca="1" si="71"/>
        <v/>
      </c>
      <c r="AZ57" s="394">
        <f t="shared" ca="1" si="10"/>
        <v>99999</v>
      </c>
      <c r="BA57" s="394" t="str">
        <f t="shared" ca="1" si="83"/>
        <v/>
      </c>
      <c r="BB57" s="395" t="str">
        <f t="shared" ca="1" si="84"/>
        <v/>
      </c>
      <c r="BD57" s="396">
        <f t="shared" ca="1" si="62"/>
        <v>0</v>
      </c>
      <c r="BE57" s="393">
        <f t="shared" ca="1" si="43"/>
        <v>99999</v>
      </c>
      <c r="BF57" s="202" t="str">
        <f t="shared" ca="1" si="44"/>
        <v/>
      </c>
      <c r="BG57" s="202" t="str">
        <f t="shared" ca="1" si="72"/>
        <v/>
      </c>
      <c r="BH57" s="394">
        <f t="shared" ca="1" si="13"/>
        <v>99999</v>
      </c>
      <c r="BI57" s="394" t="str">
        <f t="shared" ca="1" si="85"/>
        <v/>
      </c>
      <c r="BJ57" s="395" t="str">
        <f t="shared" ca="1" si="86"/>
        <v/>
      </c>
      <c r="BK57" s="202"/>
      <c r="BL57" s="396">
        <f t="shared" ca="1" si="63"/>
        <v>0</v>
      </c>
      <c r="BM57" s="393">
        <f t="shared" ca="1" si="46"/>
        <v>99999</v>
      </c>
      <c r="BN57" s="202" t="str">
        <f t="shared" ca="1" si="47"/>
        <v/>
      </c>
      <c r="BO57" s="202" t="str">
        <f t="shared" ca="1" si="73"/>
        <v/>
      </c>
      <c r="BP57" s="394">
        <f t="shared" ca="1" si="16"/>
        <v>99999</v>
      </c>
      <c r="BQ57" s="394" t="str">
        <f t="shared" ca="1" si="87"/>
        <v/>
      </c>
      <c r="BR57" s="395" t="str">
        <f t="shared" ca="1" si="88"/>
        <v/>
      </c>
      <c r="BT57" s="396">
        <f t="shared" ca="1" si="64"/>
        <v>0</v>
      </c>
      <c r="BU57" s="393">
        <f t="shared" ca="1" si="49"/>
        <v>99999</v>
      </c>
      <c r="BV57" s="202" t="str">
        <f t="shared" ca="1" si="50"/>
        <v/>
      </c>
      <c r="BW57" s="202" t="str">
        <f t="shared" ca="1" si="74"/>
        <v/>
      </c>
      <c r="BX57" s="394">
        <f t="shared" ca="1" si="19"/>
        <v>99999</v>
      </c>
      <c r="BY57" s="394" t="str">
        <f t="shared" ca="1" si="89"/>
        <v/>
      </c>
      <c r="BZ57" s="395" t="str">
        <f t="shared" ca="1" si="90"/>
        <v/>
      </c>
      <c r="CA57" s="202"/>
      <c r="CB57" s="396">
        <f t="shared" ca="1" si="65"/>
        <v>0</v>
      </c>
      <c r="CC57" s="393">
        <f t="shared" ca="1" si="52"/>
        <v>99999</v>
      </c>
      <c r="CD57" s="202" t="str">
        <f t="shared" ca="1" si="53"/>
        <v/>
      </c>
      <c r="CE57" s="202" t="str">
        <f t="shared" ca="1" si="75"/>
        <v/>
      </c>
      <c r="CF57" s="394">
        <f t="shared" ca="1" si="22"/>
        <v>99999</v>
      </c>
      <c r="CG57" s="394" t="str">
        <f t="shared" ca="1" si="91"/>
        <v/>
      </c>
      <c r="CH57" s="395" t="str">
        <f t="shared" ca="1" si="92"/>
        <v/>
      </c>
      <c r="CJ57" s="396">
        <f t="shared" ca="1" si="66"/>
        <v>0</v>
      </c>
      <c r="CK57" s="393">
        <f t="shared" ca="1" si="55"/>
        <v>99999</v>
      </c>
      <c r="CL57" s="202" t="str">
        <f t="shared" ca="1" si="56"/>
        <v/>
      </c>
      <c r="CM57" s="202" t="str">
        <f t="shared" ca="1" si="76"/>
        <v/>
      </c>
      <c r="CN57" s="394">
        <f t="shared" ca="1" si="25"/>
        <v>99999</v>
      </c>
      <c r="CO57" s="394" t="str">
        <f t="shared" ca="1" si="93"/>
        <v/>
      </c>
      <c r="CP57" s="395" t="str">
        <f t="shared" ca="1" si="94"/>
        <v/>
      </c>
    </row>
    <row r="58" spans="4:94" ht="17.25" x14ac:dyDescent="0.25">
      <c r="D58" s="159">
        <f t="shared" ca="1" si="28"/>
        <v>0</v>
      </c>
      <c r="E58" s="159" t="str">
        <f t="shared" ca="1" si="29"/>
        <v/>
      </c>
      <c r="F58" s="159">
        <f ca="1">IF($E58="",0,COUNTIF($E$7:$E58,INDEX($E$79:$E$150,ROW($A52))))</f>
        <v>0</v>
      </c>
      <c r="G58" s="205"/>
      <c r="H58" s="200">
        <v>52</v>
      </c>
      <c r="I58" s="227" t="str">
        <f ca="1">IF(OR($X$3,$H58&gt;Calc!$B$13/2*$D$6),"",$T$6+QUOTIENT(($H58-1),$T$22)*($T$8+$T$10)/1440+SUM($Q$7:$Q57)/1440)</f>
        <v/>
      </c>
      <c r="J58" s="229" t="str">
        <f ca="1">IF(OR($X$3,$H58&gt;Calc!$B$13/2*$D$6),"",MOD(($H58-1),$T$22)+1)</f>
        <v/>
      </c>
      <c r="K58" s="54" t="str">
        <f ca="1"/>
        <v/>
      </c>
      <c r="L58" s="53" t="s">
        <v>5</v>
      </c>
      <c r="M58" s="55" t="str">
        <f ca="1"/>
        <v/>
      </c>
      <c r="N58" s="52" t="str">
        <f t="shared" ca="1" si="30"/>
        <v/>
      </c>
      <c r="O58" s="50" t="s">
        <v>5</v>
      </c>
      <c r="P58" s="51" t="str">
        <f t="shared" ca="1" si="31"/>
        <v/>
      </c>
      <c r="Q58" s="381"/>
      <c r="R58" s="220"/>
      <c r="S58" s="222"/>
      <c r="T58" s="222"/>
      <c r="U58" s="222"/>
      <c r="V58" s="222"/>
      <c r="W58" s="202">
        <f t="shared" ca="1" si="58"/>
        <v>0</v>
      </c>
      <c r="X58" s="396">
        <f t="shared" ca="1" si="67"/>
        <v>0</v>
      </c>
      <c r="Y58" s="393">
        <f t="shared" ca="1" si="32"/>
        <v>99999</v>
      </c>
      <c r="Z58" s="202" t="str">
        <f t="shared" ca="1" si="0"/>
        <v/>
      </c>
      <c r="AA58" s="202" t="str">
        <f t="shared" ca="1" si="68"/>
        <v/>
      </c>
      <c r="AB58" s="394">
        <f t="shared" ca="1" si="1"/>
        <v>99999</v>
      </c>
      <c r="AC58" s="394" t="str">
        <f t="shared" ca="1" si="77"/>
        <v/>
      </c>
      <c r="AD58" s="395" t="str">
        <f t="shared" ca="1" si="78"/>
        <v/>
      </c>
      <c r="AE58" s="202"/>
      <c r="AF58" s="396">
        <f t="shared" ca="1" si="59"/>
        <v>0</v>
      </c>
      <c r="AG58" s="393">
        <f t="shared" ca="1" si="34"/>
        <v>99999</v>
      </c>
      <c r="AH58" s="202" t="str">
        <f t="shared" ca="1" si="35"/>
        <v/>
      </c>
      <c r="AI58" s="202" t="str">
        <f t="shared" ca="1" si="69"/>
        <v/>
      </c>
      <c r="AJ58" s="394">
        <f t="shared" ca="1" si="4"/>
        <v>99999</v>
      </c>
      <c r="AK58" s="394" t="str">
        <f t="shared" ca="1" si="79"/>
        <v/>
      </c>
      <c r="AL58" s="395" t="str">
        <f t="shared" ca="1" si="80"/>
        <v/>
      </c>
      <c r="AN58" s="396">
        <f t="shared" ca="1" si="60"/>
        <v>0</v>
      </c>
      <c r="AO58" s="393">
        <f t="shared" ca="1" si="37"/>
        <v>99999</v>
      </c>
      <c r="AP58" s="202" t="str">
        <f t="shared" ca="1" si="38"/>
        <v/>
      </c>
      <c r="AQ58" s="202" t="str">
        <f t="shared" ca="1" si="70"/>
        <v/>
      </c>
      <c r="AR58" s="394">
        <f t="shared" ca="1" si="7"/>
        <v>99999</v>
      </c>
      <c r="AS58" s="394" t="str">
        <f t="shared" ca="1" si="81"/>
        <v/>
      </c>
      <c r="AT58" s="395" t="str">
        <f t="shared" ca="1" si="82"/>
        <v/>
      </c>
      <c r="AU58" s="202"/>
      <c r="AV58" s="396">
        <f t="shared" ca="1" si="61"/>
        <v>0</v>
      </c>
      <c r="AW58" s="393">
        <f t="shared" ca="1" si="40"/>
        <v>99999</v>
      </c>
      <c r="AX58" s="202" t="str">
        <f t="shared" ca="1" si="41"/>
        <v/>
      </c>
      <c r="AY58" s="202" t="str">
        <f t="shared" ca="1" si="71"/>
        <v/>
      </c>
      <c r="AZ58" s="394">
        <f t="shared" ca="1" si="10"/>
        <v>99999</v>
      </c>
      <c r="BA58" s="394" t="str">
        <f t="shared" ca="1" si="83"/>
        <v/>
      </c>
      <c r="BB58" s="395" t="str">
        <f t="shared" ca="1" si="84"/>
        <v/>
      </c>
      <c r="BD58" s="396">
        <f t="shared" ca="1" si="62"/>
        <v>0</v>
      </c>
      <c r="BE58" s="393">
        <f t="shared" ca="1" si="43"/>
        <v>99999</v>
      </c>
      <c r="BF58" s="202" t="str">
        <f t="shared" ca="1" si="44"/>
        <v/>
      </c>
      <c r="BG58" s="202" t="str">
        <f t="shared" ca="1" si="72"/>
        <v/>
      </c>
      <c r="BH58" s="394">
        <f t="shared" ca="1" si="13"/>
        <v>99999</v>
      </c>
      <c r="BI58" s="394" t="str">
        <f t="shared" ca="1" si="85"/>
        <v/>
      </c>
      <c r="BJ58" s="395" t="str">
        <f t="shared" ca="1" si="86"/>
        <v/>
      </c>
      <c r="BK58" s="202"/>
      <c r="BL58" s="396">
        <f t="shared" ca="1" si="63"/>
        <v>0</v>
      </c>
      <c r="BM58" s="393">
        <f t="shared" ca="1" si="46"/>
        <v>99999</v>
      </c>
      <c r="BN58" s="202" t="str">
        <f t="shared" ca="1" si="47"/>
        <v/>
      </c>
      <c r="BO58" s="202" t="str">
        <f t="shared" ca="1" si="73"/>
        <v/>
      </c>
      <c r="BP58" s="394">
        <f t="shared" ca="1" si="16"/>
        <v>99999</v>
      </c>
      <c r="BQ58" s="394" t="str">
        <f t="shared" ca="1" si="87"/>
        <v/>
      </c>
      <c r="BR58" s="395" t="str">
        <f t="shared" ca="1" si="88"/>
        <v/>
      </c>
      <c r="BT58" s="396">
        <f t="shared" ca="1" si="64"/>
        <v>0</v>
      </c>
      <c r="BU58" s="393">
        <f t="shared" ca="1" si="49"/>
        <v>99999</v>
      </c>
      <c r="BV58" s="202" t="str">
        <f t="shared" ca="1" si="50"/>
        <v/>
      </c>
      <c r="BW58" s="202" t="str">
        <f t="shared" ca="1" si="74"/>
        <v/>
      </c>
      <c r="BX58" s="394">
        <f t="shared" ca="1" si="19"/>
        <v>99999</v>
      </c>
      <c r="BY58" s="394" t="str">
        <f t="shared" ca="1" si="89"/>
        <v/>
      </c>
      <c r="BZ58" s="395" t="str">
        <f t="shared" ca="1" si="90"/>
        <v/>
      </c>
      <c r="CA58" s="202"/>
      <c r="CB58" s="396">
        <f t="shared" ca="1" si="65"/>
        <v>0</v>
      </c>
      <c r="CC58" s="393">
        <f t="shared" ca="1" si="52"/>
        <v>99999</v>
      </c>
      <c r="CD58" s="202" t="str">
        <f t="shared" ca="1" si="53"/>
        <v/>
      </c>
      <c r="CE58" s="202" t="str">
        <f t="shared" ca="1" si="75"/>
        <v/>
      </c>
      <c r="CF58" s="394">
        <f t="shared" ca="1" si="22"/>
        <v>99999</v>
      </c>
      <c r="CG58" s="394" t="str">
        <f t="shared" ca="1" si="91"/>
        <v/>
      </c>
      <c r="CH58" s="395" t="str">
        <f t="shared" ca="1" si="92"/>
        <v/>
      </c>
      <c r="CJ58" s="396">
        <f t="shared" ca="1" si="66"/>
        <v>0</v>
      </c>
      <c r="CK58" s="393">
        <f t="shared" ca="1" si="55"/>
        <v>99999</v>
      </c>
      <c r="CL58" s="202" t="str">
        <f t="shared" ca="1" si="56"/>
        <v/>
      </c>
      <c r="CM58" s="202" t="str">
        <f t="shared" ca="1" si="76"/>
        <v/>
      </c>
      <c r="CN58" s="394">
        <f t="shared" ca="1" si="25"/>
        <v>99999</v>
      </c>
      <c r="CO58" s="394" t="str">
        <f t="shared" ca="1" si="93"/>
        <v/>
      </c>
      <c r="CP58" s="395" t="str">
        <f t="shared" ca="1" si="94"/>
        <v/>
      </c>
    </row>
    <row r="59" spans="4:94" ht="17.25" x14ac:dyDescent="0.25">
      <c r="D59" s="159">
        <f t="shared" ca="1" si="28"/>
        <v>0</v>
      </c>
      <c r="E59" s="159" t="str">
        <f t="shared" ca="1" si="29"/>
        <v/>
      </c>
      <c r="F59" s="159">
        <f ca="1">IF($E59="",0,COUNTIF($E$7:$E59,INDEX($E$79:$E$150,ROW($A53))))</f>
        <v>0</v>
      </c>
      <c r="G59" s="205"/>
      <c r="H59" s="200">
        <v>53</v>
      </c>
      <c r="I59" s="227" t="str">
        <f ca="1">IF(OR($X$3,$H59&gt;Calc!$B$13/2*$D$6),"",$T$6+QUOTIENT(($H59-1),$T$22)*($T$8+$T$10)/1440+SUM($Q$7:$Q58)/1440)</f>
        <v/>
      </c>
      <c r="J59" s="229" t="str">
        <f ca="1">IF(OR($X$3,$H59&gt;Calc!$B$13/2*$D$6),"",MOD(($H59-1),$T$22)+1)</f>
        <v/>
      </c>
      <c r="K59" s="54" t="str">
        <f ca="1"/>
        <v/>
      </c>
      <c r="L59" s="53" t="s">
        <v>5</v>
      </c>
      <c r="M59" s="55" t="str">
        <f ca="1"/>
        <v/>
      </c>
      <c r="N59" s="52" t="str">
        <f t="shared" ca="1" si="30"/>
        <v/>
      </c>
      <c r="O59" s="50" t="s">
        <v>5</v>
      </c>
      <c r="P59" s="51" t="str">
        <f t="shared" ca="1" si="31"/>
        <v/>
      </c>
      <c r="Q59" s="381"/>
      <c r="R59" s="220"/>
      <c r="S59" s="198"/>
      <c r="T59" s="199"/>
      <c r="U59" s="222"/>
      <c r="V59" s="222"/>
      <c r="W59" s="202">
        <f t="shared" ca="1" si="58"/>
        <v>0</v>
      </c>
      <c r="X59" s="396">
        <f t="shared" ca="1" si="67"/>
        <v>0</v>
      </c>
      <c r="Y59" s="393">
        <f t="shared" ca="1" si="32"/>
        <v>99999</v>
      </c>
      <c r="Z59" s="202" t="str">
        <f t="shared" ca="1" si="0"/>
        <v/>
      </c>
      <c r="AA59" s="202" t="str">
        <f t="shared" ca="1" si="68"/>
        <v/>
      </c>
      <c r="AB59" s="394">
        <f t="shared" ca="1" si="1"/>
        <v>99999</v>
      </c>
      <c r="AC59" s="394" t="str">
        <f t="shared" ca="1" si="77"/>
        <v/>
      </c>
      <c r="AD59" s="395" t="str">
        <f t="shared" ca="1" si="78"/>
        <v/>
      </c>
      <c r="AE59" s="202"/>
      <c r="AF59" s="396">
        <f t="shared" ca="1" si="59"/>
        <v>0</v>
      </c>
      <c r="AG59" s="393">
        <f t="shared" ca="1" si="34"/>
        <v>99999</v>
      </c>
      <c r="AH59" s="202" t="str">
        <f t="shared" ca="1" si="35"/>
        <v/>
      </c>
      <c r="AI59" s="202" t="str">
        <f t="shared" ca="1" si="69"/>
        <v/>
      </c>
      <c r="AJ59" s="394">
        <f t="shared" ca="1" si="4"/>
        <v>99999</v>
      </c>
      <c r="AK59" s="394" t="str">
        <f t="shared" ca="1" si="79"/>
        <v/>
      </c>
      <c r="AL59" s="395" t="str">
        <f t="shared" ca="1" si="80"/>
        <v/>
      </c>
      <c r="AN59" s="396">
        <f t="shared" ca="1" si="60"/>
        <v>0</v>
      </c>
      <c r="AO59" s="393">
        <f t="shared" ca="1" si="37"/>
        <v>99999</v>
      </c>
      <c r="AP59" s="202" t="str">
        <f t="shared" ca="1" si="38"/>
        <v/>
      </c>
      <c r="AQ59" s="202" t="str">
        <f t="shared" ca="1" si="70"/>
        <v/>
      </c>
      <c r="AR59" s="394">
        <f t="shared" ca="1" si="7"/>
        <v>99999</v>
      </c>
      <c r="AS59" s="394" t="str">
        <f t="shared" ca="1" si="81"/>
        <v/>
      </c>
      <c r="AT59" s="395" t="str">
        <f t="shared" ca="1" si="82"/>
        <v/>
      </c>
      <c r="AU59" s="202"/>
      <c r="AV59" s="396">
        <f t="shared" ca="1" si="61"/>
        <v>0</v>
      </c>
      <c r="AW59" s="393">
        <f t="shared" ca="1" si="40"/>
        <v>99999</v>
      </c>
      <c r="AX59" s="202" t="str">
        <f t="shared" ca="1" si="41"/>
        <v/>
      </c>
      <c r="AY59" s="202" t="str">
        <f t="shared" ca="1" si="71"/>
        <v/>
      </c>
      <c r="AZ59" s="394">
        <f t="shared" ca="1" si="10"/>
        <v>99999</v>
      </c>
      <c r="BA59" s="394" t="str">
        <f t="shared" ca="1" si="83"/>
        <v/>
      </c>
      <c r="BB59" s="395" t="str">
        <f t="shared" ca="1" si="84"/>
        <v/>
      </c>
      <c r="BD59" s="396">
        <f t="shared" ca="1" si="62"/>
        <v>0</v>
      </c>
      <c r="BE59" s="393">
        <f t="shared" ca="1" si="43"/>
        <v>99999</v>
      </c>
      <c r="BF59" s="202" t="str">
        <f t="shared" ca="1" si="44"/>
        <v/>
      </c>
      <c r="BG59" s="202" t="str">
        <f t="shared" ca="1" si="72"/>
        <v/>
      </c>
      <c r="BH59" s="394">
        <f t="shared" ca="1" si="13"/>
        <v>99999</v>
      </c>
      <c r="BI59" s="394" t="str">
        <f t="shared" ca="1" si="85"/>
        <v/>
      </c>
      <c r="BJ59" s="395" t="str">
        <f t="shared" ca="1" si="86"/>
        <v/>
      </c>
      <c r="BK59" s="202"/>
      <c r="BL59" s="396">
        <f t="shared" ca="1" si="63"/>
        <v>0</v>
      </c>
      <c r="BM59" s="393">
        <f t="shared" ca="1" si="46"/>
        <v>99999</v>
      </c>
      <c r="BN59" s="202" t="str">
        <f t="shared" ca="1" si="47"/>
        <v/>
      </c>
      <c r="BO59" s="202" t="str">
        <f t="shared" ca="1" si="73"/>
        <v/>
      </c>
      <c r="BP59" s="394">
        <f t="shared" ca="1" si="16"/>
        <v>99999</v>
      </c>
      <c r="BQ59" s="394" t="str">
        <f t="shared" ca="1" si="87"/>
        <v/>
      </c>
      <c r="BR59" s="395" t="str">
        <f t="shared" ca="1" si="88"/>
        <v/>
      </c>
      <c r="BT59" s="396">
        <f t="shared" ca="1" si="64"/>
        <v>0</v>
      </c>
      <c r="BU59" s="393">
        <f t="shared" ca="1" si="49"/>
        <v>99999</v>
      </c>
      <c r="BV59" s="202" t="str">
        <f t="shared" ca="1" si="50"/>
        <v/>
      </c>
      <c r="BW59" s="202" t="str">
        <f t="shared" ca="1" si="74"/>
        <v/>
      </c>
      <c r="BX59" s="394">
        <f t="shared" ca="1" si="19"/>
        <v>99999</v>
      </c>
      <c r="BY59" s="394" t="str">
        <f t="shared" ca="1" si="89"/>
        <v/>
      </c>
      <c r="BZ59" s="395" t="str">
        <f t="shared" ca="1" si="90"/>
        <v/>
      </c>
      <c r="CA59" s="202"/>
      <c r="CB59" s="396">
        <f t="shared" ca="1" si="65"/>
        <v>0</v>
      </c>
      <c r="CC59" s="393">
        <f t="shared" ca="1" si="52"/>
        <v>99999</v>
      </c>
      <c r="CD59" s="202" t="str">
        <f t="shared" ca="1" si="53"/>
        <v/>
      </c>
      <c r="CE59" s="202" t="str">
        <f t="shared" ca="1" si="75"/>
        <v/>
      </c>
      <c r="CF59" s="394">
        <f t="shared" ca="1" si="22"/>
        <v>99999</v>
      </c>
      <c r="CG59" s="394" t="str">
        <f t="shared" ca="1" si="91"/>
        <v/>
      </c>
      <c r="CH59" s="395" t="str">
        <f t="shared" ca="1" si="92"/>
        <v/>
      </c>
      <c r="CJ59" s="396">
        <f t="shared" ca="1" si="66"/>
        <v>0</v>
      </c>
      <c r="CK59" s="393">
        <f t="shared" ca="1" si="55"/>
        <v>99999</v>
      </c>
      <c r="CL59" s="202" t="str">
        <f t="shared" ca="1" si="56"/>
        <v/>
      </c>
      <c r="CM59" s="202" t="str">
        <f t="shared" ca="1" si="76"/>
        <v/>
      </c>
      <c r="CN59" s="394">
        <f t="shared" ca="1" si="25"/>
        <v>99999</v>
      </c>
      <c r="CO59" s="394" t="str">
        <f t="shared" ca="1" si="93"/>
        <v/>
      </c>
      <c r="CP59" s="395" t="str">
        <f t="shared" ca="1" si="94"/>
        <v/>
      </c>
    </row>
    <row r="60" spans="4:94" ht="17.25" x14ac:dyDescent="0.25">
      <c r="D60" s="159">
        <f t="shared" ca="1" si="28"/>
        <v>0</v>
      </c>
      <c r="E60" s="159" t="str">
        <f t="shared" ca="1" si="29"/>
        <v/>
      </c>
      <c r="F60" s="159">
        <f ca="1">IF($E60="",0,COUNTIF($E$7:$E60,INDEX($E$79:$E$150,ROW($A54))))</f>
        <v>0</v>
      </c>
      <c r="G60" s="205"/>
      <c r="H60" s="200">
        <v>54</v>
      </c>
      <c r="I60" s="227" t="str">
        <f ca="1">IF(OR($X$3,$H60&gt;Calc!$B$13/2*$D$6),"",$T$6+QUOTIENT(($H60-1),$T$22)*($T$8+$T$10)/1440+SUM($Q$7:$Q59)/1440)</f>
        <v/>
      </c>
      <c r="J60" s="229" t="str">
        <f ca="1">IF(OR($X$3,$H60&gt;Calc!$B$13/2*$D$6),"",MOD(($H60-1),$T$22)+1)</f>
        <v/>
      </c>
      <c r="K60" s="54" t="str">
        <f ca="1"/>
        <v/>
      </c>
      <c r="L60" s="53" t="s">
        <v>5</v>
      </c>
      <c r="M60" s="55" t="str">
        <f ca="1"/>
        <v/>
      </c>
      <c r="N60" s="52" t="str">
        <f t="shared" ca="1" si="30"/>
        <v/>
      </c>
      <c r="O60" s="50" t="s">
        <v>5</v>
      </c>
      <c r="P60" s="51" t="str">
        <f t="shared" ca="1" si="31"/>
        <v/>
      </c>
      <c r="Q60" s="381"/>
      <c r="R60" s="220"/>
      <c r="S60" s="198"/>
      <c r="T60" s="199"/>
      <c r="U60" s="222"/>
      <c r="V60" s="222"/>
      <c r="W60" s="202">
        <f t="shared" ca="1" si="58"/>
        <v>0</v>
      </c>
      <c r="X60" s="396">
        <f t="shared" ca="1" si="67"/>
        <v>0</v>
      </c>
      <c r="Y60" s="393">
        <f t="shared" ca="1" si="32"/>
        <v>99999</v>
      </c>
      <c r="Z60" s="202" t="str">
        <f t="shared" ca="1" si="0"/>
        <v/>
      </c>
      <c r="AA60" s="202" t="str">
        <f t="shared" ca="1" si="68"/>
        <v/>
      </c>
      <c r="AB60" s="394">
        <f t="shared" ca="1" si="1"/>
        <v>99999</v>
      </c>
      <c r="AC60" s="394" t="str">
        <f t="shared" ca="1" si="77"/>
        <v/>
      </c>
      <c r="AD60" s="395" t="str">
        <f t="shared" ca="1" si="78"/>
        <v/>
      </c>
      <c r="AE60" s="202"/>
      <c r="AF60" s="396">
        <f t="shared" ca="1" si="59"/>
        <v>0</v>
      </c>
      <c r="AG60" s="393">
        <f t="shared" ca="1" si="34"/>
        <v>99999</v>
      </c>
      <c r="AH60" s="202" t="str">
        <f t="shared" ca="1" si="35"/>
        <v/>
      </c>
      <c r="AI60" s="202" t="str">
        <f t="shared" ca="1" si="69"/>
        <v/>
      </c>
      <c r="AJ60" s="394">
        <f t="shared" ca="1" si="4"/>
        <v>99999</v>
      </c>
      <c r="AK60" s="394" t="str">
        <f t="shared" ca="1" si="79"/>
        <v/>
      </c>
      <c r="AL60" s="395" t="str">
        <f t="shared" ca="1" si="80"/>
        <v/>
      </c>
      <c r="AN60" s="396">
        <f t="shared" ca="1" si="60"/>
        <v>0</v>
      </c>
      <c r="AO60" s="393">
        <f t="shared" ca="1" si="37"/>
        <v>99999</v>
      </c>
      <c r="AP60" s="202" t="str">
        <f t="shared" ca="1" si="38"/>
        <v/>
      </c>
      <c r="AQ60" s="202" t="str">
        <f t="shared" ca="1" si="70"/>
        <v/>
      </c>
      <c r="AR60" s="394">
        <f t="shared" ca="1" si="7"/>
        <v>99999</v>
      </c>
      <c r="AS60" s="394" t="str">
        <f t="shared" ca="1" si="81"/>
        <v/>
      </c>
      <c r="AT60" s="395" t="str">
        <f t="shared" ca="1" si="82"/>
        <v/>
      </c>
      <c r="AU60" s="202"/>
      <c r="AV60" s="396">
        <f t="shared" ca="1" si="61"/>
        <v>0</v>
      </c>
      <c r="AW60" s="393">
        <f t="shared" ca="1" si="40"/>
        <v>99999</v>
      </c>
      <c r="AX60" s="202" t="str">
        <f t="shared" ca="1" si="41"/>
        <v/>
      </c>
      <c r="AY60" s="202" t="str">
        <f t="shared" ca="1" si="71"/>
        <v/>
      </c>
      <c r="AZ60" s="394">
        <f t="shared" ca="1" si="10"/>
        <v>99999</v>
      </c>
      <c r="BA60" s="394" t="str">
        <f t="shared" ca="1" si="83"/>
        <v/>
      </c>
      <c r="BB60" s="395" t="str">
        <f t="shared" ca="1" si="84"/>
        <v/>
      </c>
      <c r="BD60" s="396">
        <f t="shared" ca="1" si="62"/>
        <v>0</v>
      </c>
      <c r="BE60" s="393">
        <f t="shared" ca="1" si="43"/>
        <v>99999</v>
      </c>
      <c r="BF60" s="202" t="str">
        <f t="shared" ca="1" si="44"/>
        <v/>
      </c>
      <c r="BG60" s="202" t="str">
        <f t="shared" ca="1" si="72"/>
        <v/>
      </c>
      <c r="BH60" s="394">
        <f t="shared" ca="1" si="13"/>
        <v>99999</v>
      </c>
      <c r="BI60" s="394" t="str">
        <f t="shared" ca="1" si="85"/>
        <v/>
      </c>
      <c r="BJ60" s="395" t="str">
        <f t="shared" ca="1" si="86"/>
        <v/>
      </c>
      <c r="BK60" s="202"/>
      <c r="BL60" s="396">
        <f t="shared" ca="1" si="63"/>
        <v>0</v>
      </c>
      <c r="BM60" s="393">
        <f t="shared" ca="1" si="46"/>
        <v>99999</v>
      </c>
      <c r="BN60" s="202" t="str">
        <f t="shared" ca="1" si="47"/>
        <v/>
      </c>
      <c r="BO60" s="202" t="str">
        <f t="shared" ca="1" si="73"/>
        <v/>
      </c>
      <c r="BP60" s="394">
        <f t="shared" ca="1" si="16"/>
        <v>99999</v>
      </c>
      <c r="BQ60" s="394" t="str">
        <f t="shared" ca="1" si="87"/>
        <v/>
      </c>
      <c r="BR60" s="395" t="str">
        <f t="shared" ca="1" si="88"/>
        <v/>
      </c>
      <c r="BT60" s="396">
        <f t="shared" ca="1" si="64"/>
        <v>0</v>
      </c>
      <c r="BU60" s="393">
        <f t="shared" ca="1" si="49"/>
        <v>99999</v>
      </c>
      <c r="BV60" s="202" t="str">
        <f t="shared" ca="1" si="50"/>
        <v/>
      </c>
      <c r="BW60" s="202" t="str">
        <f t="shared" ca="1" si="74"/>
        <v/>
      </c>
      <c r="BX60" s="394">
        <f t="shared" ca="1" si="19"/>
        <v>99999</v>
      </c>
      <c r="BY60" s="394" t="str">
        <f t="shared" ca="1" si="89"/>
        <v/>
      </c>
      <c r="BZ60" s="395" t="str">
        <f t="shared" ca="1" si="90"/>
        <v/>
      </c>
      <c r="CA60" s="202"/>
      <c r="CB60" s="396">
        <f t="shared" ca="1" si="65"/>
        <v>0</v>
      </c>
      <c r="CC60" s="393">
        <f t="shared" ca="1" si="52"/>
        <v>99999</v>
      </c>
      <c r="CD60" s="202" t="str">
        <f t="shared" ca="1" si="53"/>
        <v/>
      </c>
      <c r="CE60" s="202" t="str">
        <f t="shared" ca="1" si="75"/>
        <v/>
      </c>
      <c r="CF60" s="394">
        <f t="shared" ca="1" si="22"/>
        <v>99999</v>
      </c>
      <c r="CG60" s="394" t="str">
        <f t="shared" ca="1" si="91"/>
        <v/>
      </c>
      <c r="CH60" s="395" t="str">
        <f t="shared" ca="1" si="92"/>
        <v/>
      </c>
      <c r="CJ60" s="396">
        <f t="shared" ca="1" si="66"/>
        <v>0</v>
      </c>
      <c r="CK60" s="393">
        <f t="shared" ca="1" si="55"/>
        <v>99999</v>
      </c>
      <c r="CL60" s="202" t="str">
        <f t="shared" ca="1" si="56"/>
        <v/>
      </c>
      <c r="CM60" s="202" t="str">
        <f t="shared" ca="1" si="76"/>
        <v/>
      </c>
      <c r="CN60" s="394">
        <f t="shared" ca="1" si="25"/>
        <v>99999</v>
      </c>
      <c r="CO60" s="394" t="str">
        <f t="shared" ca="1" si="93"/>
        <v/>
      </c>
      <c r="CP60" s="395" t="str">
        <f t="shared" ca="1" si="94"/>
        <v/>
      </c>
    </row>
    <row r="61" spans="4:94" ht="17.25" x14ac:dyDescent="0.25">
      <c r="D61" s="159">
        <f t="shared" ca="1" si="28"/>
        <v>0</v>
      </c>
      <c r="E61" s="159" t="str">
        <f t="shared" ca="1" si="29"/>
        <v/>
      </c>
      <c r="F61" s="159">
        <f ca="1">IF($E61="",0,COUNTIF($E$7:$E61,INDEX($E$79:$E$150,ROW($A55))))</f>
        <v>0</v>
      </c>
      <c r="G61" s="205"/>
      <c r="H61" s="200">
        <v>55</v>
      </c>
      <c r="I61" s="227" t="str">
        <f ca="1">IF(OR($X$3,$H61&gt;Calc!$B$13/2*$D$6),"",$T$6+QUOTIENT(($H61-1),$T$22)*($T$8+$T$10)/1440+SUM($Q$7:$Q60)/1440)</f>
        <v/>
      </c>
      <c r="J61" s="229" t="str">
        <f ca="1">IF(OR($X$3,$H61&gt;Calc!$B$13/2*$D$6),"",MOD(($H61-1),$T$22)+1)</f>
        <v/>
      </c>
      <c r="K61" s="54" t="str">
        <f ca="1"/>
        <v/>
      </c>
      <c r="L61" s="53" t="s">
        <v>5</v>
      </c>
      <c r="M61" s="55" t="str">
        <f ca="1"/>
        <v/>
      </c>
      <c r="N61" s="52" t="str">
        <f t="shared" ca="1" si="30"/>
        <v/>
      </c>
      <c r="O61" s="50" t="s">
        <v>5</v>
      </c>
      <c r="P61" s="51" t="str">
        <f t="shared" ca="1" si="31"/>
        <v/>
      </c>
      <c r="Q61" s="381"/>
      <c r="R61" s="220"/>
      <c r="S61" s="198"/>
      <c r="T61" s="199"/>
      <c r="U61" s="222"/>
      <c r="V61" s="222"/>
      <c r="W61" s="202">
        <f t="shared" ca="1" si="58"/>
        <v>0</v>
      </c>
      <c r="X61" s="396">
        <f t="shared" ca="1" si="67"/>
        <v>0</v>
      </c>
      <c r="Y61" s="393">
        <f t="shared" ca="1" si="32"/>
        <v>99999</v>
      </c>
      <c r="Z61" s="202" t="str">
        <f t="shared" ca="1" si="0"/>
        <v/>
      </c>
      <c r="AA61" s="202" t="str">
        <f t="shared" ca="1" si="68"/>
        <v/>
      </c>
      <c r="AB61" s="394">
        <f t="shared" ca="1" si="1"/>
        <v>99999</v>
      </c>
      <c r="AC61" s="394" t="str">
        <f t="shared" ca="1" si="77"/>
        <v/>
      </c>
      <c r="AD61" s="395" t="str">
        <f t="shared" ca="1" si="78"/>
        <v/>
      </c>
      <c r="AE61" s="202"/>
      <c r="AF61" s="396">
        <f t="shared" ca="1" si="59"/>
        <v>0</v>
      </c>
      <c r="AG61" s="393">
        <f t="shared" ca="1" si="34"/>
        <v>99999</v>
      </c>
      <c r="AH61" s="202" t="str">
        <f t="shared" ca="1" si="35"/>
        <v/>
      </c>
      <c r="AI61" s="202" t="str">
        <f t="shared" ca="1" si="69"/>
        <v/>
      </c>
      <c r="AJ61" s="394">
        <f t="shared" ca="1" si="4"/>
        <v>99999</v>
      </c>
      <c r="AK61" s="394" t="str">
        <f t="shared" ca="1" si="79"/>
        <v/>
      </c>
      <c r="AL61" s="395" t="str">
        <f t="shared" ca="1" si="80"/>
        <v/>
      </c>
      <c r="AN61" s="396">
        <f t="shared" ca="1" si="60"/>
        <v>0</v>
      </c>
      <c r="AO61" s="393">
        <f t="shared" ca="1" si="37"/>
        <v>99999</v>
      </c>
      <c r="AP61" s="202" t="str">
        <f t="shared" ca="1" si="38"/>
        <v/>
      </c>
      <c r="AQ61" s="202" t="str">
        <f t="shared" ca="1" si="70"/>
        <v/>
      </c>
      <c r="AR61" s="394">
        <f t="shared" ca="1" si="7"/>
        <v>99999</v>
      </c>
      <c r="AS61" s="394" t="str">
        <f t="shared" ca="1" si="81"/>
        <v/>
      </c>
      <c r="AT61" s="395" t="str">
        <f t="shared" ca="1" si="82"/>
        <v/>
      </c>
      <c r="AU61" s="202"/>
      <c r="AV61" s="396">
        <f t="shared" ca="1" si="61"/>
        <v>0</v>
      </c>
      <c r="AW61" s="393">
        <f t="shared" ca="1" si="40"/>
        <v>99999</v>
      </c>
      <c r="AX61" s="202" t="str">
        <f t="shared" ca="1" si="41"/>
        <v/>
      </c>
      <c r="AY61" s="202" t="str">
        <f t="shared" ca="1" si="71"/>
        <v/>
      </c>
      <c r="AZ61" s="394">
        <f t="shared" ca="1" si="10"/>
        <v>99999</v>
      </c>
      <c r="BA61" s="394" t="str">
        <f t="shared" ca="1" si="83"/>
        <v/>
      </c>
      <c r="BB61" s="395" t="str">
        <f t="shared" ca="1" si="84"/>
        <v/>
      </c>
      <c r="BD61" s="396">
        <f t="shared" ca="1" si="62"/>
        <v>0</v>
      </c>
      <c r="BE61" s="393">
        <f t="shared" ca="1" si="43"/>
        <v>99999</v>
      </c>
      <c r="BF61" s="202" t="str">
        <f t="shared" ca="1" si="44"/>
        <v/>
      </c>
      <c r="BG61" s="202" t="str">
        <f t="shared" ca="1" si="72"/>
        <v/>
      </c>
      <c r="BH61" s="394">
        <f t="shared" ca="1" si="13"/>
        <v>99999</v>
      </c>
      <c r="BI61" s="394" t="str">
        <f t="shared" ca="1" si="85"/>
        <v/>
      </c>
      <c r="BJ61" s="395" t="str">
        <f t="shared" ca="1" si="86"/>
        <v/>
      </c>
      <c r="BK61" s="202"/>
      <c r="BL61" s="396">
        <f t="shared" ca="1" si="63"/>
        <v>0</v>
      </c>
      <c r="BM61" s="393">
        <f t="shared" ca="1" si="46"/>
        <v>99999</v>
      </c>
      <c r="BN61" s="202" t="str">
        <f t="shared" ca="1" si="47"/>
        <v/>
      </c>
      <c r="BO61" s="202" t="str">
        <f t="shared" ca="1" si="73"/>
        <v/>
      </c>
      <c r="BP61" s="394">
        <f t="shared" ca="1" si="16"/>
        <v>99999</v>
      </c>
      <c r="BQ61" s="394" t="str">
        <f t="shared" ca="1" si="87"/>
        <v/>
      </c>
      <c r="BR61" s="395" t="str">
        <f t="shared" ca="1" si="88"/>
        <v/>
      </c>
      <c r="BT61" s="396">
        <f t="shared" ca="1" si="64"/>
        <v>0</v>
      </c>
      <c r="BU61" s="393">
        <f t="shared" ca="1" si="49"/>
        <v>99999</v>
      </c>
      <c r="BV61" s="202" t="str">
        <f t="shared" ca="1" si="50"/>
        <v/>
      </c>
      <c r="BW61" s="202" t="str">
        <f t="shared" ca="1" si="74"/>
        <v/>
      </c>
      <c r="BX61" s="394">
        <f t="shared" ca="1" si="19"/>
        <v>99999</v>
      </c>
      <c r="BY61" s="394" t="str">
        <f t="shared" ca="1" si="89"/>
        <v/>
      </c>
      <c r="BZ61" s="395" t="str">
        <f t="shared" ca="1" si="90"/>
        <v/>
      </c>
      <c r="CA61" s="202"/>
      <c r="CB61" s="396">
        <f t="shared" ca="1" si="65"/>
        <v>0</v>
      </c>
      <c r="CC61" s="393">
        <f t="shared" ca="1" si="52"/>
        <v>99999</v>
      </c>
      <c r="CD61" s="202" t="str">
        <f t="shared" ca="1" si="53"/>
        <v/>
      </c>
      <c r="CE61" s="202" t="str">
        <f t="shared" ca="1" si="75"/>
        <v/>
      </c>
      <c r="CF61" s="394">
        <f t="shared" ca="1" si="22"/>
        <v>99999</v>
      </c>
      <c r="CG61" s="394" t="str">
        <f t="shared" ca="1" si="91"/>
        <v/>
      </c>
      <c r="CH61" s="395" t="str">
        <f t="shared" ca="1" si="92"/>
        <v/>
      </c>
      <c r="CJ61" s="396">
        <f t="shared" ca="1" si="66"/>
        <v>0</v>
      </c>
      <c r="CK61" s="393">
        <f t="shared" ca="1" si="55"/>
        <v>99999</v>
      </c>
      <c r="CL61" s="202" t="str">
        <f t="shared" ca="1" si="56"/>
        <v/>
      </c>
      <c r="CM61" s="202" t="str">
        <f t="shared" ca="1" si="76"/>
        <v/>
      </c>
      <c r="CN61" s="394">
        <f t="shared" ca="1" si="25"/>
        <v>99999</v>
      </c>
      <c r="CO61" s="394" t="str">
        <f t="shared" ca="1" si="93"/>
        <v/>
      </c>
      <c r="CP61" s="395" t="str">
        <f t="shared" ca="1" si="94"/>
        <v/>
      </c>
    </row>
    <row r="62" spans="4:94" ht="17.25" x14ac:dyDescent="0.25">
      <c r="D62" s="159">
        <f t="shared" ca="1" si="28"/>
        <v>0</v>
      </c>
      <c r="E62" s="159" t="str">
        <f t="shared" ca="1" si="29"/>
        <v/>
      </c>
      <c r="F62" s="159">
        <f ca="1">IF($E62="",0,COUNTIF($E$7:$E62,INDEX($E$79:$E$150,ROW($A56))))</f>
        <v>0</v>
      </c>
      <c r="G62" s="205"/>
      <c r="H62" s="200">
        <v>56</v>
      </c>
      <c r="I62" s="227" t="str">
        <f ca="1">IF(OR($X$3,$H62&gt;Calc!$B$13/2*$D$6),"",$T$6+QUOTIENT(($H62-1),$T$22)*($T$8+$T$10)/1440+SUM($Q$7:$Q61)/1440)</f>
        <v/>
      </c>
      <c r="J62" s="229" t="str">
        <f ca="1">IF(OR($X$3,$H62&gt;Calc!$B$13/2*$D$6),"",MOD(($H62-1),$T$22)+1)</f>
        <v/>
      </c>
      <c r="K62" s="54" t="str">
        <f ca="1"/>
        <v/>
      </c>
      <c r="L62" s="53" t="s">
        <v>5</v>
      </c>
      <c r="M62" s="55" t="str">
        <f ca="1"/>
        <v/>
      </c>
      <c r="N62" s="52" t="str">
        <f t="shared" ca="1" si="30"/>
        <v/>
      </c>
      <c r="O62" s="50" t="s">
        <v>5</v>
      </c>
      <c r="P62" s="51" t="str">
        <f t="shared" ca="1" si="31"/>
        <v/>
      </c>
      <c r="Q62" s="381"/>
      <c r="R62" s="220"/>
      <c r="S62" s="198"/>
      <c r="T62" s="199"/>
      <c r="U62" s="222"/>
      <c r="V62" s="222"/>
      <c r="W62" s="202">
        <f t="shared" ca="1" si="58"/>
        <v>0</v>
      </c>
      <c r="X62" s="396">
        <f t="shared" ca="1" si="67"/>
        <v>0</v>
      </c>
      <c r="Y62" s="393">
        <f t="shared" ca="1" si="32"/>
        <v>99999</v>
      </c>
      <c r="Z62" s="202" t="str">
        <f t="shared" ca="1" si="0"/>
        <v/>
      </c>
      <c r="AA62" s="202" t="str">
        <f t="shared" ca="1" si="68"/>
        <v/>
      </c>
      <c r="AB62" s="394">
        <f t="shared" ca="1" si="1"/>
        <v>99999</v>
      </c>
      <c r="AC62" s="394" t="str">
        <f t="shared" ca="1" si="77"/>
        <v/>
      </c>
      <c r="AD62" s="395" t="str">
        <f t="shared" ca="1" si="78"/>
        <v/>
      </c>
      <c r="AE62" s="202"/>
      <c r="AF62" s="396">
        <f t="shared" ca="1" si="59"/>
        <v>0</v>
      </c>
      <c r="AG62" s="393">
        <f t="shared" ca="1" si="34"/>
        <v>99999</v>
      </c>
      <c r="AH62" s="202" t="str">
        <f t="shared" ca="1" si="35"/>
        <v/>
      </c>
      <c r="AI62" s="202" t="str">
        <f t="shared" ca="1" si="69"/>
        <v/>
      </c>
      <c r="AJ62" s="394">
        <f t="shared" ca="1" si="4"/>
        <v>99999</v>
      </c>
      <c r="AK62" s="394" t="str">
        <f t="shared" ca="1" si="79"/>
        <v/>
      </c>
      <c r="AL62" s="395" t="str">
        <f t="shared" ca="1" si="80"/>
        <v/>
      </c>
      <c r="AN62" s="396">
        <f t="shared" ca="1" si="60"/>
        <v>0</v>
      </c>
      <c r="AO62" s="393">
        <f t="shared" ca="1" si="37"/>
        <v>99999</v>
      </c>
      <c r="AP62" s="202" t="str">
        <f t="shared" ca="1" si="38"/>
        <v/>
      </c>
      <c r="AQ62" s="202" t="str">
        <f t="shared" ca="1" si="70"/>
        <v/>
      </c>
      <c r="AR62" s="394">
        <f t="shared" ca="1" si="7"/>
        <v>99999</v>
      </c>
      <c r="AS62" s="394" t="str">
        <f t="shared" ca="1" si="81"/>
        <v/>
      </c>
      <c r="AT62" s="395" t="str">
        <f t="shared" ca="1" si="82"/>
        <v/>
      </c>
      <c r="AU62" s="202"/>
      <c r="AV62" s="396">
        <f t="shared" ca="1" si="61"/>
        <v>0</v>
      </c>
      <c r="AW62" s="393">
        <f t="shared" ca="1" si="40"/>
        <v>99999</v>
      </c>
      <c r="AX62" s="202" t="str">
        <f t="shared" ca="1" si="41"/>
        <v/>
      </c>
      <c r="AY62" s="202" t="str">
        <f t="shared" ca="1" si="71"/>
        <v/>
      </c>
      <c r="AZ62" s="394">
        <f t="shared" ca="1" si="10"/>
        <v>99999</v>
      </c>
      <c r="BA62" s="394" t="str">
        <f t="shared" ca="1" si="83"/>
        <v/>
      </c>
      <c r="BB62" s="395" t="str">
        <f t="shared" ca="1" si="84"/>
        <v/>
      </c>
      <c r="BD62" s="396">
        <f t="shared" ca="1" si="62"/>
        <v>0</v>
      </c>
      <c r="BE62" s="393">
        <f t="shared" ca="1" si="43"/>
        <v>99999</v>
      </c>
      <c r="BF62" s="202" t="str">
        <f t="shared" ca="1" si="44"/>
        <v/>
      </c>
      <c r="BG62" s="202" t="str">
        <f t="shared" ca="1" si="72"/>
        <v/>
      </c>
      <c r="BH62" s="394">
        <f t="shared" ca="1" si="13"/>
        <v>99999</v>
      </c>
      <c r="BI62" s="394" t="str">
        <f t="shared" ca="1" si="85"/>
        <v/>
      </c>
      <c r="BJ62" s="395" t="str">
        <f t="shared" ca="1" si="86"/>
        <v/>
      </c>
      <c r="BK62" s="202"/>
      <c r="BL62" s="396">
        <f t="shared" ca="1" si="63"/>
        <v>0</v>
      </c>
      <c r="BM62" s="393">
        <f t="shared" ca="1" si="46"/>
        <v>99999</v>
      </c>
      <c r="BN62" s="202" t="str">
        <f t="shared" ca="1" si="47"/>
        <v/>
      </c>
      <c r="BO62" s="202" t="str">
        <f t="shared" ca="1" si="73"/>
        <v/>
      </c>
      <c r="BP62" s="394">
        <f t="shared" ca="1" si="16"/>
        <v>99999</v>
      </c>
      <c r="BQ62" s="394" t="str">
        <f t="shared" ca="1" si="87"/>
        <v/>
      </c>
      <c r="BR62" s="395" t="str">
        <f t="shared" ca="1" si="88"/>
        <v/>
      </c>
      <c r="BT62" s="396">
        <f t="shared" ca="1" si="64"/>
        <v>0</v>
      </c>
      <c r="BU62" s="393">
        <f t="shared" ca="1" si="49"/>
        <v>99999</v>
      </c>
      <c r="BV62" s="202" t="str">
        <f t="shared" ca="1" si="50"/>
        <v/>
      </c>
      <c r="BW62" s="202" t="str">
        <f t="shared" ca="1" si="74"/>
        <v/>
      </c>
      <c r="BX62" s="394">
        <f t="shared" ca="1" si="19"/>
        <v>99999</v>
      </c>
      <c r="BY62" s="394" t="str">
        <f t="shared" ca="1" si="89"/>
        <v/>
      </c>
      <c r="BZ62" s="395" t="str">
        <f t="shared" ca="1" si="90"/>
        <v/>
      </c>
      <c r="CA62" s="202"/>
      <c r="CB62" s="396">
        <f t="shared" ca="1" si="65"/>
        <v>0</v>
      </c>
      <c r="CC62" s="393">
        <f t="shared" ca="1" si="52"/>
        <v>99999</v>
      </c>
      <c r="CD62" s="202" t="str">
        <f t="shared" ca="1" si="53"/>
        <v/>
      </c>
      <c r="CE62" s="202" t="str">
        <f t="shared" ca="1" si="75"/>
        <v/>
      </c>
      <c r="CF62" s="394">
        <f t="shared" ca="1" si="22"/>
        <v>99999</v>
      </c>
      <c r="CG62" s="394" t="str">
        <f t="shared" ca="1" si="91"/>
        <v/>
      </c>
      <c r="CH62" s="395" t="str">
        <f t="shared" ca="1" si="92"/>
        <v/>
      </c>
      <c r="CJ62" s="396">
        <f t="shared" ca="1" si="66"/>
        <v>0</v>
      </c>
      <c r="CK62" s="393">
        <f t="shared" ca="1" si="55"/>
        <v>99999</v>
      </c>
      <c r="CL62" s="202" t="str">
        <f t="shared" ca="1" si="56"/>
        <v/>
      </c>
      <c r="CM62" s="202" t="str">
        <f t="shared" ca="1" si="76"/>
        <v/>
      </c>
      <c r="CN62" s="394">
        <f t="shared" ca="1" si="25"/>
        <v>99999</v>
      </c>
      <c r="CO62" s="394" t="str">
        <f t="shared" ca="1" si="93"/>
        <v/>
      </c>
      <c r="CP62" s="395" t="str">
        <f t="shared" ca="1" si="94"/>
        <v/>
      </c>
    </row>
    <row r="63" spans="4:94" ht="17.25" x14ac:dyDescent="0.25">
      <c r="D63" s="159">
        <f t="shared" ca="1" si="28"/>
        <v>0</v>
      </c>
      <c r="E63" s="159" t="str">
        <f t="shared" ca="1" si="29"/>
        <v/>
      </c>
      <c r="F63" s="159">
        <f ca="1">IF($E63="",0,COUNTIF($E$7:$E63,INDEX($E$79:$E$150,ROW($A57))))</f>
        <v>0</v>
      </c>
      <c r="G63" s="205"/>
      <c r="H63" s="200">
        <v>57</v>
      </c>
      <c r="I63" s="227" t="str">
        <f ca="1">IF(OR($X$3,$H63&gt;Calc!$B$13/2*$D$6),"",$T$6+QUOTIENT(($H63-1),$T$22)*($T$8+$T$10)/1440+SUM($Q$7:$Q62)/1440)</f>
        <v/>
      </c>
      <c r="J63" s="229" t="str">
        <f ca="1">IF(OR($X$3,$H63&gt;Calc!$B$13/2*$D$6),"",MOD(($H63-1),$T$22)+1)</f>
        <v/>
      </c>
      <c r="K63" s="54" t="str">
        <f ca="1"/>
        <v/>
      </c>
      <c r="L63" s="53" t="s">
        <v>5</v>
      </c>
      <c r="M63" s="55" t="str">
        <f ca="1"/>
        <v/>
      </c>
      <c r="N63" s="52" t="str">
        <f t="shared" ca="1" si="30"/>
        <v/>
      </c>
      <c r="O63" s="50" t="s">
        <v>5</v>
      </c>
      <c r="P63" s="51" t="str">
        <f t="shared" ca="1" si="31"/>
        <v/>
      </c>
      <c r="Q63" s="381"/>
      <c r="R63" s="220"/>
      <c r="S63" s="222"/>
      <c r="T63" s="222"/>
      <c r="U63" s="222"/>
      <c r="V63" s="222"/>
      <c r="W63" s="202">
        <f t="shared" ca="1" si="58"/>
        <v>0</v>
      </c>
      <c r="X63" s="396">
        <f t="shared" ca="1" si="67"/>
        <v>0</v>
      </c>
      <c r="Y63" s="393">
        <f t="shared" ca="1" si="32"/>
        <v>99999</v>
      </c>
      <c r="Z63" s="202" t="str">
        <f t="shared" ca="1" si="0"/>
        <v/>
      </c>
      <c r="AA63" s="202" t="str">
        <f t="shared" ca="1" si="68"/>
        <v/>
      </c>
      <c r="AB63" s="394">
        <f t="shared" ca="1" si="1"/>
        <v>99999</v>
      </c>
      <c r="AC63" s="394" t="str">
        <f t="shared" ca="1" si="77"/>
        <v/>
      </c>
      <c r="AD63" s="395" t="str">
        <f t="shared" ca="1" si="78"/>
        <v/>
      </c>
      <c r="AE63" s="202"/>
      <c r="AF63" s="396">
        <f t="shared" ca="1" si="59"/>
        <v>0</v>
      </c>
      <c r="AG63" s="393">
        <f t="shared" ca="1" si="34"/>
        <v>99999</v>
      </c>
      <c r="AH63" s="202" t="str">
        <f t="shared" ca="1" si="35"/>
        <v/>
      </c>
      <c r="AI63" s="202" t="str">
        <f t="shared" ca="1" si="69"/>
        <v/>
      </c>
      <c r="AJ63" s="394">
        <f t="shared" ca="1" si="4"/>
        <v>99999</v>
      </c>
      <c r="AK63" s="394" t="str">
        <f t="shared" ca="1" si="79"/>
        <v/>
      </c>
      <c r="AL63" s="395" t="str">
        <f t="shared" ca="1" si="80"/>
        <v/>
      </c>
      <c r="AN63" s="396">
        <f t="shared" ca="1" si="60"/>
        <v>0</v>
      </c>
      <c r="AO63" s="393">
        <f t="shared" ca="1" si="37"/>
        <v>99999</v>
      </c>
      <c r="AP63" s="202" t="str">
        <f t="shared" ca="1" si="38"/>
        <v/>
      </c>
      <c r="AQ63" s="202" t="str">
        <f t="shared" ca="1" si="70"/>
        <v/>
      </c>
      <c r="AR63" s="394">
        <f t="shared" ca="1" si="7"/>
        <v>99999</v>
      </c>
      <c r="AS63" s="394" t="str">
        <f t="shared" ca="1" si="81"/>
        <v/>
      </c>
      <c r="AT63" s="395" t="str">
        <f t="shared" ca="1" si="82"/>
        <v/>
      </c>
      <c r="AU63" s="202"/>
      <c r="AV63" s="396">
        <f t="shared" ca="1" si="61"/>
        <v>0</v>
      </c>
      <c r="AW63" s="393">
        <f t="shared" ca="1" si="40"/>
        <v>99999</v>
      </c>
      <c r="AX63" s="202" t="str">
        <f t="shared" ca="1" si="41"/>
        <v/>
      </c>
      <c r="AY63" s="202" t="str">
        <f t="shared" ca="1" si="71"/>
        <v/>
      </c>
      <c r="AZ63" s="394">
        <f t="shared" ca="1" si="10"/>
        <v>99999</v>
      </c>
      <c r="BA63" s="394" t="str">
        <f t="shared" ca="1" si="83"/>
        <v/>
      </c>
      <c r="BB63" s="395" t="str">
        <f t="shared" ca="1" si="84"/>
        <v/>
      </c>
      <c r="BD63" s="396">
        <f t="shared" ca="1" si="62"/>
        <v>0</v>
      </c>
      <c r="BE63" s="393">
        <f t="shared" ca="1" si="43"/>
        <v>99999</v>
      </c>
      <c r="BF63" s="202" t="str">
        <f t="shared" ca="1" si="44"/>
        <v/>
      </c>
      <c r="BG63" s="202" t="str">
        <f t="shared" ca="1" si="72"/>
        <v/>
      </c>
      <c r="BH63" s="394">
        <f t="shared" ca="1" si="13"/>
        <v>99999</v>
      </c>
      <c r="BI63" s="394" t="str">
        <f t="shared" ca="1" si="85"/>
        <v/>
      </c>
      <c r="BJ63" s="395" t="str">
        <f t="shared" ca="1" si="86"/>
        <v/>
      </c>
      <c r="BK63" s="202"/>
      <c r="BL63" s="396">
        <f t="shared" ca="1" si="63"/>
        <v>0</v>
      </c>
      <c r="BM63" s="393">
        <f t="shared" ca="1" si="46"/>
        <v>99999</v>
      </c>
      <c r="BN63" s="202" t="str">
        <f t="shared" ca="1" si="47"/>
        <v/>
      </c>
      <c r="BO63" s="202" t="str">
        <f t="shared" ca="1" si="73"/>
        <v/>
      </c>
      <c r="BP63" s="394">
        <f t="shared" ca="1" si="16"/>
        <v>99999</v>
      </c>
      <c r="BQ63" s="394" t="str">
        <f t="shared" ca="1" si="87"/>
        <v/>
      </c>
      <c r="BR63" s="395" t="str">
        <f t="shared" ca="1" si="88"/>
        <v/>
      </c>
      <c r="BT63" s="396">
        <f t="shared" ca="1" si="64"/>
        <v>0</v>
      </c>
      <c r="BU63" s="393">
        <f t="shared" ca="1" si="49"/>
        <v>99999</v>
      </c>
      <c r="BV63" s="202" t="str">
        <f t="shared" ca="1" si="50"/>
        <v/>
      </c>
      <c r="BW63" s="202" t="str">
        <f t="shared" ca="1" si="74"/>
        <v/>
      </c>
      <c r="BX63" s="394">
        <f t="shared" ca="1" si="19"/>
        <v>99999</v>
      </c>
      <c r="BY63" s="394" t="str">
        <f t="shared" ca="1" si="89"/>
        <v/>
      </c>
      <c r="BZ63" s="395" t="str">
        <f t="shared" ca="1" si="90"/>
        <v/>
      </c>
      <c r="CA63" s="202"/>
      <c r="CB63" s="396">
        <f t="shared" ca="1" si="65"/>
        <v>0</v>
      </c>
      <c r="CC63" s="393">
        <f t="shared" ca="1" si="52"/>
        <v>99999</v>
      </c>
      <c r="CD63" s="202" t="str">
        <f t="shared" ca="1" si="53"/>
        <v/>
      </c>
      <c r="CE63" s="202" t="str">
        <f t="shared" ca="1" si="75"/>
        <v/>
      </c>
      <c r="CF63" s="394">
        <f t="shared" ca="1" si="22"/>
        <v>99999</v>
      </c>
      <c r="CG63" s="394" t="str">
        <f t="shared" ca="1" si="91"/>
        <v/>
      </c>
      <c r="CH63" s="395" t="str">
        <f t="shared" ca="1" si="92"/>
        <v/>
      </c>
      <c r="CJ63" s="396">
        <f t="shared" ca="1" si="66"/>
        <v>0</v>
      </c>
      <c r="CK63" s="393">
        <f t="shared" ca="1" si="55"/>
        <v>99999</v>
      </c>
      <c r="CL63" s="202" t="str">
        <f t="shared" ca="1" si="56"/>
        <v/>
      </c>
      <c r="CM63" s="202" t="str">
        <f t="shared" ca="1" si="76"/>
        <v/>
      </c>
      <c r="CN63" s="394">
        <f t="shared" ca="1" si="25"/>
        <v>99999</v>
      </c>
      <c r="CO63" s="394" t="str">
        <f t="shared" ca="1" si="93"/>
        <v/>
      </c>
      <c r="CP63" s="395" t="str">
        <f t="shared" ca="1" si="94"/>
        <v/>
      </c>
    </row>
    <row r="64" spans="4:94" ht="17.25" x14ac:dyDescent="0.25">
      <c r="D64" s="159">
        <f t="shared" ca="1" si="28"/>
        <v>0</v>
      </c>
      <c r="E64" s="159" t="str">
        <f t="shared" ca="1" si="29"/>
        <v/>
      </c>
      <c r="F64" s="159">
        <f ca="1">IF($E64="",0,COUNTIF($E$7:$E64,INDEX($E$79:$E$150,ROW($A58))))</f>
        <v>0</v>
      </c>
      <c r="G64" s="205"/>
      <c r="H64" s="200">
        <v>58</v>
      </c>
      <c r="I64" s="227" t="str">
        <f ca="1">IF(OR($X$3,$H64&gt;Calc!$B$13/2*$D$6),"",$T$6+QUOTIENT(($H64-1),$T$22)*($T$8+$T$10)/1440+SUM($Q$7:$Q63)/1440)</f>
        <v/>
      </c>
      <c r="J64" s="229" t="str">
        <f ca="1">IF(OR($X$3,$H64&gt;Calc!$B$13/2*$D$6),"",MOD(($H64-1),$T$22)+1)</f>
        <v/>
      </c>
      <c r="K64" s="54" t="str">
        <f ca="1"/>
        <v/>
      </c>
      <c r="L64" s="53" t="s">
        <v>5</v>
      </c>
      <c r="M64" s="55" t="str">
        <f ca="1"/>
        <v/>
      </c>
      <c r="N64" s="52" t="str">
        <f t="shared" ca="1" si="30"/>
        <v/>
      </c>
      <c r="O64" s="50" t="s">
        <v>5</v>
      </c>
      <c r="P64" s="51" t="str">
        <f t="shared" ca="1" si="31"/>
        <v/>
      </c>
      <c r="Q64" s="381"/>
      <c r="R64" s="220"/>
      <c r="S64" s="221"/>
      <c r="T64" s="221"/>
      <c r="U64" s="221"/>
      <c r="V64" s="221"/>
      <c r="W64" s="202">
        <f t="shared" ca="1" si="58"/>
        <v>0</v>
      </c>
      <c r="X64" s="396">
        <f t="shared" ca="1" si="67"/>
        <v>0</v>
      </c>
      <c r="Y64" s="393">
        <f t="shared" ca="1" si="32"/>
        <v>99999</v>
      </c>
      <c r="Z64" s="202" t="str">
        <f t="shared" ca="1" si="0"/>
        <v/>
      </c>
      <c r="AA64" s="202" t="str">
        <f t="shared" ca="1" si="68"/>
        <v/>
      </c>
      <c r="AB64" s="394">
        <f t="shared" ca="1" si="1"/>
        <v>99999</v>
      </c>
      <c r="AC64" s="394" t="str">
        <f t="shared" ca="1" si="77"/>
        <v/>
      </c>
      <c r="AD64" s="395" t="str">
        <f t="shared" ca="1" si="78"/>
        <v/>
      </c>
      <c r="AE64" s="202"/>
      <c r="AF64" s="396">
        <f t="shared" ca="1" si="59"/>
        <v>0</v>
      </c>
      <c r="AG64" s="393">
        <f t="shared" ca="1" si="34"/>
        <v>99999</v>
      </c>
      <c r="AH64" s="202" t="str">
        <f t="shared" ca="1" si="35"/>
        <v/>
      </c>
      <c r="AI64" s="202" t="str">
        <f t="shared" ca="1" si="69"/>
        <v/>
      </c>
      <c r="AJ64" s="394">
        <f t="shared" ca="1" si="4"/>
        <v>99999</v>
      </c>
      <c r="AK64" s="394" t="str">
        <f t="shared" ca="1" si="79"/>
        <v/>
      </c>
      <c r="AL64" s="395" t="str">
        <f t="shared" ca="1" si="80"/>
        <v/>
      </c>
      <c r="AN64" s="396">
        <f t="shared" ca="1" si="60"/>
        <v>0</v>
      </c>
      <c r="AO64" s="393">
        <f t="shared" ca="1" si="37"/>
        <v>99999</v>
      </c>
      <c r="AP64" s="202" t="str">
        <f t="shared" ca="1" si="38"/>
        <v/>
      </c>
      <c r="AQ64" s="202" t="str">
        <f t="shared" ca="1" si="70"/>
        <v/>
      </c>
      <c r="AR64" s="394">
        <f t="shared" ca="1" si="7"/>
        <v>99999</v>
      </c>
      <c r="AS64" s="394" t="str">
        <f t="shared" ca="1" si="81"/>
        <v/>
      </c>
      <c r="AT64" s="395" t="str">
        <f t="shared" ca="1" si="82"/>
        <v/>
      </c>
      <c r="AU64" s="202"/>
      <c r="AV64" s="396">
        <f t="shared" ca="1" si="61"/>
        <v>0</v>
      </c>
      <c r="AW64" s="393">
        <f t="shared" ca="1" si="40"/>
        <v>99999</v>
      </c>
      <c r="AX64" s="202" t="str">
        <f t="shared" ca="1" si="41"/>
        <v/>
      </c>
      <c r="AY64" s="202" t="str">
        <f t="shared" ca="1" si="71"/>
        <v/>
      </c>
      <c r="AZ64" s="394">
        <f t="shared" ca="1" si="10"/>
        <v>99999</v>
      </c>
      <c r="BA64" s="394" t="str">
        <f t="shared" ca="1" si="83"/>
        <v/>
      </c>
      <c r="BB64" s="395" t="str">
        <f t="shared" ca="1" si="84"/>
        <v/>
      </c>
      <c r="BD64" s="396">
        <f t="shared" ca="1" si="62"/>
        <v>0</v>
      </c>
      <c r="BE64" s="393">
        <f t="shared" ca="1" si="43"/>
        <v>99999</v>
      </c>
      <c r="BF64" s="202" t="str">
        <f t="shared" ca="1" si="44"/>
        <v/>
      </c>
      <c r="BG64" s="202" t="str">
        <f t="shared" ca="1" si="72"/>
        <v/>
      </c>
      <c r="BH64" s="394">
        <f t="shared" ca="1" si="13"/>
        <v>99999</v>
      </c>
      <c r="BI64" s="394" t="str">
        <f t="shared" ca="1" si="85"/>
        <v/>
      </c>
      <c r="BJ64" s="395" t="str">
        <f t="shared" ca="1" si="86"/>
        <v/>
      </c>
      <c r="BK64" s="202"/>
      <c r="BL64" s="396">
        <f t="shared" ca="1" si="63"/>
        <v>0</v>
      </c>
      <c r="BM64" s="393">
        <f t="shared" ca="1" si="46"/>
        <v>99999</v>
      </c>
      <c r="BN64" s="202" t="str">
        <f t="shared" ca="1" si="47"/>
        <v/>
      </c>
      <c r="BO64" s="202" t="str">
        <f t="shared" ca="1" si="73"/>
        <v/>
      </c>
      <c r="BP64" s="394">
        <f t="shared" ca="1" si="16"/>
        <v>99999</v>
      </c>
      <c r="BQ64" s="394" t="str">
        <f t="shared" ca="1" si="87"/>
        <v/>
      </c>
      <c r="BR64" s="395" t="str">
        <f t="shared" ca="1" si="88"/>
        <v/>
      </c>
      <c r="BT64" s="396">
        <f t="shared" ca="1" si="64"/>
        <v>0</v>
      </c>
      <c r="BU64" s="393">
        <f t="shared" ca="1" si="49"/>
        <v>99999</v>
      </c>
      <c r="BV64" s="202" t="str">
        <f t="shared" ca="1" si="50"/>
        <v/>
      </c>
      <c r="BW64" s="202" t="str">
        <f t="shared" ca="1" si="74"/>
        <v/>
      </c>
      <c r="BX64" s="394">
        <f t="shared" ca="1" si="19"/>
        <v>99999</v>
      </c>
      <c r="BY64" s="394" t="str">
        <f t="shared" ca="1" si="89"/>
        <v/>
      </c>
      <c r="BZ64" s="395" t="str">
        <f t="shared" ca="1" si="90"/>
        <v/>
      </c>
      <c r="CA64" s="202"/>
      <c r="CB64" s="396">
        <f t="shared" ca="1" si="65"/>
        <v>0</v>
      </c>
      <c r="CC64" s="393">
        <f t="shared" ca="1" si="52"/>
        <v>99999</v>
      </c>
      <c r="CD64" s="202" t="str">
        <f t="shared" ca="1" si="53"/>
        <v/>
      </c>
      <c r="CE64" s="202" t="str">
        <f t="shared" ca="1" si="75"/>
        <v/>
      </c>
      <c r="CF64" s="394">
        <f t="shared" ca="1" si="22"/>
        <v>99999</v>
      </c>
      <c r="CG64" s="394" t="str">
        <f t="shared" ca="1" si="91"/>
        <v/>
      </c>
      <c r="CH64" s="395" t="str">
        <f t="shared" ca="1" si="92"/>
        <v/>
      </c>
      <c r="CJ64" s="396">
        <f t="shared" ca="1" si="66"/>
        <v>0</v>
      </c>
      <c r="CK64" s="393">
        <f t="shared" ca="1" si="55"/>
        <v>99999</v>
      </c>
      <c r="CL64" s="202" t="str">
        <f t="shared" ca="1" si="56"/>
        <v/>
      </c>
      <c r="CM64" s="202" t="str">
        <f t="shared" ca="1" si="76"/>
        <v/>
      </c>
      <c r="CN64" s="394">
        <f t="shared" ca="1" si="25"/>
        <v>99999</v>
      </c>
      <c r="CO64" s="394" t="str">
        <f t="shared" ca="1" si="93"/>
        <v/>
      </c>
      <c r="CP64" s="395" t="str">
        <f t="shared" ca="1" si="94"/>
        <v/>
      </c>
    </row>
    <row r="65" spans="4:94" ht="17.25" x14ac:dyDescent="0.25">
      <c r="D65" s="159">
        <f t="shared" ca="1" si="28"/>
        <v>0</v>
      </c>
      <c r="E65" s="159" t="str">
        <f t="shared" ca="1" si="29"/>
        <v/>
      </c>
      <c r="F65" s="159">
        <f ca="1">IF($E65="",0,COUNTIF($E$7:$E65,INDEX($E$79:$E$150,ROW($A59))))</f>
        <v>0</v>
      </c>
      <c r="G65" s="205"/>
      <c r="H65" s="200">
        <v>59</v>
      </c>
      <c r="I65" s="227" t="str">
        <f ca="1">IF(OR($X$3,$H65&gt;Calc!$B$13/2*$D$6),"",$T$6+QUOTIENT(($H65-1),$T$22)*($T$8+$T$10)/1440+SUM($Q$7:$Q64)/1440)</f>
        <v/>
      </c>
      <c r="J65" s="229" t="str">
        <f ca="1">IF(OR($X$3,$H65&gt;Calc!$B$13/2*$D$6),"",MOD(($H65-1),$T$22)+1)</f>
        <v/>
      </c>
      <c r="K65" s="54" t="str">
        <f ca="1"/>
        <v/>
      </c>
      <c r="L65" s="53" t="s">
        <v>5</v>
      </c>
      <c r="M65" s="55" t="str">
        <f ca="1"/>
        <v/>
      </c>
      <c r="N65" s="52" t="str">
        <f t="shared" ca="1" si="30"/>
        <v/>
      </c>
      <c r="O65" s="50" t="s">
        <v>5</v>
      </c>
      <c r="P65" s="51" t="str">
        <f t="shared" ca="1" si="31"/>
        <v/>
      </c>
      <c r="Q65" s="381"/>
      <c r="R65" s="220"/>
      <c r="S65" s="221"/>
      <c r="T65" s="221"/>
      <c r="U65" s="221"/>
      <c r="V65" s="221"/>
      <c r="W65" s="202">
        <f t="shared" ca="1" si="58"/>
        <v>0</v>
      </c>
      <c r="X65" s="396">
        <f t="shared" ca="1" si="67"/>
        <v>0</v>
      </c>
      <c r="Y65" s="393">
        <f t="shared" ca="1" si="32"/>
        <v>99999</v>
      </c>
      <c r="Z65" s="202" t="str">
        <f t="shared" ca="1" si="0"/>
        <v/>
      </c>
      <c r="AA65" s="202" t="str">
        <f t="shared" ca="1" si="68"/>
        <v/>
      </c>
      <c r="AB65" s="394">
        <f t="shared" ca="1" si="1"/>
        <v>99999</v>
      </c>
      <c r="AC65" s="394" t="str">
        <f t="shared" ca="1" si="77"/>
        <v/>
      </c>
      <c r="AD65" s="395" t="str">
        <f t="shared" ca="1" si="78"/>
        <v/>
      </c>
      <c r="AE65" s="202"/>
      <c r="AF65" s="396">
        <f t="shared" ca="1" si="59"/>
        <v>0</v>
      </c>
      <c r="AG65" s="393">
        <f t="shared" ca="1" si="34"/>
        <v>99999</v>
      </c>
      <c r="AH65" s="202" t="str">
        <f t="shared" ca="1" si="35"/>
        <v/>
      </c>
      <c r="AI65" s="202" t="str">
        <f t="shared" ca="1" si="69"/>
        <v/>
      </c>
      <c r="AJ65" s="394">
        <f t="shared" ca="1" si="4"/>
        <v>99999</v>
      </c>
      <c r="AK65" s="394" t="str">
        <f t="shared" ca="1" si="79"/>
        <v/>
      </c>
      <c r="AL65" s="395" t="str">
        <f t="shared" ca="1" si="80"/>
        <v/>
      </c>
      <c r="AN65" s="396">
        <f t="shared" ca="1" si="60"/>
        <v>0</v>
      </c>
      <c r="AO65" s="393">
        <f t="shared" ca="1" si="37"/>
        <v>99999</v>
      </c>
      <c r="AP65" s="202" t="str">
        <f t="shared" ca="1" si="38"/>
        <v/>
      </c>
      <c r="AQ65" s="202" t="str">
        <f t="shared" ca="1" si="70"/>
        <v/>
      </c>
      <c r="AR65" s="394">
        <f t="shared" ca="1" si="7"/>
        <v>99999</v>
      </c>
      <c r="AS65" s="394" t="str">
        <f t="shared" ca="1" si="81"/>
        <v/>
      </c>
      <c r="AT65" s="395" t="str">
        <f t="shared" ca="1" si="82"/>
        <v/>
      </c>
      <c r="AU65" s="202"/>
      <c r="AV65" s="396">
        <f t="shared" ca="1" si="61"/>
        <v>0</v>
      </c>
      <c r="AW65" s="393">
        <f t="shared" ca="1" si="40"/>
        <v>99999</v>
      </c>
      <c r="AX65" s="202" t="str">
        <f t="shared" ca="1" si="41"/>
        <v/>
      </c>
      <c r="AY65" s="202" t="str">
        <f t="shared" ca="1" si="71"/>
        <v/>
      </c>
      <c r="AZ65" s="394">
        <f t="shared" ca="1" si="10"/>
        <v>99999</v>
      </c>
      <c r="BA65" s="394" t="str">
        <f t="shared" ca="1" si="83"/>
        <v/>
      </c>
      <c r="BB65" s="395" t="str">
        <f t="shared" ca="1" si="84"/>
        <v/>
      </c>
      <c r="BD65" s="396">
        <f t="shared" ca="1" si="62"/>
        <v>0</v>
      </c>
      <c r="BE65" s="393">
        <f t="shared" ca="1" si="43"/>
        <v>99999</v>
      </c>
      <c r="BF65" s="202" t="str">
        <f t="shared" ca="1" si="44"/>
        <v/>
      </c>
      <c r="BG65" s="202" t="str">
        <f t="shared" ca="1" si="72"/>
        <v/>
      </c>
      <c r="BH65" s="394">
        <f t="shared" ca="1" si="13"/>
        <v>99999</v>
      </c>
      <c r="BI65" s="394" t="str">
        <f t="shared" ca="1" si="85"/>
        <v/>
      </c>
      <c r="BJ65" s="395" t="str">
        <f t="shared" ca="1" si="86"/>
        <v/>
      </c>
      <c r="BK65" s="202"/>
      <c r="BL65" s="396">
        <f t="shared" ca="1" si="63"/>
        <v>0</v>
      </c>
      <c r="BM65" s="393">
        <f t="shared" ca="1" si="46"/>
        <v>99999</v>
      </c>
      <c r="BN65" s="202" t="str">
        <f t="shared" ca="1" si="47"/>
        <v/>
      </c>
      <c r="BO65" s="202" t="str">
        <f t="shared" ca="1" si="73"/>
        <v/>
      </c>
      <c r="BP65" s="394">
        <f t="shared" ca="1" si="16"/>
        <v>99999</v>
      </c>
      <c r="BQ65" s="394" t="str">
        <f t="shared" ca="1" si="87"/>
        <v/>
      </c>
      <c r="BR65" s="395" t="str">
        <f t="shared" ca="1" si="88"/>
        <v/>
      </c>
      <c r="BT65" s="396">
        <f t="shared" ca="1" si="64"/>
        <v>0</v>
      </c>
      <c r="BU65" s="393">
        <f t="shared" ca="1" si="49"/>
        <v>99999</v>
      </c>
      <c r="BV65" s="202" t="str">
        <f t="shared" ca="1" si="50"/>
        <v/>
      </c>
      <c r="BW65" s="202" t="str">
        <f t="shared" ca="1" si="74"/>
        <v/>
      </c>
      <c r="BX65" s="394">
        <f t="shared" ca="1" si="19"/>
        <v>99999</v>
      </c>
      <c r="BY65" s="394" t="str">
        <f t="shared" ca="1" si="89"/>
        <v/>
      </c>
      <c r="BZ65" s="395" t="str">
        <f t="shared" ca="1" si="90"/>
        <v/>
      </c>
      <c r="CA65" s="202"/>
      <c r="CB65" s="396">
        <f t="shared" ca="1" si="65"/>
        <v>0</v>
      </c>
      <c r="CC65" s="393">
        <f t="shared" ca="1" si="52"/>
        <v>99999</v>
      </c>
      <c r="CD65" s="202" t="str">
        <f t="shared" ca="1" si="53"/>
        <v/>
      </c>
      <c r="CE65" s="202" t="str">
        <f t="shared" ca="1" si="75"/>
        <v/>
      </c>
      <c r="CF65" s="394">
        <f t="shared" ca="1" si="22"/>
        <v>99999</v>
      </c>
      <c r="CG65" s="394" t="str">
        <f t="shared" ca="1" si="91"/>
        <v/>
      </c>
      <c r="CH65" s="395" t="str">
        <f t="shared" ca="1" si="92"/>
        <v/>
      </c>
      <c r="CJ65" s="396">
        <f t="shared" ca="1" si="66"/>
        <v>0</v>
      </c>
      <c r="CK65" s="393">
        <f t="shared" ca="1" si="55"/>
        <v>99999</v>
      </c>
      <c r="CL65" s="202" t="str">
        <f t="shared" ca="1" si="56"/>
        <v/>
      </c>
      <c r="CM65" s="202" t="str">
        <f t="shared" ca="1" si="76"/>
        <v/>
      </c>
      <c r="CN65" s="394">
        <f t="shared" ca="1" si="25"/>
        <v>99999</v>
      </c>
      <c r="CO65" s="394" t="str">
        <f t="shared" ca="1" si="93"/>
        <v/>
      </c>
      <c r="CP65" s="395" t="str">
        <f t="shared" ca="1" si="94"/>
        <v/>
      </c>
    </row>
    <row r="66" spans="4:94" ht="17.25" x14ac:dyDescent="0.25">
      <c r="D66" s="159">
        <f t="shared" ca="1" si="28"/>
        <v>0</v>
      </c>
      <c r="E66" s="159" t="str">
        <f t="shared" ca="1" si="29"/>
        <v/>
      </c>
      <c r="F66" s="159">
        <f ca="1">IF($E66="",0,COUNTIF($E$7:$E66,INDEX($E$79:$E$150,ROW($A60))))</f>
        <v>0</v>
      </c>
      <c r="G66" s="205"/>
      <c r="H66" s="200">
        <v>60</v>
      </c>
      <c r="I66" s="227" t="str">
        <f ca="1">IF(OR($X$3,$H66&gt;Calc!$B$13/2*$D$6),"",$T$6+QUOTIENT(($H66-1),$T$22)*($T$8+$T$10)/1440+SUM($Q$7:$Q65)/1440)</f>
        <v/>
      </c>
      <c r="J66" s="229" t="str">
        <f ca="1">IF(OR($X$3,$H66&gt;Calc!$B$13/2*$D$6),"",MOD(($H66-1),$T$22)+1)</f>
        <v/>
      </c>
      <c r="K66" s="54" t="str">
        <f ca="1"/>
        <v/>
      </c>
      <c r="L66" s="53" t="s">
        <v>5</v>
      </c>
      <c r="M66" s="55" t="str">
        <f ca="1"/>
        <v/>
      </c>
      <c r="N66" s="52" t="str">
        <f t="shared" ca="1" si="30"/>
        <v/>
      </c>
      <c r="O66" s="50" t="s">
        <v>5</v>
      </c>
      <c r="P66" s="51" t="str">
        <f t="shared" ca="1" si="31"/>
        <v/>
      </c>
      <c r="Q66" s="381"/>
      <c r="R66" s="220"/>
      <c r="S66" s="221"/>
      <c r="T66" s="221"/>
      <c r="U66" s="221"/>
      <c r="V66" s="221"/>
      <c r="W66" s="202">
        <f t="shared" ca="1" si="58"/>
        <v>0</v>
      </c>
      <c r="X66" s="396">
        <f t="shared" ca="1" si="67"/>
        <v>0</v>
      </c>
      <c r="Y66" s="393">
        <f t="shared" ca="1" si="32"/>
        <v>99999</v>
      </c>
      <c r="Z66" s="202" t="str">
        <f t="shared" ca="1" si="0"/>
        <v/>
      </c>
      <c r="AA66" s="202" t="str">
        <f t="shared" ca="1" si="68"/>
        <v/>
      </c>
      <c r="AB66" s="394">
        <f t="shared" ca="1" si="1"/>
        <v>99999</v>
      </c>
      <c r="AC66" s="394" t="str">
        <f t="shared" ca="1" si="77"/>
        <v/>
      </c>
      <c r="AD66" s="395" t="str">
        <f t="shared" ca="1" si="78"/>
        <v/>
      </c>
      <c r="AE66" s="202"/>
      <c r="AF66" s="396">
        <f t="shared" ca="1" si="59"/>
        <v>0</v>
      </c>
      <c r="AG66" s="393">
        <f t="shared" ca="1" si="34"/>
        <v>99999</v>
      </c>
      <c r="AH66" s="202" t="str">
        <f t="shared" ca="1" si="35"/>
        <v/>
      </c>
      <c r="AI66" s="202" t="str">
        <f t="shared" ca="1" si="69"/>
        <v/>
      </c>
      <c r="AJ66" s="394">
        <f t="shared" ca="1" si="4"/>
        <v>99999</v>
      </c>
      <c r="AK66" s="394" t="str">
        <f t="shared" ca="1" si="79"/>
        <v/>
      </c>
      <c r="AL66" s="395" t="str">
        <f t="shared" ca="1" si="80"/>
        <v/>
      </c>
      <c r="AN66" s="396">
        <f t="shared" ca="1" si="60"/>
        <v>0</v>
      </c>
      <c r="AO66" s="393">
        <f t="shared" ca="1" si="37"/>
        <v>99999</v>
      </c>
      <c r="AP66" s="202" t="str">
        <f t="shared" ca="1" si="38"/>
        <v/>
      </c>
      <c r="AQ66" s="202" t="str">
        <f t="shared" ca="1" si="70"/>
        <v/>
      </c>
      <c r="AR66" s="394">
        <f t="shared" ca="1" si="7"/>
        <v>99999</v>
      </c>
      <c r="AS66" s="394" t="str">
        <f t="shared" ca="1" si="81"/>
        <v/>
      </c>
      <c r="AT66" s="395" t="str">
        <f t="shared" ca="1" si="82"/>
        <v/>
      </c>
      <c r="AU66" s="202"/>
      <c r="AV66" s="396">
        <f t="shared" ca="1" si="61"/>
        <v>0</v>
      </c>
      <c r="AW66" s="393">
        <f t="shared" ca="1" si="40"/>
        <v>99999</v>
      </c>
      <c r="AX66" s="202" t="str">
        <f t="shared" ca="1" si="41"/>
        <v/>
      </c>
      <c r="AY66" s="202" t="str">
        <f t="shared" ca="1" si="71"/>
        <v/>
      </c>
      <c r="AZ66" s="394">
        <f t="shared" ca="1" si="10"/>
        <v>99999</v>
      </c>
      <c r="BA66" s="394" t="str">
        <f t="shared" ca="1" si="83"/>
        <v/>
      </c>
      <c r="BB66" s="395" t="str">
        <f t="shared" ca="1" si="84"/>
        <v/>
      </c>
      <c r="BD66" s="396">
        <f t="shared" ca="1" si="62"/>
        <v>0</v>
      </c>
      <c r="BE66" s="393">
        <f t="shared" ca="1" si="43"/>
        <v>99999</v>
      </c>
      <c r="BF66" s="202" t="str">
        <f t="shared" ca="1" si="44"/>
        <v/>
      </c>
      <c r="BG66" s="202" t="str">
        <f t="shared" ca="1" si="72"/>
        <v/>
      </c>
      <c r="BH66" s="394">
        <f t="shared" ca="1" si="13"/>
        <v>99999</v>
      </c>
      <c r="BI66" s="394" t="str">
        <f t="shared" ca="1" si="85"/>
        <v/>
      </c>
      <c r="BJ66" s="395" t="str">
        <f t="shared" ca="1" si="86"/>
        <v/>
      </c>
      <c r="BK66" s="202"/>
      <c r="BL66" s="396">
        <f t="shared" ca="1" si="63"/>
        <v>0</v>
      </c>
      <c r="BM66" s="393">
        <f t="shared" ca="1" si="46"/>
        <v>99999</v>
      </c>
      <c r="BN66" s="202" t="str">
        <f t="shared" ca="1" si="47"/>
        <v/>
      </c>
      <c r="BO66" s="202" t="str">
        <f t="shared" ca="1" si="73"/>
        <v/>
      </c>
      <c r="BP66" s="394">
        <f t="shared" ca="1" si="16"/>
        <v>99999</v>
      </c>
      <c r="BQ66" s="394" t="str">
        <f t="shared" ca="1" si="87"/>
        <v/>
      </c>
      <c r="BR66" s="395" t="str">
        <f t="shared" ca="1" si="88"/>
        <v/>
      </c>
      <c r="BT66" s="396">
        <f t="shared" ca="1" si="64"/>
        <v>0</v>
      </c>
      <c r="BU66" s="393">
        <f t="shared" ca="1" si="49"/>
        <v>99999</v>
      </c>
      <c r="BV66" s="202" t="str">
        <f t="shared" ca="1" si="50"/>
        <v/>
      </c>
      <c r="BW66" s="202" t="str">
        <f t="shared" ca="1" si="74"/>
        <v/>
      </c>
      <c r="BX66" s="394">
        <f t="shared" ca="1" si="19"/>
        <v>99999</v>
      </c>
      <c r="BY66" s="394" t="str">
        <f t="shared" ca="1" si="89"/>
        <v/>
      </c>
      <c r="BZ66" s="395" t="str">
        <f t="shared" ca="1" si="90"/>
        <v/>
      </c>
      <c r="CA66" s="202"/>
      <c r="CB66" s="396">
        <f t="shared" ca="1" si="65"/>
        <v>0</v>
      </c>
      <c r="CC66" s="393">
        <f t="shared" ca="1" si="52"/>
        <v>99999</v>
      </c>
      <c r="CD66" s="202" t="str">
        <f t="shared" ca="1" si="53"/>
        <v/>
      </c>
      <c r="CE66" s="202" t="str">
        <f t="shared" ca="1" si="75"/>
        <v/>
      </c>
      <c r="CF66" s="394">
        <f t="shared" ca="1" si="22"/>
        <v>99999</v>
      </c>
      <c r="CG66" s="394" t="str">
        <f t="shared" ca="1" si="91"/>
        <v/>
      </c>
      <c r="CH66" s="395" t="str">
        <f t="shared" ca="1" si="92"/>
        <v/>
      </c>
      <c r="CJ66" s="396">
        <f t="shared" ca="1" si="66"/>
        <v>0</v>
      </c>
      <c r="CK66" s="393">
        <f t="shared" ca="1" si="55"/>
        <v>99999</v>
      </c>
      <c r="CL66" s="202" t="str">
        <f t="shared" ca="1" si="56"/>
        <v/>
      </c>
      <c r="CM66" s="202" t="str">
        <f t="shared" ca="1" si="76"/>
        <v/>
      </c>
      <c r="CN66" s="394">
        <f t="shared" ca="1" si="25"/>
        <v>99999</v>
      </c>
      <c r="CO66" s="394" t="str">
        <f t="shared" ca="1" si="93"/>
        <v/>
      </c>
      <c r="CP66" s="395" t="str">
        <f t="shared" ca="1" si="94"/>
        <v/>
      </c>
    </row>
    <row r="67" spans="4:94" ht="17.25" x14ac:dyDescent="0.25">
      <c r="D67" s="159">
        <f t="shared" ca="1" si="28"/>
        <v>0</v>
      </c>
      <c r="E67" s="159" t="str">
        <f t="shared" ca="1" si="29"/>
        <v/>
      </c>
      <c r="F67" s="159">
        <f ca="1">IF($E67="",0,COUNTIF($E$7:$E67,INDEX($E$79:$E$150,ROW($A61))))</f>
        <v>0</v>
      </c>
      <c r="G67" s="205"/>
      <c r="H67" s="200">
        <v>61</v>
      </c>
      <c r="I67" s="227" t="str">
        <f ca="1">IF(OR($X$3,$H67&gt;Calc!$B$13/2*$D$6),"",$T$6+QUOTIENT(($H67-1),$T$22)*($T$8+$T$10)/1440+SUM($Q$7:$Q66)/1440)</f>
        <v/>
      </c>
      <c r="J67" s="229" t="str">
        <f ca="1">IF(OR($X$3,$H67&gt;Calc!$B$13/2*$D$6),"",MOD(($H67-1),$T$22)+1)</f>
        <v/>
      </c>
      <c r="K67" s="54" t="str">
        <f ca="1"/>
        <v/>
      </c>
      <c r="L67" s="53" t="s">
        <v>5</v>
      </c>
      <c r="M67" s="55" t="str">
        <f ca="1"/>
        <v/>
      </c>
      <c r="N67" s="52" t="str">
        <f t="shared" ca="1" si="30"/>
        <v/>
      </c>
      <c r="O67" s="50" t="s">
        <v>5</v>
      </c>
      <c r="P67" s="51" t="str">
        <f t="shared" ca="1" si="31"/>
        <v/>
      </c>
      <c r="Q67" s="381"/>
      <c r="R67" s="220"/>
      <c r="S67" s="221"/>
      <c r="T67" s="221"/>
      <c r="U67" s="221"/>
      <c r="V67" s="221"/>
      <c r="W67" s="202">
        <f t="shared" ca="1" si="58"/>
        <v>0</v>
      </c>
      <c r="X67" s="396">
        <f t="shared" ca="1" si="67"/>
        <v>0</v>
      </c>
      <c r="Y67" s="393">
        <f t="shared" ca="1" si="32"/>
        <v>99999</v>
      </c>
      <c r="Z67" s="202" t="str">
        <f t="shared" ca="1" si="0"/>
        <v/>
      </c>
      <c r="AA67" s="202" t="str">
        <f t="shared" ca="1" si="68"/>
        <v/>
      </c>
      <c r="AB67" s="394">
        <f t="shared" ca="1" si="1"/>
        <v>99999</v>
      </c>
      <c r="AC67" s="394" t="str">
        <f t="shared" ca="1" si="77"/>
        <v/>
      </c>
      <c r="AD67" s="395" t="str">
        <f t="shared" ca="1" si="78"/>
        <v/>
      </c>
      <c r="AE67" s="202"/>
      <c r="AF67" s="396">
        <f t="shared" ca="1" si="59"/>
        <v>0</v>
      </c>
      <c r="AG67" s="393">
        <f t="shared" ca="1" si="34"/>
        <v>99999</v>
      </c>
      <c r="AH67" s="202" t="str">
        <f t="shared" ca="1" si="35"/>
        <v/>
      </c>
      <c r="AI67" s="202" t="str">
        <f t="shared" ca="1" si="69"/>
        <v/>
      </c>
      <c r="AJ67" s="394">
        <f t="shared" ca="1" si="4"/>
        <v>99999</v>
      </c>
      <c r="AK67" s="394" t="str">
        <f t="shared" ca="1" si="79"/>
        <v/>
      </c>
      <c r="AL67" s="395" t="str">
        <f t="shared" ca="1" si="80"/>
        <v/>
      </c>
      <c r="AN67" s="396">
        <f t="shared" ca="1" si="60"/>
        <v>0</v>
      </c>
      <c r="AO67" s="393">
        <f t="shared" ca="1" si="37"/>
        <v>99999</v>
      </c>
      <c r="AP67" s="202" t="str">
        <f t="shared" ca="1" si="38"/>
        <v/>
      </c>
      <c r="AQ67" s="202" t="str">
        <f t="shared" ca="1" si="70"/>
        <v/>
      </c>
      <c r="AR67" s="394">
        <f t="shared" ca="1" si="7"/>
        <v>99999</v>
      </c>
      <c r="AS67" s="394" t="str">
        <f t="shared" ca="1" si="81"/>
        <v/>
      </c>
      <c r="AT67" s="395" t="str">
        <f t="shared" ca="1" si="82"/>
        <v/>
      </c>
      <c r="AU67" s="202"/>
      <c r="AV67" s="396">
        <f t="shared" ca="1" si="61"/>
        <v>0</v>
      </c>
      <c r="AW67" s="393">
        <f t="shared" ca="1" si="40"/>
        <v>99999</v>
      </c>
      <c r="AX67" s="202" t="str">
        <f t="shared" ca="1" si="41"/>
        <v/>
      </c>
      <c r="AY67" s="202" t="str">
        <f t="shared" ca="1" si="71"/>
        <v/>
      </c>
      <c r="AZ67" s="394">
        <f t="shared" ca="1" si="10"/>
        <v>99999</v>
      </c>
      <c r="BA67" s="394" t="str">
        <f t="shared" ca="1" si="83"/>
        <v/>
      </c>
      <c r="BB67" s="395" t="str">
        <f t="shared" ca="1" si="84"/>
        <v/>
      </c>
      <c r="BD67" s="396">
        <f t="shared" ca="1" si="62"/>
        <v>0</v>
      </c>
      <c r="BE67" s="393">
        <f t="shared" ca="1" si="43"/>
        <v>99999</v>
      </c>
      <c r="BF67" s="202" t="str">
        <f t="shared" ca="1" si="44"/>
        <v/>
      </c>
      <c r="BG67" s="202" t="str">
        <f t="shared" ca="1" si="72"/>
        <v/>
      </c>
      <c r="BH67" s="394">
        <f t="shared" ca="1" si="13"/>
        <v>99999</v>
      </c>
      <c r="BI67" s="394" t="str">
        <f t="shared" ca="1" si="85"/>
        <v/>
      </c>
      <c r="BJ67" s="395" t="str">
        <f t="shared" ca="1" si="86"/>
        <v/>
      </c>
      <c r="BK67" s="202"/>
      <c r="BL67" s="396">
        <f t="shared" ca="1" si="63"/>
        <v>0</v>
      </c>
      <c r="BM67" s="393">
        <f t="shared" ca="1" si="46"/>
        <v>99999</v>
      </c>
      <c r="BN67" s="202" t="str">
        <f t="shared" ca="1" si="47"/>
        <v/>
      </c>
      <c r="BO67" s="202" t="str">
        <f t="shared" ca="1" si="73"/>
        <v/>
      </c>
      <c r="BP67" s="394">
        <f t="shared" ca="1" si="16"/>
        <v>99999</v>
      </c>
      <c r="BQ67" s="394" t="str">
        <f t="shared" ca="1" si="87"/>
        <v/>
      </c>
      <c r="BR67" s="395" t="str">
        <f t="shared" ca="1" si="88"/>
        <v/>
      </c>
      <c r="BT67" s="396">
        <f t="shared" ca="1" si="64"/>
        <v>0</v>
      </c>
      <c r="BU67" s="393">
        <f t="shared" ca="1" si="49"/>
        <v>99999</v>
      </c>
      <c r="BV67" s="202" t="str">
        <f t="shared" ca="1" si="50"/>
        <v/>
      </c>
      <c r="BW67" s="202" t="str">
        <f t="shared" ca="1" si="74"/>
        <v/>
      </c>
      <c r="BX67" s="394">
        <f t="shared" ca="1" si="19"/>
        <v>99999</v>
      </c>
      <c r="BY67" s="394" t="str">
        <f t="shared" ca="1" si="89"/>
        <v/>
      </c>
      <c r="BZ67" s="395" t="str">
        <f t="shared" ca="1" si="90"/>
        <v/>
      </c>
      <c r="CA67" s="202"/>
      <c r="CB67" s="396">
        <f t="shared" ca="1" si="65"/>
        <v>0</v>
      </c>
      <c r="CC67" s="393">
        <f t="shared" ca="1" si="52"/>
        <v>99999</v>
      </c>
      <c r="CD67" s="202" t="str">
        <f t="shared" ca="1" si="53"/>
        <v/>
      </c>
      <c r="CE67" s="202" t="str">
        <f t="shared" ca="1" si="75"/>
        <v/>
      </c>
      <c r="CF67" s="394">
        <f t="shared" ca="1" si="22"/>
        <v>99999</v>
      </c>
      <c r="CG67" s="394" t="str">
        <f t="shared" ca="1" si="91"/>
        <v/>
      </c>
      <c r="CH67" s="395" t="str">
        <f t="shared" ca="1" si="92"/>
        <v/>
      </c>
      <c r="CJ67" s="396">
        <f t="shared" ca="1" si="66"/>
        <v>0</v>
      </c>
      <c r="CK67" s="393">
        <f t="shared" ca="1" si="55"/>
        <v>99999</v>
      </c>
      <c r="CL67" s="202" t="str">
        <f t="shared" ca="1" si="56"/>
        <v/>
      </c>
      <c r="CM67" s="202" t="str">
        <f t="shared" ca="1" si="76"/>
        <v/>
      </c>
      <c r="CN67" s="394">
        <f t="shared" ca="1" si="25"/>
        <v>99999</v>
      </c>
      <c r="CO67" s="394" t="str">
        <f t="shared" ca="1" si="93"/>
        <v/>
      </c>
      <c r="CP67" s="395" t="str">
        <f t="shared" ca="1" si="94"/>
        <v/>
      </c>
    </row>
    <row r="68" spans="4:94" ht="17.25" x14ac:dyDescent="0.25">
      <c r="D68" s="159">
        <f t="shared" ca="1" si="28"/>
        <v>0</v>
      </c>
      <c r="E68" s="159" t="str">
        <f t="shared" ca="1" si="29"/>
        <v/>
      </c>
      <c r="F68" s="159">
        <f ca="1">IF($E68="",0,COUNTIF($E$7:$E68,INDEX($E$79:$E$150,ROW($A62))))</f>
        <v>0</v>
      </c>
      <c r="G68" s="205"/>
      <c r="H68" s="200">
        <v>62</v>
      </c>
      <c r="I68" s="227" t="str">
        <f ca="1">IF(OR($X$3,$H68&gt;Calc!$B$13/2*$D$6),"",$T$6+QUOTIENT(($H68-1),$T$22)*($T$8+$T$10)/1440+SUM($Q$7:$Q67)/1440)</f>
        <v/>
      </c>
      <c r="J68" s="229" t="str">
        <f ca="1">IF(OR($X$3,$H68&gt;Calc!$B$13/2*$D$6),"",MOD(($H68-1),$T$22)+1)</f>
        <v/>
      </c>
      <c r="K68" s="54" t="str">
        <f ca="1"/>
        <v/>
      </c>
      <c r="L68" s="53" t="s">
        <v>5</v>
      </c>
      <c r="M68" s="55" t="str">
        <f ca="1"/>
        <v/>
      </c>
      <c r="N68" s="52" t="str">
        <f t="shared" ca="1" si="30"/>
        <v/>
      </c>
      <c r="O68" s="50" t="s">
        <v>5</v>
      </c>
      <c r="P68" s="51" t="str">
        <f t="shared" ca="1" si="31"/>
        <v/>
      </c>
      <c r="Q68" s="381"/>
      <c r="R68" s="220"/>
      <c r="S68" s="221"/>
      <c r="T68" s="221"/>
      <c r="U68" s="221"/>
      <c r="V68" s="221"/>
      <c r="W68" s="202">
        <f t="shared" ca="1" si="58"/>
        <v>0</v>
      </c>
      <c r="X68" s="396">
        <f t="shared" ca="1" si="67"/>
        <v>0</v>
      </c>
      <c r="Y68" s="393">
        <f t="shared" ca="1" si="32"/>
        <v>99999</v>
      </c>
      <c r="Z68" s="202" t="str">
        <f t="shared" ca="1" si="0"/>
        <v/>
      </c>
      <c r="AA68" s="202" t="str">
        <f t="shared" ca="1" si="68"/>
        <v/>
      </c>
      <c r="AB68" s="394">
        <f t="shared" ca="1" si="1"/>
        <v>99999</v>
      </c>
      <c r="AC68" s="394" t="str">
        <f t="shared" ca="1" si="77"/>
        <v/>
      </c>
      <c r="AD68" s="395" t="str">
        <f t="shared" ca="1" si="78"/>
        <v/>
      </c>
      <c r="AE68" s="202"/>
      <c r="AF68" s="396">
        <f t="shared" ca="1" si="59"/>
        <v>0</v>
      </c>
      <c r="AG68" s="393">
        <f t="shared" ca="1" si="34"/>
        <v>99999</v>
      </c>
      <c r="AH68" s="202" t="str">
        <f t="shared" ca="1" si="35"/>
        <v/>
      </c>
      <c r="AI68" s="202" t="str">
        <f t="shared" ca="1" si="69"/>
        <v/>
      </c>
      <c r="AJ68" s="394">
        <f t="shared" ca="1" si="4"/>
        <v>99999</v>
      </c>
      <c r="AK68" s="394" t="str">
        <f t="shared" ca="1" si="79"/>
        <v/>
      </c>
      <c r="AL68" s="395" t="str">
        <f t="shared" ca="1" si="80"/>
        <v/>
      </c>
      <c r="AN68" s="396">
        <f t="shared" ca="1" si="60"/>
        <v>0</v>
      </c>
      <c r="AO68" s="393">
        <f t="shared" ca="1" si="37"/>
        <v>99999</v>
      </c>
      <c r="AP68" s="202" t="str">
        <f t="shared" ca="1" si="38"/>
        <v/>
      </c>
      <c r="AQ68" s="202" t="str">
        <f t="shared" ca="1" si="70"/>
        <v/>
      </c>
      <c r="AR68" s="394">
        <f t="shared" ca="1" si="7"/>
        <v>99999</v>
      </c>
      <c r="AS68" s="394" t="str">
        <f t="shared" ca="1" si="81"/>
        <v/>
      </c>
      <c r="AT68" s="395" t="str">
        <f t="shared" ca="1" si="82"/>
        <v/>
      </c>
      <c r="AU68" s="202"/>
      <c r="AV68" s="396">
        <f t="shared" ca="1" si="61"/>
        <v>0</v>
      </c>
      <c r="AW68" s="393">
        <f t="shared" ca="1" si="40"/>
        <v>99999</v>
      </c>
      <c r="AX68" s="202" t="str">
        <f t="shared" ca="1" si="41"/>
        <v/>
      </c>
      <c r="AY68" s="202" t="str">
        <f t="shared" ca="1" si="71"/>
        <v/>
      </c>
      <c r="AZ68" s="394">
        <f t="shared" ca="1" si="10"/>
        <v>99999</v>
      </c>
      <c r="BA68" s="394" t="str">
        <f t="shared" ca="1" si="83"/>
        <v/>
      </c>
      <c r="BB68" s="395" t="str">
        <f t="shared" ca="1" si="84"/>
        <v/>
      </c>
      <c r="BD68" s="396">
        <f t="shared" ca="1" si="62"/>
        <v>0</v>
      </c>
      <c r="BE68" s="393">
        <f t="shared" ca="1" si="43"/>
        <v>99999</v>
      </c>
      <c r="BF68" s="202" t="str">
        <f t="shared" ca="1" si="44"/>
        <v/>
      </c>
      <c r="BG68" s="202" t="str">
        <f t="shared" ca="1" si="72"/>
        <v/>
      </c>
      <c r="BH68" s="394">
        <f t="shared" ca="1" si="13"/>
        <v>99999</v>
      </c>
      <c r="BI68" s="394" t="str">
        <f t="shared" ca="1" si="85"/>
        <v/>
      </c>
      <c r="BJ68" s="395" t="str">
        <f t="shared" ca="1" si="86"/>
        <v/>
      </c>
      <c r="BK68" s="202"/>
      <c r="BL68" s="396">
        <f t="shared" ca="1" si="63"/>
        <v>0</v>
      </c>
      <c r="BM68" s="393">
        <f t="shared" ca="1" si="46"/>
        <v>99999</v>
      </c>
      <c r="BN68" s="202" t="str">
        <f t="shared" ca="1" si="47"/>
        <v/>
      </c>
      <c r="BO68" s="202" t="str">
        <f t="shared" ca="1" si="73"/>
        <v/>
      </c>
      <c r="BP68" s="394">
        <f t="shared" ca="1" si="16"/>
        <v>99999</v>
      </c>
      <c r="BQ68" s="394" t="str">
        <f t="shared" ca="1" si="87"/>
        <v/>
      </c>
      <c r="BR68" s="395" t="str">
        <f t="shared" ca="1" si="88"/>
        <v/>
      </c>
      <c r="BT68" s="396">
        <f t="shared" ca="1" si="64"/>
        <v>0</v>
      </c>
      <c r="BU68" s="393">
        <f t="shared" ca="1" si="49"/>
        <v>99999</v>
      </c>
      <c r="BV68" s="202" t="str">
        <f t="shared" ca="1" si="50"/>
        <v/>
      </c>
      <c r="BW68" s="202" t="str">
        <f t="shared" ca="1" si="74"/>
        <v/>
      </c>
      <c r="BX68" s="394">
        <f t="shared" ca="1" si="19"/>
        <v>99999</v>
      </c>
      <c r="BY68" s="394" t="str">
        <f t="shared" ca="1" si="89"/>
        <v/>
      </c>
      <c r="BZ68" s="395" t="str">
        <f t="shared" ca="1" si="90"/>
        <v/>
      </c>
      <c r="CA68" s="202"/>
      <c r="CB68" s="396">
        <f t="shared" ca="1" si="65"/>
        <v>0</v>
      </c>
      <c r="CC68" s="393">
        <f t="shared" ca="1" si="52"/>
        <v>99999</v>
      </c>
      <c r="CD68" s="202" t="str">
        <f t="shared" ca="1" si="53"/>
        <v/>
      </c>
      <c r="CE68" s="202" t="str">
        <f t="shared" ca="1" si="75"/>
        <v/>
      </c>
      <c r="CF68" s="394">
        <f t="shared" ca="1" si="22"/>
        <v>99999</v>
      </c>
      <c r="CG68" s="394" t="str">
        <f t="shared" ca="1" si="91"/>
        <v/>
      </c>
      <c r="CH68" s="395" t="str">
        <f t="shared" ca="1" si="92"/>
        <v/>
      </c>
      <c r="CJ68" s="396">
        <f t="shared" ca="1" si="66"/>
        <v>0</v>
      </c>
      <c r="CK68" s="393">
        <f t="shared" ca="1" si="55"/>
        <v>99999</v>
      </c>
      <c r="CL68" s="202" t="str">
        <f t="shared" ca="1" si="56"/>
        <v/>
      </c>
      <c r="CM68" s="202" t="str">
        <f t="shared" ca="1" si="76"/>
        <v/>
      </c>
      <c r="CN68" s="394">
        <f t="shared" ca="1" si="25"/>
        <v>99999</v>
      </c>
      <c r="CO68" s="394" t="str">
        <f t="shared" ca="1" si="93"/>
        <v/>
      </c>
      <c r="CP68" s="395" t="str">
        <f t="shared" ca="1" si="94"/>
        <v/>
      </c>
    </row>
    <row r="69" spans="4:94" ht="17.25" x14ac:dyDescent="0.25">
      <c r="D69" s="159">
        <f t="shared" ca="1" si="28"/>
        <v>0</v>
      </c>
      <c r="E69" s="159" t="str">
        <f t="shared" ca="1" si="29"/>
        <v/>
      </c>
      <c r="F69" s="159">
        <f ca="1">IF($E69="",0,COUNTIF($E$7:$E69,INDEX($E$79:$E$150,ROW($A63))))</f>
        <v>0</v>
      </c>
      <c r="G69" s="205"/>
      <c r="H69" s="200">
        <v>63</v>
      </c>
      <c r="I69" s="227" t="str">
        <f ca="1">IF(OR($X$3,$H69&gt;Calc!$B$13/2*$D$6),"",$T$6+QUOTIENT(($H69-1),$T$22)*($T$8+$T$10)/1440+SUM($Q$7:$Q68)/1440)</f>
        <v/>
      </c>
      <c r="J69" s="229" t="str">
        <f ca="1">IF(OR($X$3,$H69&gt;Calc!$B$13/2*$D$6),"",MOD(($H69-1),$T$22)+1)</f>
        <v/>
      </c>
      <c r="K69" s="54" t="str">
        <f ca="1"/>
        <v/>
      </c>
      <c r="L69" s="53" t="s">
        <v>5</v>
      </c>
      <c r="M69" s="55" t="str">
        <f ca="1"/>
        <v/>
      </c>
      <c r="N69" s="52" t="str">
        <f t="shared" ca="1" si="30"/>
        <v/>
      </c>
      <c r="O69" s="50" t="s">
        <v>5</v>
      </c>
      <c r="P69" s="51" t="str">
        <f t="shared" ca="1" si="31"/>
        <v/>
      </c>
      <c r="Q69" s="381"/>
      <c r="R69" s="220"/>
      <c r="S69" s="221"/>
      <c r="T69" s="221"/>
      <c r="U69" s="221"/>
      <c r="V69" s="221"/>
      <c r="W69" s="202">
        <f t="shared" ca="1" si="58"/>
        <v>0</v>
      </c>
      <c r="X69" s="396">
        <f t="shared" ca="1" si="67"/>
        <v>0</v>
      </c>
      <c r="Y69" s="393">
        <f t="shared" ca="1" si="32"/>
        <v>99999</v>
      </c>
      <c r="Z69" s="202" t="str">
        <f t="shared" ca="1" si="0"/>
        <v/>
      </c>
      <c r="AA69" s="202" t="str">
        <f t="shared" ca="1" si="68"/>
        <v/>
      </c>
      <c r="AB69" s="394">
        <f t="shared" ca="1" si="1"/>
        <v>99999</v>
      </c>
      <c r="AC69" s="394" t="str">
        <f t="shared" ca="1" si="77"/>
        <v/>
      </c>
      <c r="AD69" s="395" t="str">
        <f t="shared" ca="1" si="78"/>
        <v/>
      </c>
      <c r="AE69" s="202"/>
      <c r="AF69" s="396">
        <f t="shared" ca="1" si="59"/>
        <v>0</v>
      </c>
      <c r="AG69" s="393">
        <f t="shared" ca="1" si="34"/>
        <v>99999</v>
      </c>
      <c r="AH69" s="202" t="str">
        <f t="shared" ca="1" si="35"/>
        <v/>
      </c>
      <c r="AI69" s="202" t="str">
        <f t="shared" ca="1" si="69"/>
        <v/>
      </c>
      <c r="AJ69" s="394">
        <f t="shared" ca="1" si="4"/>
        <v>99999</v>
      </c>
      <c r="AK69" s="394" t="str">
        <f t="shared" ca="1" si="79"/>
        <v/>
      </c>
      <c r="AL69" s="395" t="str">
        <f t="shared" ca="1" si="80"/>
        <v/>
      </c>
      <c r="AN69" s="396">
        <f t="shared" ca="1" si="60"/>
        <v>0</v>
      </c>
      <c r="AO69" s="393">
        <f t="shared" ca="1" si="37"/>
        <v>99999</v>
      </c>
      <c r="AP69" s="202" t="str">
        <f t="shared" ca="1" si="38"/>
        <v/>
      </c>
      <c r="AQ69" s="202" t="str">
        <f t="shared" ca="1" si="70"/>
        <v/>
      </c>
      <c r="AR69" s="394">
        <f t="shared" ca="1" si="7"/>
        <v>99999</v>
      </c>
      <c r="AS69" s="394" t="str">
        <f t="shared" ca="1" si="81"/>
        <v/>
      </c>
      <c r="AT69" s="395" t="str">
        <f t="shared" ca="1" si="82"/>
        <v/>
      </c>
      <c r="AU69" s="202"/>
      <c r="AV69" s="396">
        <f t="shared" ca="1" si="61"/>
        <v>0</v>
      </c>
      <c r="AW69" s="393">
        <f t="shared" ca="1" si="40"/>
        <v>99999</v>
      </c>
      <c r="AX69" s="202" t="str">
        <f t="shared" ca="1" si="41"/>
        <v/>
      </c>
      <c r="AY69" s="202" t="str">
        <f t="shared" ca="1" si="71"/>
        <v/>
      </c>
      <c r="AZ69" s="394">
        <f t="shared" ca="1" si="10"/>
        <v>99999</v>
      </c>
      <c r="BA69" s="394" t="str">
        <f t="shared" ca="1" si="83"/>
        <v/>
      </c>
      <c r="BB69" s="395" t="str">
        <f t="shared" ca="1" si="84"/>
        <v/>
      </c>
      <c r="BD69" s="396">
        <f t="shared" ca="1" si="62"/>
        <v>0</v>
      </c>
      <c r="BE69" s="393">
        <f t="shared" ca="1" si="43"/>
        <v>99999</v>
      </c>
      <c r="BF69" s="202" t="str">
        <f t="shared" ca="1" si="44"/>
        <v/>
      </c>
      <c r="BG69" s="202" t="str">
        <f t="shared" ca="1" si="72"/>
        <v/>
      </c>
      <c r="BH69" s="394">
        <f t="shared" ca="1" si="13"/>
        <v>99999</v>
      </c>
      <c r="BI69" s="394" t="str">
        <f t="shared" ca="1" si="85"/>
        <v/>
      </c>
      <c r="BJ69" s="395" t="str">
        <f t="shared" ca="1" si="86"/>
        <v/>
      </c>
      <c r="BK69" s="202"/>
      <c r="BL69" s="396">
        <f t="shared" ca="1" si="63"/>
        <v>0</v>
      </c>
      <c r="BM69" s="393">
        <f t="shared" ca="1" si="46"/>
        <v>99999</v>
      </c>
      <c r="BN69" s="202" t="str">
        <f t="shared" ca="1" si="47"/>
        <v/>
      </c>
      <c r="BO69" s="202" t="str">
        <f t="shared" ca="1" si="73"/>
        <v/>
      </c>
      <c r="BP69" s="394">
        <f t="shared" ca="1" si="16"/>
        <v>99999</v>
      </c>
      <c r="BQ69" s="394" t="str">
        <f t="shared" ca="1" si="87"/>
        <v/>
      </c>
      <c r="BR69" s="395" t="str">
        <f t="shared" ca="1" si="88"/>
        <v/>
      </c>
      <c r="BT69" s="396">
        <f t="shared" ca="1" si="64"/>
        <v>0</v>
      </c>
      <c r="BU69" s="393">
        <f t="shared" ca="1" si="49"/>
        <v>99999</v>
      </c>
      <c r="BV69" s="202" t="str">
        <f t="shared" ca="1" si="50"/>
        <v/>
      </c>
      <c r="BW69" s="202" t="str">
        <f t="shared" ca="1" si="74"/>
        <v/>
      </c>
      <c r="BX69" s="394">
        <f t="shared" ca="1" si="19"/>
        <v>99999</v>
      </c>
      <c r="BY69" s="394" t="str">
        <f t="shared" ca="1" si="89"/>
        <v/>
      </c>
      <c r="BZ69" s="395" t="str">
        <f t="shared" ca="1" si="90"/>
        <v/>
      </c>
      <c r="CA69" s="202"/>
      <c r="CB69" s="396">
        <f t="shared" ca="1" si="65"/>
        <v>0</v>
      </c>
      <c r="CC69" s="393">
        <f t="shared" ca="1" si="52"/>
        <v>99999</v>
      </c>
      <c r="CD69" s="202" t="str">
        <f t="shared" ca="1" si="53"/>
        <v/>
      </c>
      <c r="CE69" s="202" t="str">
        <f t="shared" ca="1" si="75"/>
        <v/>
      </c>
      <c r="CF69" s="394">
        <f t="shared" ca="1" si="22"/>
        <v>99999</v>
      </c>
      <c r="CG69" s="394" t="str">
        <f t="shared" ca="1" si="91"/>
        <v/>
      </c>
      <c r="CH69" s="395" t="str">
        <f t="shared" ca="1" si="92"/>
        <v/>
      </c>
      <c r="CJ69" s="396">
        <f t="shared" ca="1" si="66"/>
        <v>0</v>
      </c>
      <c r="CK69" s="393">
        <f t="shared" ca="1" si="55"/>
        <v>99999</v>
      </c>
      <c r="CL69" s="202" t="str">
        <f t="shared" ca="1" si="56"/>
        <v/>
      </c>
      <c r="CM69" s="202" t="str">
        <f t="shared" ca="1" si="76"/>
        <v/>
      </c>
      <c r="CN69" s="394">
        <f t="shared" ca="1" si="25"/>
        <v>99999</v>
      </c>
      <c r="CO69" s="394" t="str">
        <f t="shared" ca="1" si="93"/>
        <v/>
      </c>
      <c r="CP69" s="395" t="str">
        <f t="shared" ca="1" si="94"/>
        <v/>
      </c>
    </row>
    <row r="70" spans="4:94" ht="17.25" x14ac:dyDescent="0.25">
      <c r="D70" s="159">
        <f t="shared" ca="1" si="28"/>
        <v>0</v>
      </c>
      <c r="E70" s="159" t="str">
        <f t="shared" ca="1" si="29"/>
        <v/>
      </c>
      <c r="F70" s="159">
        <f ca="1">IF($E70="",0,COUNTIF($E$7:$E70,INDEX($E$79:$E$150,ROW($A64))))</f>
        <v>0</v>
      </c>
      <c r="G70" s="205"/>
      <c r="H70" s="200">
        <v>64</v>
      </c>
      <c r="I70" s="227" t="str">
        <f ca="1">IF(OR($X$3,$H70&gt;Calc!$B$13/2*$D$6),"",$T$6+QUOTIENT(($H70-1),$T$22)*($T$8+$T$10)/1440+SUM($Q$7:$Q69)/1440)</f>
        <v/>
      </c>
      <c r="J70" s="229" t="str">
        <f ca="1">IF(OR($X$3,$H70&gt;Calc!$B$13/2*$D$6),"",MOD(($H70-1),$T$22)+1)</f>
        <v/>
      </c>
      <c r="K70" s="54" t="str">
        <f ca="1"/>
        <v/>
      </c>
      <c r="L70" s="53" t="s">
        <v>5</v>
      </c>
      <c r="M70" s="55" t="str">
        <f ca="1"/>
        <v/>
      </c>
      <c r="N70" s="52" t="str">
        <f t="shared" ca="1" si="30"/>
        <v/>
      </c>
      <c r="O70" s="50" t="s">
        <v>5</v>
      </c>
      <c r="P70" s="51" t="str">
        <f t="shared" ca="1" si="31"/>
        <v/>
      </c>
      <c r="Q70" s="381"/>
      <c r="R70" s="220"/>
      <c r="S70" s="221"/>
      <c r="T70" s="221"/>
      <c r="U70" s="221"/>
      <c r="V70" s="221"/>
      <c r="W70" s="202">
        <f t="shared" ca="1" si="58"/>
        <v>0</v>
      </c>
      <c r="X70" s="396">
        <f t="shared" ca="1" si="67"/>
        <v>0</v>
      </c>
      <c r="Y70" s="393">
        <f t="shared" ca="1" si="32"/>
        <v>99999</v>
      </c>
      <c r="Z70" s="202" t="str">
        <f t="shared" ca="1" si="0"/>
        <v/>
      </c>
      <c r="AA70" s="202" t="str">
        <f t="shared" ca="1" si="68"/>
        <v/>
      </c>
      <c r="AB70" s="394">
        <f t="shared" ca="1" si="1"/>
        <v>99999</v>
      </c>
      <c r="AC70" s="394" t="str">
        <f t="shared" ca="1" si="77"/>
        <v/>
      </c>
      <c r="AD70" s="395" t="str">
        <f t="shared" ca="1" si="78"/>
        <v/>
      </c>
      <c r="AE70" s="202"/>
      <c r="AF70" s="396">
        <f t="shared" ca="1" si="59"/>
        <v>0</v>
      </c>
      <c r="AG70" s="393">
        <f t="shared" ca="1" si="34"/>
        <v>99999</v>
      </c>
      <c r="AH70" s="202" t="str">
        <f t="shared" ca="1" si="35"/>
        <v/>
      </c>
      <c r="AI70" s="202" t="str">
        <f t="shared" ca="1" si="69"/>
        <v/>
      </c>
      <c r="AJ70" s="394">
        <f t="shared" ca="1" si="4"/>
        <v>99999</v>
      </c>
      <c r="AK70" s="394" t="str">
        <f t="shared" ca="1" si="79"/>
        <v/>
      </c>
      <c r="AL70" s="395" t="str">
        <f t="shared" ca="1" si="80"/>
        <v/>
      </c>
      <c r="AN70" s="396">
        <f t="shared" ca="1" si="60"/>
        <v>0</v>
      </c>
      <c r="AO70" s="393">
        <f t="shared" ca="1" si="37"/>
        <v>99999</v>
      </c>
      <c r="AP70" s="202" t="str">
        <f t="shared" ca="1" si="38"/>
        <v/>
      </c>
      <c r="AQ70" s="202" t="str">
        <f t="shared" ca="1" si="70"/>
        <v/>
      </c>
      <c r="AR70" s="394">
        <f t="shared" ca="1" si="7"/>
        <v>99999</v>
      </c>
      <c r="AS70" s="394" t="str">
        <f t="shared" ca="1" si="81"/>
        <v/>
      </c>
      <c r="AT70" s="395" t="str">
        <f t="shared" ca="1" si="82"/>
        <v/>
      </c>
      <c r="AU70" s="202"/>
      <c r="AV70" s="396">
        <f t="shared" ca="1" si="61"/>
        <v>0</v>
      </c>
      <c r="AW70" s="393">
        <f t="shared" ca="1" si="40"/>
        <v>99999</v>
      </c>
      <c r="AX70" s="202" t="str">
        <f t="shared" ca="1" si="41"/>
        <v/>
      </c>
      <c r="AY70" s="202" t="str">
        <f t="shared" ca="1" si="71"/>
        <v/>
      </c>
      <c r="AZ70" s="394">
        <f t="shared" ca="1" si="10"/>
        <v>99999</v>
      </c>
      <c r="BA70" s="394" t="str">
        <f t="shared" ca="1" si="83"/>
        <v/>
      </c>
      <c r="BB70" s="395" t="str">
        <f t="shared" ca="1" si="84"/>
        <v/>
      </c>
      <c r="BD70" s="396">
        <f t="shared" ca="1" si="62"/>
        <v>0</v>
      </c>
      <c r="BE70" s="393">
        <f t="shared" ca="1" si="43"/>
        <v>99999</v>
      </c>
      <c r="BF70" s="202" t="str">
        <f t="shared" ca="1" si="44"/>
        <v/>
      </c>
      <c r="BG70" s="202" t="str">
        <f t="shared" ca="1" si="72"/>
        <v/>
      </c>
      <c r="BH70" s="394">
        <f t="shared" ca="1" si="13"/>
        <v>99999</v>
      </c>
      <c r="BI70" s="394" t="str">
        <f t="shared" ca="1" si="85"/>
        <v/>
      </c>
      <c r="BJ70" s="395" t="str">
        <f t="shared" ca="1" si="86"/>
        <v/>
      </c>
      <c r="BK70" s="202"/>
      <c r="BL70" s="396">
        <f t="shared" ca="1" si="63"/>
        <v>0</v>
      </c>
      <c r="BM70" s="393">
        <f t="shared" ca="1" si="46"/>
        <v>99999</v>
      </c>
      <c r="BN70" s="202" t="str">
        <f t="shared" ca="1" si="47"/>
        <v/>
      </c>
      <c r="BO70" s="202" t="str">
        <f t="shared" ca="1" si="73"/>
        <v/>
      </c>
      <c r="BP70" s="394">
        <f t="shared" ca="1" si="16"/>
        <v>99999</v>
      </c>
      <c r="BQ70" s="394" t="str">
        <f t="shared" ca="1" si="87"/>
        <v/>
      </c>
      <c r="BR70" s="395" t="str">
        <f t="shared" ca="1" si="88"/>
        <v/>
      </c>
      <c r="BT70" s="396">
        <f t="shared" ca="1" si="64"/>
        <v>0</v>
      </c>
      <c r="BU70" s="393">
        <f t="shared" ca="1" si="49"/>
        <v>99999</v>
      </c>
      <c r="BV70" s="202" t="str">
        <f t="shared" ca="1" si="50"/>
        <v/>
      </c>
      <c r="BW70" s="202" t="str">
        <f t="shared" ca="1" si="74"/>
        <v/>
      </c>
      <c r="BX70" s="394">
        <f t="shared" ca="1" si="19"/>
        <v>99999</v>
      </c>
      <c r="BY70" s="394" t="str">
        <f t="shared" ca="1" si="89"/>
        <v/>
      </c>
      <c r="BZ70" s="395" t="str">
        <f t="shared" ca="1" si="90"/>
        <v/>
      </c>
      <c r="CA70" s="202"/>
      <c r="CB70" s="396">
        <f t="shared" ca="1" si="65"/>
        <v>0</v>
      </c>
      <c r="CC70" s="393">
        <f t="shared" ca="1" si="52"/>
        <v>99999</v>
      </c>
      <c r="CD70" s="202" t="str">
        <f t="shared" ca="1" si="53"/>
        <v/>
      </c>
      <c r="CE70" s="202" t="str">
        <f t="shared" ca="1" si="75"/>
        <v/>
      </c>
      <c r="CF70" s="394">
        <f t="shared" ca="1" si="22"/>
        <v>99999</v>
      </c>
      <c r="CG70" s="394" t="str">
        <f t="shared" ca="1" si="91"/>
        <v/>
      </c>
      <c r="CH70" s="395" t="str">
        <f t="shared" ca="1" si="92"/>
        <v/>
      </c>
      <c r="CJ70" s="396">
        <f t="shared" ca="1" si="66"/>
        <v>0</v>
      </c>
      <c r="CK70" s="393">
        <f t="shared" ca="1" si="55"/>
        <v>99999</v>
      </c>
      <c r="CL70" s="202" t="str">
        <f t="shared" ca="1" si="56"/>
        <v/>
      </c>
      <c r="CM70" s="202" t="str">
        <f t="shared" ca="1" si="76"/>
        <v/>
      </c>
      <c r="CN70" s="394">
        <f t="shared" ca="1" si="25"/>
        <v>99999</v>
      </c>
      <c r="CO70" s="394" t="str">
        <f t="shared" ca="1" si="93"/>
        <v/>
      </c>
      <c r="CP70" s="395" t="str">
        <f t="shared" ca="1" si="94"/>
        <v/>
      </c>
    </row>
    <row r="71" spans="4:94" ht="17.25" x14ac:dyDescent="0.25">
      <c r="D71" s="159">
        <f t="shared" ca="1" si="28"/>
        <v>0</v>
      </c>
      <c r="E71" s="159" t="str">
        <f t="shared" ca="1" si="29"/>
        <v/>
      </c>
      <c r="F71" s="159">
        <f ca="1">IF($E71="",0,COUNTIF($E$7:$E71,INDEX($E$79:$E$150,ROW($A65))))</f>
        <v>0</v>
      </c>
      <c r="G71" s="205"/>
      <c r="H71" s="200">
        <v>65</v>
      </c>
      <c r="I71" s="227" t="str">
        <f ca="1">IF(OR($X$3,$H71&gt;Calc!$B$13/2*$D$6),"",$T$6+QUOTIENT(($H71-1),$T$22)*($T$8+$T$10)/1440+SUM($Q$7:$Q70)/1440)</f>
        <v/>
      </c>
      <c r="J71" s="229" t="str">
        <f ca="1">IF(OR($X$3,$H71&gt;Calc!$B$13/2*$D$6),"",MOD(($H71-1),$T$22)+1)</f>
        <v/>
      </c>
      <c r="K71" s="54" t="str">
        <f ca="1"/>
        <v/>
      </c>
      <c r="L71" s="53" t="s">
        <v>5</v>
      </c>
      <c r="M71" s="55" t="str">
        <f ca="1"/>
        <v/>
      </c>
      <c r="N71" s="52" t="str">
        <f t="shared" ca="1" si="30"/>
        <v/>
      </c>
      <c r="O71" s="50" t="s">
        <v>5</v>
      </c>
      <c r="P71" s="51" t="str">
        <f t="shared" ca="1" si="31"/>
        <v/>
      </c>
      <c r="Q71" s="381"/>
      <c r="R71" s="220"/>
      <c r="S71" s="221"/>
      <c r="T71" s="221"/>
      <c r="U71" s="221"/>
      <c r="V71" s="221"/>
      <c r="W71" s="202">
        <f t="shared" ca="1" si="58"/>
        <v>0</v>
      </c>
      <c r="X71" s="396">
        <f t="shared" ca="1" si="67"/>
        <v>0</v>
      </c>
      <c r="Y71" s="393">
        <f t="shared" ca="1" si="32"/>
        <v>99999</v>
      </c>
      <c r="Z71" s="202" t="str">
        <f t="shared" ref="Z71:Z78" ca="1" si="95">IF($K71=Y$6,$M71,IF($M71=Y$6,$K71,""))</f>
        <v/>
      </c>
      <c r="AA71" s="202" t="str">
        <f t="shared" ca="1" si="68"/>
        <v/>
      </c>
      <c r="AB71" s="394">
        <f t="shared" ref="AB71:AB78" ca="1" si="96">SMALL(Y$7:Y$78,ROW($A65))</f>
        <v>99999</v>
      </c>
      <c r="AC71" s="394" t="str">
        <f t="shared" ref="AC71:AC78" ca="1" si="97">IFERROR(VLOOKUP(AB71,Y$7:AA$78,3,0),"")</f>
        <v/>
      </c>
      <c r="AD71" s="395" t="str">
        <f t="shared" ref="AD71:AD78" ca="1" si="98">IFERROR(VLOOKUP(VLOOKUP(AB71,Y$7:Z$78,2,0),$B$8:$C$25,2,0),"")</f>
        <v/>
      </c>
      <c r="AE71" s="202"/>
      <c r="AF71" s="396">
        <f t="shared" ca="1" si="59"/>
        <v>0</v>
      </c>
      <c r="AG71" s="393">
        <f t="shared" ca="1" si="34"/>
        <v>99999</v>
      </c>
      <c r="AH71" s="202" t="str">
        <f t="shared" ca="1" si="35"/>
        <v/>
      </c>
      <c r="AI71" s="202" t="str">
        <f t="shared" ca="1" si="69"/>
        <v/>
      </c>
      <c r="AJ71" s="394">
        <f t="shared" ref="AJ71:AJ78" ca="1" si="99">SMALL(AG$7:AG$78,ROW($A65))</f>
        <v>99999</v>
      </c>
      <c r="AK71" s="394" t="str">
        <f t="shared" ref="AK71:AK78" ca="1" si="100">IFERROR(VLOOKUP(AJ71,AG$7:AI$78,3,0),"")</f>
        <v/>
      </c>
      <c r="AL71" s="395" t="str">
        <f t="shared" ref="AL71:AL78" ca="1" si="101">IFERROR(VLOOKUP(VLOOKUP(AJ71,AG$7:AH$78,2,0),$B$8:$C$25,2,0),"")</f>
        <v/>
      </c>
      <c r="AN71" s="396">
        <f t="shared" ca="1" si="60"/>
        <v>0</v>
      </c>
      <c r="AO71" s="393">
        <f t="shared" ca="1" si="37"/>
        <v>99999</v>
      </c>
      <c r="AP71" s="202" t="str">
        <f t="shared" ca="1" si="38"/>
        <v/>
      </c>
      <c r="AQ71" s="202" t="str">
        <f t="shared" ca="1" si="70"/>
        <v/>
      </c>
      <c r="AR71" s="394">
        <f t="shared" ref="AR71:AR78" ca="1" si="102">SMALL(AO$7:AO$78,ROW($A65))</f>
        <v>99999</v>
      </c>
      <c r="AS71" s="394" t="str">
        <f t="shared" ref="AS71:AS78" ca="1" si="103">IFERROR(VLOOKUP(AR71,AO$7:AQ$78,3,0),"")</f>
        <v/>
      </c>
      <c r="AT71" s="395" t="str">
        <f t="shared" ref="AT71:AT78" ca="1" si="104">IFERROR(VLOOKUP(VLOOKUP(AR71,AO$7:AP$78,2,0),$B$8:$C$25,2,0),"")</f>
        <v/>
      </c>
      <c r="AU71" s="202"/>
      <c r="AV71" s="396">
        <f t="shared" ca="1" si="61"/>
        <v>0</v>
      </c>
      <c r="AW71" s="393">
        <f t="shared" ca="1" si="40"/>
        <v>99999</v>
      </c>
      <c r="AX71" s="202" t="str">
        <f t="shared" ca="1" si="41"/>
        <v/>
      </c>
      <c r="AY71" s="202" t="str">
        <f t="shared" ca="1" si="71"/>
        <v/>
      </c>
      <c r="AZ71" s="394">
        <f t="shared" ref="AZ71:AZ78" ca="1" si="105">SMALL(AW$7:AW$78,ROW($A65))</f>
        <v>99999</v>
      </c>
      <c r="BA71" s="394" t="str">
        <f t="shared" ref="BA71:BA78" ca="1" si="106">IFERROR(VLOOKUP(AZ71,AW$7:AY$78,3,0),"")</f>
        <v/>
      </c>
      <c r="BB71" s="395" t="str">
        <f t="shared" ref="BB71:BB78" ca="1" si="107">IFERROR(VLOOKUP(VLOOKUP(AZ71,AW$7:AX$78,2,0),$B$8:$C$25,2,0),"")</f>
        <v/>
      </c>
      <c r="BD71" s="396">
        <f t="shared" ca="1" si="62"/>
        <v>0</v>
      </c>
      <c r="BE71" s="393">
        <f t="shared" ca="1" si="43"/>
        <v>99999</v>
      </c>
      <c r="BF71" s="202" t="str">
        <f t="shared" ca="1" si="44"/>
        <v/>
      </c>
      <c r="BG71" s="202" t="str">
        <f t="shared" ca="1" si="72"/>
        <v/>
      </c>
      <c r="BH71" s="394">
        <f t="shared" ref="BH71:BH78" ca="1" si="108">SMALL(BE$7:BE$78,ROW($A65))</f>
        <v>99999</v>
      </c>
      <c r="BI71" s="394" t="str">
        <f t="shared" ref="BI71:BI78" ca="1" si="109">IFERROR(VLOOKUP(BH71,BE$7:BG$78,3,0),"")</f>
        <v/>
      </c>
      <c r="BJ71" s="395" t="str">
        <f t="shared" ref="BJ71:BJ78" ca="1" si="110">IFERROR(VLOOKUP(VLOOKUP(BH71,BE$7:BF$78,2,0),$B$8:$C$25,2,0),"")</f>
        <v/>
      </c>
      <c r="BK71" s="202"/>
      <c r="BL71" s="396">
        <f t="shared" ca="1" si="63"/>
        <v>0</v>
      </c>
      <c r="BM71" s="393">
        <f t="shared" ca="1" si="46"/>
        <v>99999</v>
      </c>
      <c r="BN71" s="202" t="str">
        <f t="shared" ca="1" si="47"/>
        <v/>
      </c>
      <c r="BO71" s="202" t="str">
        <f t="shared" ca="1" si="73"/>
        <v/>
      </c>
      <c r="BP71" s="394">
        <f t="shared" ref="BP71:BP78" ca="1" si="111">SMALL(BM$7:BM$78,ROW($A65))</f>
        <v>99999</v>
      </c>
      <c r="BQ71" s="394" t="str">
        <f t="shared" ref="BQ71:BQ78" ca="1" si="112">IFERROR(VLOOKUP(BP71,BM$7:BO$78,3,0),"")</f>
        <v/>
      </c>
      <c r="BR71" s="395" t="str">
        <f t="shared" ref="BR71:BR78" ca="1" si="113">IFERROR(VLOOKUP(VLOOKUP(BP71,BM$7:BN$78,2,0),$B$8:$C$25,2,0),"")</f>
        <v/>
      </c>
      <c r="BT71" s="396">
        <f t="shared" ca="1" si="64"/>
        <v>0</v>
      </c>
      <c r="BU71" s="393">
        <f t="shared" ca="1" si="49"/>
        <v>99999</v>
      </c>
      <c r="BV71" s="202" t="str">
        <f t="shared" ca="1" si="50"/>
        <v/>
      </c>
      <c r="BW71" s="202" t="str">
        <f t="shared" ca="1" si="74"/>
        <v/>
      </c>
      <c r="BX71" s="394">
        <f t="shared" ref="BX71:BX78" ca="1" si="114">SMALL(BU$7:BU$78,ROW($A65))</f>
        <v>99999</v>
      </c>
      <c r="BY71" s="394" t="str">
        <f t="shared" ref="BY71:BY78" ca="1" si="115">IFERROR(VLOOKUP(BX71,BU$7:BW$78,3,0),"")</f>
        <v/>
      </c>
      <c r="BZ71" s="395" t="str">
        <f t="shared" ref="BZ71:BZ78" ca="1" si="116">IFERROR(VLOOKUP(VLOOKUP(BX71,BU$7:BV$78,2,0),$B$8:$C$25,2,0),"")</f>
        <v/>
      </c>
      <c r="CA71" s="202"/>
      <c r="CB71" s="396">
        <f t="shared" ca="1" si="65"/>
        <v>0</v>
      </c>
      <c r="CC71" s="393">
        <f t="shared" ca="1" si="52"/>
        <v>99999</v>
      </c>
      <c r="CD71" s="202" t="str">
        <f t="shared" ca="1" si="53"/>
        <v/>
      </c>
      <c r="CE71" s="202" t="str">
        <f t="shared" ca="1" si="75"/>
        <v/>
      </c>
      <c r="CF71" s="394">
        <f t="shared" ref="CF71:CF78" ca="1" si="117">SMALL(CC$7:CC$78,ROW($A65))</f>
        <v>99999</v>
      </c>
      <c r="CG71" s="394" t="str">
        <f t="shared" ref="CG71:CG78" ca="1" si="118">IFERROR(VLOOKUP(CF71,CC$7:CE$78,3,0),"")</f>
        <v/>
      </c>
      <c r="CH71" s="395" t="str">
        <f t="shared" ref="CH71:CH78" ca="1" si="119">IFERROR(VLOOKUP(VLOOKUP(CF71,CC$7:CD$78,2,0),$B$8:$C$25,2,0),"")</f>
        <v/>
      </c>
      <c r="CJ71" s="396">
        <f t="shared" ca="1" si="66"/>
        <v>0</v>
      </c>
      <c r="CK71" s="393">
        <f t="shared" ca="1" si="55"/>
        <v>99999</v>
      </c>
      <c r="CL71" s="202" t="str">
        <f t="shared" ca="1" si="56"/>
        <v/>
      </c>
      <c r="CM71" s="202" t="str">
        <f t="shared" ca="1" si="76"/>
        <v/>
      </c>
      <c r="CN71" s="394">
        <f t="shared" ref="CN71:CN78" ca="1" si="120">SMALL(CK$7:CK$78,ROW($A65))</f>
        <v>99999</v>
      </c>
      <c r="CO71" s="394" t="str">
        <f t="shared" ref="CO71:CO78" ca="1" si="121">IFERROR(VLOOKUP(CN71,CK$7:CM$78,3,0),"")</f>
        <v/>
      </c>
      <c r="CP71" s="395" t="str">
        <f t="shared" ref="CP71:CP78" ca="1" si="122">IFERROR(VLOOKUP(VLOOKUP(CN71,CK$7:CL$78,2,0),$B$8:$C$25,2,0),"")</f>
        <v/>
      </c>
    </row>
    <row r="72" spans="4:94" ht="17.25" x14ac:dyDescent="0.25">
      <c r="D72" s="159">
        <f t="shared" ref="D72:D78" ca="1" si="123">IF($E72="",0,IF(OR(QUOTIENT($E72,10)=MOD($E72,10),COUNTIF($E$7:$E$78,$E72)&gt;1),100,COUNTIF($E$7:$E$150,$E72)))</f>
        <v>0</v>
      </c>
      <c r="E72" s="159" t="str">
        <f t="shared" ref="E72:E78" ca="1" si="124">IF(OR($K72="",$M72=""),"",VALUE($K72&amp;$M72))</f>
        <v/>
      </c>
      <c r="F72" s="159">
        <f ca="1">IF($E72="",0,COUNTIF($E$7:$E72,INDEX($E$79:$E$150,ROW($A66))))</f>
        <v>0</v>
      </c>
      <c r="G72" s="205"/>
      <c r="H72" s="200">
        <v>66</v>
      </c>
      <c r="I72" s="227" t="str">
        <f ca="1">IF(OR($X$3,$H72&gt;Calc!$B$13/2*$D$6),"",$T$6+QUOTIENT(($H72-1),$T$22)*($T$8+$T$10)/1440+SUM($Q$7:$Q71)/1440)</f>
        <v/>
      </c>
      <c r="J72" s="229" t="str">
        <f ca="1">IF(OR($X$3,$H72&gt;Calc!$B$13/2*$D$6),"",MOD(($H72-1),$T$22)+1)</f>
        <v/>
      </c>
      <c r="K72" s="54" t="str">
        <f ca="1"/>
        <v/>
      </c>
      <c r="L72" s="53" t="s">
        <v>5</v>
      </c>
      <c r="M72" s="55" t="str">
        <f ca="1"/>
        <v/>
      </c>
      <c r="N72" s="52" t="str">
        <f t="shared" ref="N72:N78" ca="1" si="125">IF($K72="","",IF(VLOOKUP($K72,$B$8:$C$25,2,0)="","",VLOOKUP($K72,$B$8:$C$25,2,0)))</f>
        <v/>
      </c>
      <c r="O72" s="50" t="s">
        <v>5</v>
      </c>
      <c r="P72" s="51" t="str">
        <f t="shared" ref="P72:P78" ca="1" si="126">IF($M72="","",IF(VLOOKUP($M72,$B$8:$C$25,2,0)="","",VLOOKUP($M72,$B$8:$C$25,2,0)))</f>
        <v/>
      </c>
      <c r="Q72" s="381"/>
      <c r="R72" s="220"/>
      <c r="S72" s="221"/>
      <c r="T72" s="221"/>
      <c r="U72" s="221"/>
      <c r="V72" s="221"/>
      <c r="W72" s="202">
        <f t="shared" ca="1" si="58"/>
        <v>0</v>
      </c>
      <c r="X72" s="396">
        <f t="shared" ca="1" si="67"/>
        <v>0</v>
      </c>
      <c r="Y72" s="393">
        <f t="shared" ref="Y72:Y78" ca="1" si="127">IF(Z72&gt;9,99999,$I72)</f>
        <v>99999</v>
      </c>
      <c r="Z72" s="202" t="str">
        <f t="shared" ca="1" si="95"/>
        <v/>
      </c>
      <c r="AA72" s="202" t="str">
        <f t="shared" ca="1" si="68"/>
        <v/>
      </c>
      <c r="AB72" s="394">
        <f t="shared" ca="1" si="96"/>
        <v>99999</v>
      </c>
      <c r="AC72" s="394" t="str">
        <f t="shared" ca="1" si="97"/>
        <v/>
      </c>
      <c r="AD72" s="395" t="str">
        <f t="shared" ca="1" si="98"/>
        <v/>
      </c>
      <c r="AE72" s="202"/>
      <c r="AF72" s="396">
        <f t="shared" ca="1" si="59"/>
        <v>0</v>
      </c>
      <c r="AG72" s="393">
        <f t="shared" ref="AG72:AG78" ca="1" si="128">IF(AH72&gt;9,99999,$I72)</f>
        <v>99999</v>
      </c>
      <c r="AH72" s="202" t="str">
        <f t="shared" ref="AH72:AH78" ca="1" si="129">IF($K72=AG$6,$M72,IF($M72=AG$6,$K72,""))</f>
        <v/>
      </c>
      <c r="AI72" s="202" t="str">
        <f t="shared" ca="1" si="69"/>
        <v/>
      </c>
      <c r="AJ72" s="394">
        <f t="shared" ca="1" si="99"/>
        <v>99999</v>
      </c>
      <c r="AK72" s="394" t="str">
        <f t="shared" ca="1" si="100"/>
        <v/>
      </c>
      <c r="AL72" s="395" t="str">
        <f t="shared" ca="1" si="101"/>
        <v/>
      </c>
      <c r="AN72" s="396">
        <f t="shared" ca="1" si="60"/>
        <v>0</v>
      </c>
      <c r="AO72" s="393">
        <f t="shared" ref="AO72:AO78" ca="1" si="130">IF(AP72&gt;9,99999,$I72)</f>
        <v>99999</v>
      </c>
      <c r="AP72" s="202" t="str">
        <f t="shared" ref="AP72:AP78" ca="1" si="131">IF($K72=AO$6,$M72,IF($M72=AO$6,$K72,""))</f>
        <v/>
      </c>
      <c r="AQ72" s="202" t="str">
        <f t="shared" ca="1" si="70"/>
        <v/>
      </c>
      <c r="AR72" s="394">
        <f t="shared" ca="1" si="102"/>
        <v>99999</v>
      </c>
      <c r="AS72" s="394" t="str">
        <f t="shared" ca="1" si="103"/>
        <v/>
      </c>
      <c r="AT72" s="395" t="str">
        <f t="shared" ca="1" si="104"/>
        <v/>
      </c>
      <c r="AU72" s="202"/>
      <c r="AV72" s="396">
        <f t="shared" ca="1" si="61"/>
        <v>0</v>
      </c>
      <c r="AW72" s="393">
        <f t="shared" ref="AW72:AW78" ca="1" si="132">IF(AX72&gt;9,99999,$I72)</f>
        <v>99999</v>
      </c>
      <c r="AX72" s="202" t="str">
        <f t="shared" ref="AX72:AX78" ca="1" si="133">IF($K72=AW$6,$M72,IF($M72=AW$6,$K72,""))</f>
        <v/>
      </c>
      <c r="AY72" s="202" t="str">
        <f t="shared" ca="1" si="71"/>
        <v/>
      </c>
      <c r="AZ72" s="394">
        <f t="shared" ca="1" si="105"/>
        <v>99999</v>
      </c>
      <c r="BA72" s="394" t="str">
        <f t="shared" ca="1" si="106"/>
        <v/>
      </c>
      <c r="BB72" s="395" t="str">
        <f t="shared" ca="1" si="107"/>
        <v/>
      </c>
      <c r="BD72" s="396">
        <f t="shared" ca="1" si="62"/>
        <v>0</v>
      </c>
      <c r="BE72" s="393">
        <f t="shared" ref="BE72:BE78" ca="1" si="134">IF(BF72&gt;9,99999,$I72)</f>
        <v>99999</v>
      </c>
      <c r="BF72" s="202" t="str">
        <f t="shared" ref="BF72:BF78" ca="1" si="135">IF($K72=BE$6,$M72,IF($M72=BE$6,$K72,""))</f>
        <v/>
      </c>
      <c r="BG72" s="202" t="str">
        <f t="shared" ca="1" si="72"/>
        <v/>
      </c>
      <c r="BH72" s="394">
        <f t="shared" ca="1" si="108"/>
        <v>99999</v>
      </c>
      <c r="BI72" s="394" t="str">
        <f t="shared" ca="1" si="109"/>
        <v/>
      </c>
      <c r="BJ72" s="395" t="str">
        <f t="shared" ca="1" si="110"/>
        <v/>
      </c>
      <c r="BK72" s="202"/>
      <c r="BL72" s="396">
        <f t="shared" ca="1" si="63"/>
        <v>0</v>
      </c>
      <c r="BM72" s="393">
        <f t="shared" ref="BM72:BM78" ca="1" si="136">IF(BN72&gt;9,99999,$I72)</f>
        <v>99999</v>
      </c>
      <c r="BN72" s="202" t="str">
        <f t="shared" ref="BN72:BN78" ca="1" si="137">IF($K72=BM$6,$M72,IF($M72=BM$6,$K72,""))</f>
        <v/>
      </c>
      <c r="BO72" s="202" t="str">
        <f t="shared" ca="1" si="73"/>
        <v/>
      </c>
      <c r="BP72" s="394">
        <f t="shared" ca="1" si="111"/>
        <v>99999</v>
      </c>
      <c r="BQ72" s="394" t="str">
        <f t="shared" ca="1" si="112"/>
        <v/>
      </c>
      <c r="BR72" s="395" t="str">
        <f t="shared" ca="1" si="113"/>
        <v/>
      </c>
      <c r="BT72" s="396">
        <f t="shared" ca="1" si="64"/>
        <v>0</v>
      </c>
      <c r="BU72" s="393">
        <f t="shared" ref="BU72:BU78" ca="1" si="138">IF(BV72&gt;9,99999,$I72)</f>
        <v>99999</v>
      </c>
      <c r="BV72" s="202" t="str">
        <f t="shared" ref="BV72:BV78" ca="1" si="139">IF($K72=BU$6,$M72,IF($M72=BU$6,$K72,""))</f>
        <v/>
      </c>
      <c r="BW72" s="202" t="str">
        <f t="shared" ca="1" si="74"/>
        <v/>
      </c>
      <c r="BX72" s="394">
        <f t="shared" ca="1" si="114"/>
        <v>99999</v>
      </c>
      <c r="BY72" s="394" t="str">
        <f t="shared" ca="1" si="115"/>
        <v/>
      </c>
      <c r="BZ72" s="395" t="str">
        <f t="shared" ca="1" si="116"/>
        <v/>
      </c>
      <c r="CA72" s="202"/>
      <c r="CB72" s="396">
        <f t="shared" ca="1" si="65"/>
        <v>0</v>
      </c>
      <c r="CC72" s="393">
        <f t="shared" ref="CC72:CC78" ca="1" si="140">IF(CD72&gt;9,99999,$I72)</f>
        <v>99999</v>
      </c>
      <c r="CD72" s="202" t="str">
        <f t="shared" ref="CD72:CD78" ca="1" si="141">IF($K72=CC$6,$M72,IF($M72=CC$6,$K72,""))</f>
        <v/>
      </c>
      <c r="CE72" s="202" t="str">
        <f t="shared" ca="1" si="75"/>
        <v/>
      </c>
      <c r="CF72" s="394">
        <f t="shared" ca="1" si="117"/>
        <v>99999</v>
      </c>
      <c r="CG72" s="394" t="str">
        <f t="shared" ca="1" si="118"/>
        <v/>
      </c>
      <c r="CH72" s="395" t="str">
        <f t="shared" ca="1" si="119"/>
        <v/>
      </c>
      <c r="CJ72" s="396">
        <f t="shared" ca="1" si="66"/>
        <v>0</v>
      </c>
      <c r="CK72" s="393">
        <f t="shared" ref="CK72:CK78" ca="1" si="142">IF(CL72&gt;9,99999,$I72)</f>
        <v>99999</v>
      </c>
      <c r="CL72" s="202" t="str">
        <f t="shared" ref="CL72:CL78" ca="1" si="143">IF($K72=CK$6,$M72,IF($M72=CK$6,$K72,""))</f>
        <v/>
      </c>
      <c r="CM72" s="202" t="str">
        <f t="shared" ca="1" si="76"/>
        <v/>
      </c>
      <c r="CN72" s="394">
        <f t="shared" ca="1" si="120"/>
        <v>99999</v>
      </c>
      <c r="CO72" s="394" t="str">
        <f t="shared" ca="1" si="121"/>
        <v/>
      </c>
      <c r="CP72" s="395" t="str">
        <f t="shared" ca="1" si="122"/>
        <v/>
      </c>
    </row>
    <row r="73" spans="4:94" ht="17.25" x14ac:dyDescent="0.25">
      <c r="D73" s="159">
        <f t="shared" ca="1" si="123"/>
        <v>0</v>
      </c>
      <c r="E73" s="159" t="str">
        <f t="shared" ca="1" si="124"/>
        <v/>
      </c>
      <c r="F73" s="159">
        <f ca="1">IF($E73="",0,COUNTIF($E$7:$E73,INDEX($E$79:$E$150,ROW($A67))))</f>
        <v>0</v>
      </c>
      <c r="G73" s="205"/>
      <c r="H73" s="200">
        <v>67</v>
      </c>
      <c r="I73" s="227" t="str">
        <f ca="1">IF(OR($X$3,$H73&gt;Calc!$B$13/2*$D$6),"",$T$6+QUOTIENT(($H73-1),$T$22)*($T$8+$T$10)/1440+SUM($Q$7:$Q72)/1440)</f>
        <v/>
      </c>
      <c r="J73" s="229" t="str">
        <f ca="1">IF(OR($X$3,$H73&gt;Calc!$B$13/2*$D$6),"",MOD(($H73-1),$T$22)+1)</f>
        <v/>
      </c>
      <c r="K73" s="54" t="str">
        <f ca="1"/>
        <v/>
      </c>
      <c r="L73" s="53" t="s">
        <v>5</v>
      </c>
      <c r="M73" s="55" t="str">
        <f ca="1"/>
        <v/>
      </c>
      <c r="N73" s="52" t="str">
        <f t="shared" ca="1" si="125"/>
        <v/>
      </c>
      <c r="O73" s="50" t="s">
        <v>5</v>
      </c>
      <c r="P73" s="51" t="str">
        <f t="shared" ca="1" si="126"/>
        <v/>
      </c>
      <c r="Q73" s="381"/>
      <c r="R73" s="220"/>
      <c r="S73" s="221"/>
      <c r="T73" s="221"/>
      <c r="U73" s="221"/>
      <c r="V73" s="221"/>
      <c r="W73" s="202">
        <f t="shared" ref="W73:W78" ca="1" si="144">X73+AF73+AN73+AV73+BD73+BL73+BT73+CB73+CJ73</f>
        <v>0</v>
      </c>
      <c r="X73" s="396">
        <f t="shared" ca="1" si="67"/>
        <v>0</v>
      </c>
      <c r="Y73" s="393">
        <f t="shared" ca="1" si="127"/>
        <v>99999</v>
      </c>
      <c r="Z73" s="202" t="str">
        <f t="shared" ca="1" si="95"/>
        <v/>
      </c>
      <c r="AA73" s="202" t="str">
        <f t="shared" ca="1" si="68"/>
        <v/>
      </c>
      <c r="AB73" s="394">
        <f t="shared" ca="1" si="96"/>
        <v>99999</v>
      </c>
      <c r="AC73" s="394" t="str">
        <f t="shared" ca="1" si="97"/>
        <v/>
      </c>
      <c r="AD73" s="395" t="str">
        <f t="shared" ca="1" si="98"/>
        <v/>
      </c>
      <c r="AE73" s="202"/>
      <c r="AF73" s="396">
        <f t="shared" ref="AF73:AF78" ca="1" si="145">IF(AND(AG73&lt;99999,OR(AG73=AG72,AG73=AG71,AG73=AG70,)),1,0)</f>
        <v>0</v>
      </c>
      <c r="AG73" s="393">
        <f t="shared" ca="1" si="128"/>
        <v>99999</v>
      </c>
      <c r="AH73" s="202" t="str">
        <f t="shared" ca="1" si="129"/>
        <v/>
      </c>
      <c r="AI73" s="202" t="str">
        <f t="shared" ca="1" si="69"/>
        <v/>
      </c>
      <c r="AJ73" s="394">
        <f t="shared" ca="1" si="99"/>
        <v>99999</v>
      </c>
      <c r="AK73" s="394" t="str">
        <f t="shared" ca="1" si="100"/>
        <v/>
      </c>
      <c r="AL73" s="395" t="str">
        <f t="shared" ca="1" si="101"/>
        <v/>
      </c>
      <c r="AN73" s="396">
        <f t="shared" ref="AN73:AN78" ca="1" si="146">IF(AND(AO73&lt;99999,OR(AO73=AO72,AO73=AO71,AO73=AO70,)),1,0)</f>
        <v>0</v>
      </c>
      <c r="AO73" s="393">
        <f t="shared" ca="1" si="130"/>
        <v>99999</v>
      </c>
      <c r="AP73" s="202" t="str">
        <f t="shared" ca="1" si="131"/>
        <v/>
      </c>
      <c r="AQ73" s="202" t="str">
        <f t="shared" ca="1" si="70"/>
        <v/>
      </c>
      <c r="AR73" s="394">
        <f t="shared" ca="1" si="102"/>
        <v>99999</v>
      </c>
      <c r="AS73" s="394" t="str">
        <f t="shared" ca="1" si="103"/>
        <v/>
      </c>
      <c r="AT73" s="395" t="str">
        <f t="shared" ca="1" si="104"/>
        <v/>
      </c>
      <c r="AU73" s="202"/>
      <c r="AV73" s="396">
        <f t="shared" ref="AV73:AV78" ca="1" si="147">IF(AND(AW73&lt;99999,OR(AW73=AW72,AW73=AW71,AW73=AW70,)),1,0)</f>
        <v>0</v>
      </c>
      <c r="AW73" s="393">
        <f t="shared" ca="1" si="132"/>
        <v>99999</v>
      </c>
      <c r="AX73" s="202" t="str">
        <f t="shared" ca="1" si="133"/>
        <v/>
      </c>
      <c r="AY73" s="202" t="str">
        <f t="shared" ca="1" si="71"/>
        <v/>
      </c>
      <c r="AZ73" s="394">
        <f t="shared" ca="1" si="105"/>
        <v>99999</v>
      </c>
      <c r="BA73" s="394" t="str">
        <f t="shared" ca="1" si="106"/>
        <v/>
      </c>
      <c r="BB73" s="395" t="str">
        <f t="shared" ca="1" si="107"/>
        <v/>
      </c>
      <c r="BD73" s="396">
        <f t="shared" ref="BD73:BD78" ca="1" si="148">IF(AND(BE73&lt;99999,OR(BE73=BE72,BE73=BE71,BE73=BE70,)),1,0)</f>
        <v>0</v>
      </c>
      <c r="BE73" s="393">
        <f t="shared" ca="1" si="134"/>
        <v>99999</v>
      </c>
      <c r="BF73" s="202" t="str">
        <f t="shared" ca="1" si="135"/>
        <v/>
      </c>
      <c r="BG73" s="202" t="str">
        <f t="shared" ca="1" si="72"/>
        <v/>
      </c>
      <c r="BH73" s="394">
        <f t="shared" ca="1" si="108"/>
        <v>99999</v>
      </c>
      <c r="BI73" s="394" t="str">
        <f t="shared" ca="1" si="109"/>
        <v/>
      </c>
      <c r="BJ73" s="395" t="str">
        <f t="shared" ca="1" si="110"/>
        <v/>
      </c>
      <c r="BK73" s="202"/>
      <c r="BL73" s="396">
        <f t="shared" ref="BL73:BL78" ca="1" si="149">IF(AND(BM73&lt;99999,OR(BM73=BM72,BM73=BM71,BM73=BM70,)),1,0)</f>
        <v>0</v>
      </c>
      <c r="BM73" s="393">
        <f t="shared" ca="1" si="136"/>
        <v>99999</v>
      </c>
      <c r="BN73" s="202" t="str">
        <f t="shared" ca="1" si="137"/>
        <v/>
      </c>
      <c r="BO73" s="202" t="str">
        <f t="shared" ca="1" si="73"/>
        <v/>
      </c>
      <c r="BP73" s="394">
        <f t="shared" ca="1" si="111"/>
        <v>99999</v>
      </c>
      <c r="BQ73" s="394" t="str">
        <f t="shared" ca="1" si="112"/>
        <v/>
      </c>
      <c r="BR73" s="395" t="str">
        <f t="shared" ca="1" si="113"/>
        <v/>
      </c>
      <c r="BT73" s="396">
        <f t="shared" ref="BT73:BT78" ca="1" si="150">IF(AND(BU73&lt;99999,OR(BU73=BU72,BU73=BU71,BU73=BU70,)),1,0)</f>
        <v>0</v>
      </c>
      <c r="BU73" s="393">
        <f t="shared" ca="1" si="138"/>
        <v>99999</v>
      </c>
      <c r="BV73" s="202" t="str">
        <f t="shared" ca="1" si="139"/>
        <v/>
      </c>
      <c r="BW73" s="202" t="str">
        <f t="shared" ca="1" si="74"/>
        <v/>
      </c>
      <c r="BX73" s="394">
        <f t="shared" ca="1" si="114"/>
        <v>99999</v>
      </c>
      <c r="BY73" s="394" t="str">
        <f t="shared" ca="1" si="115"/>
        <v/>
      </c>
      <c r="BZ73" s="395" t="str">
        <f t="shared" ca="1" si="116"/>
        <v/>
      </c>
      <c r="CA73" s="202"/>
      <c r="CB73" s="396">
        <f t="shared" ref="CB73:CB78" ca="1" si="151">IF(AND(CC73&lt;99999,OR(CC73=CC72,CC73=CC71,CC73=CC70,)),1,0)</f>
        <v>0</v>
      </c>
      <c r="CC73" s="393">
        <f t="shared" ca="1" si="140"/>
        <v>99999</v>
      </c>
      <c r="CD73" s="202" t="str">
        <f t="shared" ca="1" si="141"/>
        <v/>
      </c>
      <c r="CE73" s="202" t="str">
        <f t="shared" ca="1" si="75"/>
        <v/>
      </c>
      <c r="CF73" s="394">
        <f t="shared" ca="1" si="117"/>
        <v>99999</v>
      </c>
      <c r="CG73" s="394" t="str">
        <f t="shared" ca="1" si="118"/>
        <v/>
      </c>
      <c r="CH73" s="395" t="str">
        <f t="shared" ca="1" si="119"/>
        <v/>
      </c>
      <c r="CJ73" s="396">
        <f t="shared" ref="CJ73:CJ78" ca="1" si="152">IF(AND(CK73&lt;99999,OR(CK73=CK72,CK73=CK71,CK73=CK70,)),1,0)</f>
        <v>0</v>
      </c>
      <c r="CK73" s="393">
        <f t="shared" ca="1" si="142"/>
        <v>99999</v>
      </c>
      <c r="CL73" s="202" t="str">
        <f t="shared" ca="1" si="143"/>
        <v/>
      </c>
      <c r="CM73" s="202" t="str">
        <f t="shared" ca="1" si="76"/>
        <v/>
      </c>
      <c r="CN73" s="394">
        <f t="shared" ca="1" si="120"/>
        <v>99999</v>
      </c>
      <c r="CO73" s="394" t="str">
        <f t="shared" ca="1" si="121"/>
        <v/>
      </c>
      <c r="CP73" s="395" t="str">
        <f t="shared" ca="1" si="122"/>
        <v/>
      </c>
    </row>
    <row r="74" spans="4:94" ht="17.25" x14ac:dyDescent="0.25">
      <c r="D74" s="159">
        <f t="shared" ca="1" si="123"/>
        <v>0</v>
      </c>
      <c r="E74" s="159" t="str">
        <f t="shared" ca="1" si="124"/>
        <v/>
      </c>
      <c r="F74" s="159">
        <f ca="1">IF($E74="",0,COUNTIF($E$7:$E74,INDEX($E$79:$E$150,ROW($A68))))</f>
        <v>0</v>
      </c>
      <c r="G74" s="205"/>
      <c r="H74" s="200">
        <v>68</v>
      </c>
      <c r="I74" s="227" t="str">
        <f ca="1">IF(OR($X$3,$H74&gt;Calc!$B$13/2*$D$6),"",$T$6+QUOTIENT(($H74-1),$T$22)*($T$8+$T$10)/1440+SUM($Q$7:$Q73)/1440)</f>
        <v/>
      </c>
      <c r="J74" s="229" t="str">
        <f ca="1">IF(OR($X$3,$H74&gt;Calc!$B$13/2*$D$6),"",MOD(($H74-1),$T$22)+1)</f>
        <v/>
      </c>
      <c r="K74" s="54" t="str">
        <f ca="1"/>
        <v/>
      </c>
      <c r="L74" s="53" t="s">
        <v>5</v>
      </c>
      <c r="M74" s="55" t="str">
        <f ca="1"/>
        <v/>
      </c>
      <c r="N74" s="52" t="str">
        <f t="shared" ca="1" si="125"/>
        <v/>
      </c>
      <c r="O74" s="50" t="s">
        <v>5</v>
      </c>
      <c r="P74" s="51" t="str">
        <f t="shared" ca="1" si="126"/>
        <v/>
      </c>
      <c r="Q74" s="381"/>
      <c r="R74" s="220"/>
      <c r="S74" s="221"/>
      <c r="T74" s="221"/>
      <c r="U74" s="221"/>
      <c r="V74" s="221"/>
      <c r="W74" s="202">
        <f t="shared" ca="1" si="144"/>
        <v>0</v>
      </c>
      <c r="X74" s="396">
        <f t="shared" ref="X74:X78" ca="1" si="153">IF(AND(Y74&lt;99999,OR(Y74=Y73,Y74=Y72,Y74=Y71,)),1,0)</f>
        <v>0</v>
      </c>
      <c r="Y74" s="393">
        <f t="shared" ca="1" si="127"/>
        <v>99999</v>
      </c>
      <c r="Z74" s="202" t="str">
        <f t="shared" ca="1" si="95"/>
        <v/>
      </c>
      <c r="AA74" s="202" t="str">
        <f t="shared" ca="1" si="68"/>
        <v/>
      </c>
      <c r="AB74" s="394">
        <f t="shared" ca="1" si="96"/>
        <v>99999</v>
      </c>
      <c r="AC74" s="394" t="str">
        <f t="shared" ca="1" si="97"/>
        <v/>
      </c>
      <c r="AD74" s="395" t="str">
        <f t="shared" ca="1" si="98"/>
        <v/>
      </c>
      <c r="AE74" s="202"/>
      <c r="AF74" s="396">
        <f t="shared" ca="1" si="145"/>
        <v>0</v>
      </c>
      <c r="AG74" s="393">
        <f t="shared" ca="1" si="128"/>
        <v>99999</v>
      </c>
      <c r="AH74" s="202" t="str">
        <f t="shared" ca="1" si="129"/>
        <v/>
      </c>
      <c r="AI74" s="202" t="str">
        <f t="shared" ca="1" si="69"/>
        <v/>
      </c>
      <c r="AJ74" s="394">
        <f t="shared" ca="1" si="99"/>
        <v>99999</v>
      </c>
      <c r="AK74" s="394" t="str">
        <f t="shared" ca="1" si="100"/>
        <v/>
      </c>
      <c r="AL74" s="395" t="str">
        <f t="shared" ca="1" si="101"/>
        <v/>
      </c>
      <c r="AN74" s="396">
        <f t="shared" ca="1" si="146"/>
        <v>0</v>
      </c>
      <c r="AO74" s="393">
        <f t="shared" ca="1" si="130"/>
        <v>99999</v>
      </c>
      <c r="AP74" s="202" t="str">
        <f t="shared" ca="1" si="131"/>
        <v/>
      </c>
      <c r="AQ74" s="202" t="str">
        <f t="shared" ca="1" si="70"/>
        <v/>
      </c>
      <c r="AR74" s="394">
        <f t="shared" ca="1" si="102"/>
        <v>99999</v>
      </c>
      <c r="AS74" s="394" t="str">
        <f t="shared" ca="1" si="103"/>
        <v/>
      </c>
      <c r="AT74" s="395" t="str">
        <f t="shared" ca="1" si="104"/>
        <v/>
      </c>
      <c r="AU74" s="202"/>
      <c r="AV74" s="396">
        <f t="shared" ca="1" si="147"/>
        <v>0</v>
      </c>
      <c r="AW74" s="393">
        <f t="shared" ca="1" si="132"/>
        <v>99999</v>
      </c>
      <c r="AX74" s="202" t="str">
        <f t="shared" ca="1" si="133"/>
        <v/>
      </c>
      <c r="AY74" s="202" t="str">
        <f t="shared" ca="1" si="71"/>
        <v/>
      </c>
      <c r="AZ74" s="394">
        <f t="shared" ca="1" si="105"/>
        <v>99999</v>
      </c>
      <c r="BA74" s="394" t="str">
        <f t="shared" ca="1" si="106"/>
        <v/>
      </c>
      <c r="BB74" s="395" t="str">
        <f t="shared" ca="1" si="107"/>
        <v/>
      </c>
      <c r="BD74" s="396">
        <f t="shared" ca="1" si="148"/>
        <v>0</v>
      </c>
      <c r="BE74" s="393">
        <f t="shared" ca="1" si="134"/>
        <v>99999</v>
      </c>
      <c r="BF74" s="202" t="str">
        <f t="shared" ca="1" si="135"/>
        <v/>
      </c>
      <c r="BG74" s="202" t="str">
        <f t="shared" ca="1" si="72"/>
        <v/>
      </c>
      <c r="BH74" s="394">
        <f t="shared" ca="1" si="108"/>
        <v>99999</v>
      </c>
      <c r="BI74" s="394" t="str">
        <f t="shared" ca="1" si="109"/>
        <v/>
      </c>
      <c r="BJ74" s="395" t="str">
        <f t="shared" ca="1" si="110"/>
        <v/>
      </c>
      <c r="BK74" s="202"/>
      <c r="BL74" s="396">
        <f t="shared" ca="1" si="149"/>
        <v>0</v>
      </c>
      <c r="BM74" s="393">
        <f t="shared" ca="1" si="136"/>
        <v>99999</v>
      </c>
      <c r="BN74" s="202" t="str">
        <f t="shared" ca="1" si="137"/>
        <v/>
      </c>
      <c r="BO74" s="202" t="str">
        <f t="shared" ca="1" si="73"/>
        <v/>
      </c>
      <c r="BP74" s="394">
        <f t="shared" ca="1" si="111"/>
        <v>99999</v>
      </c>
      <c r="BQ74" s="394" t="str">
        <f t="shared" ca="1" si="112"/>
        <v/>
      </c>
      <c r="BR74" s="395" t="str">
        <f t="shared" ca="1" si="113"/>
        <v/>
      </c>
      <c r="BT74" s="396">
        <f t="shared" ca="1" si="150"/>
        <v>0</v>
      </c>
      <c r="BU74" s="393">
        <f t="shared" ca="1" si="138"/>
        <v>99999</v>
      </c>
      <c r="BV74" s="202" t="str">
        <f t="shared" ca="1" si="139"/>
        <v/>
      </c>
      <c r="BW74" s="202" t="str">
        <f t="shared" ca="1" si="74"/>
        <v/>
      </c>
      <c r="BX74" s="394">
        <f t="shared" ca="1" si="114"/>
        <v>99999</v>
      </c>
      <c r="BY74" s="394" t="str">
        <f t="shared" ca="1" si="115"/>
        <v/>
      </c>
      <c r="BZ74" s="395" t="str">
        <f t="shared" ca="1" si="116"/>
        <v/>
      </c>
      <c r="CA74" s="202"/>
      <c r="CB74" s="396">
        <f t="shared" ca="1" si="151"/>
        <v>0</v>
      </c>
      <c r="CC74" s="393">
        <f t="shared" ca="1" si="140"/>
        <v>99999</v>
      </c>
      <c r="CD74" s="202" t="str">
        <f t="shared" ca="1" si="141"/>
        <v/>
      </c>
      <c r="CE74" s="202" t="str">
        <f t="shared" ca="1" si="75"/>
        <v/>
      </c>
      <c r="CF74" s="394">
        <f t="shared" ca="1" si="117"/>
        <v>99999</v>
      </c>
      <c r="CG74" s="394" t="str">
        <f t="shared" ca="1" si="118"/>
        <v/>
      </c>
      <c r="CH74" s="395" t="str">
        <f t="shared" ca="1" si="119"/>
        <v/>
      </c>
      <c r="CJ74" s="396">
        <f t="shared" ca="1" si="152"/>
        <v>0</v>
      </c>
      <c r="CK74" s="393">
        <f t="shared" ca="1" si="142"/>
        <v>99999</v>
      </c>
      <c r="CL74" s="202" t="str">
        <f t="shared" ca="1" si="143"/>
        <v/>
      </c>
      <c r="CM74" s="202" t="str">
        <f t="shared" ca="1" si="76"/>
        <v/>
      </c>
      <c r="CN74" s="394">
        <f t="shared" ca="1" si="120"/>
        <v>99999</v>
      </c>
      <c r="CO74" s="394" t="str">
        <f t="shared" ca="1" si="121"/>
        <v/>
      </c>
      <c r="CP74" s="395" t="str">
        <f t="shared" ca="1" si="122"/>
        <v/>
      </c>
    </row>
    <row r="75" spans="4:94" ht="17.25" x14ac:dyDescent="0.25">
      <c r="D75" s="159">
        <f t="shared" ca="1" si="123"/>
        <v>0</v>
      </c>
      <c r="E75" s="159" t="str">
        <f t="shared" ca="1" si="124"/>
        <v/>
      </c>
      <c r="F75" s="159">
        <f ca="1">IF($E75="",0,COUNTIF($E$7:$E75,INDEX($E$79:$E$150,ROW($A69))))</f>
        <v>0</v>
      </c>
      <c r="G75" s="205"/>
      <c r="H75" s="200">
        <v>69</v>
      </c>
      <c r="I75" s="227" t="str">
        <f ca="1">IF(OR($X$3,$H75&gt;Calc!$B$13/2*$D$6),"",$T$6+QUOTIENT(($H75-1),$T$22)*($T$8+$T$10)/1440+SUM($Q$7:$Q74)/1440)</f>
        <v/>
      </c>
      <c r="J75" s="229" t="str">
        <f ca="1">IF(OR($X$3,$H75&gt;Calc!$B$13/2*$D$6),"",MOD(($H75-1),$T$22)+1)</f>
        <v/>
      </c>
      <c r="K75" s="54" t="str">
        <f ca="1"/>
        <v/>
      </c>
      <c r="L75" s="53" t="s">
        <v>5</v>
      </c>
      <c r="M75" s="55" t="str">
        <f ca="1"/>
        <v/>
      </c>
      <c r="N75" s="52" t="str">
        <f t="shared" ca="1" si="125"/>
        <v/>
      </c>
      <c r="O75" s="50" t="s">
        <v>5</v>
      </c>
      <c r="P75" s="51" t="str">
        <f t="shared" ca="1" si="126"/>
        <v/>
      </c>
      <c r="Q75" s="381"/>
      <c r="R75" s="220"/>
      <c r="S75" s="221"/>
      <c r="T75" s="221"/>
      <c r="U75" s="221"/>
      <c r="V75" s="221"/>
      <c r="W75" s="202">
        <f t="shared" ca="1" si="144"/>
        <v>0</v>
      </c>
      <c r="X75" s="396">
        <f t="shared" ca="1" si="153"/>
        <v>0</v>
      </c>
      <c r="Y75" s="393">
        <f t="shared" ca="1" si="127"/>
        <v>99999</v>
      </c>
      <c r="Z75" s="202" t="str">
        <f t="shared" ca="1" si="95"/>
        <v/>
      </c>
      <c r="AA75" s="202" t="str">
        <f t="shared" ca="1" si="68"/>
        <v/>
      </c>
      <c r="AB75" s="394">
        <f t="shared" ca="1" si="96"/>
        <v>99999</v>
      </c>
      <c r="AC75" s="394" t="str">
        <f t="shared" ca="1" si="97"/>
        <v/>
      </c>
      <c r="AD75" s="395" t="str">
        <f t="shared" ca="1" si="98"/>
        <v/>
      </c>
      <c r="AE75" s="202"/>
      <c r="AF75" s="396">
        <f t="shared" ca="1" si="145"/>
        <v>0</v>
      </c>
      <c r="AG75" s="393">
        <f t="shared" ca="1" si="128"/>
        <v>99999</v>
      </c>
      <c r="AH75" s="202" t="str">
        <f t="shared" ca="1" si="129"/>
        <v/>
      </c>
      <c r="AI75" s="202" t="str">
        <f t="shared" ca="1" si="69"/>
        <v/>
      </c>
      <c r="AJ75" s="394">
        <f t="shared" ca="1" si="99"/>
        <v>99999</v>
      </c>
      <c r="AK75" s="394" t="str">
        <f t="shared" ca="1" si="100"/>
        <v/>
      </c>
      <c r="AL75" s="395" t="str">
        <f t="shared" ca="1" si="101"/>
        <v/>
      </c>
      <c r="AN75" s="396">
        <f t="shared" ca="1" si="146"/>
        <v>0</v>
      </c>
      <c r="AO75" s="393">
        <f t="shared" ca="1" si="130"/>
        <v>99999</v>
      </c>
      <c r="AP75" s="202" t="str">
        <f t="shared" ca="1" si="131"/>
        <v/>
      </c>
      <c r="AQ75" s="202" t="str">
        <f t="shared" ca="1" si="70"/>
        <v/>
      </c>
      <c r="AR75" s="394">
        <f t="shared" ca="1" si="102"/>
        <v>99999</v>
      </c>
      <c r="AS75" s="394" t="str">
        <f t="shared" ca="1" si="103"/>
        <v/>
      </c>
      <c r="AT75" s="395" t="str">
        <f t="shared" ca="1" si="104"/>
        <v/>
      </c>
      <c r="AU75" s="202"/>
      <c r="AV75" s="396">
        <f t="shared" ca="1" si="147"/>
        <v>0</v>
      </c>
      <c r="AW75" s="393">
        <f t="shared" ca="1" si="132"/>
        <v>99999</v>
      </c>
      <c r="AX75" s="202" t="str">
        <f t="shared" ca="1" si="133"/>
        <v/>
      </c>
      <c r="AY75" s="202" t="str">
        <f t="shared" ca="1" si="71"/>
        <v/>
      </c>
      <c r="AZ75" s="394">
        <f t="shared" ca="1" si="105"/>
        <v>99999</v>
      </c>
      <c r="BA75" s="394" t="str">
        <f t="shared" ca="1" si="106"/>
        <v/>
      </c>
      <c r="BB75" s="395" t="str">
        <f t="shared" ca="1" si="107"/>
        <v/>
      </c>
      <c r="BD75" s="396">
        <f t="shared" ca="1" si="148"/>
        <v>0</v>
      </c>
      <c r="BE75" s="393">
        <f t="shared" ca="1" si="134"/>
        <v>99999</v>
      </c>
      <c r="BF75" s="202" t="str">
        <f t="shared" ca="1" si="135"/>
        <v/>
      </c>
      <c r="BG75" s="202" t="str">
        <f t="shared" ca="1" si="72"/>
        <v/>
      </c>
      <c r="BH75" s="394">
        <f t="shared" ca="1" si="108"/>
        <v>99999</v>
      </c>
      <c r="BI75" s="394" t="str">
        <f t="shared" ca="1" si="109"/>
        <v/>
      </c>
      <c r="BJ75" s="395" t="str">
        <f t="shared" ca="1" si="110"/>
        <v/>
      </c>
      <c r="BK75" s="202"/>
      <c r="BL75" s="396">
        <f t="shared" ca="1" si="149"/>
        <v>0</v>
      </c>
      <c r="BM75" s="393">
        <f t="shared" ca="1" si="136"/>
        <v>99999</v>
      </c>
      <c r="BN75" s="202" t="str">
        <f t="shared" ca="1" si="137"/>
        <v/>
      </c>
      <c r="BO75" s="202" t="str">
        <f t="shared" ca="1" si="73"/>
        <v/>
      </c>
      <c r="BP75" s="394">
        <f t="shared" ca="1" si="111"/>
        <v>99999</v>
      </c>
      <c r="BQ75" s="394" t="str">
        <f t="shared" ca="1" si="112"/>
        <v/>
      </c>
      <c r="BR75" s="395" t="str">
        <f t="shared" ca="1" si="113"/>
        <v/>
      </c>
      <c r="BT75" s="396">
        <f t="shared" ca="1" si="150"/>
        <v>0</v>
      </c>
      <c r="BU75" s="393">
        <f t="shared" ca="1" si="138"/>
        <v>99999</v>
      </c>
      <c r="BV75" s="202" t="str">
        <f t="shared" ca="1" si="139"/>
        <v/>
      </c>
      <c r="BW75" s="202" t="str">
        <f t="shared" ca="1" si="74"/>
        <v/>
      </c>
      <c r="BX75" s="394">
        <f t="shared" ca="1" si="114"/>
        <v>99999</v>
      </c>
      <c r="BY75" s="394" t="str">
        <f t="shared" ca="1" si="115"/>
        <v/>
      </c>
      <c r="BZ75" s="395" t="str">
        <f t="shared" ca="1" si="116"/>
        <v/>
      </c>
      <c r="CA75" s="202"/>
      <c r="CB75" s="396">
        <f t="shared" ca="1" si="151"/>
        <v>0</v>
      </c>
      <c r="CC75" s="393">
        <f t="shared" ca="1" si="140"/>
        <v>99999</v>
      </c>
      <c r="CD75" s="202" t="str">
        <f t="shared" ca="1" si="141"/>
        <v/>
      </c>
      <c r="CE75" s="202" t="str">
        <f t="shared" ca="1" si="75"/>
        <v/>
      </c>
      <c r="CF75" s="394">
        <f t="shared" ca="1" si="117"/>
        <v>99999</v>
      </c>
      <c r="CG75" s="394" t="str">
        <f t="shared" ca="1" si="118"/>
        <v/>
      </c>
      <c r="CH75" s="395" t="str">
        <f t="shared" ca="1" si="119"/>
        <v/>
      </c>
      <c r="CJ75" s="396">
        <f t="shared" ca="1" si="152"/>
        <v>0</v>
      </c>
      <c r="CK75" s="393">
        <f t="shared" ca="1" si="142"/>
        <v>99999</v>
      </c>
      <c r="CL75" s="202" t="str">
        <f t="shared" ca="1" si="143"/>
        <v/>
      </c>
      <c r="CM75" s="202" t="str">
        <f t="shared" ca="1" si="76"/>
        <v/>
      </c>
      <c r="CN75" s="394">
        <f t="shared" ca="1" si="120"/>
        <v>99999</v>
      </c>
      <c r="CO75" s="394" t="str">
        <f t="shared" ca="1" si="121"/>
        <v/>
      </c>
      <c r="CP75" s="395" t="str">
        <f t="shared" ca="1" si="122"/>
        <v/>
      </c>
    </row>
    <row r="76" spans="4:94" ht="17.25" x14ac:dyDescent="0.25">
      <c r="D76" s="159">
        <f t="shared" ca="1" si="123"/>
        <v>0</v>
      </c>
      <c r="E76" s="159" t="str">
        <f t="shared" ca="1" si="124"/>
        <v/>
      </c>
      <c r="F76" s="159">
        <f ca="1">IF($E76="",0,COUNTIF($E$7:$E76,INDEX($E$79:$E$150,ROW($A70))))</f>
        <v>0</v>
      </c>
      <c r="G76" s="205"/>
      <c r="H76" s="200">
        <v>70</v>
      </c>
      <c r="I76" s="227" t="str">
        <f ca="1">IF(OR($X$3,$H76&gt;Calc!$B$13/2*$D$6),"",$T$6+QUOTIENT(($H76-1),$T$22)*($T$8+$T$10)/1440+SUM($Q$7:$Q75)/1440)</f>
        <v/>
      </c>
      <c r="J76" s="229" t="str">
        <f ca="1">IF(OR($X$3,$H76&gt;Calc!$B$13/2*$D$6),"",MOD(($H76-1),$T$22)+1)</f>
        <v/>
      </c>
      <c r="K76" s="54" t="str">
        <f ca="1"/>
        <v/>
      </c>
      <c r="L76" s="53" t="s">
        <v>5</v>
      </c>
      <c r="M76" s="55" t="str">
        <f ca="1"/>
        <v/>
      </c>
      <c r="N76" s="52" t="str">
        <f t="shared" ca="1" si="125"/>
        <v/>
      </c>
      <c r="O76" s="50" t="s">
        <v>5</v>
      </c>
      <c r="P76" s="51" t="str">
        <f t="shared" ca="1" si="126"/>
        <v/>
      </c>
      <c r="Q76" s="381"/>
      <c r="R76" s="220"/>
      <c r="S76" s="221"/>
      <c r="T76" s="221"/>
      <c r="U76" s="221"/>
      <c r="V76" s="221"/>
      <c r="W76" s="202">
        <f t="shared" ca="1" si="144"/>
        <v>0</v>
      </c>
      <c r="X76" s="396">
        <f t="shared" ca="1" si="153"/>
        <v>0</v>
      </c>
      <c r="Y76" s="393">
        <f t="shared" ca="1" si="127"/>
        <v>99999</v>
      </c>
      <c r="Z76" s="202" t="str">
        <f t="shared" ca="1" si="95"/>
        <v/>
      </c>
      <c r="AA76" s="202" t="str">
        <f t="shared" ca="1" si="68"/>
        <v/>
      </c>
      <c r="AB76" s="394">
        <f t="shared" ca="1" si="96"/>
        <v>99999</v>
      </c>
      <c r="AC76" s="394" t="str">
        <f t="shared" ca="1" si="97"/>
        <v/>
      </c>
      <c r="AD76" s="395" t="str">
        <f t="shared" ca="1" si="98"/>
        <v/>
      </c>
      <c r="AE76" s="202"/>
      <c r="AF76" s="396">
        <f t="shared" ca="1" si="145"/>
        <v>0</v>
      </c>
      <c r="AG76" s="393">
        <f t="shared" ca="1" si="128"/>
        <v>99999</v>
      </c>
      <c r="AH76" s="202" t="str">
        <f t="shared" ca="1" si="129"/>
        <v/>
      </c>
      <c r="AI76" s="202" t="str">
        <f t="shared" ca="1" si="69"/>
        <v/>
      </c>
      <c r="AJ76" s="394">
        <f t="shared" ca="1" si="99"/>
        <v>99999</v>
      </c>
      <c r="AK76" s="394" t="str">
        <f t="shared" ca="1" si="100"/>
        <v/>
      </c>
      <c r="AL76" s="395" t="str">
        <f t="shared" ca="1" si="101"/>
        <v/>
      </c>
      <c r="AN76" s="396">
        <f t="shared" ca="1" si="146"/>
        <v>0</v>
      </c>
      <c r="AO76" s="393">
        <f t="shared" ca="1" si="130"/>
        <v>99999</v>
      </c>
      <c r="AP76" s="202" t="str">
        <f t="shared" ca="1" si="131"/>
        <v/>
      </c>
      <c r="AQ76" s="202" t="str">
        <f t="shared" ca="1" si="70"/>
        <v/>
      </c>
      <c r="AR76" s="394">
        <f t="shared" ca="1" si="102"/>
        <v>99999</v>
      </c>
      <c r="AS76" s="394" t="str">
        <f t="shared" ca="1" si="103"/>
        <v/>
      </c>
      <c r="AT76" s="395" t="str">
        <f t="shared" ca="1" si="104"/>
        <v/>
      </c>
      <c r="AU76" s="202"/>
      <c r="AV76" s="396">
        <f t="shared" ca="1" si="147"/>
        <v>0</v>
      </c>
      <c r="AW76" s="393">
        <f t="shared" ca="1" si="132"/>
        <v>99999</v>
      </c>
      <c r="AX76" s="202" t="str">
        <f t="shared" ca="1" si="133"/>
        <v/>
      </c>
      <c r="AY76" s="202" t="str">
        <f t="shared" ca="1" si="71"/>
        <v/>
      </c>
      <c r="AZ76" s="394">
        <f t="shared" ca="1" si="105"/>
        <v>99999</v>
      </c>
      <c r="BA76" s="394" t="str">
        <f t="shared" ca="1" si="106"/>
        <v/>
      </c>
      <c r="BB76" s="395" t="str">
        <f t="shared" ca="1" si="107"/>
        <v/>
      </c>
      <c r="BD76" s="396">
        <f t="shared" ca="1" si="148"/>
        <v>0</v>
      </c>
      <c r="BE76" s="393">
        <f t="shared" ca="1" si="134"/>
        <v>99999</v>
      </c>
      <c r="BF76" s="202" t="str">
        <f t="shared" ca="1" si="135"/>
        <v/>
      </c>
      <c r="BG76" s="202" t="str">
        <f t="shared" ca="1" si="72"/>
        <v/>
      </c>
      <c r="BH76" s="394">
        <f t="shared" ca="1" si="108"/>
        <v>99999</v>
      </c>
      <c r="BI76" s="394" t="str">
        <f t="shared" ca="1" si="109"/>
        <v/>
      </c>
      <c r="BJ76" s="395" t="str">
        <f t="shared" ca="1" si="110"/>
        <v/>
      </c>
      <c r="BK76" s="202"/>
      <c r="BL76" s="396">
        <f t="shared" ca="1" si="149"/>
        <v>0</v>
      </c>
      <c r="BM76" s="393">
        <f t="shared" ca="1" si="136"/>
        <v>99999</v>
      </c>
      <c r="BN76" s="202" t="str">
        <f t="shared" ca="1" si="137"/>
        <v/>
      </c>
      <c r="BO76" s="202" t="str">
        <f t="shared" ca="1" si="73"/>
        <v/>
      </c>
      <c r="BP76" s="394">
        <f t="shared" ca="1" si="111"/>
        <v>99999</v>
      </c>
      <c r="BQ76" s="394" t="str">
        <f t="shared" ca="1" si="112"/>
        <v/>
      </c>
      <c r="BR76" s="395" t="str">
        <f t="shared" ca="1" si="113"/>
        <v/>
      </c>
      <c r="BT76" s="396">
        <f t="shared" ca="1" si="150"/>
        <v>0</v>
      </c>
      <c r="BU76" s="393">
        <f t="shared" ca="1" si="138"/>
        <v>99999</v>
      </c>
      <c r="BV76" s="202" t="str">
        <f t="shared" ca="1" si="139"/>
        <v/>
      </c>
      <c r="BW76" s="202" t="str">
        <f t="shared" ca="1" si="74"/>
        <v/>
      </c>
      <c r="BX76" s="394">
        <f t="shared" ca="1" si="114"/>
        <v>99999</v>
      </c>
      <c r="BY76" s="394" t="str">
        <f t="shared" ca="1" si="115"/>
        <v/>
      </c>
      <c r="BZ76" s="395" t="str">
        <f t="shared" ca="1" si="116"/>
        <v/>
      </c>
      <c r="CA76" s="202"/>
      <c r="CB76" s="396">
        <f t="shared" ca="1" si="151"/>
        <v>0</v>
      </c>
      <c r="CC76" s="393">
        <f t="shared" ca="1" si="140"/>
        <v>99999</v>
      </c>
      <c r="CD76" s="202" t="str">
        <f t="shared" ca="1" si="141"/>
        <v/>
      </c>
      <c r="CE76" s="202" t="str">
        <f t="shared" ca="1" si="75"/>
        <v/>
      </c>
      <c r="CF76" s="394">
        <f t="shared" ca="1" si="117"/>
        <v>99999</v>
      </c>
      <c r="CG76" s="394" t="str">
        <f t="shared" ca="1" si="118"/>
        <v/>
      </c>
      <c r="CH76" s="395" t="str">
        <f t="shared" ca="1" si="119"/>
        <v/>
      </c>
      <c r="CJ76" s="396">
        <f t="shared" ca="1" si="152"/>
        <v>0</v>
      </c>
      <c r="CK76" s="393">
        <f t="shared" ca="1" si="142"/>
        <v>99999</v>
      </c>
      <c r="CL76" s="202" t="str">
        <f t="shared" ca="1" si="143"/>
        <v/>
      </c>
      <c r="CM76" s="202" t="str">
        <f t="shared" ca="1" si="76"/>
        <v/>
      </c>
      <c r="CN76" s="394">
        <f t="shared" ca="1" si="120"/>
        <v>99999</v>
      </c>
      <c r="CO76" s="394" t="str">
        <f t="shared" ca="1" si="121"/>
        <v/>
      </c>
      <c r="CP76" s="395" t="str">
        <f t="shared" ca="1" si="122"/>
        <v/>
      </c>
    </row>
    <row r="77" spans="4:94" ht="18" thickBot="1" x14ac:dyDescent="0.3">
      <c r="D77" s="159">
        <f t="shared" ca="1" si="123"/>
        <v>0</v>
      </c>
      <c r="E77" s="159" t="str">
        <f t="shared" ca="1" si="124"/>
        <v/>
      </c>
      <c r="F77" s="159">
        <f ca="1">IF($E77="",0,COUNTIF($E$7:$E77,INDEX($E$79:$E$150,ROW($A71))))</f>
        <v>0</v>
      </c>
      <c r="G77" s="205"/>
      <c r="H77" s="200">
        <v>71</v>
      </c>
      <c r="I77" s="227" t="str">
        <f ca="1">IF(OR($X$3,$H77&gt;Calc!$B$13/2*$D$6),"",$T$6+QUOTIENT(($H77-1),$T$22)*($T$8+$T$10)/1440+SUM($Q$7:$Q76)/1440)</f>
        <v/>
      </c>
      <c r="J77" s="229" t="str">
        <f ca="1">IF(OR($X$3,$H77&gt;Calc!$B$13/2*$D$6),"",MOD(($H77-1),$T$22)+1)</f>
        <v/>
      </c>
      <c r="K77" s="54" t="str">
        <f ca="1"/>
        <v/>
      </c>
      <c r="L77" s="53" t="s">
        <v>5</v>
      </c>
      <c r="M77" s="55" t="str">
        <f ca="1"/>
        <v/>
      </c>
      <c r="N77" s="52" t="str">
        <f t="shared" ca="1" si="125"/>
        <v/>
      </c>
      <c r="O77" s="50" t="s">
        <v>5</v>
      </c>
      <c r="P77" s="51" t="str">
        <f t="shared" ca="1" si="126"/>
        <v/>
      </c>
      <c r="Q77" s="382"/>
      <c r="R77" s="220"/>
      <c r="S77" s="221"/>
      <c r="T77" s="221"/>
      <c r="U77" s="221"/>
      <c r="V77" s="221"/>
      <c r="W77" s="202">
        <f t="shared" ca="1" si="144"/>
        <v>0</v>
      </c>
      <c r="X77" s="396">
        <f t="shared" ca="1" si="153"/>
        <v>0</v>
      </c>
      <c r="Y77" s="393">
        <f t="shared" ca="1" si="127"/>
        <v>99999</v>
      </c>
      <c r="Z77" s="202" t="str">
        <f t="shared" ca="1" si="95"/>
        <v/>
      </c>
      <c r="AA77" s="202" t="str">
        <f t="shared" ref="AA77:AA78" ca="1" si="154">IF(Z77&gt;9,"",$J77)</f>
        <v/>
      </c>
      <c r="AB77" s="394">
        <f t="shared" ca="1" si="96"/>
        <v>99999</v>
      </c>
      <c r="AC77" s="394" t="str">
        <f t="shared" ca="1" si="97"/>
        <v/>
      </c>
      <c r="AD77" s="395" t="str">
        <f t="shared" ca="1" si="98"/>
        <v/>
      </c>
      <c r="AE77" s="202"/>
      <c r="AF77" s="396">
        <f t="shared" ca="1" si="145"/>
        <v>0</v>
      </c>
      <c r="AG77" s="393">
        <f t="shared" ca="1" si="128"/>
        <v>99999</v>
      </c>
      <c r="AH77" s="202" t="str">
        <f t="shared" ca="1" si="129"/>
        <v/>
      </c>
      <c r="AI77" s="202" t="str">
        <f t="shared" ref="AI77:AI78" ca="1" si="155">IF(AH77&gt;9,"",$J77)</f>
        <v/>
      </c>
      <c r="AJ77" s="394">
        <f t="shared" ca="1" si="99"/>
        <v>99999</v>
      </c>
      <c r="AK77" s="394" t="str">
        <f t="shared" ca="1" si="100"/>
        <v/>
      </c>
      <c r="AL77" s="395" t="str">
        <f t="shared" ca="1" si="101"/>
        <v/>
      </c>
      <c r="AN77" s="396">
        <f t="shared" ca="1" si="146"/>
        <v>0</v>
      </c>
      <c r="AO77" s="393">
        <f t="shared" ca="1" si="130"/>
        <v>99999</v>
      </c>
      <c r="AP77" s="202" t="str">
        <f t="shared" ca="1" si="131"/>
        <v/>
      </c>
      <c r="AQ77" s="202" t="str">
        <f t="shared" ref="AQ77:AQ78" ca="1" si="156">IF(AP77&gt;9,"",$J77)</f>
        <v/>
      </c>
      <c r="AR77" s="394">
        <f t="shared" ca="1" si="102"/>
        <v>99999</v>
      </c>
      <c r="AS77" s="394" t="str">
        <f t="shared" ca="1" si="103"/>
        <v/>
      </c>
      <c r="AT77" s="395" t="str">
        <f t="shared" ca="1" si="104"/>
        <v/>
      </c>
      <c r="AU77" s="202"/>
      <c r="AV77" s="396">
        <f t="shared" ca="1" si="147"/>
        <v>0</v>
      </c>
      <c r="AW77" s="393">
        <f t="shared" ca="1" si="132"/>
        <v>99999</v>
      </c>
      <c r="AX77" s="202" t="str">
        <f t="shared" ca="1" si="133"/>
        <v/>
      </c>
      <c r="AY77" s="202" t="str">
        <f t="shared" ref="AY77:AY78" ca="1" si="157">IF(AX77&gt;9,"",$J77)</f>
        <v/>
      </c>
      <c r="AZ77" s="394">
        <f t="shared" ca="1" si="105"/>
        <v>99999</v>
      </c>
      <c r="BA77" s="394" t="str">
        <f t="shared" ca="1" si="106"/>
        <v/>
      </c>
      <c r="BB77" s="395" t="str">
        <f t="shared" ca="1" si="107"/>
        <v/>
      </c>
      <c r="BD77" s="396">
        <f t="shared" ca="1" si="148"/>
        <v>0</v>
      </c>
      <c r="BE77" s="393">
        <f t="shared" ca="1" si="134"/>
        <v>99999</v>
      </c>
      <c r="BF77" s="202" t="str">
        <f t="shared" ca="1" si="135"/>
        <v/>
      </c>
      <c r="BG77" s="202" t="str">
        <f t="shared" ref="BG77:BG78" ca="1" si="158">IF(BF77&gt;9,"",$J77)</f>
        <v/>
      </c>
      <c r="BH77" s="394">
        <f t="shared" ca="1" si="108"/>
        <v>99999</v>
      </c>
      <c r="BI77" s="394" t="str">
        <f t="shared" ca="1" si="109"/>
        <v/>
      </c>
      <c r="BJ77" s="395" t="str">
        <f t="shared" ca="1" si="110"/>
        <v/>
      </c>
      <c r="BK77" s="202"/>
      <c r="BL77" s="396">
        <f t="shared" ca="1" si="149"/>
        <v>0</v>
      </c>
      <c r="BM77" s="393">
        <f t="shared" ca="1" si="136"/>
        <v>99999</v>
      </c>
      <c r="BN77" s="202" t="str">
        <f t="shared" ca="1" si="137"/>
        <v/>
      </c>
      <c r="BO77" s="202" t="str">
        <f t="shared" ref="BO77:BO78" ca="1" si="159">IF(BN77&gt;9,"",$J77)</f>
        <v/>
      </c>
      <c r="BP77" s="394">
        <f t="shared" ca="1" si="111"/>
        <v>99999</v>
      </c>
      <c r="BQ77" s="394" t="str">
        <f t="shared" ca="1" si="112"/>
        <v/>
      </c>
      <c r="BR77" s="395" t="str">
        <f t="shared" ca="1" si="113"/>
        <v/>
      </c>
      <c r="BT77" s="396">
        <f t="shared" ca="1" si="150"/>
        <v>0</v>
      </c>
      <c r="BU77" s="393">
        <f t="shared" ca="1" si="138"/>
        <v>99999</v>
      </c>
      <c r="BV77" s="202" t="str">
        <f t="shared" ca="1" si="139"/>
        <v/>
      </c>
      <c r="BW77" s="202" t="str">
        <f t="shared" ref="BW77:BW78" ca="1" si="160">IF(BV77&gt;9,"",$J77)</f>
        <v/>
      </c>
      <c r="BX77" s="394">
        <f t="shared" ca="1" si="114"/>
        <v>99999</v>
      </c>
      <c r="BY77" s="394" t="str">
        <f t="shared" ca="1" si="115"/>
        <v/>
      </c>
      <c r="BZ77" s="395" t="str">
        <f t="shared" ca="1" si="116"/>
        <v/>
      </c>
      <c r="CA77" s="202"/>
      <c r="CB77" s="396">
        <f t="shared" ca="1" si="151"/>
        <v>0</v>
      </c>
      <c r="CC77" s="393">
        <f t="shared" ca="1" si="140"/>
        <v>99999</v>
      </c>
      <c r="CD77" s="202" t="str">
        <f t="shared" ca="1" si="141"/>
        <v/>
      </c>
      <c r="CE77" s="202" t="str">
        <f t="shared" ref="CE77:CE78" ca="1" si="161">IF(CD77&gt;9,"",$J77)</f>
        <v/>
      </c>
      <c r="CF77" s="394">
        <f t="shared" ca="1" si="117"/>
        <v>99999</v>
      </c>
      <c r="CG77" s="394" t="str">
        <f t="shared" ca="1" si="118"/>
        <v/>
      </c>
      <c r="CH77" s="395" t="str">
        <f t="shared" ca="1" si="119"/>
        <v/>
      </c>
      <c r="CJ77" s="396">
        <f t="shared" ca="1" si="152"/>
        <v>0</v>
      </c>
      <c r="CK77" s="393">
        <f t="shared" ca="1" si="142"/>
        <v>99999</v>
      </c>
      <c r="CL77" s="202" t="str">
        <f t="shared" ca="1" si="143"/>
        <v/>
      </c>
      <c r="CM77" s="202" t="str">
        <f t="shared" ref="CM77:CM78" ca="1" si="162">IF(CL77&gt;9,"",$J77)</f>
        <v/>
      </c>
      <c r="CN77" s="394">
        <f t="shared" ca="1" si="120"/>
        <v>99999</v>
      </c>
      <c r="CO77" s="394" t="str">
        <f t="shared" ca="1" si="121"/>
        <v/>
      </c>
      <c r="CP77" s="395" t="str">
        <f t="shared" ca="1" si="122"/>
        <v/>
      </c>
    </row>
    <row r="78" spans="4:94" ht="18" thickBot="1" x14ac:dyDescent="0.3">
      <c r="D78" s="161">
        <f t="shared" ca="1" si="123"/>
        <v>0</v>
      </c>
      <c r="E78" s="161" t="str">
        <f t="shared" ca="1" si="124"/>
        <v/>
      </c>
      <c r="F78" s="161">
        <f ca="1">IF($E78="",0,COUNTIF($E$7:$E78,INDEX($E$79:$E$150,ROW($A72))))</f>
        <v>0</v>
      </c>
      <c r="G78" s="205"/>
      <c r="H78" s="204">
        <v>72</v>
      </c>
      <c r="I78" s="230" t="str">
        <f ca="1">IF(OR($X$3,$H78&gt;Calc!$B$13/2*$D$6),"",$T$6+QUOTIENT(($H78-1),$T$22)*($T$8+$T$10)/1440+SUM($Q$7:$Q77)/1440)</f>
        <v/>
      </c>
      <c r="J78" s="377" t="str">
        <f ca="1">IF(OR($X$3,$H78&gt;Calc!$B$13/2*$D$6),"",MOD(($H78-1),$T$22)+1)</f>
        <v/>
      </c>
      <c r="K78" s="231" t="str">
        <f ca="1"/>
        <v/>
      </c>
      <c r="L78" s="232" t="s">
        <v>5</v>
      </c>
      <c r="M78" s="233" t="str">
        <f ca="1"/>
        <v/>
      </c>
      <c r="N78" s="328" t="str">
        <f t="shared" ca="1" si="125"/>
        <v/>
      </c>
      <c r="O78" s="234" t="s">
        <v>5</v>
      </c>
      <c r="P78" s="329" t="str">
        <f t="shared" ca="1" si="126"/>
        <v/>
      </c>
      <c r="Q78" s="379"/>
      <c r="R78" s="220"/>
      <c r="S78" s="221"/>
      <c r="T78" s="221"/>
      <c r="U78" s="221"/>
      <c r="V78" s="221"/>
      <c r="W78" s="202">
        <f t="shared" ca="1" si="144"/>
        <v>0</v>
      </c>
      <c r="X78" s="397">
        <f t="shared" ca="1" si="153"/>
        <v>0</v>
      </c>
      <c r="Y78" s="398">
        <f t="shared" ca="1" si="127"/>
        <v>99999</v>
      </c>
      <c r="Z78" s="390" t="str">
        <f t="shared" ca="1" si="95"/>
        <v/>
      </c>
      <c r="AA78" s="390" t="str">
        <f t="shared" ca="1" si="154"/>
        <v/>
      </c>
      <c r="AB78" s="399">
        <f t="shared" ca="1" si="96"/>
        <v>99999</v>
      </c>
      <c r="AC78" s="399" t="str">
        <f t="shared" ca="1" si="97"/>
        <v/>
      </c>
      <c r="AD78" s="400" t="str">
        <f t="shared" ca="1" si="98"/>
        <v/>
      </c>
      <c r="AE78" s="202"/>
      <c r="AF78" s="397">
        <f t="shared" ca="1" si="145"/>
        <v>0</v>
      </c>
      <c r="AG78" s="398">
        <f t="shared" ca="1" si="128"/>
        <v>99999</v>
      </c>
      <c r="AH78" s="390" t="str">
        <f t="shared" ca="1" si="129"/>
        <v/>
      </c>
      <c r="AI78" s="390" t="str">
        <f t="shared" ca="1" si="155"/>
        <v/>
      </c>
      <c r="AJ78" s="399">
        <f t="shared" ca="1" si="99"/>
        <v>99999</v>
      </c>
      <c r="AK78" s="399" t="str">
        <f t="shared" ca="1" si="100"/>
        <v/>
      </c>
      <c r="AL78" s="400" t="str">
        <f t="shared" ca="1" si="101"/>
        <v/>
      </c>
      <c r="AN78" s="397">
        <f t="shared" ca="1" si="146"/>
        <v>0</v>
      </c>
      <c r="AO78" s="398">
        <f t="shared" ca="1" si="130"/>
        <v>99999</v>
      </c>
      <c r="AP78" s="390" t="str">
        <f t="shared" ca="1" si="131"/>
        <v/>
      </c>
      <c r="AQ78" s="390" t="str">
        <f t="shared" ca="1" si="156"/>
        <v/>
      </c>
      <c r="AR78" s="399">
        <f t="shared" ca="1" si="102"/>
        <v>99999</v>
      </c>
      <c r="AS78" s="399" t="str">
        <f t="shared" ca="1" si="103"/>
        <v/>
      </c>
      <c r="AT78" s="400" t="str">
        <f t="shared" ca="1" si="104"/>
        <v/>
      </c>
      <c r="AU78" s="202"/>
      <c r="AV78" s="397">
        <f t="shared" ca="1" si="147"/>
        <v>0</v>
      </c>
      <c r="AW78" s="398">
        <f t="shared" ca="1" si="132"/>
        <v>99999</v>
      </c>
      <c r="AX78" s="390" t="str">
        <f t="shared" ca="1" si="133"/>
        <v/>
      </c>
      <c r="AY78" s="390" t="str">
        <f t="shared" ca="1" si="157"/>
        <v/>
      </c>
      <c r="AZ78" s="399">
        <f t="shared" ca="1" si="105"/>
        <v>99999</v>
      </c>
      <c r="BA78" s="399" t="str">
        <f t="shared" ca="1" si="106"/>
        <v/>
      </c>
      <c r="BB78" s="400" t="str">
        <f t="shared" ca="1" si="107"/>
        <v/>
      </c>
      <c r="BD78" s="397">
        <f t="shared" ca="1" si="148"/>
        <v>0</v>
      </c>
      <c r="BE78" s="398">
        <f t="shared" ca="1" si="134"/>
        <v>99999</v>
      </c>
      <c r="BF78" s="390" t="str">
        <f t="shared" ca="1" si="135"/>
        <v/>
      </c>
      <c r="BG78" s="390" t="str">
        <f t="shared" ca="1" si="158"/>
        <v/>
      </c>
      <c r="BH78" s="399">
        <f t="shared" ca="1" si="108"/>
        <v>99999</v>
      </c>
      <c r="BI78" s="399" t="str">
        <f t="shared" ca="1" si="109"/>
        <v/>
      </c>
      <c r="BJ78" s="400" t="str">
        <f t="shared" ca="1" si="110"/>
        <v/>
      </c>
      <c r="BK78" s="202"/>
      <c r="BL78" s="397">
        <f t="shared" ca="1" si="149"/>
        <v>0</v>
      </c>
      <c r="BM78" s="398">
        <f t="shared" ca="1" si="136"/>
        <v>99999</v>
      </c>
      <c r="BN78" s="390" t="str">
        <f t="shared" ca="1" si="137"/>
        <v/>
      </c>
      <c r="BO78" s="390" t="str">
        <f t="shared" ca="1" si="159"/>
        <v/>
      </c>
      <c r="BP78" s="399">
        <f t="shared" ca="1" si="111"/>
        <v>99999</v>
      </c>
      <c r="BQ78" s="399" t="str">
        <f t="shared" ca="1" si="112"/>
        <v/>
      </c>
      <c r="BR78" s="400" t="str">
        <f t="shared" ca="1" si="113"/>
        <v/>
      </c>
      <c r="BT78" s="397">
        <f t="shared" ca="1" si="150"/>
        <v>0</v>
      </c>
      <c r="BU78" s="398">
        <f t="shared" ca="1" si="138"/>
        <v>99999</v>
      </c>
      <c r="BV78" s="390" t="str">
        <f t="shared" ca="1" si="139"/>
        <v/>
      </c>
      <c r="BW78" s="390" t="str">
        <f t="shared" ca="1" si="160"/>
        <v/>
      </c>
      <c r="BX78" s="399">
        <f t="shared" ca="1" si="114"/>
        <v>99999</v>
      </c>
      <c r="BY78" s="399" t="str">
        <f t="shared" ca="1" si="115"/>
        <v/>
      </c>
      <c r="BZ78" s="400" t="str">
        <f t="shared" ca="1" si="116"/>
        <v/>
      </c>
      <c r="CA78" s="202"/>
      <c r="CB78" s="397">
        <f t="shared" ca="1" si="151"/>
        <v>0</v>
      </c>
      <c r="CC78" s="398">
        <f t="shared" ca="1" si="140"/>
        <v>99999</v>
      </c>
      <c r="CD78" s="390" t="str">
        <f t="shared" ca="1" si="141"/>
        <v/>
      </c>
      <c r="CE78" s="390" t="str">
        <f t="shared" ca="1" si="161"/>
        <v/>
      </c>
      <c r="CF78" s="399">
        <f t="shared" ca="1" si="117"/>
        <v>99999</v>
      </c>
      <c r="CG78" s="399" t="str">
        <f t="shared" ca="1" si="118"/>
        <v/>
      </c>
      <c r="CH78" s="400" t="str">
        <f t="shared" ca="1" si="119"/>
        <v/>
      </c>
      <c r="CJ78" s="397">
        <f t="shared" ca="1" si="152"/>
        <v>0</v>
      </c>
      <c r="CK78" s="398">
        <f t="shared" ca="1" si="142"/>
        <v>99999</v>
      </c>
      <c r="CL78" s="390" t="str">
        <f t="shared" ca="1" si="143"/>
        <v/>
      </c>
      <c r="CM78" s="390" t="str">
        <f t="shared" ca="1" si="162"/>
        <v/>
      </c>
      <c r="CN78" s="399">
        <f t="shared" ca="1" si="120"/>
        <v>99999</v>
      </c>
      <c r="CO78" s="399" t="str">
        <f t="shared" ca="1" si="121"/>
        <v/>
      </c>
      <c r="CP78" s="400" t="str">
        <f t="shared" ca="1" si="122"/>
        <v/>
      </c>
    </row>
    <row r="79" spans="4:94" ht="16.5" thickBot="1" x14ac:dyDescent="0.3">
      <c r="D79" s="159">
        <f t="shared" ref="D79:D135" ca="1" si="163">IF($E79="",0,COUNTIF($E$7:$E$78,$E79))</f>
        <v>1</v>
      </c>
      <c r="E79" s="159">
        <f ca="1">IF(OR($K7="",$M7=""),"",VALUE($M7&amp;$K7))</f>
        <v>27</v>
      </c>
      <c r="F79" s="159"/>
      <c r="G79" s="159"/>
      <c r="W79" s="401">
        <f ca="1">SUM(W7:W78)</f>
        <v>0</v>
      </c>
      <c r="Y79" s="201"/>
      <c r="Z79" s="201"/>
      <c r="AA79" s="201"/>
      <c r="AB79" s="402"/>
      <c r="AC79" s="402"/>
      <c r="AD79" s="201"/>
      <c r="AE79" s="201"/>
      <c r="AF79" s="201"/>
      <c r="AG79" s="201"/>
      <c r="AH79" s="201"/>
      <c r="AI79" s="201"/>
      <c r="AJ79" s="402"/>
      <c r="AK79" s="402"/>
      <c r="AL79" s="201"/>
      <c r="AN79" s="201"/>
      <c r="AO79" s="201"/>
      <c r="AP79" s="201"/>
      <c r="AQ79" s="201"/>
      <c r="AR79" s="402"/>
      <c r="AS79" s="402"/>
      <c r="AT79" s="201"/>
      <c r="AU79" s="201"/>
      <c r="AV79" s="201"/>
      <c r="AW79" s="201"/>
      <c r="AX79" s="201"/>
      <c r="AY79" s="201"/>
      <c r="AZ79" s="402"/>
      <c r="BA79" s="402"/>
      <c r="BB79" s="201"/>
      <c r="BD79" s="201"/>
      <c r="BE79" s="201"/>
      <c r="BF79" s="201"/>
      <c r="BG79" s="201"/>
      <c r="BH79" s="402"/>
      <c r="BI79" s="402"/>
      <c r="BJ79" s="201"/>
      <c r="BK79" s="201"/>
      <c r="BL79" s="201"/>
      <c r="BM79" s="201"/>
      <c r="BN79" s="201"/>
      <c r="BO79" s="201"/>
      <c r="BP79" s="402"/>
      <c r="BQ79" s="402"/>
      <c r="BR79" s="201"/>
      <c r="BT79" s="201"/>
      <c r="BU79" s="201"/>
      <c r="BV79" s="201"/>
      <c r="BW79" s="201"/>
      <c r="BX79" s="402"/>
      <c r="BY79" s="402"/>
      <c r="BZ79" s="201"/>
      <c r="CA79" s="201"/>
      <c r="CB79" s="201"/>
      <c r="CC79" s="201"/>
      <c r="CD79" s="201"/>
      <c r="CE79" s="201"/>
      <c r="CF79" s="402"/>
      <c r="CG79" s="402"/>
      <c r="CH79" s="201"/>
      <c r="CJ79" s="201"/>
      <c r="CK79" s="201"/>
      <c r="CL79" s="201"/>
      <c r="CM79" s="201"/>
      <c r="CN79" s="402"/>
      <c r="CO79" s="402"/>
      <c r="CP79" s="201"/>
    </row>
    <row r="80" spans="4:94" x14ac:dyDescent="0.25">
      <c r="D80" s="159">
        <f t="shared" ca="1" si="163"/>
        <v>1</v>
      </c>
      <c r="E80" s="159">
        <f t="shared" ref="E80:E143" ca="1" si="164">IF(OR($K8="",$M8=""),"",VALUE($M8&amp;$K8))</f>
        <v>63</v>
      </c>
      <c r="F80" s="159"/>
      <c r="G80" s="159"/>
    </row>
    <row r="81" spans="4:7" x14ac:dyDescent="0.25">
      <c r="D81" s="159">
        <f t="shared" ca="1" si="163"/>
        <v>1</v>
      </c>
      <c r="E81" s="159">
        <f t="shared" ca="1" si="164"/>
        <v>45</v>
      </c>
      <c r="F81" s="159"/>
      <c r="G81" s="159"/>
    </row>
    <row r="82" spans="4:7" hidden="1" x14ac:dyDescent="0.25">
      <c r="D82" s="159">
        <f t="shared" ca="1" si="163"/>
        <v>1</v>
      </c>
      <c r="E82" s="159">
        <f t="shared" ca="1" si="164"/>
        <v>17</v>
      </c>
      <c r="F82" s="159"/>
      <c r="G82" s="159"/>
    </row>
    <row r="83" spans="4:7" hidden="1" x14ac:dyDescent="0.25">
      <c r="D83" s="159">
        <f t="shared" ca="1" si="163"/>
        <v>1</v>
      </c>
      <c r="E83" s="159">
        <f t="shared" ca="1" si="164"/>
        <v>52</v>
      </c>
      <c r="F83" s="159"/>
      <c r="G83" s="159"/>
    </row>
    <row r="84" spans="4:7" hidden="1" x14ac:dyDescent="0.25">
      <c r="D84" s="159">
        <f t="shared" ca="1" si="163"/>
        <v>1</v>
      </c>
      <c r="E84" s="159">
        <f t="shared" ca="1" si="164"/>
        <v>34</v>
      </c>
      <c r="F84" s="159"/>
      <c r="G84" s="159"/>
    </row>
    <row r="85" spans="4:7" hidden="1" x14ac:dyDescent="0.25">
      <c r="D85" s="159">
        <f t="shared" ca="1" si="163"/>
        <v>1</v>
      </c>
      <c r="E85" s="159">
        <f t="shared" ca="1" si="164"/>
        <v>61</v>
      </c>
      <c r="F85" s="159"/>
      <c r="G85" s="159"/>
    </row>
    <row r="86" spans="4:7" hidden="1" x14ac:dyDescent="0.25">
      <c r="D86" s="159">
        <f t="shared" ca="1" si="163"/>
        <v>1</v>
      </c>
      <c r="E86" s="159">
        <f t="shared" ca="1" si="164"/>
        <v>75</v>
      </c>
      <c r="F86" s="159"/>
      <c r="G86" s="159"/>
    </row>
    <row r="87" spans="4:7" hidden="1" x14ac:dyDescent="0.25">
      <c r="D87" s="159">
        <f t="shared" ca="1" si="163"/>
        <v>1</v>
      </c>
      <c r="E87" s="159">
        <f t="shared" ca="1" si="164"/>
        <v>23</v>
      </c>
      <c r="F87" s="159"/>
      <c r="G87" s="159"/>
    </row>
    <row r="88" spans="4:7" hidden="1" x14ac:dyDescent="0.25">
      <c r="D88" s="159">
        <f t="shared" ca="1" si="163"/>
        <v>1</v>
      </c>
      <c r="E88" s="159">
        <f t="shared" ca="1" si="164"/>
        <v>15</v>
      </c>
      <c r="F88" s="159"/>
      <c r="G88" s="159"/>
    </row>
    <row r="89" spans="4:7" hidden="1" x14ac:dyDescent="0.25">
      <c r="D89" s="159">
        <f t="shared" ca="1" si="163"/>
        <v>1</v>
      </c>
      <c r="E89" s="159">
        <f t="shared" ca="1" si="164"/>
        <v>64</v>
      </c>
      <c r="F89" s="159"/>
      <c r="G89" s="159"/>
    </row>
    <row r="90" spans="4:7" hidden="1" x14ac:dyDescent="0.25">
      <c r="D90" s="159">
        <f t="shared" ca="1" si="163"/>
        <v>1</v>
      </c>
      <c r="E90" s="159">
        <f t="shared" ca="1" si="164"/>
        <v>37</v>
      </c>
      <c r="F90" s="159"/>
      <c r="G90" s="159"/>
    </row>
    <row r="91" spans="4:7" hidden="1" x14ac:dyDescent="0.25">
      <c r="D91" s="159">
        <f t="shared" ca="1" si="163"/>
        <v>1</v>
      </c>
      <c r="E91" s="159">
        <f t="shared" ca="1" si="164"/>
        <v>41</v>
      </c>
      <c r="F91" s="159"/>
      <c r="G91" s="159"/>
    </row>
    <row r="92" spans="4:7" hidden="1" x14ac:dyDescent="0.25">
      <c r="D92" s="159">
        <f t="shared" ca="1" si="163"/>
        <v>1</v>
      </c>
      <c r="E92" s="159">
        <f t="shared" ca="1" si="164"/>
        <v>53</v>
      </c>
      <c r="F92" s="159"/>
      <c r="G92" s="159"/>
    </row>
    <row r="93" spans="4:7" hidden="1" x14ac:dyDescent="0.25">
      <c r="D93" s="159">
        <f t="shared" ca="1" si="163"/>
        <v>1</v>
      </c>
      <c r="E93" s="159">
        <f t="shared" ca="1" si="164"/>
        <v>26</v>
      </c>
      <c r="F93" s="159"/>
      <c r="G93" s="159"/>
    </row>
    <row r="94" spans="4:7" hidden="1" x14ac:dyDescent="0.25">
      <c r="D94" s="159">
        <f t="shared" ca="1" si="163"/>
        <v>1</v>
      </c>
      <c r="E94" s="159">
        <f t="shared" ca="1" si="164"/>
        <v>13</v>
      </c>
      <c r="F94" s="159"/>
      <c r="G94" s="159"/>
    </row>
    <row r="95" spans="4:7" hidden="1" x14ac:dyDescent="0.25">
      <c r="D95" s="159">
        <f t="shared" ca="1" si="163"/>
        <v>1</v>
      </c>
      <c r="E95" s="159">
        <f t="shared" ca="1" si="164"/>
        <v>42</v>
      </c>
      <c r="F95" s="159"/>
      <c r="G95" s="159"/>
    </row>
    <row r="96" spans="4:7" hidden="1" x14ac:dyDescent="0.25">
      <c r="D96" s="159">
        <f t="shared" ca="1" si="163"/>
        <v>1</v>
      </c>
      <c r="E96" s="159">
        <f t="shared" ca="1" si="164"/>
        <v>67</v>
      </c>
      <c r="F96" s="159"/>
      <c r="G96" s="159"/>
    </row>
    <row r="97" spans="4:7" hidden="1" x14ac:dyDescent="0.25">
      <c r="D97" s="159">
        <f t="shared" ca="1" si="163"/>
        <v>1</v>
      </c>
      <c r="E97" s="159">
        <f t="shared" ca="1" si="164"/>
        <v>21</v>
      </c>
      <c r="F97" s="159"/>
      <c r="G97" s="159"/>
    </row>
    <row r="98" spans="4:7" hidden="1" x14ac:dyDescent="0.25">
      <c r="D98" s="159">
        <f t="shared" ca="1" si="163"/>
        <v>1</v>
      </c>
      <c r="E98" s="159">
        <f t="shared" ca="1" si="164"/>
        <v>74</v>
      </c>
      <c r="F98" s="159"/>
      <c r="G98" s="159"/>
    </row>
    <row r="99" spans="4:7" hidden="1" x14ac:dyDescent="0.25">
      <c r="D99" s="159">
        <f t="shared" ca="1" si="163"/>
        <v>1</v>
      </c>
      <c r="E99" s="159">
        <f t="shared" ca="1" si="164"/>
        <v>56</v>
      </c>
      <c r="F99" s="159"/>
      <c r="G99" s="159"/>
    </row>
    <row r="100" spans="4:7" hidden="1" x14ac:dyDescent="0.25">
      <c r="D100" s="159">
        <f t="shared" ca="1" si="163"/>
        <v>1</v>
      </c>
      <c r="E100" s="159">
        <f t="shared" ca="1" si="164"/>
        <v>72</v>
      </c>
      <c r="F100" s="159"/>
      <c r="G100" s="159"/>
    </row>
    <row r="101" spans="4:7" hidden="1" x14ac:dyDescent="0.25">
      <c r="D101" s="159">
        <f t="shared" ca="1" si="163"/>
        <v>1</v>
      </c>
      <c r="E101" s="159">
        <f t="shared" ca="1" si="164"/>
        <v>36</v>
      </c>
      <c r="F101" s="159"/>
      <c r="G101" s="159"/>
    </row>
    <row r="102" spans="4:7" hidden="1" x14ac:dyDescent="0.25">
      <c r="D102" s="159">
        <f t="shared" ca="1" si="163"/>
        <v>1</v>
      </c>
      <c r="E102" s="159">
        <f t="shared" ca="1" si="164"/>
        <v>54</v>
      </c>
      <c r="F102" s="159"/>
      <c r="G102" s="159"/>
    </row>
    <row r="103" spans="4:7" hidden="1" x14ac:dyDescent="0.25">
      <c r="D103" s="159">
        <f t="shared" ca="1" si="163"/>
        <v>1</v>
      </c>
      <c r="E103" s="159">
        <f t="shared" ca="1" si="164"/>
        <v>71</v>
      </c>
      <c r="F103" s="159"/>
      <c r="G103" s="159"/>
    </row>
    <row r="104" spans="4:7" hidden="1" x14ac:dyDescent="0.25">
      <c r="D104" s="159">
        <f t="shared" ca="1" si="163"/>
        <v>1</v>
      </c>
      <c r="E104" s="159">
        <f t="shared" ca="1" si="164"/>
        <v>25</v>
      </c>
      <c r="F104" s="159"/>
      <c r="G104" s="159"/>
    </row>
    <row r="105" spans="4:7" hidden="1" x14ac:dyDescent="0.25">
      <c r="D105" s="159">
        <f t="shared" ca="1" si="163"/>
        <v>1</v>
      </c>
      <c r="E105" s="159">
        <f t="shared" ca="1" si="164"/>
        <v>43</v>
      </c>
      <c r="F105" s="159"/>
      <c r="G105" s="159"/>
    </row>
    <row r="106" spans="4:7" hidden="1" x14ac:dyDescent="0.25">
      <c r="D106" s="159">
        <f t="shared" ca="1" si="163"/>
        <v>1</v>
      </c>
      <c r="E106" s="159">
        <f t="shared" ca="1" si="164"/>
        <v>16</v>
      </c>
      <c r="F106" s="159"/>
      <c r="G106" s="159"/>
    </row>
    <row r="107" spans="4:7" hidden="1" x14ac:dyDescent="0.25">
      <c r="D107" s="159">
        <f t="shared" ca="1" si="163"/>
        <v>1</v>
      </c>
      <c r="E107" s="159">
        <f t="shared" ca="1" si="164"/>
        <v>57</v>
      </c>
      <c r="F107" s="159"/>
      <c r="G107" s="159"/>
    </row>
    <row r="108" spans="4:7" hidden="1" x14ac:dyDescent="0.25">
      <c r="D108" s="159">
        <f t="shared" ca="1" si="163"/>
        <v>1</v>
      </c>
      <c r="E108" s="159">
        <f t="shared" ca="1" si="164"/>
        <v>32</v>
      </c>
      <c r="F108" s="159"/>
      <c r="G108" s="159"/>
    </row>
    <row r="109" spans="4:7" hidden="1" x14ac:dyDescent="0.25">
      <c r="D109" s="159">
        <f t="shared" ca="1" si="163"/>
        <v>1</v>
      </c>
      <c r="E109" s="159">
        <f t="shared" ca="1" si="164"/>
        <v>51</v>
      </c>
      <c r="F109" s="159"/>
      <c r="G109" s="159"/>
    </row>
    <row r="110" spans="4:7" hidden="1" x14ac:dyDescent="0.25">
      <c r="D110" s="159">
        <f t="shared" ca="1" si="163"/>
        <v>1</v>
      </c>
      <c r="E110" s="159">
        <f t="shared" ca="1" si="164"/>
        <v>46</v>
      </c>
      <c r="F110" s="159"/>
      <c r="G110" s="159"/>
    </row>
    <row r="111" spans="4:7" hidden="1" x14ac:dyDescent="0.25">
      <c r="D111" s="159">
        <f t="shared" ca="1" si="163"/>
        <v>1</v>
      </c>
      <c r="E111" s="159">
        <f t="shared" ca="1" si="164"/>
        <v>73</v>
      </c>
      <c r="F111" s="159"/>
      <c r="G111" s="159"/>
    </row>
    <row r="112" spans="4:7" hidden="1" x14ac:dyDescent="0.25">
      <c r="D112" s="159">
        <f t="shared" ca="1" si="163"/>
        <v>1</v>
      </c>
      <c r="E112" s="159">
        <f t="shared" ca="1" si="164"/>
        <v>14</v>
      </c>
      <c r="F112" s="159"/>
      <c r="G112" s="159"/>
    </row>
    <row r="113" spans="4:7" hidden="1" x14ac:dyDescent="0.25">
      <c r="D113" s="159">
        <f t="shared" ca="1" si="163"/>
        <v>1</v>
      </c>
      <c r="E113" s="159">
        <f t="shared" ca="1" si="164"/>
        <v>35</v>
      </c>
      <c r="F113" s="159"/>
      <c r="G113" s="159"/>
    </row>
    <row r="114" spans="4:7" hidden="1" x14ac:dyDescent="0.25">
      <c r="D114" s="159">
        <f t="shared" ca="1" si="163"/>
        <v>1</v>
      </c>
      <c r="E114" s="159">
        <f t="shared" ca="1" si="164"/>
        <v>62</v>
      </c>
      <c r="F114" s="159"/>
      <c r="G114" s="159"/>
    </row>
    <row r="115" spans="4:7" hidden="1" x14ac:dyDescent="0.25">
      <c r="D115" s="159">
        <f t="shared" ca="1" si="163"/>
        <v>1</v>
      </c>
      <c r="E115" s="159">
        <f t="shared" ca="1" si="164"/>
        <v>31</v>
      </c>
      <c r="F115" s="159"/>
      <c r="G115" s="159"/>
    </row>
    <row r="116" spans="4:7" hidden="1" x14ac:dyDescent="0.25">
      <c r="D116" s="159">
        <f t="shared" ca="1" si="163"/>
        <v>1</v>
      </c>
      <c r="E116" s="159">
        <f t="shared" ca="1" si="164"/>
        <v>24</v>
      </c>
      <c r="F116" s="159"/>
      <c r="G116" s="159"/>
    </row>
    <row r="117" spans="4:7" hidden="1" x14ac:dyDescent="0.25">
      <c r="D117" s="159">
        <f t="shared" ca="1" si="163"/>
        <v>1</v>
      </c>
      <c r="E117" s="159">
        <f t="shared" ca="1" si="164"/>
        <v>76</v>
      </c>
      <c r="F117" s="159"/>
      <c r="G117" s="159"/>
    </row>
    <row r="118" spans="4:7" hidden="1" x14ac:dyDescent="0.25">
      <c r="D118" s="159">
        <f t="shared" ca="1" si="163"/>
        <v>1</v>
      </c>
      <c r="E118" s="159">
        <f t="shared" ca="1" si="164"/>
        <v>12</v>
      </c>
      <c r="F118" s="159"/>
      <c r="G118" s="159"/>
    </row>
    <row r="119" spans="4:7" hidden="1" x14ac:dyDescent="0.25">
      <c r="D119" s="159">
        <f t="shared" ca="1" si="163"/>
        <v>1</v>
      </c>
      <c r="E119" s="159">
        <f t="shared" ca="1" si="164"/>
        <v>47</v>
      </c>
      <c r="F119" s="159"/>
      <c r="G119" s="159"/>
    </row>
    <row r="120" spans="4:7" hidden="1" x14ac:dyDescent="0.25">
      <c r="D120" s="159">
        <f t="shared" ca="1" si="163"/>
        <v>1</v>
      </c>
      <c r="E120" s="159">
        <f t="shared" ca="1" si="164"/>
        <v>65</v>
      </c>
      <c r="F120" s="159"/>
      <c r="G120" s="159"/>
    </row>
    <row r="121" spans="4:7" hidden="1" x14ac:dyDescent="0.25">
      <c r="D121" s="159">
        <f t="shared" ca="1" si="163"/>
        <v>0</v>
      </c>
      <c r="E121" s="159" t="str">
        <f t="shared" ca="1" si="164"/>
        <v/>
      </c>
      <c r="F121" s="159"/>
      <c r="G121" s="159"/>
    </row>
    <row r="122" spans="4:7" hidden="1" x14ac:dyDescent="0.25">
      <c r="D122" s="159">
        <f t="shared" ca="1" si="163"/>
        <v>0</v>
      </c>
      <c r="E122" s="159" t="str">
        <f t="shared" ca="1" si="164"/>
        <v/>
      </c>
      <c r="F122" s="159"/>
      <c r="G122" s="159"/>
    </row>
    <row r="123" spans="4:7" hidden="1" x14ac:dyDescent="0.25">
      <c r="D123" s="159">
        <f t="shared" ca="1" si="163"/>
        <v>0</v>
      </c>
      <c r="E123" s="159" t="str">
        <f t="shared" ca="1" si="164"/>
        <v/>
      </c>
      <c r="F123" s="159"/>
      <c r="G123" s="159"/>
    </row>
    <row r="124" spans="4:7" hidden="1" x14ac:dyDescent="0.25">
      <c r="D124" s="159">
        <f t="shared" ca="1" si="163"/>
        <v>0</v>
      </c>
      <c r="E124" s="159" t="str">
        <f t="shared" ca="1" si="164"/>
        <v/>
      </c>
      <c r="F124" s="159"/>
      <c r="G124" s="159"/>
    </row>
    <row r="125" spans="4:7" hidden="1" x14ac:dyDescent="0.25">
      <c r="D125" s="159">
        <f t="shared" ca="1" si="163"/>
        <v>0</v>
      </c>
      <c r="E125" s="159" t="str">
        <f t="shared" ca="1" si="164"/>
        <v/>
      </c>
      <c r="F125" s="159"/>
      <c r="G125" s="159"/>
    </row>
    <row r="126" spans="4:7" hidden="1" x14ac:dyDescent="0.25">
      <c r="D126" s="159">
        <f t="shared" ca="1" si="163"/>
        <v>0</v>
      </c>
      <c r="E126" s="159" t="str">
        <f t="shared" ca="1" si="164"/>
        <v/>
      </c>
      <c r="F126" s="159"/>
      <c r="G126" s="159"/>
    </row>
    <row r="127" spans="4:7" hidden="1" x14ac:dyDescent="0.25">
      <c r="D127" s="159">
        <f t="shared" ca="1" si="163"/>
        <v>0</v>
      </c>
      <c r="E127" s="159" t="str">
        <f t="shared" ca="1" si="164"/>
        <v/>
      </c>
      <c r="F127" s="159"/>
      <c r="G127" s="159"/>
    </row>
    <row r="128" spans="4:7" hidden="1" x14ac:dyDescent="0.25">
      <c r="D128" s="159">
        <f t="shared" ca="1" si="163"/>
        <v>0</v>
      </c>
      <c r="E128" s="159" t="str">
        <f t="shared" ca="1" si="164"/>
        <v/>
      </c>
      <c r="F128" s="159"/>
      <c r="G128" s="159"/>
    </row>
    <row r="129" spans="4:7" hidden="1" x14ac:dyDescent="0.25">
      <c r="D129" s="159">
        <f t="shared" ca="1" si="163"/>
        <v>0</v>
      </c>
      <c r="E129" s="159" t="str">
        <f t="shared" ca="1" si="164"/>
        <v/>
      </c>
      <c r="F129" s="159"/>
      <c r="G129" s="159"/>
    </row>
    <row r="130" spans="4:7" hidden="1" x14ac:dyDescent="0.25">
      <c r="D130" s="159">
        <f t="shared" ca="1" si="163"/>
        <v>0</v>
      </c>
      <c r="E130" s="159" t="str">
        <f t="shared" ca="1" si="164"/>
        <v/>
      </c>
      <c r="F130" s="159"/>
      <c r="G130" s="159"/>
    </row>
    <row r="131" spans="4:7" hidden="1" x14ac:dyDescent="0.25">
      <c r="D131" s="159">
        <f t="shared" ca="1" si="163"/>
        <v>0</v>
      </c>
      <c r="E131" s="159" t="str">
        <f t="shared" ca="1" si="164"/>
        <v/>
      </c>
      <c r="F131" s="159"/>
      <c r="G131" s="159"/>
    </row>
    <row r="132" spans="4:7" hidden="1" x14ac:dyDescent="0.25">
      <c r="D132" s="159">
        <f t="shared" ca="1" si="163"/>
        <v>0</v>
      </c>
      <c r="E132" s="159" t="str">
        <f t="shared" ca="1" si="164"/>
        <v/>
      </c>
      <c r="F132" s="159"/>
      <c r="G132" s="159"/>
    </row>
    <row r="133" spans="4:7" hidden="1" x14ac:dyDescent="0.25">
      <c r="D133" s="159">
        <f t="shared" ca="1" si="163"/>
        <v>0</v>
      </c>
      <c r="E133" s="159" t="str">
        <f t="shared" ca="1" si="164"/>
        <v/>
      </c>
      <c r="F133" s="159"/>
      <c r="G133" s="159"/>
    </row>
    <row r="134" spans="4:7" hidden="1" x14ac:dyDescent="0.25">
      <c r="D134" s="159">
        <f t="shared" ca="1" si="163"/>
        <v>0</v>
      </c>
      <c r="E134" s="159" t="str">
        <f t="shared" ca="1" si="164"/>
        <v/>
      </c>
      <c r="F134" s="159"/>
      <c r="G134" s="159"/>
    </row>
    <row r="135" spans="4:7" hidden="1" x14ac:dyDescent="0.25">
      <c r="D135" s="159">
        <f t="shared" ca="1" si="163"/>
        <v>0</v>
      </c>
      <c r="E135" s="159" t="str">
        <f t="shared" ca="1" si="164"/>
        <v/>
      </c>
      <c r="F135" s="159"/>
      <c r="G135" s="159"/>
    </row>
    <row r="136" spans="4:7" hidden="1" x14ac:dyDescent="0.25">
      <c r="D136" s="159">
        <f t="shared" ref="D136:D150" ca="1" si="165">IF($E136="",0,COUNTIF($E$7:$E$78,$E136))</f>
        <v>0</v>
      </c>
      <c r="E136" s="159" t="str">
        <f t="shared" ca="1" si="164"/>
        <v/>
      </c>
      <c r="F136" s="159"/>
      <c r="G136" s="159"/>
    </row>
    <row r="137" spans="4:7" hidden="1" x14ac:dyDescent="0.25">
      <c r="D137" s="159">
        <f t="shared" ca="1" si="165"/>
        <v>0</v>
      </c>
      <c r="E137" s="159" t="str">
        <f t="shared" ca="1" si="164"/>
        <v/>
      </c>
      <c r="F137" s="159"/>
      <c r="G137" s="159"/>
    </row>
    <row r="138" spans="4:7" hidden="1" x14ac:dyDescent="0.25">
      <c r="D138" s="159">
        <f t="shared" ca="1" si="165"/>
        <v>0</v>
      </c>
      <c r="E138" s="159" t="str">
        <f t="shared" ca="1" si="164"/>
        <v/>
      </c>
      <c r="F138" s="159"/>
      <c r="G138" s="159"/>
    </row>
    <row r="139" spans="4:7" hidden="1" x14ac:dyDescent="0.25">
      <c r="D139" s="159">
        <f t="shared" ca="1" si="165"/>
        <v>0</v>
      </c>
      <c r="E139" s="159" t="str">
        <f t="shared" ca="1" si="164"/>
        <v/>
      </c>
      <c r="F139" s="159"/>
      <c r="G139" s="159"/>
    </row>
    <row r="140" spans="4:7" hidden="1" x14ac:dyDescent="0.25">
      <c r="D140" s="159">
        <f t="shared" ca="1" si="165"/>
        <v>0</v>
      </c>
      <c r="E140" s="159" t="str">
        <f t="shared" ca="1" si="164"/>
        <v/>
      </c>
      <c r="F140" s="159"/>
      <c r="G140" s="159"/>
    </row>
    <row r="141" spans="4:7" hidden="1" x14ac:dyDescent="0.25">
      <c r="D141" s="159">
        <f t="shared" ca="1" si="165"/>
        <v>0</v>
      </c>
      <c r="E141" s="159" t="str">
        <f t="shared" ca="1" si="164"/>
        <v/>
      </c>
      <c r="F141" s="159"/>
      <c r="G141" s="159"/>
    </row>
    <row r="142" spans="4:7" hidden="1" x14ac:dyDescent="0.25">
      <c r="D142" s="159">
        <f t="shared" ca="1" si="165"/>
        <v>0</v>
      </c>
      <c r="E142" s="159" t="str">
        <f t="shared" ca="1" si="164"/>
        <v/>
      </c>
      <c r="F142" s="159"/>
      <c r="G142" s="159"/>
    </row>
    <row r="143" spans="4:7" hidden="1" x14ac:dyDescent="0.25">
      <c r="D143" s="159">
        <f t="shared" ca="1" si="165"/>
        <v>0</v>
      </c>
      <c r="E143" s="159" t="str">
        <f t="shared" ca="1" si="164"/>
        <v/>
      </c>
      <c r="F143" s="159"/>
      <c r="G143" s="159"/>
    </row>
    <row r="144" spans="4:7" hidden="1" x14ac:dyDescent="0.25">
      <c r="D144" s="159">
        <f t="shared" ca="1" si="165"/>
        <v>0</v>
      </c>
      <c r="E144" s="159" t="str">
        <f t="shared" ref="E144:E150" ca="1" si="166">IF(OR($K72="",$M72=""),"",VALUE($M72&amp;$K72))</f>
        <v/>
      </c>
      <c r="F144" s="159"/>
      <c r="G144" s="159"/>
    </row>
    <row r="145" spans="4:7" hidden="1" x14ac:dyDescent="0.25">
      <c r="D145" s="159">
        <f t="shared" ca="1" si="165"/>
        <v>0</v>
      </c>
      <c r="E145" s="159" t="str">
        <f t="shared" ca="1" si="166"/>
        <v/>
      </c>
      <c r="F145" s="159"/>
      <c r="G145" s="159"/>
    </row>
    <row r="146" spans="4:7" hidden="1" x14ac:dyDescent="0.25">
      <c r="D146" s="159">
        <f t="shared" ca="1" si="165"/>
        <v>0</v>
      </c>
      <c r="E146" s="159" t="str">
        <f t="shared" ca="1" si="166"/>
        <v/>
      </c>
      <c r="F146" s="159"/>
      <c r="G146" s="159"/>
    </row>
    <row r="147" spans="4:7" hidden="1" x14ac:dyDescent="0.25">
      <c r="D147" s="159">
        <f t="shared" ca="1" si="165"/>
        <v>0</v>
      </c>
      <c r="E147" s="159" t="str">
        <f t="shared" ca="1" si="166"/>
        <v/>
      </c>
      <c r="F147" s="159"/>
      <c r="G147" s="159"/>
    </row>
    <row r="148" spans="4:7" hidden="1" x14ac:dyDescent="0.25">
      <c r="D148" s="159">
        <f t="shared" ca="1" si="165"/>
        <v>0</v>
      </c>
      <c r="E148" s="159" t="str">
        <f t="shared" ca="1" si="166"/>
        <v/>
      </c>
      <c r="F148" s="159"/>
      <c r="G148" s="159"/>
    </row>
    <row r="149" spans="4:7" hidden="1" x14ac:dyDescent="0.25">
      <c r="D149" s="159">
        <f t="shared" ca="1" si="165"/>
        <v>0</v>
      </c>
      <c r="E149" s="159" t="str">
        <f t="shared" ca="1" si="166"/>
        <v/>
      </c>
      <c r="F149" s="159"/>
      <c r="G149" s="159"/>
    </row>
    <row r="150" spans="4:7" hidden="1" x14ac:dyDescent="0.25">
      <c r="D150" s="159">
        <f t="shared" ca="1" si="165"/>
        <v>0</v>
      </c>
      <c r="E150" s="159" t="str">
        <f t="shared" ca="1" si="166"/>
        <v/>
      </c>
      <c r="F150" s="159"/>
      <c r="G150" s="159"/>
    </row>
  </sheetData>
  <sheetProtection sheet="1" selectLockedCells="1"/>
  <mergeCells count="47">
    <mergeCell ref="S19:U19"/>
    <mergeCell ref="S20:U20"/>
    <mergeCell ref="S16:U17"/>
    <mergeCell ref="Q5:Q6"/>
    <mergeCell ref="U1:V1"/>
    <mergeCell ref="U2:V2"/>
    <mergeCell ref="U6:U7"/>
    <mergeCell ref="U8:U9"/>
    <mergeCell ref="U10:U11"/>
    <mergeCell ref="U12:U13"/>
    <mergeCell ref="H2:P2"/>
    <mergeCell ref="S14:S15"/>
    <mergeCell ref="T14:T15"/>
    <mergeCell ref="U14:U15"/>
    <mergeCell ref="S12:S13"/>
    <mergeCell ref="K6:M6"/>
    <mergeCell ref="N6:P6"/>
    <mergeCell ref="N4:P4"/>
    <mergeCell ref="H5:P5"/>
    <mergeCell ref="S6:S7"/>
    <mergeCell ref="S8:S9"/>
    <mergeCell ref="S10:S11"/>
    <mergeCell ref="T6:T7"/>
    <mergeCell ref="T8:T9"/>
    <mergeCell ref="T10:T11"/>
    <mergeCell ref="T12:T13"/>
    <mergeCell ref="B27:C29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14:B15"/>
    <mergeCell ref="C6:C7"/>
    <mergeCell ref="C8:C9"/>
    <mergeCell ref="C10:C11"/>
    <mergeCell ref="C12:C13"/>
    <mergeCell ref="C14:C15"/>
    <mergeCell ref="B6:B7"/>
    <mergeCell ref="B8:B9"/>
    <mergeCell ref="B10:B11"/>
    <mergeCell ref="B12:B13"/>
  </mergeCells>
  <conditionalFormatting sqref="C8:C9">
    <cfRule type="expression" dxfId="66" priority="49">
      <formula>OR($C$8=$C$10,$C$8=$C$12,$C$8=$C$14,$C$8=$C$16,$C$8=$C$18,$C$8=$C$20,$C$8=$C$22,$C$8=$C$24)</formula>
    </cfRule>
  </conditionalFormatting>
  <conditionalFormatting sqref="C10:C11">
    <cfRule type="expression" dxfId="65" priority="48">
      <formula>OR($C$10=$C$8,$C$10=$C$12,$C$10=$C$14,$C$10=$C$16,$C$10=$C$18,$C$10=$C$20,$C$10=$C$22,$C$10=$C$24)</formula>
    </cfRule>
  </conditionalFormatting>
  <conditionalFormatting sqref="C12:C13">
    <cfRule type="expression" dxfId="64" priority="47">
      <formula>OR($C$12=$C$8,$C$12=$C$10,$C$12=$C$14,$C$12=$C$16,$C$12=$C$18,$C$12=$C$20,$C$12=$C$22,$C$12=$C$24)</formula>
    </cfRule>
  </conditionalFormatting>
  <conditionalFormatting sqref="C14:C15">
    <cfRule type="expression" dxfId="63" priority="46">
      <formula>OR($C$14=$C$8,$C$14=$C$10,$C$14=$C$12,$C$14=$C$16,$C$14=$C$18,$C$14=$C$20,$C$14=$C$22,$C$14=$C$24)</formula>
    </cfRule>
  </conditionalFormatting>
  <conditionalFormatting sqref="C16:C17">
    <cfRule type="expression" dxfId="62" priority="45">
      <formula>OR($C$16=$C$8,$C$16=$C$10,$C$16=$C$12,$C$16=$C$14,$C$16=$C$18,$C$16=$C$20,$C$16=$C$22,$C$16=$C$24)</formula>
    </cfRule>
  </conditionalFormatting>
  <conditionalFormatting sqref="C18:C19">
    <cfRule type="expression" dxfId="61" priority="44">
      <formula>OR($C$18=$C$8,$C$18=$C$10,$C$18=$C$12,$C$18=$C$14,$C$18=$C$16,$C$18=$C$20,$C$18=$C$22,$C$18=$C$24)</formula>
    </cfRule>
  </conditionalFormatting>
  <conditionalFormatting sqref="C20:C21">
    <cfRule type="expression" dxfId="60" priority="43">
      <formula>OR($C$20=$C$8,$C$20=$C$10,$C$20=$C$12,$C$20=$C$14,$C$20=$C$16,$C$20=$C$18,$C$20=$C$22,$C$20=$C$24)</formula>
    </cfRule>
  </conditionalFormatting>
  <conditionalFormatting sqref="C22:C23">
    <cfRule type="expression" dxfId="59" priority="42">
      <formula>OR($C$22=$C$8,$C$22=$C$10,$C$22=$C$12,$C$22=$C$14,$C$22=$C$16,$C$22=$C$18,$C$22=$C$20,$C$22=$C$24)</formula>
    </cfRule>
  </conditionalFormatting>
  <conditionalFormatting sqref="C24:C25">
    <cfRule type="expression" dxfId="58" priority="41">
      <formula>OR($C$24=$C$8,$C$24=$C$10,$C$24=$C$12,$C$24=$C$14,$C$24=$C$16,$C$24=$C$18,$C$24=$C$20,$C$24=$C$22)</formula>
    </cfRule>
  </conditionalFormatting>
  <conditionalFormatting sqref="B27">
    <cfRule type="expression" dxfId="57" priority="40">
      <formula>$A$6&gt;1</formula>
    </cfRule>
  </conditionalFormatting>
  <conditionalFormatting sqref="H5:Q5">
    <cfRule type="expression" dxfId="56" priority="38">
      <formula>$D$6&gt;2</formula>
    </cfRule>
  </conditionalFormatting>
  <conditionalFormatting sqref="N4:Q4">
    <cfRule type="expression" dxfId="55" priority="37">
      <formula>$R$4=FALSE</formula>
    </cfRule>
  </conditionalFormatting>
  <conditionalFormatting sqref="H7:Q7 H8:H77 K8:Q77 I8:J78">
    <cfRule type="expression" dxfId="54" priority="4">
      <formula>$H7=$F$5</formula>
    </cfRule>
  </conditionalFormatting>
  <conditionalFormatting sqref="K7:K78 M7:M78">
    <cfRule type="expression" dxfId="53" priority="3">
      <formula>$D7&gt;2</formula>
    </cfRule>
  </conditionalFormatting>
  <conditionalFormatting sqref="H7:Q7 H8:H77 K8:Q77 I8:J78">
    <cfRule type="expression" dxfId="52" priority="5">
      <formula>$H7=$E$5</formula>
    </cfRule>
  </conditionalFormatting>
  <conditionalFormatting sqref="H7:Q78">
    <cfRule type="expression" dxfId="51" priority="2">
      <formula>AND($N7&lt;&gt;"",$P7&lt;&gt;"",OR($H7=$T$18,$H7=$U$18),NOT($X$3))</formula>
    </cfRule>
  </conditionalFormatting>
  <dataValidations count="5">
    <dataValidation type="whole" allowBlank="1" showInputMessage="1" showErrorMessage="1" errorTitle="Unzulässige Teilnehmernummer" error="Es müssen Zahlen von 1 bis 9 eingetragen werden!" sqref="K7:K78 M7:M78" xr:uid="{CAC7C01B-7BAE-47E8-B074-E9CCB35B452D}">
      <formula1>1</formula1>
      <formula2>9</formula2>
    </dataValidation>
    <dataValidation type="whole" allowBlank="1" showInputMessage="1" showErrorMessage="1" sqref="T8:T9" xr:uid="{1E2B1F9C-CAE6-45D8-BC68-0C447D604C0C}">
      <formula1>1</formula1>
      <formula2>300</formula2>
    </dataValidation>
    <dataValidation type="whole" allowBlank="1" showInputMessage="1" showErrorMessage="1" sqref="T10:T11" xr:uid="{59F97142-60A8-4A58-B0DB-932B8905A842}">
      <formula1>0</formula1>
      <formula2>120</formula2>
    </dataValidation>
    <dataValidation type="whole" allowBlank="1" showInputMessage="1" showErrorMessage="1" sqref="T12:T13" xr:uid="{DC2A127C-6CBA-4285-AE65-DC515D218BA8}">
      <formula1>1</formula1>
      <formula2>4</formula2>
    </dataValidation>
    <dataValidation type="time" allowBlank="1" showInputMessage="1" showErrorMessage="1" sqref="T6:T7" xr:uid="{3BCAB1DB-132B-4059-A00A-E3BB5FE30AB9}">
      <formula1>0</formula1>
      <formula2>0.999305555555556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locked="0" defaultSize="0" autoFill="0" autoLine="0" autoPict="0" altText=" ABC">
                <anchor moveWithCells="1">
                  <from>
                    <xdr:col>13</xdr:col>
                    <xdr:colOff>314325</xdr:colOff>
                    <xdr:row>3</xdr:row>
                    <xdr:rowOff>0</xdr:rowOff>
                  </from>
                  <to>
                    <xdr:col>13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43E7-B268-47FE-BEEA-52DCE3BC93F1}">
  <dimension ref="A1:Q86"/>
  <sheetViews>
    <sheetView showGridLines="0" showRowColHeaders="0" workbookViewId="0"/>
  </sheetViews>
  <sheetFormatPr baseColWidth="10" defaultColWidth="0" defaultRowHeight="12.75" zeroHeight="1" x14ac:dyDescent="0.2"/>
  <cols>
    <col min="1" max="8" width="11.42578125" customWidth="1"/>
    <col min="9" max="9" width="3.7109375" customWidth="1"/>
    <col min="10" max="17" width="11.42578125" customWidth="1"/>
    <col min="18" max="16384" width="11.42578125" hidden="1"/>
  </cols>
  <sheetData>
    <row r="1" spans="1:10" x14ac:dyDescent="0.2">
      <c r="A1" s="81"/>
    </row>
    <row r="2" spans="1:10" x14ac:dyDescent="0.2">
      <c r="B2" s="113" t="s">
        <v>151</v>
      </c>
      <c r="J2" s="113" t="s">
        <v>152</v>
      </c>
    </row>
    <row r="3" spans="1:10" x14ac:dyDescent="0.2"/>
    <row r="4" spans="1:10" x14ac:dyDescent="0.2"/>
    <row r="5" spans="1:10" x14ac:dyDescent="0.2"/>
    <row r="6" spans="1:10" x14ac:dyDescent="0.2"/>
    <row r="7" spans="1:10" x14ac:dyDescent="0.2"/>
    <row r="8" spans="1:10" x14ac:dyDescent="0.2"/>
    <row r="9" spans="1:10" x14ac:dyDescent="0.2"/>
    <row r="10" spans="1:10" x14ac:dyDescent="0.2"/>
    <row r="11" spans="1:10" x14ac:dyDescent="0.2"/>
    <row r="12" spans="1:10" x14ac:dyDescent="0.2"/>
    <row r="13" spans="1:10" x14ac:dyDescent="0.2"/>
    <row r="14" spans="1:10" x14ac:dyDescent="0.2"/>
    <row r="15" spans="1:10" x14ac:dyDescent="0.2"/>
    <row r="16" spans="1:10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spans="2:16" x14ac:dyDescent="0.2"/>
    <row r="66" spans="2:16" x14ac:dyDescent="0.2"/>
    <row r="67" spans="2:16" x14ac:dyDescent="0.2"/>
    <row r="68" spans="2:16" x14ac:dyDescent="0.2"/>
    <row r="69" spans="2:16" x14ac:dyDescent="0.2"/>
    <row r="70" spans="2:16" x14ac:dyDescent="0.2"/>
    <row r="71" spans="2:16" x14ac:dyDescent="0.2"/>
    <row r="72" spans="2:16" x14ac:dyDescent="0.2"/>
    <row r="73" spans="2:16" x14ac:dyDescent="0.2"/>
    <row r="74" spans="2:16" x14ac:dyDescent="0.2"/>
    <row r="75" spans="2:16" x14ac:dyDescent="0.2"/>
    <row r="76" spans="2:16" x14ac:dyDescent="0.2"/>
    <row r="77" spans="2:16" x14ac:dyDescent="0.2"/>
    <row r="78" spans="2:16" x14ac:dyDescent="0.2"/>
    <row r="79" spans="2:16" x14ac:dyDescent="0.2">
      <c r="B79" s="190"/>
      <c r="C79" s="191"/>
      <c r="D79" s="191"/>
      <c r="E79" s="191"/>
      <c r="F79" s="191"/>
      <c r="G79" s="191"/>
      <c r="H79" s="191"/>
      <c r="I79" s="192"/>
      <c r="J79" s="190"/>
      <c r="K79" s="191"/>
      <c r="L79" s="191"/>
      <c r="M79" s="191"/>
      <c r="N79" s="191"/>
      <c r="O79" s="191"/>
      <c r="P79" s="250"/>
    </row>
    <row r="80" spans="2:16" x14ac:dyDescent="0.2">
      <c r="B80" s="553" t="s">
        <v>154</v>
      </c>
      <c r="C80" s="554"/>
      <c r="D80" s="554"/>
      <c r="E80" s="554"/>
      <c r="F80" s="554"/>
      <c r="G80" s="554"/>
      <c r="H80" s="554"/>
      <c r="I80" s="193"/>
      <c r="J80" s="553" t="s">
        <v>58</v>
      </c>
      <c r="K80" s="554"/>
      <c r="L80" s="554"/>
      <c r="M80" s="554"/>
      <c r="N80" s="554"/>
      <c r="O80" s="554"/>
      <c r="P80" s="555"/>
    </row>
    <row r="81" spans="2:16" x14ac:dyDescent="0.2">
      <c r="B81" s="556" t="s">
        <v>57</v>
      </c>
      <c r="C81" s="557"/>
      <c r="D81" s="557"/>
      <c r="E81" s="557"/>
      <c r="F81" s="557"/>
      <c r="G81" s="557"/>
      <c r="H81" s="557"/>
      <c r="I81" s="194"/>
      <c r="J81" s="556" t="s">
        <v>57</v>
      </c>
      <c r="K81" s="557"/>
      <c r="L81" s="557"/>
      <c r="M81" s="557"/>
      <c r="N81" s="557"/>
      <c r="O81" s="557"/>
      <c r="P81" s="558"/>
    </row>
    <row r="82" spans="2:16" x14ac:dyDescent="0.2">
      <c r="B82" s="195"/>
      <c r="C82" s="196"/>
      <c r="D82" s="196"/>
      <c r="E82" s="196"/>
      <c r="F82" s="196"/>
      <c r="G82" s="196"/>
      <c r="H82" s="196"/>
      <c r="I82" s="192"/>
      <c r="J82" s="195"/>
      <c r="K82" s="196"/>
      <c r="L82" s="196"/>
      <c r="M82" s="196"/>
      <c r="N82" s="196"/>
      <c r="O82" s="196"/>
      <c r="P82" s="251"/>
    </row>
    <row r="83" spans="2:16" x14ac:dyDescent="0.2"/>
    <row r="84" spans="2:16" x14ac:dyDescent="0.2"/>
    <row r="85" spans="2:16" x14ac:dyDescent="0.2"/>
    <row r="86" spans="2:16" x14ac:dyDescent="0.2"/>
  </sheetData>
  <sheetProtection sheet="1" objects="1" scenarios="1" selectLockedCells="1"/>
  <mergeCells count="4">
    <mergeCell ref="B80:H80"/>
    <mergeCell ref="J80:P80"/>
    <mergeCell ref="B81:H81"/>
    <mergeCell ref="J81:P81"/>
  </mergeCells>
  <hyperlinks>
    <hyperlink ref="B81:H81" r:id="rId1" display="mail@hermann-baum.de" xr:uid="{75C71432-B026-4714-8168-DD03A859031A}"/>
    <hyperlink ref="J81:P81" r:id="rId2" display="mail@hermann-baum.de" xr:uid="{59B9D7A1-6407-4A64-95E0-9C2800174AE2}"/>
  </hyperlinks>
  <pageMargins left="0.7" right="0.7" top="0.78740157499999996" bottom="0.78740157499999996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"/>
  <dimension ref="A1:CB208"/>
  <sheetViews>
    <sheetView zoomScaleNormal="100" workbookViewId="0"/>
  </sheetViews>
  <sheetFormatPr baseColWidth="10" defaultColWidth="2.7109375" defaultRowHeight="12" x14ac:dyDescent="0.2"/>
  <cols>
    <col min="1" max="2" width="4.7109375" style="10" customWidth="1"/>
    <col min="3" max="3" width="8.140625" style="10" customWidth="1"/>
    <col min="4" max="4" width="6.85546875" style="10" customWidth="1"/>
    <col min="5" max="5" width="7.140625" style="10" customWidth="1"/>
    <col min="6" max="6" width="11.28515625" style="10" customWidth="1"/>
    <col min="7" max="7" width="7.42578125" style="10" customWidth="1"/>
    <col min="8" max="9" width="6.42578125" style="10" customWidth="1"/>
    <col min="10" max="10" width="8.28515625" style="10" customWidth="1"/>
    <col min="11" max="11" width="7.42578125" style="10" customWidth="1"/>
    <col min="12" max="12" width="16.28515625" style="10" customWidth="1"/>
    <col min="13" max="13" width="6.28515625" style="10" customWidth="1"/>
    <col min="14" max="14" width="7.140625" style="10" customWidth="1"/>
    <col min="15" max="15" width="9.85546875" style="10" customWidth="1"/>
    <col min="16" max="16" width="12.42578125" style="10" customWidth="1"/>
    <col min="17" max="17" width="21" style="10" customWidth="1"/>
    <col min="18" max="18" width="8" style="10" customWidth="1"/>
    <col min="19" max="19" width="7.42578125" style="10" customWidth="1"/>
    <col min="20" max="20" width="6" style="10" customWidth="1"/>
    <col min="21" max="21" width="5.7109375" style="10" customWidth="1"/>
    <col min="22" max="22" width="17.5703125" style="10" customWidth="1"/>
    <col min="23" max="23" width="21.140625" style="10" customWidth="1"/>
    <col min="24" max="24" width="11" style="10" customWidth="1"/>
    <col min="25" max="25" width="7.140625" style="10" customWidth="1"/>
    <col min="26" max="26" width="14.42578125" style="10" customWidth="1"/>
    <col min="27" max="27" width="8.7109375" style="10" customWidth="1"/>
    <col min="28" max="28" width="8.85546875" style="10" customWidth="1"/>
    <col min="29" max="29" width="12.5703125" style="10" customWidth="1"/>
    <col min="30" max="30" width="10.5703125" style="10" customWidth="1"/>
    <col min="31" max="31" width="12.85546875" style="10" customWidth="1"/>
    <col min="32" max="32" width="8" style="10" customWidth="1"/>
    <col min="33" max="33" width="9" style="10" customWidth="1"/>
    <col min="34" max="34" width="11.5703125" style="10" customWidth="1"/>
    <col min="35" max="35" width="9.28515625" style="10" customWidth="1"/>
    <col min="36" max="36" width="8" style="10" customWidth="1"/>
    <col min="37" max="39" width="4.7109375" style="10" customWidth="1"/>
    <col min="40" max="40" width="8.5703125" style="10" customWidth="1"/>
    <col min="41" max="41" width="9" style="10" customWidth="1"/>
    <col min="42" max="43" width="4.7109375" style="10" customWidth="1"/>
    <col min="44" max="44" width="7.5703125" style="10" customWidth="1"/>
    <col min="45" max="45" width="8.42578125" style="10" customWidth="1"/>
    <col min="46" max="69" width="4.7109375" style="10" customWidth="1"/>
    <col min="70" max="80" width="6.7109375" style="10" customWidth="1"/>
    <col min="81" max="16384" width="2.7109375" style="10"/>
  </cols>
  <sheetData>
    <row r="1" spans="1:42" s="2" customFormat="1" x14ac:dyDescent="0.2"/>
    <row r="2" spans="1:42" s="2" customFormat="1" x14ac:dyDescent="0.2"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3"/>
      <c r="O2" s="1"/>
      <c r="P2" s="1"/>
      <c r="Q2" s="1"/>
      <c r="W2" s="2" t="s">
        <v>169</v>
      </c>
    </row>
    <row r="3" spans="1:42" s="2" customFormat="1" ht="13.5" customHeight="1" thickBot="1" x14ac:dyDescent="0.25">
      <c r="B3" s="1"/>
      <c r="C3" s="3"/>
      <c r="D3" s="3"/>
      <c r="E3" s="3"/>
      <c r="F3" s="3"/>
      <c r="G3" s="77" t="s">
        <v>112</v>
      </c>
      <c r="H3" s="77" t="s">
        <v>113</v>
      </c>
      <c r="I3" s="27" t="s">
        <v>114</v>
      </c>
      <c r="J3" s="27" t="s">
        <v>115</v>
      </c>
      <c r="K3" s="27" t="s">
        <v>108</v>
      </c>
      <c r="L3" s="28" t="s">
        <v>109</v>
      </c>
      <c r="M3" s="28" t="s">
        <v>110</v>
      </c>
      <c r="N3" s="28" t="s">
        <v>111</v>
      </c>
      <c r="O3" s="118">
        <f t="shared" ref="O3:V3" ca="1" si="0">IF(9-COUNTIF(O$17:O$25,"")&gt;1,O$16,99999)</f>
        <v>99999</v>
      </c>
      <c r="P3" s="119">
        <f t="shared" ca="1" si="0"/>
        <v>99999</v>
      </c>
      <c r="Q3" s="119">
        <f t="shared" ca="1" si="0"/>
        <v>99999</v>
      </c>
      <c r="R3" s="119">
        <f t="shared" ca="1" si="0"/>
        <v>99999</v>
      </c>
      <c r="S3" s="119">
        <f t="shared" ca="1" si="0"/>
        <v>5</v>
      </c>
      <c r="T3" s="119">
        <f t="shared" ca="1" si="0"/>
        <v>99999</v>
      </c>
      <c r="U3" s="119">
        <f t="shared" ca="1" si="0"/>
        <v>99999</v>
      </c>
      <c r="V3" s="119">
        <f t="shared" ca="1" si="0"/>
        <v>99999</v>
      </c>
      <c r="W3" s="565">
        <f ca="1">IF($O$4&lt;10,$O$4,0)</f>
        <v>5</v>
      </c>
      <c r="X3" s="566"/>
      <c r="Y3" s="566"/>
      <c r="Z3" s="566"/>
      <c r="AA3" s="566"/>
      <c r="AB3" s="565">
        <f ca="1">IF($P$4&lt;10,$P$4,0)</f>
        <v>0</v>
      </c>
      <c r="AC3" s="566"/>
      <c r="AD3" s="566"/>
      <c r="AE3" s="566"/>
      <c r="AF3" s="566"/>
      <c r="AG3" s="565">
        <f ca="1">IF($Q$4&lt;10,$Q$4,0)</f>
        <v>0</v>
      </c>
      <c r="AH3" s="566"/>
      <c r="AI3" s="566"/>
      <c r="AJ3" s="566"/>
      <c r="AK3" s="566"/>
      <c r="AL3" s="565">
        <f ca="1">IF($R$4&lt;10,$R$4,0)</f>
        <v>0</v>
      </c>
      <c r="AM3" s="566"/>
      <c r="AN3" s="566"/>
      <c r="AO3" s="566"/>
      <c r="AP3" s="566"/>
    </row>
    <row r="4" spans="1:42" s="2" customFormat="1" ht="12.75" thickTop="1" x14ac:dyDescent="0.2">
      <c r="A4" s="325"/>
      <c r="B4" s="1">
        <v>1</v>
      </c>
      <c r="C4" s="21">
        <f ca="1">RANK(D4,$D$4:$D$12,1)</f>
        <v>5</v>
      </c>
      <c r="D4" s="3">
        <f ca="1">E4+ROW()/1000+(F4="")*10</f>
        <v>5.0039999999999996</v>
      </c>
      <c r="E4" s="340">
        <f ca="1">IF($AI$15,RANK(AH17,AH$17:AH$25,1),RANK(X17,X$17:X$25,1))</f>
        <v>5</v>
      </c>
      <c r="F4" s="1" t="str">
        <f>$Q64</f>
        <v>1. FC Riedwald</v>
      </c>
      <c r="G4" s="1">
        <f t="shared" ref="G4:G12" ca="1" si="1">SUMIFS($X$64:$X$135,$V$64:$V$135,$F4)+SUMIFS($Y$64:$Y$135,$W$64:$W$135,$F4)</f>
        <v>3</v>
      </c>
      <c r="H4" s="1">
        <f t="shared" ref="H4:H12" ca="1" si="2">SUMIFS($Y$64:$Y$135,$V$64:$V$135,$F4)+SUMIFS($X$64:$X$135,$W$64:$W$135,$F4)</f>
        <v>4</v>
      </c>
      <c r="I4" s="3">
        <f t="shared" ref="I4:I12" ca="1" si="3">G4-H4</f>
        <v>-1</v>
      </c>
      <c r="J4" s="1">
        <f ca="1">$L4*Settings!$C$4+$M4</f>
        <v>1</v>
      </c>
      <c r="K4" s="1">
        <f t="shared" ref="K4:K12" ca="1" si="4">SUMPRODUCT(($V$64:$V$135=F4)*($X$64:$X$135&lt;&gt;""))+SUMPRODUCT(($W$64:$W$135=F4)*($Y$64:$Y$135&lt;&gt;""))</f>
        <v>2</v>
      </c>
      <c r="L4" s="1">
        <f t="shared" ref="L4:L12" ca="1" si="5">SUMPRODUCT(($V$64:$V$135=F4)*($X$64:$X$135&gt;$Y$64:$Y$135))+SUMPRODUCT(($W$64:$W$135=F4)*($X$64:$X$135&lt;$Y$64:$Y$135))</f>
        <v>0</v>
      </c>
      <c r="M4" s="1">
        <f t="shared" ref="M4:M12" ca="1" si="6">SUMPRODUCT(($V$64:$W$135=F4)*($X$64:$X$135=$Y$64:$Y$135)*($X$64:$X$135&lt;&gt;"")*($Y$64:$Y$135&lt;&gt;""))</f>
        <v>1</v>
      </c>
      <c r="N4" s="1">
        <f t="shared" ref="N4:N12" ca="1" si="7">SUMPRODUCT(($V$64:$V$135=F4)*($X$64:$X$135&lt;$Y$64:$Y$135))+SUMPRODUCT(($W$64:$W$135=F4)*($X$64:$X$135&gt;$Y$64:$Y$135))</f>
        <v>1</v>
      </c>
      <c r="O4" s="128">
        <f ca="1">SMALL($O$3:$V$3,1)</f>
        <v>5</v>
      </c>
      <c r="P4" s="128">
        <f ca="1">SMALL($O$3:$V$3,2)</f>
        <v>99999</v>
      </c>
      <c r="Q4" s="128">
        <f ca="1">SMALL($O$3:$V$3,3)</f>
        <v>99999</v>
      </c>
      <c r="R4" s="128">
        <f ca="1">SMALL($O$3:$V$3,4)</f>
        <v>99999</v>
      </c>
      <c r="V4" s="1"/>
      <c r="W4" s="405" t="str">
        <f ca="1">IFERROR(INDEX($O$17:$V$25,ROW(A1),$W$3),"")</f>
        <v>1. FC Riedwald</v>
      </c>
      <c r="X4" s="406" t="str">
        <f ca="1">INDEX($W$4:$W$12,MATCH(ROW(A1),$AA$4:$AA$12,0))</f>
        <v>1. FC Riedwald</v>
      </c>
      <c r="Y4" s="407">
        <f ca="1">IF($W4="",99999,VLOOKUP($W4,$C$17:$Z$25,24,0))</f>
        <v>1.9</v>
      </c>
      <c r="Z4" s="408">
        <f ca="1">RANK(Y4,Y$4:Y$12,1)+IFERROR(INDEX($E$4:$E$12,MATCH(W4,$F$4:$F$12,0)),0)/100+ROW()/10000</f>
        <v>1.0504</v>
      </c>
      <c r="AA4" s="409">
        <f ca="1">RANK($Z4,$Z$4:$Z$12,1)</f>
        <v>1</v>
      </c>
      <c r="AB4" s="410" t="str">
        <f t="shared" ref="AB4:AB12" ca="1" si="8">IFERROR(INDEX($O$17:$V$25,ROW(A1),$AB$3),"")</f>
        <v/>
      </c>
      <c r="AC4" s="411" t="str">
        <f ca="1">INDEX($AB$4:$AB$12,MATCH(ROW(A1),$AF$4:$AF$12,0))</f>
        <v/>
      </c>
      <c r="AD4" s="412">
        <f ca="1">IF($AB4="",99999,VLOOKUP($AB4,$C$17:$Z$25,24,0))</f>
        <v>99999</v>
      </c>
      <c r="AE4" s="408">
        <f ca="1">RANK(AD4,AD$4:AD$12,1)+IFERROR(INDEX($E$4:$E$12,MATCH(AB4,$F$4:$F$12,0)),0)/100+ROW()/10000</f>
        <v>1.0804</v>
      </c>
      <c r="AF4" s="408">
        <f ca="1">RANK($AE4,$AE$4:$AE$12,1)</f>
        <v>1</v>
      </c>
      <c r="AG4" s="410" t="str">
        <f t="shared" ref="AG4:AG12" ca="1" si="9">IFERROR(INDEX($O$17:$V$25,ROW(C1),$AG$3),"")</f>
        <v/>
      </c>
      <c r="AH4" s="411" t="str">
        <f ca="1">INDEX($AG$4:$AG$12,MATCH(ROW(A1),$AK$4:$AK$12,0))</f>
        <v/>
      </c>
      <c r="AI4" s="412">
        <f ca="1">IF($AG4="",99999,VLOOKUP($AG4,$C$17:$Z$25,24,0))</f>
        <v>99999</v>
      </c>
      <c r="AJ4" s="408">
        <f ca="1">RANK(AI4,AI$4:AI$12,1)+IFERROR(INDEX($E$4:$E$12,MATCH(AG4,$F$4:$F$12,0)),0)/100+ROW()/10000</f>
        <v>1.0804</v>
      </c>
      <c r="AK4" s="413">
        <f ca="1">RANK($AJ4,$AJ$4:$AJ$12,1)</f>
        <v>1</v>
      </c>
      <c r="AL4" s="411" t="str">
        <f t="shared" ref="AL4:AL12" ca="1" si="10">IFERROR(INDEX($O$17:$V$25,ROW(E1),$AL$3),"")</f>
        <v/>
      </c>
      <c r="AM4" s="411" t="str">
        <f ca="1">INDEX($AL$4:$AL$12,MATCH(ROW(A1),$AP$4:$AP$12,0))</f>
        <v/>
      </c>
      <c r="AN4" s="412">
        <f ca="1">IF($AL4="",99999,VLOOKUP($AL4,$C$17:$Z$25,24,0))</f>
        <v>99999</v>
      </c>
      <c r="AO4" s="408">
        <f ca="1">RANK(AN4,AN$4:AN$12,1)+IFERROR(INDEX($E$4:$E$12,MATCH(AL4,$F$4:$F$12,0)),0)/100+ROW()/10000</f>
        <v>1.0804</v>
      </c>
      <c r="AP4" s="413">
        <f ca="1">RANK($AO4,$AO$4:$AO$12,1)</f>
        <v>1</v>
      </c>
    </row>
    <row r="5" spans="1:42" s="2" customFormat="1" x14ac:dyDescent="0.2">
      <c r="A5" s="325"/>
      <c r="B5" s="1">
        <v>2</v>
      </c>
      <c r="C5" s="22">
        <f t="shared" ref="C5:C12" ca="1" si="11">RANK(D5,$D$4:$D$12,1)</f>
        <v>7</v>
      </c>
      <c r="D5" s="13">
        <f t="shared" ref="D5:D12" ca="1" si="12">E5+ROW()/1000+(F5="")*10</f>
        <v>7.0049999999999999</v>
      </c>
      <c r="E5" s="340">
        <f t="shared" ref="E5:E12" ca="1" si="13">IF($AI$15,RANK(AH18,AH$17:AH$25,1),RANK(X18,X$17:X$25,1))</f>
        <v>7</v>
      </c>
      <c r="F5" s="1" t="str">
        <f t="shared" ref="F5:F12" si="14">$Q65</f>
        <v>FC Barcelona</v>
      </c>
      <c r="G5" s="1">
        <f t="shared" ca="1" si="1"/>
        <v>2</v>
      </c>
      <c r="H5" s="1">
        <f t="shared" ca="1" si="2"/>
        <v>4</v>
      </c>
      <c r="I5" s="3">
        <f t="shared" ca="1" si="3"/>
        <v>-2</v>
      </c>
      <c r="J5" s="1">
        <f ca="1">$L5*Settings!$C$4+$M5</f>
        <v>1</v>
      </c>
      <c r="K5" s="1">
        <f t="shared" ca="1" si="4"/>
        <v>2</v>
      </c>
      <c r="L5" s="1">
        <f t="shared" ca="1" si="5"/>
        <v>0</v>
      </c>
      <c r="M5" s="1">
        <f t="shared" ca="1" si="6"/>
        <v>1</v>
      </c>
      <c r="N5" s="1">
        <f t="shared" ca="1" si="7"/>
        <v>1</v>
      </c>
      <c r="O5" s="24"/>
      <c r="P5" s="25"/>
      <c r="V5" s="1"/>
      <c r="W5" s="410" t="str">
        <f t="shared" ref="W5:W12" ca="1" si="15">IFERROR(INDEX($O$17:$V$25,ROW(A2),$W$3),"")</f>
        <v/>
      </c>
      <c r="X5" s="411" t="str">
        <f t="shared" ref="X5:X12" ca="1" si="16">INDEX($W$4:$W$12,MATCH(ROW(A2),$AA$4:$AA$12,0))</f>
        <v>Inter Mailand</v>
      </c>
      <c r="Y5" s="408">
        <f t="shared" ref="Y5:Y12" ca="1" si="17">IF($W5="",99999,VLOOKUP($W5,$C$17:$Z$25,24,0))</f>
        <v>99999</v>
      </c>
      <c r="Z5" s="408">
        <f t="shared" ref="Z5:Z12" ca="1" si="18">RANK(Y5,Y$4:Y$12,1)+IFERROR(INDEX($E$4:$E$12,MATCH(W5,$F$4:$F$12,0)),0)/100+ROW()/10000</f>
        <v>3.0805000000000002</v>
      </c>
      <c r="AA5" s="413">
        <f t="shared" ref="AA5:AA12" ca="1" si="19">RANK($Z5,$Z$4:$Z$12,1)</f>
        <v>3</v>
      </c>
      <c r="AB5" s="410" t="str">
        <f t="shared" ca="1" si="8"/>
        <v/>
      </c>
      <c r="AC5" s="411" t="str">
        <f t="shared" ref="AC5:AC12" ca="1" si="20">INDEX($AB$4:$AB$12,MATCH(ROW(A2),$AF$4:$AF$12,0))</f>
        <v/>
      </c>
      <c r="AD5" s="412">
        <f t="shared" ref="AD5:AD12" ca="1" si="21">IF($AB5="",99999,VLOOKUP($AB5,$C$17:$Z$25,24,0))</f>
        <v>99999</v>
      </c>
      <c r="AE5" s="408">
        <f t="shared" ref="AE5:AE12" ca="1" si="22">RANK(AD5,AD$4:AD$12,1)+IFERROR(INDEX($E$4:$E$12,MATCH(AB5,$F$4:$F$12,0)),0)/100+ROW()/10000</f>
        <v>1.0805</v>
      </c>
      <c r="AF5" s="408">
        <f t="shared" ref="AF5:AF12" ca="1" si="23">RANK($AE5,$AE$4:$AE$12,1)</f>
        <v>2</v>
      </c>
      <c r="AG5" s="410" t="str">
        <f t="shared" ca="1" si="9"/>
        <v/>
      </c>
      <c r="AH5" s="411" t="str">
        <f t="shared" ref="AH5:AH12" ca="1" si="24">INDEX($AG$4:$AG$12,MATCH(ROW(A2),$AK$4:$AK$12,0))</f>
        <v/>
      </c>
      <c r="AI5" s="412">
        <f t="shared" ref="AI5:AI12" ca="1" si="25">IF($AG5="",99999,VLOOKUP($AG5,$C$17:$Z$25,24,0))</f>
        <v>99999</v>
      </c>
      <c r="AJ5" s="408">
        <f t="shared" ref="AJ5:AJ12" ca="1" si="26">RANK(AI5,AI$4:AI$12,1)+IFERROR(INDEX($E$4:$E$12,MATCH(AG5,$F$4:$F$12,0)),0)/100+ROW()/10000</f>
        <v>1.0805</v>
      </c>
      <c r="AK5" s="413">
        <f t="shared" ref="AK5:AK12" ca="1" si="27">RANK($AJ5,$AJ$4:$AJ$12,1)</f>
        <v>2</v>
      </c>
      <c r="AL5" s="411" t="str">
        <f t="shared" ca="1" si="10"/>
        <v/>
      </c>
      <c r="AM5" s="411" t="str">
        <f t="shared" ref="AM5:AM12" ca="1" si="28">INDEX($AL$4:$AL$12,MATCH(ROW(A2),$AP$4:$AP$12,0))</f>
        <v/>
      </c>
      <c r="AN5" s="412">
        <f t="shared" ref="AN5:AN12" ca="1" si="29">IF($AL5="",99999,VLOOKUP($AL5,$C$17:$Z$25,24,0))</f>
        <v>99999</v>
      </c>
      <c r="AO5" s="408">
        <f t="shared" ref="AO5:AO12" ca="1" si="30">RANK(AN5,AN$4:AN$12,1)+IFERROR(INDEX($E$4:$E$12,MATCH(AL5,$F$4:$F$12,0)),0)/100+ROW()/10000</f>
        <v>1.0805</v>
      </c>
      <c r="AP5" s="413">
        <f t="shared" ref="AP5:AP12" ca="1" si="31">RANK($AO5,$AO$4:$AO$12,1)</f>
        <v>2</v>
      </c>
    </row>
    <row r="6" spans="1:42" s="2" customFormat="1" x14ac:dyDescent="0.2">
      <c r="A6" s="325"/>
      <c r="B6" s="1">
        <v>3</v>
      </c>
      <c r="C6" s="22">
        <f t="shared" ca="1" si="11"/>
        <v>3</v>
      </c>
      <c r="D6" s="13">
        <f t="shared" ca="1" si="12"/>
        <v>3.0059999999999998</v>
      </c>
      <c r="E6" s="340">
        <f t="shared" ca="1" si="13"/>
        <v>3</v>
      </c>
      <c r="F6" s="1" t="str">
        <f t="shared" si="14"/>
        <v>Eintracht Frankfurt</v>
      </c>
      <c r="G6" s="1">
        <f t="shared" ca="1" si="1"/>
        <v>4</v>
      </c>
      <c r="H6" s="1">
        <f t="shared" ca="1" si="2"/>
        <v>4</v>
      </c>
      <c r="I6" s="3">
        <f t="shared" ca="1" si="3"/>
        <v>0</v>
      </c>
      <c r="J6" s="1">
        <f ca="1">$L6*Settings!$C$4+$M6</f>
        <v>3</v>
      </c>
      <c r="K6" s="1">
        <f t="shared" ca="1" si="4"/>
        <v>2</v>
      </c>
      <c r="L6" s="1">
        <f t="shared" ca="1" si="5"/>
        <v>1</v>
      </c>
      <c r="M6" s="1">
        <f t="shared" ca="1" si="6"/>
        <v>0</v>
      </c>
      <c r="N6" s="1">
        <f t="shared" ca="1" si="7"/>
        <v>1</v>
      </c>
      <c r="O6" s="24"/>
      <c r="P6" s="25"/>
      <c r="V6" s="1"/>
      <c r="W6" s="410" t="str">
        <f t="shared" ca="1" si="15"/>
        <v/>
      </c>
      <c r="X6" s="411" t="str">
        <f t="shared" ca="1" si="16"/>
        <v/>
      </c>
      <c r="Y6" s="408">
        <f t="shared" ca="1" si="17"/>
        <v>99999</v>
      </c>
      <c r="Z6" s="408">
        <f t="shared" ca="1" si="18"/>
        <v>3.0806</v>
      </c>
      <c r="AA6" s="413">
        <f t="shared" ca="1" si="19"/>
        <v>4</v>
      </c>
      <c r="AB6" s="410" t="str">
        <f t="shared" ca="1" si="8"/>
        <v/>
      </c>
      <c r="AC6" s="411" t="str">
        <f t="shared" ca="1" si="20"/>
        <v/>
      </c>
      <c r="AD6" s="412">
        <f t="shared" ca="1" si="21"/>
        <v>99999</v>
      </c>
      <c r="AE6" s="408">
        <f t="shared" ca="1" si="22"/>
        <v>1.0806</v>
      </c>
      <c r="AF6" s="408">
        <f t="shared" ca="1" si="23"/>
        <v>3</v>
      </c>
      <c r="AG6" s="410" t="str">
        <f t="shared" ca="1" si="9"/>
        <v/>
      </c>
      <c r="AH6" s="411" t="str">
        <f t="shared" ca="1" si="24"/>
        <v/>
      </c>
      <c r="AI6" s="412">
        <f t="shared" ca="1" si="25"/>
        <v>99999</v>
      </c>
      <c r="AJ6" s="408">
        <f t="shared" ca="1" si="26"/>
        <v>1.0806</v>
      </c>
      <c r="AK6" s="413">
        <f t="shared" ca="1" si="27"/>
        <v>3</v>
      </c>
      <c r="AL6" s="411" t="str">
        <f t="shared" ca="1" si="10"/>
        <v/>
      </c>
      <c r="AM6" s="411" t="str">
        <f t="shared" ca="1" si="28"/>
        <v/>
      </c>
      <c r="AN6" s="412">
        <f t="shared" ca="1" si="29"/>
        <v>99999</v>
      </c>
      <c r="AO6" s="408">
        <f t="shared" ca="1" si="30"/>
        <v>1.0806</v>
      </c>
      <c r="AP6" s="413">
        <f t="shared" ca="1" si="31"/>
        <v>3</v>
      </c>
    </row>
    <row r="7" spans="1:42" s="2" customFormat="1" x14ac:dyDescent="0.2">
      <c r="A7" s="325"/>
      <c r="B7" s="1">
        <v>4</v>
      </c>
      <c r="C7" s="22">
        <f t="shared" ca="1" si="11"/>
        <v>2</v>
      </c>
      <c r="D7" s="13">
        <f t="shared" ca="1" si="12"/>
        <v>2.0070000000000001</v>
      </c>
      <c r="E7" s="340">
        <f t="shared" ca="1" si="13"/>
        <v>2</v>
      </c>
      <c r="F7" s="1" t="str">
        <f t="shared" si="14"/>
        <v>Maibach 1822 eV</v>
      </c>
      <c r="G7" s="1">
        <f t="shared" ca="1" si="1"/>
        <v>2</v>
      </c>
      <c r="H7" s="1">
        <f t="shared" ca="1" si="2"/>
        <v>1</v>
      </c>
      <c r="I7" s="3">
        <f t="shared" ca="1" si="3"/>
        <v>1</v>
      </c>
      <c r="J7" s="1">
        <f ca="1">$L7*Settings!$C$4+$M7</f>
        <v>4</v>
      </c>
      <c r="K7" s="1">
        <f t="shared" ca="1" si="4"/>
        <v>2</v>
      </c>
      <c r="L7" s="1">
        <f t="shared" ca="1" si="5"/>
        <v>1</v>
      </c>
      <c r="M7" s="1">
        <f t="shared" ca="1" si="6"/>
        <v>1</v>
      </c>
      <c r="N7" s="1">
        <f t="shared" ca="1" si="7"/>
        <v>0</v>
      </c>
      <c r="O7" s="24"/>
      <c r="P7" s="25"/>
      <c r="V7" s="1"/>
      <c r="W7" s="410" t="str">
        <f t="shared" ca="1" si="15"/>
        <v/>
      </c>
      <c r="X7" s="411" t="str">
        <f t="shared" ca="1" si="16"/>
        <v/>
      </c>
      <c r="Y7" s="408">
        <f t="shared" ca="1" si="17"/>
        <v>99999</v>
      </c>
      <c r="Z7" s="408">
        <f t="shared" ca="1" si="18"/>
        <v>3.0807000000000002</v>
      </c>
      <c r="AA7" s="413">
        <f t="shared" ca="1" si="19"/>
        <v>5</v>
      </c>
      <c r="AB7" s="410" t="str">
        <f t="shared" ca="1" si="8"/>
        <v/>
      </c>
      <c r="AC7" s="411" t="str">
        <f t="shared" ca="1" si="20"/>
        <v/>
      </c>
      <c r="AD7" s="412">
        <f t="shared" ca="1" si="21"/>
        <v>99999</v>
      </c>
      <c r="AE7" s="408">
        <f t="shared" ca="1" si="22"/>
        <v>1.0807</v>
      </c>
      <c r="AF7" s="408">
        <f t="shared" ca="1" si="23"/>
        <v>4</v>
      </c>
      <c r="AG7" s="410" t="str">
        <f t="shared" ca="1" si="9"/>
        <v/>
      </c>
      <c r="AH7" s="411" t="str">
        <f t="shared" ca="1" si="24"/>
        <v/>
      </c>
      <c r="AI7" s="412">
        <f t="shared" ca="1" si="25"/>
        <v>99999</v>
      </c>
      <c r="AJ7" s="408">
        <f t="shared" ca="1" si="26"/>
        <v>1.0807</v>
      </c>
      <c r="AK7" s="413">
        <f t="shared" ca="1" si="27"/>
        <v>4</v>
      </c>
      <c r="AL7" s="411" t="str">
        <f t="shared" ca="1" si="10"/>
        <v/>
      </c>
      <c r="AM7" s="411" t="str">
        <f t="shared" ca="1" si="28"/>
        <v/>
      </c>
      <c r="AN7" s="412">
        <f t="shared" ca="1" si="29"/>
        <v>99999</v>
      </c>
      <c r="AO7" s="408">
        <f t="shared" ca="1" si="30"/>
        <v>1.0807</v>
      </c>
      <c r="AP7" s="413">
        <f t="shared" ca="1" si="31"/>
        <v>4</v>
      </c>
    </row>
    <row r="8" spans="1:42" s="2" customFormat="1" x14ac:dyDescent="0.2">
      <c r="A8" s="325"/>
      <c r="B8" s="1">
        <v>5</v>
      </c>
      <c r="C8" s="22">
        <f t="shared" ca="1" si="11"/>
        <v>4</v>
      </c>
      <c r="D8" s="13">
        <f t="shared" ca="1" si="12"/>
        <v>4.008</v>
      </c>
      <c r="E8" s="340">
        <f t="shared" ca="1" si="13"/>
        <v>4</v>
      </c>
      <c r="F8" s="1" t="str">
        <f t="shared" si="14"/>
        <v>VFB Essenheim</v>
      </c>
      <c r="G8" s="1">
        <f t="shared" ca="1" si="1"/>
        <v>2</v>
      </c>
      <c r="H8" s="1">
        <f t="shared" ca="1" si="2"/>
        <v>2</v>
      </c>
      <c r="I8" s="3">
        <f t="shared" ca="1" si="3"/>
        <v>0</v>
      </c>
      <c r="J8" s="1">
        <f ca="1">$L8*Settings!$C$4+$M8</f>
        <v>2</v>
      </c>
      <c r="K8" s="1">
        <f t="shared" ca="1" si="4"/>
        <v>2</v>
      </c>
      <c r="L8" s="1">
        <f t="shared" ca="1" si="5"/>
        <v>0</v>
      </c>
      <c r="M8" s="1">
        <f t="shared" ca="1" si="6"/>
        <v>2</v>
      </c>
      <c r="N8" s="1">
        <f t="shared" ca="1" si="7"/>
        <v>0</v>
      </c>
      <c r="P8" s="25"/>
      <c r="W8" s="410" t="str">
        <f t="shared" ca="1" si="15"/>
        <v/>
      </c>
      <c r="X8" s="411" t="str">
        <f t="shared" ca="1" si="16"/>
        <v/>
      </c>
      <c r="Y8" s="408">
        <f t="shared" ca="1" si="17"/>
        <v>99999</v>
      </c>
      <c r="Z8" s="408">
        <f t="shared" ca="1" si="18"/>
        <v>3.0808</v>
      </c>
      <c r="AA8" s="413">
        <f t="shared" ca="1" si="19"/>
        <v>6</v>
      </c>
      <c r="AB8" s="410" t="str">
        <f t="shared" ca="1" si="8"/>
        <v/>
      </c>
      <c r="AC8" s="411" t="str">
        <f t="shared" ca="1" si="20"/>
        <v/>
      </c>
      <c r="AD8" s="412">
        <f t="shared" ca="1" si="21"/>
        <v>99999</v>
      </c>
      <c r="AE8" s="408">
        <f t="shared" ca="1" si="22"/>
        <v>1.0808</v>
      </c>
      <c r="AF8" s="408">
        <f t="shared" ca="1" si="23"/>
        <v>5</v>
      </c>
      <c r="AG8" s="410" t="str">
        <f t="shared" ca="1" si="9"/>
        <v/>
      </c>
      <c r="AH8" s="411" t="str">
        <f t="shared" ca="1" si="24"/>
        <v/>
      </c>
      <c r="AI8" s="412">
        <f t="shared" ca="1" si="25"/>
        <v>99999</v>
      </c>
      <c r="AJ8" s="408">
        <f t="shared" ca="1" si="26"/>
        <v>1.0808</v>
      </c>
      <c r="AK8" s="413">
        <f t="shared" ca="1" si="27"/>
        <v>5</v>
      </c>
      <c r="AL8" s="411" t="str">
        <f t="shared" ca="1" si="10"/>
        <v/>
      </c>
      <c r="AM8" s="411" t="str">
        <f t="shared" ca="1" si="28"/>
        <v/>
      </c>
      <c r="AN8" s="412">
        <f t="shared" ca="1" si="29"/>
        <v>99999</v>
      </c>
      <c r="AO8" s="408">
        <f t="shared" ca="1" si="30"/>
        <v>1.0808</v>
      </c>
      <c r="AP8" s="413">
        <f t="shared" ca="1" si="31"/>
        <v>5</v>
      </c>
    </row>
    <row r="9" spans="1:42" s="2" customFormat="1" x14ac:dyDescent="0.2">
      <c r="A9" s="325"/>
      <c r="B9" s="1">
        <v>6</v>
      </c>
      <c r="C9" s="22">
        <f t="shared" ca="1" si="11"/>
        <v>6</v>
      </c>
      <c r="D9" s="13">
        <f t="shared" ca="1" si="12"/>
        <v>5.0090000000000003</v>
      </c>
      <c r="E9" s="340">
        <f t="shared" ca="1" si="13"/>
        <v>5</v>
      </c>
      <c r="F9" s="1" t="str">
        <f t="shared" si="14"/>
        <v>Inter Mailand</v>
      </c>
      <c r="G9" s="1">
        <f t="shared" ca="1" si="1"/>
        <v>3</v>
      </c>
      <c r="H9" s="1">
        <f t="shared" ca="1" si="2"/>
        <v>4</v>
      </c>
      <c r="I9" s="3">
        <f t="shared" ca="1" si="3"/>
        <v>-1</v>
      </c>
      <c r="J9" s="1">
        <f ca="1">$L9*Settings!$C$4+$M9</f>
        <v>1</v>
      </c>
      <c r="K9" s="1">
        <f t="shared" ca="1" si="4"/>
        <v>2</v>
      </c>
      <c r="L9" s="1">
        <f t="shared" ca="1" si="5"/>
        <v>0</v>
      </c>
      <c r="M9" s="1">
        <f t="shared" ca="1" si="6"/>
        <v>1</v>
      </c>
      <c r="N9" s="1">
        <f t="shared" ca="1" si="7"/>
        <v>1</v>
      </c>
      <c r="P9" s="25"/>
      <c r="W9" s="410" t="str">
        <f t="shared" ca="1" si="15"/>
        <v>Inter Mailand</v>
      </c>
      <c r="X9" s="411" t="str">
        <f t="shared" ca="1" si="16"/>
        <v/>
      </c>
      <c r="Y9" s="408">
        <f t="shared" ca="1" si="17"/>
        <v>1.9</v>
      </c>
      <c r="Z9" s="408">
        <f t="shared" ca="1" si="18"/>
        <v>1.0508999999999999</v>
      </c>
      <c r="AA9" s="413">
        <f t="shared" ca="1" si="19"/>
        <v>2</v>
      </c>
      <c r="AB9" s="410" t="str">
        <f t="shared" ca="1" si="8"/>
        <v/>
      </c>
      <c r="AC9" s="411" t="str">
        <f t="shared" ca="1" si="20"/>
        <v/>
      </c>
      <c r="AD9" s="412">
        <f t="shared" ca="1" si="21"/>
        <v>99999</v>
      </c>
      <c r="AE9" s="408">
        <f t="shared" ca="1" si="22"/>
        <v>1.0809</v>
      </c>
      <c r="AF9" s="408">
        <f t="shared" ca="1" si="23"/>
        <v>6</v>
      </c>
      <c r="AG9" s="410" t="str">
        <f t="shared" ca="1" si="9"/>
        <v/>
      </c>
      <c r="AH9" s="411" t="str">
        <f t="shared" ca="1" si="24"/>
        <v/>
      </c>
      <c r="AI9" s="412">
        <f t="shared" ca="1" si="25"/>
        <v>99999</v>
      </c>
      <c r="AJ9" s="408">
        <f t="shared" ca="1" si="26"/>
        <v>1.0809</v>
      </c>
      <c r="AK9" s="413">
        <f t="shared" ca="1" si="27"/>
        <v>6</v>
      </c>
      <c r="AL9" s="411" t="str">
        <f t="shared" ca="1" si="10"/>
        <v/>
      </c>
      <c r="AM9" s="411" t="str">
        <f t="shared" ca="1" si="28"/>
        <v/>
      </c>
      <c r="AN9" s="412">
        <f t="shared" ca="1" si="29"/>
        <v>99999</v>
      </c>
      <c r="AO9" s="408">
        <f t="shared" ca="1" si="30"/>
        <v>1.0809</v>
      </c>
      <c r="AP9" s="413">
        <f t="shared" ca="1" si="31"/>
        <v>6</v>
      </c>
    </row>
    <row r="10" spans="1:42" s="2" customFormat="1" x14ac:dyDescent="0.2">
      <c r="A10" s="325"/>
      <c r="B10" s="1">
        <v>7</v>
      </c>
      <c r="C10" s="22">
        <f t="shared" ca="1" si="11"/>
        <v>1</v>
      </c>
      <c r="D10" s="13">
        <f t="shared" ca="1" si="12"/>
        <v>1.01</v>
      </c>
      <c r="E10" s="340">
        <f t="shared" ca="1" si="13"/>
        <v>1</v>
      </c>
      <c r="F10" s="1" t="str">
        <f t="shared" si="14"/>
        <v>SSV Wildbach</v>
      </c>
      <c r="G10" s="1">
        <f t="shared" ca="1" si="1"/>
        <v>5</v>
      </c>
      <c r="H10" s="1">
        <f t="shared" ca="1" si="2"/>
        <v>2</v>
      </c>
      <c r="I10" s="3">
        <f t="shared" ca="1" si="3"/>
        <v>3</v>
      </c>
      <c r="J10" s="1">
        <f ca="1">$L10*Settings!$C$4+$M10</f>
        <v>6</v>
      </c>
      <c r="K10" s="1">
        <f t="shared" ca="1" si="4"/>
        <v>2</v>
      </c>
      <c r="L10" s="1">
        <f t="shared" ca="1" si="5"/>
        <v>2</v>
      </c>
      <c r="M10" s="1">
        <f t="shared" ca="1" si="6"/>
        <v>0</v>
      </c>
      <c r="N10" s="1">
        <f t="shared" ca="1" si="7"/>
        <v>0</v>
      </c>
      <c r="P10" s="25"/>
      <c r="W10" s="410" t="str">
        <f t="shared" ca="1" si="15"/>
        <v/>
      </c>
      <c r="X10" s="411" t="str">
        <f t="shared" ca="1" si="16"/>
        <v/>
      </c>
      <c r="Y10" s="408">
        <f t="shared" ca="1" si="17"/>
        <v>99999</v>
      </c>
      <c r="Z10" s="408">
        <f t="shared" ca="1" si="18"/>
        <v>3.081</v>
      </c>
      <c r="AA10" s="413">
        <f t="shared" ca="1" si="19"/>
        <v>7</v>
      </c>
      <c r="AB10" s="410" t="str">
        <f t="shared" ca="1" si="8"/>
        <v/>
      </c>
      <c r="AC10" s="411" t="str">
        <f t="shared" ca="1" si="20"/>
        <v/>
      </c>
      <c r="AD10" s="412">
        <f t="shared" ca="1" si="21"/>
        <v>99999</v>
      </c>
      <c r="AE10" s="408">
        <f t="shared" ca="1" si="22"/>
        <v>1.081</v>
      </c>
      <c r="AF10" s="408">
        <f t="shared" ca="1" si="23"/>
        <v>7</v>
      </c>
      <c r="AG10" s="410" t="str">
        <f t="shared" ca="1" si="9"/>
        <v/>
      </c>
      <c r="AH10" s="411" t="str">
        <f t="shared" ca="1" si="24"/>
        <v/>
      </c>
      <c r="AI10" s="412">
        <f t="shared" ca="1" si="25"/>
        <v>99999</v>
      </c>
      <c r="AJ10" s="408">
        <f t="shared" ca="1" si="26"/>
        <v>1.081</v>
      </c>
      <c r="AK10" s="413">
        <f t="shared" ca="1" si="27"/>
        <v>7</v>
      </c>
      <c r="AL10" s="411" t="str">
        <f t="shared" ca="1" si="10"/>
        <v/>
      </c>
      <c r="AM10" s="411" t="str">
        <f t="shared" ca="1" si="28"/>
        <v/>
      </c>
      <c r="AN10" s="412">
        <f t="shared" ca="1" si="29"/>
        <v>99999</v>
      </c>
      <c r="AO10" s="408">
        <f t="shared" ca="1" si="30"/>
        <v>1.081</v>
      </c>
      <c r="AP10" s="413">
        <f t="shared" ca="1" si="31"/>
        <v>7</v>
      </c>
    </row>
    <row r="11" spans="1:42" s="2" customFormat="1" x14ac:dyDescent="0.2">
      <c r="A11" s="325"/>
      <c r="B11" s="1">
        <v>8</v>
      </c>
      <c r="C11" s="22">
        <f t="shared" ca="1" si="11"/>
        <v>8</v>
      </c>
      <c r="D11" s="13">
        <f t="shared" ca="1" si="12"/>
        <v>18.010999999999999</v>
      </c>
      <c r="E11" s="340">
        <f t="shared" ca="1" si="13"/>
        <v>8</v>
      </c>
      <c r="F11" s="1" t="str">
        <f t="shared" si="14"/>
        <v/>
      </c>
      <c r="G11" s="1">
        <f t="shared" ca="1" si="1"/>
        <v>0</v>
      </c>
      <c r="H11" s="1">
        <f t="shared" ca="1" si="2"/>
        <v>0</v>
      </c>
      <c r="I11" s="3">
        <f t="shared" ca="1" si="3"/>
        <v>0</v>
      </c>
      <c r="J11" s="1">
        <f ca="1">$L11*Settings!$C$4+$M11</f>
        <v>0</v>
      </c>
      <c r="K11" s="1">
        <f t="shared" ca="1" si="4"/>
        <v>0</v>
      </c>
      <c r="L11" s="1">
        <f t="shared" ca="1" si="5"/>
        <v>0</v>
      </c>
      <c r="M11" s="1">
        <f t="shared" ca="1" si="6"/>
        <v>0</v>
      </c>
      <c r="N11" s="1">
        <f t="shared" ca="1" si="7"/>
        <v>0</v>
      </c>
      <c r="O11" s="13"/>
      <c r="P11" s="13"/>
      <c r="Q11" s="13"/>
      <c r="R11" s="13"/>
      <c r="S11" s="13"/>
      <c r="T11" s="13"/>
      <c r="U11" s="13"/>
      <c r="V11" s="13"/>
      <c r="W11" s="410" t="str">
        <f t="shared" ca="1" si="15"/>
        <v/>
      </c>
      <c r="X11" s="411" t="str">
        <f t="shared" ca="1" si="16"/>
        <v/>
      </c>
      <c r="Y11" s="408">
        <f t="shared" ca="1" si="17"/>
        <v>99999</v>
      </c>
      <c r="Z11" s="408">
        <f t="shared" ca="1" si="18"/>
        <v>3.0811000000000002</v>
      </c>
      <c r="AA11" s="413">
        <f t="shared" ca="1" si="19"/>
        <v>8</v>
      </c>
      <c r="AB11" s="410" t="str">
        <f t="shared" ca="1" si="8"/>
        <v/>
      </c>
      <c r="AC11" s="411" t="str">
        <f t="shared" ca="1" si="20"/>
        <v/>
      </c>
      <c r="AD11" s="412">
        <f t="shared" ca="1" si="21"/>
        <v>99999</v>
      </c>
      <c r="AE11" s="408">
        <f t="shared" ca="1" si="22"/>
        <v>1.0811000000000002</v>
      </c>
      <c r="AF11" s="408">
        <f t="shared" ca="1" si="23"/>
        <v>8</v>
      </c>
      <c r="AG11" s="410" t="str">
        <f t="shared" ca="1" si="9"/>
        <v/>
      </c>
      <c r="AH11" s="411" t="str">
        <f t="shared" ca="1" si="24"/>
        <v/>
      </c>
      <c r="AI11" s="412">
        <f t="shared" ca="1" si="25"/>
        <v>99999</v>
      </c>
      <c r="AJ11" s="408">
        <f t="shared" ca="1" si="26"/>
        <v>1.0811000000000002</v>
      </c>
      <c r="AK11" s="413">
        <f t="shared" ca="1" si="27"/>
        <v>8</v>
      </c>
      <c r="AL11" s="411" t="str">
        <f t="shared" ca="1" si="10"/>
        <v/>
      </c>
      <c r="AM11" s="411" t="str">
        <f t="shared" ca="1" si="28"/>
        <v/>
      </c>
      <c r="AN11" s="412">
        <f t="shared" ca="1" si="29"/>
        <v>99999</v>
      </c>
      <c r="AO11" s="408">
        <f t="shared" ca="1" si="30"/>
        <v>1.0811000000000002</v>
      </c>
      <c r="AP11" s="413">
        <f t="shared" ca="1" si="31"/>
        <v>8</v>
      </c>
    </row>
    <row r="12" spans="1:42" s="2" customFormat="1" ht="12.75" thickBot="1" x14ac:dyDescent="0.25">
      <c r="A12" s="325"/>
      <c r="B12" s="1">
        <v>9</v>
      </c>
      <c r="C12" s="23">
        <f t="shared" ca="1" si="11"/>
        <v>9</v>
      </c>
      <c r="D12" s="13">
        <f t="shared" ca="1" si="12"/>
        <v>18.012</v>
      </c>
      <c r="E12" s="340">
        <f t="shared" ca="1" si="13"/>
        <v>8</v>
      </c>
      <c r="F12" s="1" t="str">
        <f t="shared" si="14"/>
        <v/>
      </c>
      <c r="G12" s="1">
        <f t="shared" ca="1" si="1"/>
        <v>0</v>
      </c>
      <c r="H12" s="1">
        <f t="shared" ca="1" si="2"/>
        <v>0</v>
      </c>
      <c r="I12" s="3">
        <f t="shared" ca="1" si="3"/>
        <v>0</v>
      </c>
      <c r="J12" s="1">
        <f ca="1">$L12*Settings!$C$4+$M12</f>
        <v>0</v>
      </c>
      <c r="K12" s="29">
        <f t="shared" ca="1" si="4"/>
        <v>0</v>
      </c>
      <c r="L12" s="1">
        <f t="shared" ca="1" si="5"/>
        <v>0</v>
      </c>
      <c r="M12" s="1">
        <f t="shared" ca="1" si="6"/>
        <v>0</v>
      </c>
      <c r="N12" s="1">
        <f t="shared" ca="1" si="7"/>
        <v>0</v>
      </c>
      <c r="O12" s="1"/>
      <c r="P12" s="1"/>
      <c r="Q12" s="1"/>
      <c r="R12" s="1"/>
      <c r="S12" s="1"/>
      <c r="T12" s="1"/>
      <c r="U12" s="1"/>
      <c r="V12" s="1"/>
      <c r="W12" s="414" t="str">
        <f t="shared" ca="1" si="15"/>
        <v/>
      </c>
      <c r="X12" s="415" t="str">
        <f t="shared" ca="1" si="16"/>
        <v/>
      </c>
      <c r="Y12" s="416">
        <f t="shared" ca="1" si="17"/>
        <v>99999</v>
      </c>
      <c r="Z12" s="416">
        <f t="shared" ca="1" si="18"/>
        <v>3.0811999999999999</v>
      </c>
      <c r="AA12" s="417">
        <f t="shared" ca="1" si="19"/>
        <v>9</v>
      </c>
      <c r="AB12" s="414" t="str">
        <f t="shared" ca="1" si="8"/>
        <v/>
      </c>
      <c r="AC12" s="415" t="str">
        <f t="shared" ca="1" si="20"/>
        <v/>
      </c>
      <c r="AD12" s="418">
        <f t="shared" ca="1" si="21"/>
        <v>99999</v>
      </c>
      <c r="AE12" s="416">
        <f t="shared" ca="1" si="22"/>
        <v>1.0812000000000002</v>
      </c>
      <c r="AF12" s="416">
        <f t="shared" ca="1" si="23"/>
        <v>9</v>
      </c>
      <c r="AG12" s="414" t="str">
        <f t="shared" ca="1" si="9"/>
        <v/>
      </c>
      <c r="AH12" s="415" t="str">
        <f t="shared" ca="1" si="24"/>
        <v/>
      </c>
      <c r="AI12" s="418">
        <f t="shared" ca="1" si="25"/>
        <v>99999</v>
      </c>
      <c r="AJ12" s="416">
        <f t="shared" ca="1" si="26"/>
        <v>1.0812000000000002</v>
      </c>
      <c r="AK12" s="417">
        <f t="shared" ca="1" si="27"/>
        <v>9</v>
      </c>
      <c r="AL12" s="415" t="str">
        <f t="shared" ca="1" si="10"/>
        <v/>
      </c>
      <c r="AM12" s="415" t="str">
        <f t="shared" ca="1" si="28"/>
        <v/>
      </c>
      <c r="AN12" s="418">
        <f t="shared" ca="1" si="29"/>
        <v>99999</v>
      </c>
      <c r="AO12" s="416">
        <f t="shared" ca="1" si="30"/>
        <v>1.0812000000000002</v>
      </c>
      <c r="AP12" s="417">
        <f t="shared" ca="1" si="31"/>
        <v>9</v>
      </c>
    </row>
    <row r="13" spans="1:42" s="2" customFormat="1" ht="12.75" thickTop="1" x14ac:dyDescent="0.2">
      <c r="B13" s="3">
        <f>$F$13*($F$13-1)</f>
        <v>42</v>
      </c>
      <c r="C13" s="3"/>
      <c r="D13" s="3"/>
      <c r="E13" s="3"/>
      <c r="F13" s="3">
        <f>9-COUNTBLANK($F$4:$F$12)</f>
        <v>7</v>
      </c>
      <c r="G13" s="3"/>
      <c r="H13" s="3"/>
      <c r="I13" s="3"/>
      <c r="J13" s="3"/>
      <c r="K13" s="28">
        <f ca="1"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2"/>
      <c r="AD15" s="567" t="s">
        <v>224</v>
      </c>
      <c r="AE15" s="568"/>
      <c r="AF15" s="568"/>
      <c r="AG15" s="568"/>
      <c r="AH15" s="569"/>
      <c r="AI15" s="2" t="b">
        <f>(Settings!$B$9=Language!$E$71)</f>
        <v>0</v>
      </c>
      <c r="AK15" s="325"/>
    </row>
    <row r="16" spans="1:42" s="2" customFormat="1" ht="15.75" thickBot="1" x14ac:dyDescent="0.25">
      <c r="B16" s="13" t="s">
        <v>6</v>
      </c>
      <c r="C16" s="27" t="s">
        <v>101</v>
      </c>
      <c r="D16" s="27" t="s">
        <v>108</v>
      </c>
      <c r="E16" s="27" t="s">
        <v>109</v>
      </c>
      <c r="F16" s="27" t="s">
        <v>110</v>
      </c>
      <c r="G16" s="27" t="s">
        <v>111</v>
      </c>
      <c r="H16" s="27" t="s">
        <v>112</v>
      </c>
      <c r="I16" s="27" t="s">
        <v>113</v>
      </c>
      <c r="J16" s="27" t="s">
        <v>114</v>
      </c>
      <c r="K16" s="27" t="s">
        <v>115</v>
      </c>
      <c r="L16" s="11" t="s">
        <v>116</v>
      </c>
      <c r="M16" s="26" t="s">
        <v>100</v>
      </c>
      <c r="N16" s="26" t="s">
        <v>15</v>
      </c>
      <c r="O16" s="31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1" t="s">
        <v>102</v>
      </c>
      <c r="X16" s="256" t="s">
        <v>204</v>
      </c>
      <c r="Y16" s="11" t="s">
        <v>103</v>
      </c>
      <c r="Z16" s="256" t="s">
        <v>203</v>
      </c>
      <c r="AA16" s="1" t="s">
        <v>115</v>
      </c>
      <c r="AB16" s="1" t="s">
        <v>114</v>
      </c>
      <c r="AC16" s="1" t="s">
        <v>112</v>
      </c>
      <c r="AD16" s="335" t="s">
        <v>115</v>
      </c>
      <c r="AE16" s="339" t="s">
        <v>222</v>
      </c>
      <c r="AF16" s="1" t="s">
        <v>222</v>
      </c>
      <c r="AG16" s="1" t="s">
        <v>223</v>
      </c>
      <c r="AH16" s="256" t="s">
        <v>204</v>
      </c>
    </row>
    <row r="17" spans="2:80" s="2" customFormat="1" ht="12.75" thickTop="1" x14ac:dyDescent="0.2">
      <c r="C17" s="2" t="str">
        <f>$Q64</f>
        <v>1. FC Riedwald</v>
      </c>
      <c r="D17" s="1">
        <f t="shared" ref="D17:D25" ca="1" si="32">K4</f>
        <v>2</v>
      </c>
      <c r="E17" s="1">
        <f t="shared" ref="E17:E25" ca="1" si="33">L4</f>
        <v>0</v>
      </c>
      <c r="F17" s="1">
        <f t="shared" ref="F17:F25" ca="1" si="34">M4</f>
        <v>1</v>
      </c>
      <c r="G17" s="1">
        <f t="shared" ref="G17:G25" ca="1" si="35">N4</f>
        <v>1</v>
      </c>
      <c r="H17" s="1">
        <f t="shared" ref="H17:J23" ca="1" si="36">G4</f>
        <v>3</v>
      </c>
      <c r="I17" s="1">
        <f t="shared" ca="1" si="36"/>
        <v>4</v>
      </c>
      <c r="J17" s="13">
        <f t="shared" ca="1" si="36"/>
        <v>-1</v>
      </c>
      <c r="K17" s="1">
        <f t="shared" ref="K17:K25" ca="1" si="37">J4</f>
        <v>1</v>
      </c>
      <c r="L17" s="30">
        <f t="shared" ref="L17:L25" ca="1" si="38">K17*$F$64+(J17+$H$65)*$F$65+H17*$F$66</f>
        <v>1499003</v>
      </c>
      <c r="M17" s="14">
        <f ca="1">IF($AI$15,COUNTIF($K$17:$K$25,K17),COUNTIF($L$17:$L$25,L17))</f>
        <v>2</v>
      </c>
      <c r="N17" s="14">
        <f t="array" aca="1" ref="N17" ca="1">IF($AI$15,SUM(($K$17:$K$25&gt;=K17)/COUNTIF($K$17:$K$25,$K$17:$K$25)),SUM(($L$17:$L$25&gt;=L17)/COUNTIF($L$17:$L$25,$L$17:$L$25)))</f>
        <v>5</v>
      </c>
      <c r="O17" s="58" t="str">
        <f t="shared" ref="O17:O25" ca="1" si="39">IF(AND(M17&gt;1,N17=1),C17,"")</f>
        <v/>
      </c>
      <c r="P17" s="59" t="str">
        <f t="shared" ref="P17:P25" ca="1" si="40">IF(AND(M17&gt;1,N17=2),C17,"")</f>
        <v/>
      </c>
      <c r="Q17" s="59" t="str">
        <f t="shared" ref="Q17:Q25" ca="1" si="41">IF(AND(M17&gt;1,N17=3),C17,"")</f>
        <v/>
      </c>
      <c r="R17" s="59" t="str">
        <f t="shared" ref="R17:R25" ca="1" si="42">IF(AND(M17&gt;1,N17=4),C17,"")</f>
        <v/>
      </c>
      <c r="S17" s="59" t="str">
        <f t="shared" ref="S17:S25" ca="1" si="43">IF(AND(M17&gt;1,N17=5),C17,"")</f>
        <v>1. FC Riedwald</v>
      </c>
      <c r="T17" s="59" t="str">
        <f t="shared" ref="T17:T25" ca="1" si="44">IF(AND($M17&gt;1,$N17=6),$C17,"")</f>
        <v/>
      </c>
      <c r="U17" s="59" t="str">
        <f t="shared" ref="U17:U25" ca="1" si="45">IF(AND($M17&gt;1,$N17=7),$C17,"")</f>
        <v/>
      </c>
      <c r="V17" s="60" t="str">
        <f t="shared" ref="V17:V25" ca="1" si="46">IF(AND($M17&gt;1,$N17=8),$C17,"")</f>
        <v/>
      </c>
      <c r="W17" s="69">
        <f t="shared" ref="W17:W25" ca="1" si="47">AA17*$F$64+(AB17+$H$65)*$F$65+AC17*$F$66</f>
        <v>1500001</v>
      </c>
      <c r="X17" s="21">
        <f ca="1">RANK($L17,$L$17:$L$25)+RANK($W17,$W$17:$W$25)/100+(9-$Y17)/10000+($C17="")*100</f>
        <v>5.0108999999999995</v>
      </c>
      <c r="Y17" s="13">
        <f>'Fair-Play und Los'!$D7</f>
        <v>0</v>
      </c>
      <c r="Z17" s="1">
        <f ca="1">RANK($W17,$W$17:$W$25)+(9-$Y17)/10</f>
        <v>1.9</v>
      </c>
      <c r="AA17" s="1">
        <f ca="1">SUM(E30:BP30)</f>
        <v>1</v>
      </c>
      <c r="AB17" s="1">
        <f ca="1">SUM(E41:BP41)</f>
        <v>0</v>
      </c>
      <c r="AC17" s="1">
        <f ca="1">SUM(E52:BP52)</f>
        <v>1</v>
      </c>
      <c r="AD17" s="334">
        <f ca="1">RANK($K17,$K$17:$K$25)</f>
        <v>5</v>
      </c>
      <c r="AE17" s="30">
        <f t="shared" ref="AE17:AE25" ca="1" si="48">(J17+$H$65)*$F$65+H17*$F$66</f>
        <v>499003</v>
      </c>
      <c r="AF17" s="1">
        <f ca="1">RANK($AE17,$AE$17:$AE$25)</f>
        <v>7</v>
      </c>
      <c r="AG17" s="1">
        <f ca="1">RANK($W17,$W$17:$W$25)</f>
        <v>1</v>
      </c>
      <c r="AH17" s="336">
        <f ca="1">AD17+AG17/100+AF17/10000+(10-Y17)/1000000+($C17="")*100</f>
        <v>5.0107099999999996</v>
      </c>
      <c r="AI17" s="1"/>
    </row>
    <row r="18" spans="2:80" s="2" customFormat="1" x14ac:dyDescent="0.2">
      <c r="C18" s="2" t="str">
        <f t="shared" ref="C18:C25" si="49">$Q65</f>
        <v>FC Barcelona</v>
      </c>
      <c r="D18" s="1">
        <f t="shared" ca="1" si="32"/>
        <v>2</v>
      </c>
      <c r="E18" s="1">
        <f t="shared" ca="1" si="33"/>
        <v>0</v>
      </c>
      <c r="F18" s="1">
        <f t="shared" ca="1" si="34"/>
        <v>1</v>
      </c>
      <c r="G18" s="1">
        <f t="shared" ca="1" si="35"/>
        <v>1</v>
      </c>
      <c r="H18" s="1">
        <f t="shared" ca="1" si="36"/>
        <v>2</v>
      </c>
      <c r="I18" s="1">
        <f t="shared" ca="1" si="36"/>
        <v>4</v>
      </c>
      <c r="J18" s="13">
        <f t="shared" ca="1" si="36"/>
        <v>-2</v>
      </c>
      <c r="K18" s="1">
        <f t="shared" ca="1" si="37"/>
        <v>1</v>
      </c>
      <c r="L18" s="30">
        <f t="shared" ca="1" si="38"/>
        <v>1498002</v>
      </c>
      <c r="M18" s="14">
        <f t="shared" ref="M18:M25" ca="1" si="50">IF($AI$15,COUNTIF($K$17:$K$25,K18),COUNTIF($L$17:$L$25,L18))</f>
        <v>1</v>
      </c>
      <c r="N18" s="14">
        <f t="array" aca="1" ref="N18" ca="1">IF($AI$15,SUM(($K$17:$K$25&gt;=K18)/COUNTIF($K$17:$K$25,$K$17:$K$25)),SUM(($L$17:$L$25&gt;=L18)/COUNTIF($L$17:$L$25,$L$17:$L$25)))</f>
        <v>6</v>
      </c>
      <c r="O18" s="6" t="str">
        <f t="shared" ca="1" si="39"/>
        <v/>
      </c>
      <c r="P18" s="4" t="str">
        <f t="shared" ca="1" si="40"/>
        <v/>
      </c>
      <c r="Q18" s="4" t="str">
        <f t="shared" ca="1" si="41"/>
        <v/>
      </c>
      <c r="R18" s="4" t="str">
        <f t="shared" ca="1" si="42"/>
        <v/>
      </c>
      <c r="S18" s="4" t="str">
        <f t="shared" ca="1" si="43"/>
        <v/>
      </c>
      <c r="T18" s="4" t="str">
        <f t="shared" ca="1" si="44"/>
        <v/>
      </c>
      <c r="U18" s="4" t="str">
        <f t="shared" ca="1" si="45"/>
        <v/>
      </c>
      <c r="V18" s="61" t="str">
        <f t="shared" ca="1" si="46"/>
        <v/>
      </c>
      <c r="W18" s="69">
        <f t="shared" ca="1" si="47"/>
        <v>500000</v>
      </c>
      <c r="X18" s="22">
        <f ca="1">RANK($L18,$L$17:$L$25)+RANK($W18,$W$17:$W$25)/100+(9-$Y18)/10000+($C18="")*100</f>
        <v>7.0308999999999999</v>
      </c>
      <c r="Y18" s="13">
        <f>'Fair-Play und Los'!$D8</f>
        <v>0</v>
      </c>
      <c r="Z18" s="1">
        <f t="shared" ref="Z18:Z25" ca="1" si="51">RANK($W18,$W$17:$W$25)+(9-$Y18)/10</f>
        <v>3.9</v>
      </c>
      <c r="AA18" s="1">
        <f t="shared" ref="AA18:AA25" ca="1" si="52">SUM(E31:BP31)</f>
        <v>0</v>
      </c>
      <c r="AB18" s="1">
        <f t="shared" ref="AB18:AB25" ca="1" si="53">SUM(E42:BP42)</f>
        <v>0</v>
      </c>
      <c r="AC18" s="1">
        <f t="shared" ref="AC18:AC25" ca="1" si="54">SUM(E53:BP53)</f>
        <v>0</v>
      </c>
      <c r="AD18" s="334">
        <f t="shared" ref="AD18:AD25" ca="1" si="55">RANK($K18,$K$17:$K$25)</f>
        <v>5</v>
      </c>
      <c r="AE18" s="30">
        <f t="shared" ca="1" si="48"/>
        <v>498002</v>
      </c>
      <c r="AF18" s="1">
        <f t="shared" ref="AF18:AF25" ca="1" si="56">RANK($AE18,$AE$17:$AE$25)</f>
        <v>9</v>
      </c>
      <c r="AG18" s="1">
        <f t="shared" ref="AG18:AG25" ca="1" si="57">RANK($W18,$W$17:$W$25)</f>
        <v>3</v>
      </c>
      <c r="AH18" s="337">
        <f ca="1">AD18+AG18/100+AF18/10000+(10-Y18)/1000000+($C18="")*100</f>
        <v>5.0309099999999995</v>
      </c>
      <c r="AI18" s="1"/>
    </row>
    <row r="19" spans="2:80" s="2" customFormat="1" x14ac:dyDescent="0.2">
      <c r="C19" s="2" t="str">
        <f t="shared" si="49"/>
        <v>Eintracht Frankfurt</v>
      </c>
      <c r="D19" s="1">
        <f t="shared" ca="1" si="32"/>
        <v>2</v>
      </c>
      <c r="E19" s="1">
        <f t="shared" ca="1" si="33"/>
        <v>1</v>
      </c>
      <c r="F19" s="1">
        <f t="shared" ca="1" si="34"/>
        <v>0</v>
      </c>
      <c r="G19" s="1">
        <f t="shared" ca="1" si="35"/>
        <v>1</v>
      </c>
      <c r="H19" s="1">
        <f t="shared" ca="1" si="36"/>
        <v>4</v>
      </c>
      <c r="I19" s="1">
        <f t="shared" ca="1" si="36"/>
        <v>4</v>
      </c>
      <c r="J19" s="13">
        <f t="shared" ca="1" si="36"/>
        <v>0</v>
      </c>
      <c r="K19" s="1">
        <f t="shared" ca="1" si="37"/>
        <v>3</v>
      </c>
      <c r="L19" s="30">
        <f t="shared" ca="1" si="38"/>
        <v>3500004</v>
      </c>
      <c r="M19" s="14">
        <f t="shared" ca="1" si="50"/>
        <v>1</v>
      </c>
      <c r="N19" s="14">
        <f t="array" aca="1" ref="N19" ca="1">IF($AI$15,SUM(($K$17:$K$25&gt;=K19)/COUNTIF($K$17:$K$25,$K$17:$K$25)),SUM(($L$17:$L$25&gt;=L19)/COUNTIF($L$17:$L$25,$L$17:$L$25)))</f>
        <v>3</v>
      </c>
      <c r="O19" s="6" t="str">
        <f t="shared" ca="1" si="39"/>
        <v/>
      </c>
      <c r="P19" s="4" t="str">
        <f t="shared" ca="1" si="40"/>
        <v/>
      </c>
      <c r="Q19" s="4" t="str">
        <f t="shared" ca="1" si="41"/>
        <v/>
      </c>
      <c r="R19" s="4" t="str">
        <f t="shared" ca="1" si="42"/>
        <v/>
      </c>
      <c r="S19" s="4" t="str">
        <f t="shared" ca="1" si="43"/>
        <v/>
      </c>
      <c r="T19" s="4" t="str">
        <f t="shared" ca="1" si="44"/>
        <v/>
      </c>
      <c r="U19" s="4" t="str">
        <f t="shared" ca="1" si="45"/>
        <v/>
      </c>
      <c r="V19" s="61" t="str">
        <f t="shared" ca="1" si="46"/>
        <v/>
      </c>
      <c r="W19" s="69">
        <f t="shared" ca="1" si="47"/>
        <v>500000</v>
      </c>
      <c r="X19" s="22">
        <f t="shared" ref="X19:X25" ca="1" si="58">RANK($L19,$L$17:$L$25)+RANK($W19,$W$17:$W$25)/100+(9-$Y19)/10000+($C19="")*100</f>
        <v>3.0308999999999999</v>
      </c>
      <c r="Y19" s="13">
        <f>'Fair-Play und Los'!$D9</f>
        <v>0</v>
      </c>
      <c r="Z19" s="1">
        <f t="shared" ca="1" si="51"/>
        <v>3.9</v>
      </c>
      <c r="AA19" s="1">
        <f t="shared" ca="1" si="52"/>
        <v>0</v>
      </c>
      <c r="AB19" s="1">
        <f t="shared" ca="1" si="53"/>
        <v>0</v>
      </c>
      <c r="AC19" s="1">
        <f t="shared" ca="1" si="54"/>
        <v>0</v>
      </c>
      <c r="AD19" s="334">
        <f t="shared" ca="1" si="55"/>
        <v>3</v>
      </c>
      <c r="AE19" s="30">
        <f t="shared" ca="1" si="48"/>
        <v>500004</v>
      </c>
      <c r="AF19" s="1">
        <f t="shared" ca="1" si="56"/>
        <v>3</v>
      </c>
      <c r="AG19" s="1">
        <f t="shared" ca="1" si="57"/>
        <v>3</v>
      </c>
      <c r="AH19" s="337">
        <f t="shared" ref="AH19:AH25" ca="1" si="59">AD19+AG19/100+AF19/10000+(10-Y19)/1000000+($C19="")*100</f>
        <v>3.0303100000000001</v>
      </c>
      <c r="AI19" s="1"/>
    </row>
    <row r="20" spans="2:80" s="2" customFormat="1" x14ac:dyDescent="0.2">
      <c r="C20" s="2" t="str">
        <f t="shared" si="49"/>
        <v>Maibach 1822 eV</v>
      </c>
      <c r="D20" s="1">
        <f t="shared" ca="1" si="32"/>
        <v>2</v>
      </c>
      <c r="E20" s="1">
        <f t="shared" ca="1" si="33"/>
        <v>1</v>
      </c>
      <c r="F20" s="1">
        <f t="shared" ca="1" si="34"/>
        <v>1</v>
      </c>
      <c r="G20" s="1">
        <f t="shared" ca="1" si="35"/>
        <v>0</v>
      </c>
      <c r="H20" s="1">
        <f t="shared" ca="1" si="36"/>
        <v>2</v>
      </c>
      <c r="I20" s="1">
        <f t="shared" ca="1" si="36"/>
        <v>1</v>
      </c>
      <c r="J20" s="13">
        <f t="shared" ca="1" si="36"/>
        <v>1</v>
      </c>
      <c r="K20" s="1">
        <f t="shared" ca="1" si="37"/>
        <v>4</v>
      </c>
      <c r="L20" s="30">
        <f t="shared" ca="1" si="38"/>
        <v>4501002</v>
      </c>
      <c r="M20" s="14">
        <f t="shared" ca="1" si="50"/>
        <v>1</v>
      </c>
      <c r="N20" s="14">
        <f t="array" aca="1" ref="N20" ca="1">IF($AI$15,SUM(($K$17:$K$25&gt;=K20)/COUNTIF($K$17:$K$25,$K$17:$K$25)),SUM(($L$17:$L$25&gt;=L20)/COUNTIF($L$17:$L$25,$L$17:$L$25)))</f>
        <v>2</v>
      </c>
      <c r="O20" s="6" t="str">
        <f t="shared" ca="1" si="39"/>
        <v/>
      </c>
      <c r="P20" s="4" t="str">
        <f t="shared" ca="1" si="40"/>
        <v/>
      </c>
      <c r="Q20" s="4" t="str">
        <f t="shared" ca="1" si="41"/>
        <v/>
      </c>
      <c r="R20" s="4" t="str">
        <f t="shared" ca="1" si="42"/>
        <v/>
      </c>
      <c r="S20" s="4" t="str">
        <f t="shared" ca="1" si="43"/>
        <v/>
      </c>
      <c r="T20" s="4" t="str">
        <f t="shared" ca="1" si="44"/>
        <v/>
      </c>
      <c r="U20" s="4" t="str">
        <f t="shared" ca="1" si="45"/>
        <v/>
      </c>
      <c r="V20" s="61" t="str">
        <f t="shared" ca="1" si="46"/>
        <v/>
      </c>
      <c r="W20" s="69">
        <f t="shared" ca="1" si="47"/>
        <v>500000</v>
      </c>
      <c r="X20" s="22">
        <f t="shared" ca="1" si="58"/>
        <v>2.0308999999999999</v>
      </c>
      <c r="Y20" s="13">
        <f>'Fair-Play und Los'!$D10</f>
        <v>0</v>
      </c>
      <c r="Z20" s="1">
        <f t="shared" ca="1" si="51"/>
        <v>3.9</v>
      </c>
      <c r="AA20" s="1">
        <f t="shared" ca="1" si="52"/>
        <v>0</v>
      </c>
      <c r="AB20" s="1">
        <f t="shared" ca="1" si="53"/>
        <v>0</v>
      </c>
      <c r="AC20" s="1">
        <f t="shared" ca="1" si="54"/>
        <v>0</v>
      </c>
      <c r="AD20" s="334">
        <f t="shared" ca="1" si="55"/>
        <v>2</v>
      </c>
      <c r="AE20" s="30">
        <f t="shared" ca="1" si="48"/>
        <v>501002</v>
      </c>
      <c r="AF20" s="1">
        <f t="shared" ca="1" si="56"/>
        <v>2</v>
      </c>
      <c r="AG20" s="1">
        <f t="shared" ca="1" si="57"/>
        <v>3</v>
      </c>
      <c r="AH20" s="337">
        <f t="shared" ca="1" si="59"/>
        <v>2.0302099999999998</v>
      </c>
      <c r="AI20" s="1"/>
    </row>
    <row r="21" spans="2:80" s="2" customFormat="1" x14ac:dyDescent="0.2">
      <c r="C21" s="2" t="str">
        <f t="shared" si="49"/>
        <v>VFB Essenheim</v>
      </c>
      <c r="D21" s="1">
        <f t="shared" ca="1" si="32"/>
        <v>2</v>
      </c>
      <c r="E21" s="1">
        <f t="shared" ca="1" si="33"/>
        <v>0</v>
      </c>
      <c r="F21" s="1">
        <f t="shared" ca="1" si="34"/>
        <v>2</v>
      </c>
      <c r="G21" s="1">
        <f t="shared" ca="1" si="35"/>
        <v>0</v>
      </c>
      <c r="H21" s="1">
        <f t="shared" ca="1" si="36"/>
        <v>2</v>
      </c>
      <c r="I21" s="1">
        <f t="shared" ca="1" si="36"/>
        <v>2</v>
      </c>
      <c r="J21" s="13">
        <f t="shared" ca="1" si="36"/>
        <v>0</v>
      </c>
      <c r="K21" s="1">
        <f t="shared" ca="1" si="37"/>
        <v>2</v>
      </c>
      <c r="L21" s="30">
        <f t="shared" ca="1" si="38"/>
        <v>2500002</v>
      </c>
      <c r="M21" s="14">
        <f t="shared" ca="1" si="50"/>
        <v>1</v>
      </c>
      <c r="N21" s="14">
        <f t="array" aca="1" ref="N21" ca="1">IF($AI$15,SUM(($K$17:$K$25&gt;=K21)/COUNTIF($K$17:$K$25,$K$17:$K$25)),SUM(($L$17:$L$25&gt;=L21)/COUNTIF($L$17:$L$25,$L$17:$L$25)))</f>
        <v>4</v>
      </c>
      <c r="O21" s="6" t="str">
        <f t="shared" ca="1" si="39"/>
        <v/>
      </c>
      <c r="P21" s="4" t="str">
        <f t="shared" ca="1" si="40"/>
        <v/>
      </c>
      <c r="Q21" s="4" t="str">
        <f t="shared" ca="1" si="41"/>
        <v/>
      </c>
      <c r="R21" s="4" t="str">
        <f t="shared" ca="1" si="42"/>
        <v/>
      </c>
      <c r="S21" s="4" t="str">
        <f t="shared" ca="1" si="43"/>
        <v/>
      </c>
      <c r="T21" s="4" t="str">
        <f t="shared" ca="1" si="44"/>
        <v/>
      </c>
      <c r="U21" s="4" t="str">
        <f t="shared" ca="1" si="45"/>
        <v/>
      </c>
      <c r="V21" s="61" t="str">
        <f t="shared" ca="1" si="46"/>
        <v/>
      </c>
      <c r="W21" s="69">
        <f t="shared" ca="1" si="47"/>
        <v>500000</v>
      </c>
      <c r="X21" s="22">
        <f t="shared" ca="1" si="58"/>
        <v>4.0308999999999999</v>
      </c>
      <c r="Y21" s="13">
        <f>'Fair-Play und Los'!$D11</f>
        <v>0</v>
      </c>
      <c r="Z21" s="1">
        <f t="shared" ca="1" si="51"/>
        <v>3.9</v>
      </c>
      <c r="AA21" s="1">
        <f t="shared" ca="1" si="52"/>
        <v>0</v>
      </c>
      <c r="AB21" s="1">
        <f t="shared" ca="1" si="53"/>
        <v>0</v>
      </c>
      <c r="AC21" s="1">
        <f t="shared" ca="1" si="54"/>
        <v>0</v>
      </c>
      <c r="AD21" s="334">
        <f t="shared" ca="1" si="55"/>
        <v>4</v>
      </c>
      <c r="AE21" s="30">
        <f t="shared" ca="1" si="48"/>
        <v>500002</v>
      </c>
      <c r="AF21" s="1">
        <f t="shared" ca="1" si="56"/>
        <v>4</v>
      </c>
      <c r="AG21" s="1">
        <f t="shared" ca="1" si="57"/>
        <v>3</v>
      </c>
      <c r="AH21" s="337">
        <f t="shared" ca="1" si="59"/>
        <v>4.0304099999999998</v>
      </c>
      <c r="AI21" s="1"/>
    </row>
    <row r="22" spans="2:80" s="2" customFormat="1" x14ac:dyDescent="0.2">
      <c r="C22" s="2" t="str">
        <f t="shared" si="49"/>
        <v>Inter Mailand</v>
      </c>
      <c r="D22" s="1">
        <f t="shared" ca="1" si="32"/>
        <v>2</v>
      </c>
      <c r="E22" s="1">
        <f t="shared" ca="1" si="33"/>
        <v>0</v>
      </c>
      <c r="F22" s="1">
        <f t="shared" ca="1" si="34"/>
        <v>1</v>
      </c>
      <c r="G22" s="1">
        <f t="shared" ca="1" si="35"/>
        <v>1</v>
      </c>
      <c r="H22" s="1">
        <f t="shared" ca="1" si="36"/>
        <v>3</v>
      </c>
      <c r="I22" s="1">
        <f t="shared" ca="1" si="36"/>
        <v>4</v>
      </c>
      <c r="J22" s="13">
        <f t="shared" ca="1" si="36"/>
        <v>-1</v>
      </c>
      <c r="K22" s="1">
        <f t="shared" ca="1" si="37"/>
        <v>1</v>
      </c>
      <c r="L22" s="30">
        <f t="shared" ca="1" si="38"/>
        <v>1499003</v>
      </c>
      <c r="M22" s="14">
        <f t="shared" ca="1" si="50"/>
        <v>2</v>
      </c>
      <c r="N22" s="14">
        <f t="array" aca="1" ref="N22" ca="1">IF($AI$15,SUM(($K$17:$K$25&gt;=K22)/COUNTIF($K$17:$K$25,$K$17:$K$25)),SUM(($L$17:$L$25&gt;=L22)/COUNTIF($L$17:$L$25,$L$17:$L$25)))</f>
        <v>5</v>
      </c>
      <c r="O22" s="6" t="str">
        <f t="shared" ca="1" si="39"/>
        <v/>
      </c>
      <c r="P22" s="4" t="str">
        <f t="shared" ca="1" si="40"/>
        <v/>
      </c>
      <c r="Q22" s="4" t="str">
        <f t="shared" ca="1" si="41"/>
        <v/>
      </c>
      <c r="R22" s="4" t="str">
        <f t="shared" ca="1" si="42"/>
        <v/>
      </c>
      <c r="S22" s="4" t="str">
        <f t="shared" ca="1" si="43"/>
        <v>Inter Mailand</v>
      </c>
      <c r="T22" s="4" t="str">
        <f t="shared" ca="1" si="44"/>
        <v/>
      </c>
      <c r="U22" s="4" t="str">
        <f t="shared" ca="1" si="45"/>
        <v/>
      </c>
      <c r="V22" s="61" t="str">
        <f t="shared" ca="1" si="46"/>
        <v/>
      </c>
      <c r="W22" s="69">
        <f t="shared" ca="1" si="47"/>
        <v>1500001</v>
      </c>
      <c r="X22" s="22">
        <f t="shared" ca="1" si="58"/>
        <v>5.0108999999999995</v>
      </c>
      <c r="Y22" s="13">
        <f>'Fair-Play und Los'!$D12</f>
        <v>0</v>
      </c>
      <c r="Z22" s="1">
        <f t="shared" ca="1" si="51"/>
        <v>1.9</v>
      </c>
      <c r="AA22" s="1">
        <f t="shared" ca="1" si="52"/>
        <v>1</v>
      </c>
      <c r="AB22" s="1">
        <f t="shared" ca="1" si="53"/>
        <v>0</v>
      </c>
      <c r="AC22" s="1">
        <f t="shared" ca="1" si="54"/>
        <v>1</v>
      </c>
      <c r="AD22" s="334">
        <f t="shared" ca="1" si="55"/>
        <v>5</v>
      </c>
      <c r="AE22" s="30">
        <f t="shared" ca="1" si="48"/>
        <v>499003</v>
      </c>
      <c r="AF22" s="1">
        <f t="shared" ca="1" si="56"/>
        <v>7</v>
      </c>
      <c r="AG22" s="1">
        <f t="shared" ca="1" si="57"/>
        <v>1</v>
      </c>
      <c r="AH22" s="337">
        <f t="shared" ca="1" si="59"/>
        <v>5.0107099999999996</v>
      </c>
      <c r="AI22" s="1"/>
    </row>
    <row r="23" spans="2:80" s="2" customFormat="1" x14ac:dyDescent="0.2">
      <c r="C23" s="2" t="str">
        <f t="shared" si="49"/>
        <v>SSV Wildbach</v>
      </c>
      <c r="D23" s="1">
        <f t="shared" ca="1" si="32"/>
        <v>2</v>
      </c>
      <c r="E23" s="1">
        <f t="shared" ca="1" si="33"/>
        <v>2</v>
      </c>
      <c r="F23" s="1">
        <f t="shared" ca="1" si="34"/>
        <v>0</v>
      </c>
      <c r="G23" s="1">
        <f t="shared" ca="1" si="35"/>
        <v>0</v>
      </c>
      <c r="H23" s="1">
        <f t="shared" ca="1" si="36"/>
        <v>5</v>
      </c>
      <c r="I23" s="1">
        <f t="shared" ca="1" si="36"/>
        <v>2</v>
      </c>
      <c r="J23" s="13">
        <f t="shared" ca="1" si="36"/>
        <v>3</v>
      </c>
      <c r="K23" s="1">
        <f t="shared" ca="1" si="37"/>
        <v>6</v>
      </c>
      <c r="L23" s="30">
        <f t="shared" ca="1" si="38"/>
        <v>6503005</v>
      </c>
      <c r="M23" s="14">
        <f t="shared" ca="1" si="50"/>
        <v>1</v>
      </c>
      <c r="N23" s="14">
        <f t="array" aca="1" ref="N23" ca="1">IF($AI$15,SUM(($K$17:$K$25&gt;=K23)/COUNTIF($K$17:$K$25,$K$17:$K$25)),SUM(($L$17:$L$25&gt;=L23)/COUNTIF($L$17:$L$25,$L$17:$L$25)))</f>
        <v>1</v>
      </c>
      <c r="O23" s="6" t="str">
        <f t="shared" ca="1" si="39"/>
        <v/>
      </c>
      <c r="P23" s="4" t="str">
        <f t="shared" ca="1" si="40"/>
        <v/>
      </c>
      <c r="Q23" s="4" t="str">
        <f t="shared" ca="1" si="41"/>
        <v/>
      </c>
      <c r="R23" s="4" t="str">
        <f t="shared" ca="1" si="42"/>
        <v/>
      </c>
      <c r="S23" s="4" t="str">
        <f t="shared" ca="1" si="43"/>
        <v/>
      </c>
      <c r="T23" s="4" t="str">
        <f t="shared" ca="1" si="44"/>
        <v/>
      </c>
      <c r="U23" s="4" t="str">
        <f t="shared" ca="1" si="45"/>
        <v/>
      </c>
      <c r="V23" s="61" t="str">
        <f t="shared" ca="1" si="46"/>
        <v/>
      </c>
      <c r="W23" s="69">
        <f t="shared" ca="1" si="47"/>
        <v>500000</v>
      </c>
      <c r="X23" s="22">
        <f t="shared" ca="1" si="58"/>
        <v>1.0308999999999999</v>
      </c>
      <c r="Y23" s="13">
        <f>'Fair-Play und Los'!$D13</f>
        <v>0</v>
      </c>
      <c r="Z23" s="1">
        <f t="shared" ca="1" si="51"/>
        <v>3.9</v>
      </c>
      <c r="AA23" s="1">
        <f t="shared" ca="1" si="52"/>
        <v>0</v>
      </c>
      <c r="AB23" s="1">
        <f t="shared" ca="1" si="53"/>
        <v>0</v>
      </c>
      <c r="AC23" s="1">
        <f t="shared" ca="1" si="54"/>
        <v>0</v>
      </c>
      <c r="AD23" s="334">
        <f t="shared" ca="1" si="55"/>
        <v>1</v>
      </c>
      <c r="AE23" s="30">
        <f t="shared" ca="1" si="48"/>
        <v>503005</v>
      </c>
      <c r="AF23" s="1">
        <f t="shared" ca="1" si="56"/>
        <v>1</v>
      </c>
      <c r="AG23" s="1">
        <f t="shared" ca="1" si="57"/>
        <v>3</v>
      </c>
      <c r="AH23" s="337">
        <f t="shared" ca="1" si="59"/>
        <v>1.0301100000000001</v>
      </c>
      <c r="AI23" s="1"/>
    </row>
    <row r="24" spans="2:80" s="2" customFormat="1" x14ac:dyDescent="0.2">
      <c r="C24" s="2" t="str">
        <f t="shared" si="49"/>
        <v/>
      </c>
      <c r="D24" s="1">
        <f t="shared" ca="1" si="32"/>
        <v>0</v>
      </c>
      <c r="E24" s="1">
        <f t="shared" ca="1" si="33"/>
        <v>0</v>
      </c>
      <c r="F24" s="1">
        <f t="shared" ca="1" si="34"/>
        <v>0</v>
      </c>
      <c r="G24" s="1">
        <f t="shared" ca="1" si="35"/>
        <v>0</v>
      </c>
      <c r="H24" s="1">
        <f t="shared" ref="H24:J24" ca="1" si="60">G11</f>
        <v>0</v>
      </c>
      <c r="I24" s="1">
        <f t="shared" ca="1" si="60"/>
        <v>0</v>
      </c>
      <c r="J24" s="13">
        <f t="shared" ca="1" si="60"/>
        <v>0</v>
      </c>
      <c r="K24" s="1">
        <f t="shared" ca="1" si="37"/>
        <v>0</v>
      </c>
      <c r="L24" s="30">
        <f t="shared" ca="1" si="38"/>
        <v>500000</v>
      </c>
      <c r="M24" s="14">
        <f t="shared" ca="1" si="50"/>
        <v>2</v>
      </c>
      <c r="N24" s="14">
        <f t="array" aca="1" ref="N24" ca="1">IF($AI$15,SUM(($K$17:$K$25&gt;=K24)/COUNTIF($K$17:$K$25,$K$17:$K$25)),SUM(($L$17:$L$25&gt;=L24)/COUNTIF($L$17:$L$25,$L$17:$L$25)))</f>
        <v>7</v>
      </c>
      <c r="O24" s="6" t="str">
        <f t="shared" ca="1" si="39"/>
        <v/>
      </c>
      <c r="P24" s="4" t="str">
        <f t="shared" ca="1" si="40"/>
        <v/>
      </c>
      <c r="Q24" s="4" t="str">
        <f t="shared" ca="1" si="41"/>
        <v/>
      </c>
      <c r="R24" s="4" t="str">
        <f t="shared" ca="1" si="42"/>
        <v/>
      </c>
      <c r="S24" s="4" t="str">
        <f t="shared" ca="1" si="43"/>
        <v/>
      </c>
      <c r="T24" s="4" t="str">
        <f t="shared" ca="1" si="44"/>
        <v/>
      </c>
      <c r="U24" s="4" t="str">
        <f t="shared" ca="1" si="45"/>
        <v/>
      </c>
      <c r="V24" s="61" t="str">
        <f t="shared" ca="1" si="46"/>
        <v/>
      </c>
      <c r="W24" s="69">
        <f t="shared" ca="1" si="47"/>
        <v>500000</v>
      </c>
      <c r="X24" s="22">
        <f t="shared" ca="1" si="58"/>
        <v>108.0309</v>
      </c>
      <c r="Y24" s="13">
        <f>'Fair-Play und Los'!$D14</f>
        <v>0</v>
      </c>
      <c r="Z24" s="1">
        <f t="shared" ca="1" si="51"/>
        <v>3.9</v>
      </c>
      <c r="AA24" s="1">
        <f t="shared" ca="1" si="52"/>
        <v>0</v>
      </c>
      <c r="AB24" s="1">
        <f t="shared" ca="1" si="53"/>
        <v>0</v>
      </c>
      <c r="AC24" s="1">
        <f t="shared" ca="1" si="54"/>
        <v>0</v>
      </c>
      <c r="AD24" s="334">
        <f t="shared" ca="1" si="55"/>
        <v>8</v>
      </c>
      <c r="AE24" s="30">
        <f t="shared" ca="1" si="48"/>
        <v>500000</v>
      </c>
      <c r="AF24" s="1">
        <f t="shared" ca="1" si="56"/>
        <v>5</v>
      </c>
      <c r="AG24" s="1">
        <f t="shared" ca="1" si="57"/>
        <v>3</v>
      </c>
      <c r="AH24" s="337">
        <f t="shared" ca="1" si="59"/>
        <v>108.03050999999999</v>
      </c>
      <c r="AI24" s="1"/>
    </row>
    <row r="25" spans="2:80" s="2" customFormat="1" ht="12.75" thickBot="1" x14ac:dyDescent="0.25">
      <c r="C25" s="2" t="str">
        <f t="shared" si="49"/>
        <v/>
      </c>
      <c r="D25" s="1">
        <f t="shared" ca="1" si="32"/>
        <v>0</v>
      </c>
      <c r="E25" s="1">
        <f t="shared" ca="1" si="33"/>
        <v>0</v>
      </c>
      <c r="F25" s="1">
        <f t="shared" ca="1" si="34"/>
        <v>0</v>
      </c>
      <c r="G25" s="1">
        <f t="shared" ca="1" si="35"/>
        <v>0</v>
      </c>
      <c r="H25" s="1">
        <f t="shared" ref="H25:J25" ca="1" si="61">G12</f>
        <v>0</v>
      </c>
      <c r="I25" s="1">
        <f t="shared" ca="1" si="61"/>
        <v>0</v>
      </c>
      <c r="J25" s="13">
        <f t="shared" ca="1" si="61"/>
        <v>0</v>
      </c>
      <c r="K25" s="1">
        <f t="shared" ca="1" si="37"/>
        <v>0</v>
      </c>
      <c r="L25" s="30">
        <f t="shared" ca="1" si="38"/>
        <v>500000</v>
      </c>
      <c r="M25" s="14">
        <f t="shared" ca="1" si="50"/>
        <v>2</v>
      </c>
      <c r="N25" s="14">
        <f t="array" aca="1" ref="N25" ca="1">IF($AI$15,SUM(($K$17:$K$25&gt;=K25)/COUNTIF($K$17:$K$25,$K$17:$K$25)),SUM(($L$17:$L$25&gt;=L25)/COUNTIF($L$17:$L$25,$L$17:$L$25)))</f>
        <v>7</v>
      </c>
      <c r="O25" s="62" t="str">
        <f t="shared" ca="1" si="39"/>
        <v/>
      </c>
      <c r="P25" s="63" t="str">
        <f t="shared" ca="1" si="40"/>
        <v/>
      </c>
      <c r="Q25" s="63" t="str">
        <f t="shared" ca="1" si="41"/>
        <v/>
      </c>
      <c r="R25" s="63" t="str">
        <f t="shared" ca="1" si="42"/>
        <v/>
      </c>
      <c r="S25" s="63" t="str">
        <f t="shared" ca="1" si="43"/>
        <v/>
      </c>
      <c r="T25" s="63" t="str">
        <f t="shared" ca="1" si="44"/>
        <v/>
      </c>
      <c r="U25" s="63" t="str">
        <f t="shared" ca="1" si="45"/>
        <v/>
      </c>
      <c r="V25" s="64" t="str">
        <f t="shared" ca="1" si="46"/>
        <v/>
      </c>
      <c r="W25" s="69">
        <f t="shared" ca="1" si="47"/>
        <v>500000</v>
      </c>
      <c r="X25" s="23">
        <f t="shared" ca="1" si="58"/>
        <v>108.0309</v>
      </c>
      <c r="Y25" s="13">
        <f>'Fair-Play und Los'!$D15</f>
        <v>0</v>
      </c>
      <c r="Z25" s="1">
        <f t="shared" ca="1" si="51"/>
        <v>3.9</v>
      </c>
      <c r="AA25" s="1">
        <f t="shared" ca="1" si="52"/>
        <v>0</v>
      </c>
      <c r="AB25" s="1">
        <f t="shared" ca="1" si="53"/>
        <v>0</v>
      </c>
      <c r="AC25" s="1">
        <f t="shared" ca="1" si="54"/>
        <v>0</v>
      </c>
      <c r="AD25" s="334">
        <f t="shared" ca="1" si="55"/>
        <v>8</v>
      </c>
      <c r="AE25" s="30">
        <f t="shared" ca="1" si="48"/>
        <v>500000</v>
      </c>
      <c r="AF25" s="1">
        <f t="shared" ca="1" si="56"/>
        <v>5</v>
      </c>
      <c r="AG25" s="1">
        <f t="shared" ca="1" si="57"/>
        <v>3</v>
      </c>
      <c r="AH25" s="338">
        <f t="shared" ca="1" si="59"/>
        <v>108.03050999999999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5" t="s">
        <v>104</v>
      </c>
    </row>
    <row r="29" spans="2:80" s="2" customFormat="1" ht="12.75" thickTop="1" x14ac:dyDescent="0.2">
      <c r="B29" s="2" t="s">
        <v>99</v>
      </c>
      <c r="E29" s="563">
        <v>1</v>
      </c>
      <c r="F29" s="560"/>
      <c r="G29" s="560"/>
      <c r="H29" s="560"/>
      <c r="I29" s="560"/>
      <c r="J29" s="560"/>
      <c r="K29" s="560"/>
      <c r="L29" s="562"/>
      <c r="M29" s="559">
        <v>2</v>
      </c>
      <c r="N29" s="560"/>
      <c r="O29" s="560"/>
      <c r="P29" s="560"/>
      <c r="Q29" s="560"/>
      <c r="R29" s="560"/>
      <c r="S29" s="560"/>
      <c r="T29" s="562"/>
      <c r="U29" s="559">
        <v>3</v>
      </c>
      <c r="V29" s="560"/>
      <c r="W29" s="560"/>
      <c r="X29" s="560"/>
      <c r="Y29" s="560"/>
      <c r="Z29" s="560"/>
      <c r="AA29" s="560"/>
      <c r="AB29" s="562"/>
      <c r="AC29" s="559">
        <v>4</v>
      </c>
      <c r="AD29" s="560"/>
      <c r="AE29" s="560"/>
      <c r="AF29" s="560"/>
      <c r="AG29" s="560"/>
      <c r="AH29" s="560"/>
      <c r="AI29" s="560"/>
      <c r="AJ29" s="562"/>
      <c r="AK29" s="559">
        <v>5</v>
      </c>
      <c r="AL29" s="560"/>
      <c r="AM29" s="560"/>
      <c r="AN29" s="560"/>
      <c r="AO29" s="560"/>
      <c r="AP29" s="560"/>
      <c r="AQ29" s="560"/>
      <c r="AR29" s="562"/>
      <c r="AS29" s="559">
        <v>6</v>
      </c>
      <c r="AT29" s="560"/>
      <c r="AU29" s="560"/>
      <c r="AV29" s="560"/>
      <c r="AW29" s="560"/>
      <c r="AX29" s="560"/>
      <c r="AY29" s="560"/>
      <c r="AZ29" s="562"/>
      <c r="BA29" s="559">
        <v>7</v>
      </c>
      <c r="BB29" s="560"/>
      <c r="BC29" s="560"/>
      <c r="BD29" s="560"/>
      <c r="BE29" s="560"/>
      <c r="BF29" s="560"/>
      <c r="BG29" s="560"/>
      <c r="BH29" s="562"/>
      <c r="BI29" s="559">
        <v>8</v>
      </c>
      <c r="BJ29" s="560"/>
      <c r="BK29" s="560"/>
      <c r="BL29" s="560"/>
      <c r="BM29" s="560"/>
      <c r="BN29" s="560"/>
      <c r="BO29" s="560"/>
      <c r="BP29" s="561"/>
      <c r="BQ29" s="13"/>
      <c r="BR29" s="5" t="s">
        <v>98</v>
      </c>
      <c r="BS29" s="2" t="str">
        <f>$F$4</f>
        <v>1. FC Riedwald</v>
      </c>
      <c r="BT29" s="2" t="str">
        <f>$F$5</f>
        <v>FC Barcelona</v>
      </c>
      <c r="BU29" s="2" t="str">
        <f>$F$6</f>
        <v>Eintracht Frankfurt</v>
      </c>
      <c r="BV29" s="2" t="str">
        <f>$F$7</f>
        <v>Maibach 1822 eV</v>
      </c>
      <c r="BW29" s="2" t="str">
        <f>$F$8</f>
        <v>VFB Essenheim</v>
      </c>
      <c r="BX29" s="2" t="str">
        <f>$F$9</f>
        <v>Inter Mailand</v>
      </c>
      <c r="BY29" s="2" t="str">
        <f>$F$10</f>
        <v>SSV Wildbach</v>
      </c>
      <c r="BZ29" s="2" t="str">
        <f>$F$11</f>
        <v/>
      </c>
      <c r="CA29" s="2" t="str">
        <f>$F$12</f>
        <v/>
      </c>
      <c r="CB29" s="57"/>
    </row>
    <row r="30" spans="2:80" s="2" customFormat="1" x14ac:dyDescent="0.2">
      <c r="C30" s="2" t="str">
        <f>$Q64</f>
        <v>1. FC Riedwald</v>
      </c>
      <c r="E30" s="15">
        <f t="array" aca="1" ref="E30" ca="1">IF(O17=C17,SUM(IF(($BR$52:$BR$60=C17)*($BS$51:$CA$51=O18),$BS$52:$CA$60)),0)</f>
        <v>0</v>
      </c>
      <c r="F30" s="4">
        <f t="array" aca="1" ref="F30" ca="1">IF(O17=C17,SUM(IF(($BR$52:$BR$60=C17)*($BS$51:$CA$51=O19),$BS$52:$CA$60)),0)</f>
        <v>0</v>
      </c>
      <c r="G30" s="4">
        <f t="array" aca="1" ref="G30" ca="1">IF(O17=C17,SUM(IF(($BR$52:$BR$60=C17)*($BS$51:$CA$51=O20),$BS$52:$CA$60)),0)</f>
        <v>0</v>
      </c>
      <c r="H30" s="4">
        <f t="array" aca="1" ref="H30" ca="1">IF(O17=C17,SUM(IF(($BR$52:$BR$60=C17)*($BS$51:$CA$51=O21),$BS$52:$CA$60)),0)</f>
        <v>0</v>
      </c>
      <c r="I30" s="4">
        <f t="array" aca="1" ref="I30" ca="1">IF(O17=C17,SUM(IF(($BR$52:$BR$60=C17)*($BS$51:$CA$51=O22),$BS$52:$CA$60)),0)</f>
        <v>0</v>
      </c>
      <c r="J30" s="4">
        <f t="array" aca="1" ref="J30" ca="1">IF(O17=C17,SUM(IF(($BR$52:$BR$60=C17)*($BS$51:$CA$51=O23),$BS$52:$CA$60)),0)</f>
        <v>0</v>
      </c>
      <c r="K30" s="4">
        <f t="array" aca="1" ref="K30" ca="1">IF(O17=C17,SUM(IF(($BR$52:$BR$60=C17)*($BS$51:$CA$51=O$24),$BS$52:$CA$60)),0)</f>
        <v>0</v>
      </c>
      <c r="L30" s="4">
        <f t="array" aca="1" ref="L30" ca="1">IF(O17=C17,SUM(IF(($BR$52:$BR$60=C17)*($BS$51:$CA$51=O$25),$BS$52:$CA$60)),0)</f>
        <v>0</v>
      </c>
      <c r="M30" s="6">
        <f t="array" aca="1" ref="M30" ca="1">IF(P17=C17,SUM(IF(($BR$52:$BR$60=C17)*($BS$51:$CA$51=P18),$BS$52:$CA$60)),0)</f>
        <v>0</v>
      </c>
      <c r="N30" s="4">
        <f t="array" aca="1" ref="N30" ca="1">IF(P17=C17,SUM(IF(($BR$52:$BR$60=C17)*($BS$51:$CA$51=P19),$BS$52:$CA$60)),0)</f>
        <v>0</v>
      </c>
      <c r="O30" s="4">
        <f t="array" aca="1" ref="O30" ca="1">IF(P17=C17,SUM(IF(($BR$52:$BR$60=C17)*($BS$51:$CA$51=P20),$BS$52:$CA$60)),0)</f>
        <v>0</v>
      </c>
      <c r="P30" s="4">
        <f t="array" aca="1" ref="P30" ca="1">IF(P17=C17,SUM(IF(($BR$52:$BR$60=C17)*($BS$51:$CA$51=P21),$BS$52:$CA$60)),0)</f>
        <v>0</v>
      </c>
      <c r="Q30" s="4">
        <f t="array" aca="1" ref="Q30" ca="1">IF(P17=C17,SUM(IF(($BR$52:$BR$60=C17)*($BS$51:$CA$51=P22),$BS$52:$CA$60)),0)</f>
        <v>0</v>
      </c>
      <c r="R30" s="4">
        <f t="array" aca="1" ref="R30" ca="1">IF(P17=C17,SUM(IF(($BR$52:$BR$60=C17)*($BS$51:$CA$51=P23),$BS$52:$CA$60)),0)</f>
        <v>0</v>
      </c>
      <c r="S30" s="4">
        <f t="array" aca="1" ref="S30" ca="1">IF(P17=C17,SUM(IF(($BR$52:$BR$60=C17)*($BS$51:$CA$51=P$24),$BS$52:$CA$60)),0)</f>
        <v>0</v>
      </c>
      <c r="T30" s="4">
        <f t="array" aca="1" ref="T30" ca="1">IF(P17=C17,SUM(IF(($BR$52:$BR$60=C17)*($BS$51:$CA$51=P$25),$BS$52:$CA$60)),0)</f>
        <v>0</v>
      </c>
      <c r="U30" s="6">
        <f t="array" aca="1" ref="U30" ca="1">IF(Q17=C17,SUM(IF(($BR$52:$BR$60=C17)*($BS$51:$CA$51=Q18),$BS$52:$CA$60)),0)</f>
        <v>0</v>
      </c>
      <c r="V30" s="4">
        <f t="array" aca="1" ref="V30" ca="1">IF(Q17=C17,SUM(IF(($BR$52:$BR$60=C17)*($BS$51:$CA$51=Q19),$BS$52:$CA$60)),0)</f>
        <v>0</v>
      </c>
      <c r="W30" s="4">
        <f t="array" aca="1" ref="W30" ca="1">IF(Q17=C17,SUM(IF(($BR$52:$BR$60=C17)*($BS$51:$CA$51=Q20),$BS$52:$CA$60)),0)</f>
        <v>0</v>
      </c>
      <c r="X30" s="4">
        <f t="array" aca="1" ref="X30" ca="1">IF(Q17=C17,SUM(IF(($BR$52:$BR$60=C17)*($BS$51:$CA$51=Q21),$BS$52:$CA$60)),0)</f>
        <v>0</v>
      </c>
      <c r="Y30" s="4">
        <f t="array" aca="1" ref="Y30" ca="1">IF(Q17=C17,SUM(IF(($BR$52:$BR$60=C17)*($BS$51:$CA$51=Q22),$BS$52:$CA$60)),0)</f>
        <v>0</v>
      </c>
      <c r="Z30" s="4">
        <f t="array" aca="1" ref="Z30" ca="1">IF(Q17=C17,SUM(IF(($BR$52:$BR$60=C17)*($BS$51:$CA$51=Q23),$BS$52:$CA$60)),0)</f>
        <v>0</v>
      </c>
      <c r="AA30" s="4">
        <f t="array" aca="1" ref="AA30" ca="1">IF(Q17=C17,SUM(IF(($BR$52:$BR$60=C17)*($BS$51:$CA$51=Q$24),$BS$52:$CA$60)),0)</f>
        <v>0</v>
      </c>
      <c r="AB30" s="4">
        <f t="array" aca="1" ref="AB30" ca="1">IF(Q17=C17,SUM(IF(($BR$52:$BR$60=C17)*($BS$51:$CA$51=Q$25),$BS$52:$CA$60)),0)</f>
        <v>0</v>
      </c>
      <c r="AC30" s="6">
        <f t="array" aca="1" ref="AC30" ca="1">IF(R17=C17,SUM(IF(($BR$52:$BR$60=C17)*($BS$51:$CA$51=R18),$BS$52:$CA$60)),0)</f>
        <v>0</v>
      </c>
      <c r="AD30" s="4">
        <f t="array" aca="1" ref="AD30" ca="1">IF(R17=C17,SUM(IF(($BR$52:$BR$60=C17)*($BS$51:$CA$51=R19),$BS$52:$CA$60)),0)</f>
        <v>0</v>
      </c>
      <c r="AE30" s="4">
        <f t="array" aca="1" ref="AE30" ca="1">IF(R17=C17,SUM(IF(($BR$52:$BR$60=C17)*($BS$51:$CA$51=R20),$BS$52:$CA$60)),0)</f>
        <v>0</v>
      </c>
      <c r="AF30" s="4">
        <f t="array" aca="1" ref="AF30" ca="1">IF(R17=C17,SUM(IF(($BR$52:$BR$60=C17)*($BS$51:$CA$51=R21),$BS$52:$CA$60)),0)</f>
        <v>0</v>
      </c>
      <c r="AG30" s="4">
        <f t="array" aca="1" ref="AG30" ca="1">IF(R17=C17,SUM(IF(($BR$52:$BR$60=C17)*($BS$51:$CA$51=R22),$BS$52:$CA$60)),0)</f>
        <v>0</v>
      </c>
      <c r="AH30" s="4">
        <f t="array" aca="1" ref="AH30" ca="1">IF(R17=C17,SUM(IF(($BR$52:$BR$60=C17)*($BS$51:$CA$51=R23),$BS$52:$CA$60)),0)</f>
        <v>0</v>
      </c>
      <c r="AI30" s="4">
        <f t="array" aca="1" ref="AI30" ca="1">IF(R17=C17,SUM(IF(($BR$52:$BR$60=C17)*($BS$51:$CA$51=R$24),$BS$52:$CA$60)),0)</f>
        <v>0</v>
      </c>
      <c r="AJ30" s="4">
        <f t="array" aca="1" ref="AJ30" ca="1">IF(R17=C17,SUM(IF(($BR$52:$BR$60=C17)*($BS$51:$CA$51=R$25),$BS$52:$CA$60)),0)</f>
        <v>0</v>
      </c>
      <c r="AK30" s="6">
        <f t="array" aca="1" ref="AK30" ca="1">IF(S17=C17,SUM(IF(($BR$52:$BR$60=C17)*($BS$51:$CA$51=S18),$BS$52:$CA$60)),0)</f>
        <v>0</v>
      </c>
      <c r="AL30" s="4">
        <f t="array" aca="1" ref="AL30" ca="1">IF(S17=C17,SUM(IF(($BR$52:$BR$60=C17)*($BS$51:$CA$51=S19),$BS$52:$CA$60)),0)</f>
        <v>0</v>
      </c>
      <c r="AM30" s="4">
        <f t="array" aca="1" ref="AM30" ca="1">IF(S17=C17,SUM(IF(($BR$52:$BR$60=C17)*($BS$51:$CA$51=S20),$BS$52:$CA$60)),0)</f>
        <v>0</v>
      </c>
      <c r="AN30" s="4">
        <f t="array" aca="1" ref="AN30" ca="1">IF(S17=C17,SUM(IF(($BR$52:$BR$60=C17)*($BS$51:$CA$51=S21),$BS$52:$CA$60)),0)</f>
        <v>0</v>
      </c>
      <c r="AO30" s="4">
        <f t="array" aca="1" ref="AO30" ca="1">IF(S17=C17,SUM(IF(($BR$52:$BR$60=C17)*($BS$51:$CA$51=S22),$BS$52:$CA$60)),0)</f>
        <v>1</v>
      </c>
      <c r="AP30" s="4">
        <f t="array" aca="1" ref="AP30" ca="1">IF(S17=C17,SUM(IF(($BR$52:$BR$60=C17)*($BS$51:$CA$51=S23),$BS$52:$CA$60)),0)</f>
        <v>0</v>
      </c>
      <c r="AQ30" s="4">
        <f t="array" aca="1" ref="AQ30" ca="1">IF(S17=C17,SUM(IF(($BR$52:$BR$60=C17)*($BS$51:$CA$51=S$24),$BS$52:$CA$60)),0)</f>
        <v>0</v>
      </c>
      <c r="AR30" s="4">
        <f t="array" aca="1" ref="AR30" ca="1">IF(S17=C17,SUM(IF(($BR$52:$BR$60=C17)*($BS$51:$CA$51=S$25),$BS$52:$CA$60)),0)</f>
        <v>0</v>
      </c>
      <c r="AS30" s="6">
        <f t="array" aca="1" ref="AS30" ca="1">IF(T17=C17,SUM(IF(($BR$52:$BR$60=C17)*($BS$51:$CA$51=T18),$BS$52:$CA$60)),0)</f>
        <v>0</v>
      </c>
      <c r="AT30" s="4">
        <f t="array" aca="1" ref="AT30" ca="1">IF(T17=C17,SUM(IF(($BR$52:$BR$60=C17)*($BS$51:$CA$51=T19),$BS$52:$CA$60)),0)</f>
        <v>0</v>
      </c>
      <c r="AU30" s="4">
        <f t="array" aca="1" ref="AU30" ca="1">IF(T17=C17,SUM(IF(($BR$52:$BR$60=C17)*($BS$51:$CA$51=T20),$BS$52:$CA$60)),0)</f>
        <v>0</v>
      </c>
      <c r="AV30" s="4">
        <f t="array" aca="1" ref="AV30" ca="1">IF(T17=C17,SUM(IF(($BR$52:$BR$60=C17)*($BS$51:$CA$51=T21),$BS$52:$CA$60)),0)</f>
        <v>0</v>
      </c>
      <c r="AW30" s="4">
        <f t="array" aca="1" ref="AW30" ca="1">IF(T17=C17,SUM(IF(($BR$52:$BR$60=C17)*($BS$51:$CA$51=T22),$BS$52:$CA$60)),0)</f>
        <v>0</v>
      </c>
      <c r="AX30" s="4">
        <f t="array" aca="1" ref="AX30" ca="1">IF(T17=C17,SUM(IF(($BR$52:$BR$60=C17)*($BS$51:$CA$51=T23),$BS$52:$CA$60)),0)</f>
        <v>0</v>
      </c>
      <c r="AY30" s="4">
        <f t="array" aca="1" ref="AY30" ca="1">IF(T17=C17,SUM(IF(($BR$52:$BR$60=C17)*($BS$51:$CA$51=T$24),$BS$52:$CA$60)),0)</f>
        <v>0</v>
      </c>
      <c r="AZ30" s="4">
        <f t="array" aca="1" ref="AZ30" ca="1">IF(T17=C17,SUM(IF(($BR$52:$BR$60=C17)*($BS$51:$CA$51=T$25),$BS$52:$CA$60)),0)</f>
        <v>0</v>
      </c>
      <c r="BA30" s="6">
        <f t="array" aca="1" ref="BA30" ca="1">IF(U17=C17,SUM(IF(($BR$52:$BR$60=C17)*($BS$51:$CA$51=U$18),$BS$52:$CA$60)),0)</f>
        <v>0</v>
      </c>
      <c r="BB30" s="4">
        <f t="array" aca="1" ref="BB30" ca="1">IF(U17=C17,SUM(IF(($BR$52:$BR$60=C17)*($BS$51:$CA$51=U$19),$BS$52:$CA$60)),0)</f>
        <v>0</v>
      </c>
      <c r="BC30" s="4">
        <f t="array" aca="1" ref="BC30" ca="1">IF(U17=C17,SUM(IF(($BR$52:$BR$60=C17)*($BS$51:$CA$51=U$20),$BS$52:$CA$60)),0)</f>
        <v>0</v>
      </c>
      <c r="BD30" s="4">
        <f t="array" aca="1" ref="BD30" ca="1">IF(U17=C17,SUM(IF(($BR$52:$BR$60=C17)*($BS$51:$CA$51=U$21),$BS$52:$CA$60)),0)</f>
        <v>0</v>
      </c>
      <c r="BE30" s="4">
        <f t="array" aca="1" ref="BE30" ca="1">IF(U17=C17,SUM(IF(($BR$52:$BR$60=C17)*($BS$51:$CA$51=U$22),$BS$52:$CA$60)),0)</f>
        <v>0</v>
      </c>
      <c r="BF30" s="4">
        <f t="array" aca="1" ref="BF30" ca="1">IF(U17=C17,SUM(IF(($BR$52:$BR$60=C17)*($BS$51:$CA$51=U$23),$BS$52:$CA$60)),0)</f>
        <v>0</v>
      </c>
      <c r="BG30" s="4">
        <f t="array" aca="1" ref="BG30" ca="1">IF(U17=C17,SUM(IF(($BR$52:$BR$60=C17)*($BS$51:$CA$51=U$24),$BS$52:$CA$60)),0)</f>
        <v>0</v>
      </c>
      <c r="BH30" s="4">
        <f t="array" aca="1" ref="BH30" ca="1">IF(U17=C17,SUM(IF(($BR$52:$BR$60=C17)*($BS$51:$CA$51=U$25),$BS$52:$CA$60)),0)</f>
        <v>0</v>
      </c>
      <c r="BI30" s="6">
        <f t="array" aca="1" ref="BI30" ca="1">IF(V17=C17,SUM(IF(($BR$52:$BR$60=C17)*($BS$51:$CA$51=V$18),$BS$52:$CA$60)),0)</f>
        <v>0</v>
      </c>
      <c r="BJ30" s="4">
        <f t="array" aca="1" ref="BJ30" ca="1">IF(V17=C17,SUM(IF(($BR$52:$BR$60=C17)*($BS$51:$CA$51=V$19),$BS$52:$CA$60)),0)</f>
        <v>0</v>
      </c>
      <c r="BK30" s="4">
        <f t="array" aca="1" ref="BK30" ca="1">IF(V17=C17,SUM(IF(($BR$52:$BR$60=C17)*($BS$51:$CA$51=V$20),$BS$52:$CA$60)),0)</f>
        <v>0</v>
      </c>
      <c r="BL30" s="4">
        <f t="array" aca="1" ref="BL30" ca="1">IF(V17=C17,SUM(IF(($BR$52:$BR$60=C17)*($BS$51:$CA$51=V$21),$BS$52:$CA$60)),0)</f>
        <v>0</v>
      </c>
      <c r="BM30" s="4">
        <f t="array" aca="1" ref="BM30" ca="1">IF(V17=C17,SUM(IF(($BR$52:$BR$60=C17)*($BS$51:$CA$51=V$22),$BS$52:$CA$60)),0)</f>
        <v>0</v>
      </c>
      <c r="BN30" s="4">
        <f t="array" aca="1" ref="BN30" ca="1">IF(V17=C17,SUM(IF(($BR$52:$BR$60=C17)*($BS$51:$CA$51=V$23),$BS$52:$CA$60)),0)</f>
        <v>0</v>
      </c>
      <c r="BO30" s="4">
        <f t="array" aca="1" ref="BO30" ca="1">IF(V17=C17,SUM(IF(($BR$52:$BR$60=C17)*($BS$51:$CA$51=V$24),$BS$52:$CA$60)),0)</f>
        <v>0</v>
      </c>
      <c r="BP30" s="16">
        <f t="array" aca="1" ref="BP30" ca="1">IF(V17=C17,SUM(IF(($BR$52:$BR$60=C17)*($BS$51:$CA$51=V$25),$BS$52:$CA$60)),0)</f>
        <v>0</v>
      </c>
      <c r="BQ30" s="4"/>
      <c r="BR30" s="2" t="str">
        <f t="shared" ref="BR30:BR38" si="62">F4</f>
        <v>1. FC Riedwald</v>
      </c>
      <c r="BS30" s="7"/>
      <c r="BT30" s="8">
        <f t="shared" ref="BT30:CA30" ca="1" si="63">SUMIFS($X$64:$X$135,$V$64:$V$135,$BR30,$W$64:$W$135,BT$29)+SUMIFS($Y$64:$Y$135,$W$64:$W$135,$BR30,$V$64:$V$135,BT$29)</f>
        <v>0</v>
      </c>
      <c r="BU30" s="8">
        <f t="shared" ca="1" si="63"/>
        <v>0</v>
      </c>
      <c r="BV30" s="8">
        <f t="shared" ca="1" si="63"/>
        <v>0</v>
      </c>
      <c r="BW30" s="8">
        <f t="shared" ca="1" si="63"/>
        <v>0</v>
      </c>
      <c r="BX30" s="8">
        <f t="shared" ca="1" si="63"/>
        <v>1</v>
      </c>
      <c r="BY30" s="8">
        <f t="shared" ca="1" si="63"/>
        <v>2</v>
      </c>
      <c r="BZ30" s="8">
        <f t="shared" ca="1" si="63"/>
        <v>0</v>
      </c>
      <c r="CA30" s="8">
        <f t="shared" ca="1" si="63"/>
        <v>0</v>
      </c>
      <c r="CB30" s="4"/>
    </row>
    <row r="31" spans="2:80" s="2" customFormat="1" x14ac:dyDescent="0.2">
      <c r="C31" s="2" t="str">
        <f t="shared" ref="C31:C38" si="64">$Q65</f>
        <v>FC Barcelona</v>
      </c>
      <c r="E31" s="15">
        <f t="array" aca="1" ref="E31" ca="1">IF(O18=C18,SUM(IF(($BR$52:$BR$60=C18)*($BS$51:$CA$51=O17),$BS$52:$CA$60)),0)</f>
        <v>0</v>
      </c>
      <c r="F31" s="4">
        <f t="array" aca="1" ref="F31" ca="1">IF(O18=C18,SUM(IF(($BR$52:$BR$60=C18)*($BS$51:$CA$51=O19),$BS$52:$CA$60)),0)</f>
        <v>0</v>
      </c>
      <c r="G31" s="4">
        <f t="array" aca="1" ref="G31" ca="1">IF(O18=C18,SUM(IF(($BR$52:$BR$60=C18)*($BS$51:$CA$51=O20),$BS$52:$CA$60)),0)</f>
        <v>0</v>
      </c>
      <c r="H31" s="4">
        <f t="array" aca="1" ref="H31" ca="1">IF(O18=C18,SUM(IF(($BR$52:$BR$60=C18)*($BS$51:$CA$51=O21),$BS$52:$CA$60)),0)</f>
        <v>0</v>
      </c>
      <c r="I31" s="4">
        <f t="array" aca="1" ref="I31" ca="1">IF(O18=C18,SUM(IF(($BR$52:$BR$60=C18)*($BS$51:$CA$51=O22),$BS$52:$CA$60)),0)</f>
        <v>0</v>
      </c>
      <c r="J31" s="4">
        <f t="array" aca="1" ref="J31" ca="1">IF(O18=C18,SUM(IF(($BR$52:$BR$60=C18)*($BS$51:$CA$51=O23),$BS$52:$CA$60)),0)</f>
        <v>0</v>
      </c>
      <c r="K31" s="4">
        <f t="array" aca="1" ref="K31" ca="1">IF(O18=C18,SUM(IF(($BR$52:$BR$60=C18)*($BS$51:$CA$51=O$24),$BS$52:$CA$60)),0)</f>
        <v>0</v>
      </c>
      <c r="L31" s="4">
        <f t="array" aca="1" ref="L31" ca="1">IF(O18=C18,SUM(IF(($BR$52:$BR$60=C18)*($BS$51:$CA$51=O$25),$BS$52:$CA$60)),0)</f>
        <v>0</v>
      </c>
      <c r="M31" s="6">
        <f t="array" aca="1" ref="M31" ca="1">IF(P18=C18,SUM(IF(($BR$52:$BR$60=C18)*($BS$51:$CA$51=P17),$BS$52:$CA$60)),0)</f>
        <v>0</v>
      </c>
      <c r="N31" s="4">
        <f t="array" aca="1" ref="N31" ca="1">IF(P18=C18,SUM(IF(($BR$52:$BR$60=C18)*($BS$51:$CA$51=P19),$BS$52:$CA$60)),0)</f>
        <v>0</v>
      </c>
      <c r="O31" s="4">
        <f t="array" aca="1" ref="O31" ca="1">IF(P18=C18,SUM(IF(($BR$52:$BR$60=C18)*($BS$51:$CA$51=P20),$BS$52:$CA$60)),0)</f>
        <v>0</v>
      </c>
      <c r="P31" s="4">
        <f t="array" aca="1" ref="P31" ca="1">IF(P18=C18,SUM(IF(($BR$52:$BR$60=C18)*($BS$51:$CA$51=P21),$BS$52:$CA$60)),0)</f>
        <v>0</v>
      </c>
      <c r="Q31" s="4">
        <f t="array" aca="1" ref="Q31" ca="1">IF(P18=C18,SUM(IF(($BR$52:$BR$60=C18)*($BS$51:$CA$51=P22),$BS$52:$CA$60)),0)</f>
        <v>0</v>
      </c>
      <c r="R31" s="4">
        <f t="array" aca="1" ref="R31" ca="1">IF(P18=C18,SUM(IF(($BR$52:$BR$60=C18)*($BS$51:$CA$51=P23),$BS$52:$CA$60)),0)</f>
        <v>0</v>
      </c>
      <c r="S31" s="4">
        <f t="array" aca="1" ref="S31" ca="1">IF(P18=C18,SUM(IF(($BR$52:$BR$60=C18)*($BS$51:$CA$51=P$24),$BS$52:$CA$60)),0)</f>
        <v>0</v>
      </c>
      <c r="T31" s="4">
        <f t="array" aca="1" ref="T31" ca="1">IF(P18=C18,SUM(IF(($BR$52:$BR$60=C18)*($BS$51:$CA$51=P$25),$BS$52:$CA$60)),0)</f>
        <v>0</v>
      </c>
      <c r="U31" s="6">
        <f t="array" aca="1" ref="U31" ca="1">IF(Q18=C18,SUM(IF(($BR$52:$BR$60=C18)*($BS$51:$CA$51=Q17),$BS$52:$CA$60)),0)</f>
        <v>0</v>
      </c>
      <c r="V31" s="4">
        <f t="array" aca="1" ref="V31" ca="1">IF(Q18=C18,SUM(IF(($BR$52:$BR$60=C18)*($BS$51:$CA$51=Q19),$BS$52:$CA$60)),0)</f>
        <v>0</v>
      </c>
      <c r="W31" s="4">
        <f t="array" aca="1" ref="W31" ca="1">IF(Q18=C18,SUM(IF(($BR$52:$BR$60=C18)*($BS$51:$CA$51=Q20),$BS$52:$CA$60)),0)</f>
        <v>0</v>
      </c>
      <c r="X31" s="4">
        <f t="array" aca="1" ref="X31" ca="1">IF(Q18=C18,SUM(IF(($BR$52:$BR$60=C18)*($BS$51:$CA$51=Q21),$BS$52:$CA$60)),0)</f>
        <v>0</v>
      </c>
      <c r="Y31" s="4">
        <f t="array" aca="1" ref="Y31" ca="1">IF(Q18=C18,SUM(IF(($BR$52:$BR$60=C18)*($BS$51:$CA$51=Q22),$BS$52:$CA$60)),0)</f>
        <v>0</v>
      </c>
      <c r="Z31" s="4">
        <f t="array" aca="1" ref="Z31" ca="1">IF(Q18=C18,SUM(IF(($BR$52:$BR$60=C18)*($BS$51:$CA$51=Q23),$BS$52:$CA$60)),0)</f>
        <v>0</v>
      </c>
      <c r="AA31" s="4">
        <f t="array" aca="1" ref="AA31" ca="1">IF(Q18=C18,SUM(IF(($BR$52:$BR$60=C18)*($BS$51:$CA$51=Q$24),$BS$52:$CA$60)),0)</f>
        <v>0</v>
      </c>
      <c r="AB31" s="4">
        <f t="array" aca="1" ref="AB31" ca="1">IF(Q18=C18,SUM(IF(($BR$52:$BR$60=C18)*($BS$51:$CA$51=Q$25),$BS$52:$CA$60)),0)</f>
        <v>0</v>
      </c>
      <c r="AC31" s="6">
        <f t="array" aca="1" ref="AC31" ca="1">IF(R18=C18,SUM(IF(($BR$52:$BR$60=C18)*($BS$51:$CA$51=R17),$BS$52:$CA$60)),0)</f>
        <v>0</v>
      </c>
      <c r="AD31" s="4">
        <f t="array" aca="1" ref="AD31" ca="1">IF(R18=C18,SUM(IF(($BR$52:$BR$60=C18)*($BS$51:$CA$51=R19),$BS$52:$CA$60)),0)</f>
        <v>0</v>
      </c>
      <c r="AE31" s="4">
        <f t="array" aca="1" ref="AE31" ca="1">IF(R18=C18,SUM(IF(($BR$52:$BR$60=C18)*($BS$51:$CA$51=R20),$BS$52:$CA$60)),0)</f>
        <v>0</v>
      </c>
      <c r="AF31" s="4">
        <f t="array" aca="1" ref="AF31" ca="1">IF(R18=C18,SUM(IF(($BR$52:$BR$60=C18)*($BS$51:$CA$51=R21),$BS$52:$CA$60)),0)</f>
        <v>0</v>
      </c>
      <c r="AG31" s="4">
        <f t="array" aca="1" ref="AG31" ca="1">IF(R18=C18,SUM(IF(($BR$52:$BR$60=C18)*($BS$51:$CA$51=R22),$BS$52:$CA$60)),0)</f>
        <v>0</v>
      </c>
      <c r="AH31" s="4">
        <f t="array" aca="1" ref="AH31" ca="1">IF(R18=C18,SUM(IF(($BR$52:$BR$60=C18)*($BS$51:$CA$51=R23),$BS$52:$CA$60)),0)</f>
        <v>0</v>
      </c>
      <c r="AI31" s="4">
        <f t="array" aca="1" ref="AI31" ca="1">IF(R18=C18,SUM(IF(($BR$52:$BR$60=C18)*($BS$51:$CA$51=R$24),$BS$52:$CA$60)),0)</f>
        <v>0</v>
      </c>
      <c r="AJ31" s="4">
        <f t="array" aca="1" ref="AJ31" ca="1">IF(R18=C18,SUM(IF(($BR$52:$BR$60=C18)*($BS$51:$CA$51=R$25),$BS$52:$CA$60)),0)</f>
        <v>0</v>
      </c>
      <c r="AK31" s="6">
        <f t="array" aca="1" ref="AK31" ca="1">IF(S18=C18,SUM(IF(($BR$52:$BR$60=C18)*($BS$51:$CA$51=S17),$BS$52:$CA$60)),0)</f>
        <v>0</v>
      </c>
      <c r="AL31" s="4">
        <f t="array" aca="1" ref="AL31" ca="1">IF(S18=C18,SUM(IF(($BR$52:$BR$60=C18)*($BS$51:$CA$51=S19),$BS$52:$CA$60)),0)</f>
        <v>0</v>
      </c>
      <c r="AM31" s="4">
        <f t="array" aca="1" ref="AM31" ca="1">IF(S18=C18,SUM(IF(($BR$52:$BR$60=C18)*($BS$51:$CA$51=S20),$BS$52:$CA$60)),0)</f>
        <v>0</v>
      </c>
      <c r="AN31" s="4">
        <f t="array" aca="1" ref="AN31" ca="1">IF(S18=C18,SUM(IF(($BR$52:$BR$60=C18)*($BS$51:$CA$51=S21),$BS$52:$CA$60)),0)</f>
        <v>0</v>
      </c>
      <c r="AO31" s="4">
        <f t="array" aca="1" ref="AO31" ca="1">IF(S18=C18,SUM(IF(($BR$52:$BR$60=C18)*($BS$51:$CA$51=S22),$BS$52:$CA$60)),0)</f>
        <v>0</v>
      </c>
      <c r="AP31" s="4">
        <f t="array" aca="1" ref="AP31" ca="1">IF(S18=C18,SUM(IF(($BR$52:$BR$60=C18)*($BS$51:$CA$51=S23),$BS$52:$CA$60)),0)</f>
        <v>0</v>
      </c>
      <c r="AQ31" s="4">
        <f t="array" aca="1" ref="AQ31" ca="1">IF(S18=C18,SUM(IF(($BR$52:$BR$60=C18)*($BS$51:$CA$51=S$24),$BS$52:$CA$60)),0)</f>
        <v>0</v>
      </c>
      <c r="AR31" s="4">
        <f t="array" aca="1" ref="AR31" ca="1">IF(S18=C18,SUM(IF(($BR$52:$BR$60=C18)*($BS$51:$CA$51=S$25),$BS$52:$CA$60)),0)</f>
        <v>0</v>
      </c>
      <c r="AS31" s="6">
        <f t="array" aca="1" ref="AS31" ca="1">IF(T18=C18,SUM(IF(($BR$52:$BR$60=C18)*($BS$51:$CA$51=T17),$BS$52:$CA$60)),0)</f>
        <v>0</v>
      </c>
      <c r="AT31" s="4">
        <f t="array" aca="1" ref="AT31" ca="1">IF(T18=C18,SUM(IF(($BR$52:$BR$60=C18)*($BS$51:$CA$51=T19),$BS$52:$CA$60)),0)</f>
        <v>0</v>
      </c>
      <c r="AU31" s="4">
        <f t="array" aca="1" ref="AU31" ca="1">IF(T18=C18,SUM(IF(($BR$52:$BR$60=C18)*($BS$51:$CA$51=T20),$BS$52:$CA$60)),0)</f>
        <v>0</v>
      </c>
      <c r="AV31" s="4">
        <f t="array" aca="1" ref="AV31" ca="1">IF(T18=C18,SUM(IF(($BR$52:$BR$60=C18)*($BS$51:$CA$51=T21),$BS$52:$CA$60)),0)</f>
        <v>0</v>
      </c>
      <c r="AW31" s="4">
        <f t="array" aca="1" ref="AW31" ca="1">IF(T18=C18,SUM(IF(($BR$52:$BR$60=C18)*($BS$51:$CA$51=T22),$BS$52:$CA$60)),0)</f>
        <v>0</v>
      </c>
      <c r="AX31" s="4">
        <f t="array" aca="1" ref="AX31" ca="1">IF(T18=C18,SUM(IF(($BR$52:$BR$60=C18)*($BS$51:$CA$51=T23),$BS$52:$CA$60)),0)</f>
        <v>0</v>
      </c>
      <c r="AY31" s="4">
        <f t="array" aca="1" ref="AY31" ca="1">IF(T18=C18,SUM(IF(($BR$52:$BR$60=C18)*($BS$51:$CA$51=T$24),$BS$52:$CA$60)),0)</f>
        <v>0</v>
      </c>
      <c r="AZ31" s="4">
        <f t="array" aca="1" ref="AZ31" ca="1">IF(T18=C18,SUM(IF(($BR$52:$BR$60=C18)*($BS$51:$CA$51=T$25),$BS$52:$CA$60)),0)</f>
        <v>0</v>
      </c>
      <c r="BA31" s="6">
        <f t="array" aca="1" ref="BA31" ca="1">IF(U18=C18,SUM(IF(($BR$52:$BR$60=C18)*($BS$51:$CA$51=U$17),$BS$52:$CA$60)),0)</f>
        <v>0</v>
      </c>
      <c r="BB31" s="4">
        <f t="array" aca="1" ref="BB31" ca="1">IF(U18=C18,SUM(IF(($BR$52:$BR$60=C18)*($BS$51:$CA$51=U$19),$BS$52:$CA$60)),0)</f>
        <v>0</v>
      </c>
      <c r="BC31" s="4">
        <f t="array" aca="1" ref="BC31" ca="1">IF(U18=C18,SUM(IF(($BR$52:$BR$60=C18)*($BS$51:$CA$51=U$20),$BS$52:$CA$60)),0)</f>
        <v>0</v>
      </c>
      <c r="BD31" s="4">
        <f t="array" aca="1" ref="BD31" ca="1">IF(U18=C18,SUM(IF(($BR$52:$BR$60=C18)*($BS$51:$CA$51=U$21),$BS$52:$CA$60)),0)</f>
        <v>0</v>
      </c>
      <c r="BE31" s="4">
        <f t="array" aca="1" ref="BE31" ca="1">IF(U18=C18,SUM(IF(($BR$52:$BR$60=C18)*($BS$51:$CA$51=U$22),$BS$52:$CA$60)),0)</f>
        <v>0</v>
      </c>
      <c r="BF31" s="4">
        <f t="array" aca="1" ref="BF31" ca="1">IF(U18=C18,SUM(IF(($BR$52:$BR$60=C18)*($BS$51:$CA$51=U$23),$BS$52:$CA$60)),0)</f>
        <v>0</v>
      </c>
      <c r="BG31" s="4">
        <f t="array" aca="1" ref="BG31" ca="1">IF(U18=C18,SUM(IF(($BR$52:$BR$60=C18)*($BS$51:$CA$51=U$24),$BS$52:$CA$60)),0)</f>
        <v>0</v>
      </c>
      <c r="BH31" s="4">
        <f t="array" aca="1" ref="BH31" ca="1">IF(U18=C18,SUM(IF(($BR$52:$BR$60=C18)*($BS$51:$CA$51=U$25),$BS$52:$CA$60)),0)</f>
        <v>0</v>
      </c>
      <c r="BI31" s="6">
        <f t="array" aca="1" ref="BI31" ca="1">IF(V18=C18,SUM(IF(($BR$52:$BR$60=C18)*($BS$51:$CA$51=V$17),$BS$52:$CA$60)),0)</f>
        <v>0</v>
      </c>
      <c r="BJ31" s="4">
        <f t="array" aca="1" ref="BJ31" ca="1">IF(V18=C18,SUM(IF(($BR$52:$BR$60=C18)*($BS$51:$CA$51=V$19),$BS$52:$CA$60)),0)</f>
        <v>0</v>
      </c>
      <c r="BK31" s="4">
        <f t="array" aca="1" ref="BK31" ca="1">IF(V18=C18,SUM(IF(($BR$52:$BR$60=C18)*($BS$51:$CA$51=V$20),$BS$52:$CA$60)),0)</f>
        <v>0</v>
      </c>
      <c r="BL31" s="4">
        <f t="array" aca="1" ref="BL31" ca="1">IF(V18=C18,SUM(IF(($BR$52:$BR$60=C18)*($BS$51:$CA$51=V$21),$BS$52:$CA$60)),0)</f>
        <v>0</v>
      </c>
      <c r="BM31" s="4">
        <f t="array" aca="1" ref="BM31" ca="1">IF(V18=C18,SUM(IF(($BR$52:$BR$60=C18)*($BS$51:$CA$51=V$22),$BS$52:$CA$60)),0)</f>
        <v>0</v>
      </c>
      <c r="BN31" s="4">
        <f t="array" aca="1" ref="BN31" ca="1">IF(V18=C18,SUM(IF(($BR$52:$BR$60=C18)*($BS$51:$CA$51=V$23),$BS$52:$CA$60)),0)</f>
        <v>0</v>
      </c>
      <c r="BO31" s="4">
        <f t="array" aca="1" ref="BO31" ca="1">IF(V18=C18,SUM(IF(($BR$52:$BR$60=C18)*($BS$51:$CA$51=V$24),$BS$52:$CA$60)),0)</f>
        <v>0</v>
      </c>
      <c r="BP31" s="16">
        <f t="array" aca="1" ref="BP31" ca="1">IF(V18=C18,SUM(IF(($BR$52:$BR$60=C18)*($BS$51:$CA$51=V$25),$BS$52:$CA$60)),0)</f>
        <v>0</v>
      </c>
      <c r="BQ31" s="4"/>
      <c r="BR31" s="2" t="str">
        <f t="shared" si="62"/>
        <v>FC Barcelona</v>
      </c>
      <c r="BS31" s="9">
        <f t="shared" ref="BS31:BS38" ca="1" si="65">SUMIFS($X$64:$X$135,$V$64:$V$135,$BR31,$W$64:$W$135,BS$29)+SUMIFS($Y$64:$Y$135,$W$64:$W$135,$BR31,$V$64:$V$135,BS$29)</f>
        <v>0</v>
      </c>
      <c r="BT31" s="7"/>
      <c r="BU31" s="8">
        <f t="shared" ref="BU31:CA31" ca="1" si="66">SUMIFS($X$64:$X$135,$V$64:$V$135,$BR31,$W$64:$W$135,BU$29)+SUMIFS($Y$64:$Y$135,$W$64:$W$135,$BR31,$V$64:$V$135,BU$29)</f>
        <v>0</v>
      </c>
      <c r="BV31" s="8">
        <f t="shared" ca="1" si="66"/>
        <v>0</v>
      </c>
      <c r="BW31" s="8">
        <f t="shared" ca="1" si="66"/>
        <v>2</v>
      </c>
      <c r="BX31" s="8">
        <f t="shared" ca="1" si="66"/>
        <v>0</v>
      </c>
      <c r="BY31" s="8">
        <f t="shared" ca="1" si="66"/>
        <v>0</v>
      </c>
      <c r="BZ31" s="8">
        <f t="shared" ca="1" si="66"/>
        <v>0</v>
      </c>
      <c r="CA31" s="8">
        <f t="shared" ca="1" si="66"/>
        <v>0</v>
      </c>
      <c r="CB31" s="4"/>
    </row>
    <row r="32" spans="2:80" s="2" customFormat="1" x14ac:dyDescent="0.2">
      <c r="C32" s="2" t="str">
        <f t="shared" si="64"/>
        <v>Eintracht Frankfurt</v>
      </c>
      <c r="E32" s="15">
        <f t="array" aca="1" ref="E32" ca="1">IF(O19=C19,SUM(IF(($BR$52:$BR$60=C19)*($BS$51:$CA$51=O17),$BS$52:$CA$60)),0)</f>
        <v>0</v>
      </c>
      <c r="F32" s="4">
        <f t="array" aca="1" ref="F32" ca="1">IF(O19=C19,SUM(IF(($BR$52:$BR$60=C19)*($BS$51:$CA$51=O18),$BS$52:$CA$60)),0)</f>
        <v>0</v>
      </c>
      <c r="G32" s="4">
        <f t="array" aca="1" ref="G32" ca="1">IF(O19=C19,SUM(IF(($BR$52:$BR$60=C19)*($BS$51:$CA$51=O20),$BS$52:$CA$60)),0)</f>
        <v>0</v>
      </c>
      <c r="H32" s="4">
        <f t="array" aca="1" ref="H32" ca="1">IF(O19=C19,SUM(IF(($BR$52:$BR$60=C19)*($BS$51:$CA$51=O21),$BS$52:$CA$60)),0)</f>
        <v>0</v>
      </c>
      <c r="I32" s="4">
        <f t="array" aca="1" ref="I32" ca="1">IF(O19=C19,SUM(IF(($BR$52:$BR$60=C19)*($BS$51:$CA$51=O22),$BS$52:$CA$60)),0)</f>
        <v>0</v>
      </c>
      <c r="J32" s="4">
        <f t="array" aca="1" ref="J32" ca="1">IF(O19=C19,SUM(IF(($BR$52:$BR$60=C19)*($BS$51:$CA$51=O23),$BS$52:$CA$60)),0)</f>
        <v>0</v>
      </c>
      <c r="K32" s="4">
        <f t="array" aca="1" ref="K32" ca="1">IF(O19=C19,SUM(IF(($BR$52:$BR$60=C19)*($BS$51:$CA$51=O$24),$BS$52:$CA$60)),0)</f>
        <v>0</v>
      </c>
      <c r="L32" s="4">
        <f t="array" aca="1" ref="L32" ca="1">IF(O19=C19,SUM(IF(($BR$52:$BR$60=C19)*($BS$51:$CA$51=O$25),$BS$52:$CA$60)),0)</f>
        <v>0</v>
      </c>
      <c r="M32" s="6">
        <f t="array" aca="1" ref="M32" ca="1">IF(P19=C19,SUM(IF(($BR$52:$BR$60=C19)*($BS$51:$CA$51=P17),$BS$52:$CA$60)),0)</f>
        <v>0</v>
      </c>
      <c r="N32" s="4">
        <f t="array" aca="1" ref="N32" ca="1">IF(P19=C19,SUM(IF(($BR$52:$BR$60=C19)*($BS$51:$CA$51=P18),$BS$52:$CA$60)),0)</f>
        <v>0</v>
      </c>
      <c r="O32" s="4">
        <f t="array" aca="1" ref="O32" ca="1">IF(P19=C19,SUM(IF(($BR$52:$BR$60=C19)*($BS$51:$CA$51=P20),$BS$52:$CA$60)),0)</f>
        <v>0</v>
      </c>
      <c r="P32" s="4">
        <f t="array" aca="1" ref="P32" ca="1">IF(P19=C19,SUM(IF(($BR$52:$BR$60=C19)*($BS$51:$CA$51=P21),$BS$52:$CA$60)),0)</f>
        <v>0</v>
      </c>
      <c r="Q32" s="4">
        <f t="array" aca="1" ref="Q32" ca="1">IF(P19=C19,SUM(IF(($BR$52:$BR$60=C19)*($BS$51:$CA$51=P22),$BS$52:$CA$60)),0)</f>
        <v>0</v>
      </c>
      <c r="R32" s="4">
        <f t="array" aca="1" ref="R32" ca="1">IF(P19=C19,SUM(IF(($BR$52:$BR$60=C19)*($BS$51:$CA$51=P23),$BS$52:$CA$60)),0)</f>
        <v>0</v>
      </c>
      <c r="S32" s="4">
        <f t="array" aca="1" ref="S32" ca="1">IF(P19=C19,SUM(IF(($BR$52:$BR$60=C19)*($BS$51:$CA$51=P$24),$BS$52:$CA$60)),0)</f>
        <v>0</v>
      </c>
      <c r="T32" s="4">
        <f t="array" aca="1" ref="T32" ca="1">IF(P19=C19,SUM(IF(($BR$52:$BR$60=C19)*($BS$51:$CA$51=P$25),$BS$52:$CA$60)),0)</f>
        <v>0</v>
      </c>
      <c r="U32" s="6">
        <f t="array" aca="1" ref="U32" ca="1">IF(Q19=C19,SUM(IF(($BR$52:$BR$60=C19)*($BS$51:$CA$51=Q17),$BS$52:$CA$60)),0)</f>
        <v>0</v>
      </c>
      <c r="V32" s="4">
        <f t="array" aca="1" ref="V32" ca="1">IF(Q19=C19,SUM(IF(($BR$52:$BR$60=C19)*($BS$51:$CA$51=Q18),$BS$52:$CA$60)),0)</f>
        <v>0</v>
      </c>
      <c r="W32" s="4">
        <f t="array" aca="1" ref="W32" ca="1">IF(Q19=C19,SUM(IF(($BR$52:$BR$60=C19)*($BS$51:$CA$51=Q20),$BS$52:$CA$60)),0)</f>
        <v>0</v>
      </c>
      <c r="X32" s="4">
        <f t="array" aca="1" ref="X32" ca="1">IF(Q19=C19,SUM(IF(($BR$52:$BR$60=C19)*($BS$51:$CA$51=Q21),$BS$52:$CA$60)),0)</f>
        <v>0</v>
      </c>
      <c r="Y32" s="4">
        <f t="array" aca="1" ref="Y32" ca="1">IF(Q19=C19,SUM(IF(($BR$52:$BR$60=C19)*($BS$51:$CA$51=Q22),$BS$52:$CA$60)),0)</f>
        <v>0</v>
      </c>
      <c r="Z32" s="4">
        <f t="array" aca="1" ref="Z32" ca="1">IF(Q19=C19,SUM(IF(($BR$52:$BR$60=C19)*($BS$51:$CA$51=Q23),$BS$52:$CA$60)),0)</f>
        <v>0</v>
      </c>
      <c r="AA32" s="4">
        <f t="array" aca="1" ref="AA32" ca="1">IF(Q19=C19,SUM(IF(($BR$52:$BR$60=C19)*($BS$51:$CA$51=Q$24),$BS$52:$CA$60)),0)</f>
        <v>0</v>
      </c>
      <c r="AB32" s="4">
        <f t="array" aca="1" ref="AB32" ca="1">IF(Q19=C19,SUM(IF(($BR$52:$BR$60=C19)*($BS$51:$CA$51=Q$25),$BS$52:$CA$60)),0)</f>
        <v>0</v>
      </c>
      <c r="AC32" s="6">
        <f t="array" aca="1" ref="AC32" ca="1">IF(R19=C19,SUM(IF(($BR$52:$BR$60=C19)*($BS$51:$CA$51=R17),$BS$52:$CA$60)),0)</f>
        <v>0</v>
      </c>
      <c r="AD32" s="4">
        <f t="array" aca="1" ref="AD32" ca="1">IF(R19=C19,SUM(IF(($BR$52:$BR$60=C19)*($BS$51:$CA$51=R18),$BS$52:$CA$60)),0)</f>
        <v>0</v>
      </c>
      <c r="AE32" s="4">
        <f t="array" aca="1" ref="AE32" ca="1">IF(R19=C19,SUM(IF(($BR$52:$BR$60=C19)*($BS$51:$CA$51=R20),$BS$52:$CA$60)),0)</f>
        <v>0</v>
      </c>
      <c r="AF32" s="4">
        <f t="array" aca="1" ref="AF32" ca="1">IF(R19=C19,SUM(IF(($BR$52:$BR$60=C19)*($BS$51:$CA$51=R21),$BS$52:$CA$60)),0)</f>
        <v>0</v>
      </c>
      <c r="AG32" s="4">
        <f t="array" aca="1" ref="AG32" ca="1">IF(R19=C19,SUM(IF(($BR$52:$BR$60=C19)*($BS$51:$CA$51=R22),$BS$52:$CA$60)),0)</f>
        <v>0</v>
      </c>
      <c r="AH32" s="4">
        <f t="array" aca="1" ref="AH32" ca="1">IF(R19=C19,SUM(IF(($BR$52:$BR$60=C19)*($BS$51:$CA$51=R23),$BS$52:$CA$60)),0)</f>
        <v>0</v>
      </c>
      <c r="AI32" s="4">
        <f t="array" aca="1" ref="AI32" ca="1">IF(R19=C19,SUM(IF(($BR$52:$BR$60=C19)*($BS$51:$CA$51=R$24),$BS$52:$CA$60)),0)</f>
        <v>0</v>
      </c>
      <c r="AJ32" s="4">
        <f t="array" aca="1" ref="AJ32" ca="1">IF(R19=C19,SUM(IF(($BR$52:$BR$60=C19)*($BS$51:$CA$51=R$25),$BS$52:$CA$60)),0)</f>
        <v>0</v>
      </c>
      <c r="AK32" s="6">
        <f t="array" aca="1" ref="AK32" ca="1">IF(S19=C19,SUM(IF(($BR$52:$BR$60=C19)*($BS$51:$CA$51=S17),$BS$52:$CA$60)),0)</f>
        <v>0</v>
      </c>
      <c r="AL32" s="4">
        <f t="array" aca="1" ref="AL32" ca="1">IF(S19=C19,SUM(IF(($BR$52:$BR$60=C19)*($BS$51:$CA$51=S18),$BS$52:$CA$60)),0)</f>
        <v>0</v>
      </c>
      <c r="AM32" s="4">
        <f t="array" aca="1" ref="AM32" ca="1">IF(S19=C19,SUM(IF(($BR$52:$BR$60=C19)*($BS$51:$CA$51=S20),$BS$52:$CA$60)),0)</f>
        <v>0</v>
      </c>
      <c r="AN32" s="4">
        <f t="array" aca="1" ref="AN32" ca="1">IF(S19=C19,SUM(IF(($BR$52:$BR$60=C19)*($BS$51:$CA$51=S21),$BS$52:$CA$60)),0)</f>
        <v>0</v>
      </c>
      <c r="AO32" s="4">
        <f t="array" aca="1" ref="AO32" ca="1">IF(S19=C19,SUM(IF(($BR$52:$BR$60=C19)*($BS$51:$CA$51=S22),$BS$52:$CA$60)),0)</f>
        <v>0</v>
      </c>
      <c r="AP32" s="4">
        <f t="array" aca="1" ref="AP32" ca="1">IF(S19=C19,SUM(IF(($BR$52:$BR$60=C19)*($BS$51:$CA$51=S23),$BS$52:$CA$60)),0)</f>
        <v>0</v>
      </c>
      <c r="AQ32" s="4">
        <f t="array" aca="1" ref="AQ32" ca="1">IF(S19=C19,SUM(IF(($BR$52:$BR$60=C19)*($BS$51:$CA$51=S$24),$BS$52:$CA$60)),0)</f>
        <v>0</v>
      </c>
      <c r="AR32" s="4">
        <f t="array" aca="1" ref="AR32" ca="1">IF(S19=C19,SUM(IF(($BR$52:$BR$60=C19)*($BS$51:$CA$51=S$25),$BS$52:$CA$60)),0)</f>
        <v>0</v>
      </c>
      <c r="AS32" s="6">
        <f t="array" aca="1" ref="AS32" ca="1">IF(T19=C19,SUM(IF(($BR$52:$BR$60=C19)*($BS$51:$CA$51=T17),$BS$52:$CA$60)),0)</f>
        <v>0</v>
      </c>
      <c r="AT32" s="4">
        <f t="array" aca="1" ref="AT32" ca="1">IF(T19=C19,SUM(IF(($BR$52:$BR$60=C19)*($BS$51:$CA$51=T18),$BS$52:$CA$60)),0)</f>
        <v>0</v>
      </c>
      <c r="AU32" s="4">
        <f t="array" aca="1" ref="AU32" ca="1">IF(T19=C19,SUM(IF(($BR$52:$BR$60=C19)*($BS$51:$CA$51=T20),$BS$52:$CA$60)),0)</f>
        <v>0</v>
      </c>
      <c r="AV32" s="4">
        <f t="array" aca="1" ref="AV32" ca="1">IF(T19=C19,SUM(IF(($BR$52:$BR$60=C19)*($BS$51:$CA$51=T21),$BS$52:$CA$60)),0)</f>
        <v>0</v>
      </c>
      <c r="AW32" s="4">
        <f t="array" aca="1" ref="AW32" ca="1">IF(T19=C19,SUM(IF(($BR$52:$BR$60=C19)*($BS$51:$CA$51=T22),$BS$52:$CA$60)),0)</f>
        <v>0</v>
      </c>
      <c r="AX32" s="4">
        <f t="array" aca="1" ref="AX32" ca="1">IF(T19=C19,SUM(IF(($BR$52:$BR$60=C19)*($BS$51:$CA$51=T23),$BS$52:$CA$60)),0)</f>
        <v>0</v>
      </c>
      <c r="AY32" s="4">
        <f t="array" aca="1" ref="AY32" ca="1">IF(T19=C19,SUM(IF(($BR$52:$BR$60=C19)*($BS$51:$CA$51=T$24),$BS$52:$CA$60)),0)</f>
        <v>0</v>
      </c>
      <c r="AZ32" s="4">
        <f t="array" aca="1" ref="AZ32" ca="1">IF(T19=C19,SUM(IF(($BR$52:$BR$60=C19)*($BS$51:$CA$51=T$25),$BS$52:$CA$60)),0)</f>
        <v>0</v>
      </c>
      <c r="BA32" s="6">
        <f t="array" aca="1" ref="BA32" ca="1">IF(U19=C19,SUM(IF(($BR$52:$BR$60=C19)*($BS$51:$CA$51=U$17),$BS$52:$CA$60)),0)</f>
        <v>0</v>
      </c>
      <c r="BB32" s="4">
        <f t="array" aca="1" ref="BB32" ca="1">IF(U19=C19,SUM(IF(($BR$52:$BR$60=C19)*($BS$51:$CA$51=U$18),$BS$52:$CA$60)),0)</f>
        <v>0</v>
      </c>
      <c r="BC32" s="4">
        <f t="array" aca="1" ref="BC32" ca="1">IF(U19=C19,SUM(IF(($BR$52:$BR$60=C19)*($BS$51:$CA$51=U$20),$BS$52:$CA$60)),0)</f>
        <v>0</v>
      </c>
      <c r="BD32" s="4">
        <f t="array" aca="1" ref="BD32" ca="1">IF(U19=C19,SUM(IF(($BR$52:$BR$60=C19)*($BS$51:$CA$51=U$21),$BS$52:$CA$60)),0)</f>
        <v>0</v>
      </c>
      <c r="BE32" s="4">
        <f t="array" aca="1" ref="BE32" ca="1">IF(U19=C19,SUM(IF(($BR$52:$BR$60=C19)*($BS$51:$CA$51=U$22),$BS$52:$CA$60)),0)</f>
        <v>0</v>
      </c>
      <c r="BF32" s="4">
        <f t="array" aca="1" ref="BF32" ca="1">IF(U19=C19,SUM(IF(($BR$52:$BR$60=C19)*($BS$51:$CA$51=U$23),$BS$52:$CA$60)),0)</f>
        <v>0</v>
      </c>
      <c r="BG32" s="4">
        <f t="array" aca="1" ref="BG32" ca="1">IF(U19=C19,SUM(IF(($BR$52:$BR$60=C19)*($BS$51:$CA$51=U$24),$BS$52:$CA$60)),0)</f>
        <v>0</v>
      </c>
      <c r="BH32" s="4">
        <f t="array" aca="1" ref="BH32" ca="1">IF(U19=C19,SUM(IF(($BR$52:$BR$60=C19)*($BS$51:$CA$51=U$25),$BS$52:$CA$60)),0)</f>
        <v>0</v>
      </c>
      <c r="BI32" s="6">
        <f t="array" aca="1" ref="BI32" ca="1">IF(V19=C19,SUM(IF(($BR$52:$BR$60=C19)*($BS$51:$CA$51=V$17),$BS$52:$CA$60)),0)</f>
        <v>0</v>
      </c>
      <c r="BJ32" s="4">
        <f t="array" aca="1" ref="BJ32" ca="1">IF(V19=C19,SUM(IF(($BR$52:$BR$60=C19)*($BS$51:$CA$51=V$18),$BS$52:$CA$60)),0)</f>
        <v>0</v>
      </c>
      <c r="BK32" s="4">
        <f t="array" aca="1" ref="BK32" ca="1">IF(V19=C19,SUM(IF(($BR$52:$BR$60=C19)*($BS$51:$CA$51=V$20),$BS$52:$CA$60)),0)</f>
        <v>0</v>
      </c>
      <c r="BL32" s="4">
        <f t="array" aca="1" ref="BL32" ca="1">IF(V19=C19,SUM(IF(($BR$52:$BR$60=C19)*($BS$51:$CA$51=V$21),$BS$52:$CA$60)),0)</f>
        <v>0</v>
      </c>
      <c r="BM32" s="4">
        <f t="array" aca="1" ref="BM32" ca="1">IF(V19=C19,SUM(IF(($BR$52:$BR$60=C19)*($BS$51:$CA$51=V$22),$BS$52:$CA$60)),0)</f>
        <v>0</v>
      </c>
      <c r="BN32" s="4">
        <f t="array" aca="1" ref="BN32" ca="1">IF(V19=C19,SUM(IF(($BR$52:$BR$60=C19)*($BS$51:$CA$51=V$23),$BS$52:$CA$60)),0)</f>
        <v>0</v>
      </c>
      <c r="BO32" s="4">
        <f t="array" aca="1" ref="BO32" ca="1">IF(V19=C19,SUM(IF(($BR$52:$BR$60=C19)*($BS$51:$CA$51=V$24),$BS$52:$CA$60)),0)</f>
        <v>0</v>
      </c>
      <c r="BP32" s="16">
        <f t="array" aca="1" ref="BP32" ca="1">IF(V19=C19,SUM(IF(($BR$52:$BR$60=C19)*($BS$51:$CA$51=V$25),$BS$52:$CA$60)),0)</f>
        <v>0</v>
      </c>
      <c r="BQ32" s="4"/>
      <c r="BR32" s="2" t="str">
        <f t="shared" si="62"/>
        <v>Eintracht Frankfurt</v>
      </c>
      <c r="BS32" s="9">
        <f t="shared" ca="1" si="65"/>
        <v>0</v>
      </c>
      <c r="BT32" s="9">
        <f t="shared" ref="BT32:BT38" ca="1" si="67">SUMIFS($X$64:$X$135,$V$64:$V$135,$BR32,$W$64:$W$135,BT$29)+SUMIFS($Y$64:$Y$135,$W$64:$W$135,$BR32,$V$64:$V$135,BT$29)</f>
        <v>0</v>
      </c>
      <c r="BU32" s="7"/>
      <c r="BV32" s="8">
        <f t="shared" ref="BV32:CA32" ca="1" si="68">SUMIFS($X$64:$X$135,$V$64:$V$135,$BR32,$W$64:$W$135,BV$29)+SUMIFS($Y$64:$Y$135,$W$64:$W$135,$BR32,$V$64:$V$135,BV$29)</f>
        <v>1</v>
      </c>
      <c r="BW32" s="8">
        <f t="shared" ca="1" si="68"/>
        <v>0</v>
      </c>
      <c r="BX32" s="8">
        <f t="shared" ca="1" si="68"/>
        <v>3</v>
      </c>
      <c r="BY32" s="8">
        <f t="shared" ca="1" si="68"/>
        <v>0</v>
      </c>
      <c r="BZ32" s="8">
        <f t="shared" ca="1" si="68"/>
        <v>0</v>
      </c>
      <c r="CA32" s="8">
        <f t="shared" ca="1" si="68"/>
        <v>0</v>
      </c>
      <c r="CB32" s="4"/>
    </row>
    <row r="33" spans="2:80" s="2" customFormat="1" x14ac:dyDescent="0.2">
      <c r="C33" s="2" t="str">
        <f t="shared" si="64"/>
        <v>Maibach 1822 eV</v>
      </c>
      <c r="E33" s="15">
        <f t="array" aca="1" ref="E33" ca="1">IF(O20=C20,SUM(IF(($BR$52:$BR$60=C20)*($BS$51:$CA$51=O17),$BS$52:$CA$60)),0)</f>
        <v>0</v>
      </c>
      <c r="F33" s="4">
        <f t="array" aca="1" ref="F33" ca="1">IF(O20=C20,SUM(IF(($BR$52:$BR$60=C20)*($BS$51:$CA$51=O18),$BS$52:$CA$60)),0)</f>
        <v>0</v>
      </c>
      <c r="G33" s="4">
        <f t="array" aca="1" ref="G33" ca="1">IF(O20=C20,SUM(IF(($BR$52:$BR$60=C20)*($BS$51:$CA$51=O19),$BS$52:$CA$60)),0)</f>
        <v>0</v>
      </c>
      <c r="H33" s="4">
        <f t="array" aca="1" ref="H33" ca="1">IF(O20=C20,SUM(IF(($BR$52:$BR$60=C20)*($BS$51:$CA$51=O21),$BS$52:$CA$60)),0)</f>
        <v>0</v>
      </c>
      <c r="I33" s="4">
        <f t="array" aca="1" ref="I33" ca="1">IF(O20=C20,SUM(IF(($BR$52:$BR$60=C20)*($BS$51:$CA$51=O22),$BS$52:$CA$60)),0)</f>
        <v>0</v>
      </c>
      <c r="J33" s="4">
        <f t="array" aca="1" ref="J33" ca="1">IF(O20=C20,SUM(IF(($BR$52:$BR$60=C20)*($BS$51:$CA$51=O23),$BS$52:$CA$60)),0)</f>
        <v>0</v>
      </c>
      <c r="K33" s="4">
        <f t="array" aca="1" ref="K33" ca="1">IF(O20=C20,SUM(IF(($BR$52:$BR$60=C20)*($BS$51:$CA$51=O$24),$BS$52:$CA$60)),0)</f>
        <v>0</v>
      </c>
      <c r="L33" s="4">
        <f t="array" aca="1" ref="L33" ca="1">IF(O20=C20,SUM(IF(($BR$52:$BR$60=C20)*($BS$51:$CA$51=O$25),$BS$52:$CA$60)),0)</f>
        <v>0</v>
      </c>
      <c r="M33" s="6">
        <f t="array" aca="1" ref="M33" ca="1">IF(P20=C20,SUM(IF(($BR$52:$BR$60=C20)*($BS$51:$CA$51=P17),$BS$52:$CA$60)),0)</f>
        <v>0</v>
      </c>
      <c r="N33" s="4">
        <f t="array" aca="1" ref="N33" ca="1">IF(P20=C20,SUM(IF(($BR$52:$BR$60=C20)*($BS$51:$CA$51=P18),$BS$52:$CA$60)),0)</f>
        <v>0</v>
      </c>
      <c r="O33" s="4">
        <f t="array" aca="1" ref="O33" ca="1">IF(P20=C20,SUM(IF(($BR$52:$BR$60=C20)*($BS$51:$CA$51=P19),$BS$52:$CA$60)),0)</f>
        <v>0</v>
      </c>
      <c r="P33" s="4">
        <f t="array" aca="1" ref="P33" ca="1">IF(P20=C20,SUM(IF(($BR$52:$BR$60=C20)*($BS$51:$CA$51=P21),$BS$52:$CA$60)),0)</f>
        <v>0</v>
      </c>
      <c r="Q33" s="4">
        <f t="array" aca="1" ref="Q33" ca="1">IF(P20=C20,SUM(IF(($BR$52:$BR$60=C20)*($BS$51:$CA$51=P22),$BS$52:$CA$60)),0)</f>
        <v>0</v>
      </c>
      <c r="R33" s="4">
        <f t="array" aca="1" ref="R33" ca="1">IF(P20=C20,SUM(IF(($BR$52:$BR$60=C20)*($BS$51:$CA$51=P23),$BS$52:$CA$60)),0)</f>
        <v>0</v>
      </c>
      <c r="S33" s="4">
        <f t="array" aca="1" ref="S33" ca="1">IF(P20=C20,SUM(IF(($BR$52:$BR$60=C20)*($BS$51:$CA$51=P$24),$BS$52:$CA$60)),0)</f>
        <v>0</v>
      </c>
      <c r="T33" s="4">
        <f t="array" aca="1" ref="T33" ca="1">IF(P20=C20,SUM(IF(($BR$52:$BR$60=C20)*($BS$51:$CA$51=P$25),$BS$52:$CA$60)),0)</f>
        <v>0</v>
      </c>
      <c r="U33" s="6">
        <f t="array" aca="1" ref="U33" ca="1">IF(Q20=C20,SUM(IF(($BR$52:$BR$60=C20)*($BS$51:$CA$51=Q17),$BS$52:$CA$60)),0)</f>
        <v>0</v>
      </c>
      <c r="V33" s="4">
        <f t="array" aca="1" ref="V33" ca="1">IF(Q20=C20,SUM(IF(($BR$52:$BR$60=C20)*($BS$51:$CA$51=Q18),$BS$52:$CA$60)),0)</f>
        <v>0</v>
      </c>
      <c r="W33" s="4">
        <f t="array" aca="1" ref="W33" ca="1">IF(Q20=C20,SUM(IF(($BR$52:$BR$60=C20)*($BS$51:$CA$51=Q19),$BS$52:$CA$60)),0)</f>
        <v>0</v>
      </c>
      <c r="X33" s="4">
        <f t="array" aca="1" ref="X33" ca="1">IF(Q20=C20,SUM(IF(($BR$52:$BR$60=C20)*($BS$51:$CA$51=Q21),$BS$52:$CA$60)),0)</f>
        <v>0</v>
      </c>
      <c r="Y33" s="4">
        <f t="array" aca="1" ref="Y33" ca="1">IF(Q20=C20,SUM(IF(($BR$52:$BR$60=C20)*($BS$51:$CA$51=Q22),$BS$52:$CA$60)),0)</f>
        <v>0</v>
      </c>
      <c r="Z33" s="4">
        <f t="array" aca="1" ref="Z33" ca="1">IF(Q20=C20,SUM(IF(($BR$52:$BR$60=C20)*($BS$51:$CA$51=Q23),$BS$52:$CA$60)),0)</f>
        <v>0</v>
      </c>
      <c r="AA33" s="4">
        <f t="array" aca="1" ref="AA33" ca="1">IF(Q20=C20,SUM(IF(($BR$52:$BR$60=C20)*($BS$51:$CA$51=Q$24),$BS$52:$CA$60)),0)</f>
        <v>0</v>
      </c>
      <c r="AB33" s="4">
        <f t="array" aca="1" ref="AB33" ca="1">IF(Q20=C20,SUM(IF(($BR$52:$BR$60=C20)*($BS$51:$CA$51=Q$25),$BS$52:$CA$60)),0)</f>
        <v>0</v>
      </c>
      <c r="AC33" s="6">
        <f t="array" aca="1" ref="AC33" ca="1">IF(R20=C20,SUM(IF(($BR$52:$BR$60=C20)*($BS$51:$CA$51=R17),$BS$52:$CA$60)),0)</f>
        <v>0</v>
      </c>
      <c r="AD33" s="4">
        <f t="array" aca="1" ref="AD33" ca="1">IF(R20=C20,SUM(IF(($BR$52:$BR$60=C20)*($BS$51:$CA$51=R18),$BS$52:$CA$60)),0)</f>
        <v>0</v>
      </c>
      <c r="AE33" s="4">
        <f t="array" aca="1" ref="AE33" ca="1">IF(R20=C20,SUM(IF(($BR$52:$BR$60=C20)*($BS$51:$CA$51=R19),$BS$52:$CA$60)),0)</f>
        <v>0</v>
      </c>
      <c r="AF33" s="4">
        <f t="array" aca="1" ref="AF33" ca="1">IF(R20=C20,SUM(IF(($BR$52:$BR$60=C20)*($BS$51:$CA$51=R21),$BS$52:$CA$60)),0)</f>
        <v>0</v>
      </c>
      <c r="AG33" s="4">
        <f t="array" aca="1" ref="AG33" ca="1">IF(R20=C20,SUM(IF(($BR$52:$BR$60=C20)*($BS$51:$CA$51=R22),$BS$52:$CA$60)),0)</f>
        <v>0</v>
      </c>
      <c r="AH33" s="4">
        <f t="array" aca="1" ref="AH33" ca="1">IF(R20=C20,SUM(IF(($BR$52:$BR$60=C20)*($BS$51:$CA$51=R23),$BS$52:$CA$60)),0)</f>
        <v>0</v>
      </c>
      <c r="AI33" s="4">
        <f t="array" aca="1" ref="AI33" ca="1">IF(R20=C20,SUM(IF(($BR$52:$BR$60=C20)*($BS$51:$CA$51=R$24),$BS$52:$CA$60)),0)</f>
        <v>0</v>
      </c>
      <c r="AJ33" s="4">
        <f t="array" aca="1" ref="AJ33" ca="1">IF(R20=C20,SUM(IF(($BR$52:$BR$60=C20)*($BS$51:$CA$51=R$25),$BS$52:$CA$60)),0)</f>
        <v>0</v>
      </c>
      <c r="AK33" s="6">
        <f t="array" aca="1" ref="AK33" ca="1">IF(S20=C20,SUM(IF(($BR$52:$BR$60=C20)*($BS$51:$CA$51=S17),$BS$52:$CA$60)),0)</f>
        <v>0</v>
      </c>
      <c r="AL33" s="4">
        <f t="array" aca="1" ref="AL33" ca="1">IF(S20=C20,SUM(IF(($BR$52:$BR$60=C20)*($BS$51:$CA$51=S18),$BS$52:$CA$60)),0)</f>
        <v>0</v>
      </c>
      <c r="AM33" s="4">
        <f t="array" aca="1" ref="AM33" ca="1">IF(S20=C20,SUM(IF(($BR$52:$BR$60=C20)*($BS$51:$CA$51=S19),$BS$52:$CA$60)),0)</f>
        <v>0</v>
      </c>
      <c r="AN33" s="4">
        <f t="array" aca="1" ref="AN33" ca="1">IF(S20=C20,SUM(IF(($BR$52:$BR$60=C20)*($BS$51:$CA$51=S21),$BS$52:$CA$60)),0)</f>
        <v>0</v>
      </c>
      <c r="AO33" s="4">
        <f t="array" aca="1" ref="AO33" ca="1">IF(S20=C20,SUM(IF(($BR$52:$BR$60=C20)*($BS$51:$CA$51=S22),$BS$52:$CA$60)),0)</f>
        <v>0</v>
      </c>
      <c r="AP33" s="4">
        <f t="array" aca="1" ref="AP33" ca="1">IF(S20=C20,SUM(IF(($BR$52:$BR$60=C20)*($BS$51:$CA$51=S23),$BS$52:$CA$60)),0)</f>
        <v>0</v>
      </c>
      <c r="AQ33" s="4">
        <f t="array" aca="1" ref="AQ33" ca="1">IF(S20=C20,SUM(IF(($BR$52:$BR$60=C20)*($BS$51:$CA$51=S$24),$BS$52:$CA$60)),0)</f>
        <v>0</v>
      </c>
      <c r="AR33" s="4">
        <f t="array" aca="1" ref="AR33" ca="1">IF(S20=C20,SUM(IF(($BR$52:$BR$60=C20)*($BS$51:$CA$51=S$25),$BS$52:$CA$60)),0)</f>
        <v>0</v>
      </c>
      <c r="AS33" s="6">
        <f t="array" aca="1" ref="AS33" ca="1">IF(T20=C20,SUM(IF(($BR$52:$BR$60=C20)*($BS$51:$CA$51=T17),$BS$52:$CA$60)),0)</f>
        <v>0</v>
      </c>
      <c r="AT33" s="4">
        <f t="array" aca="1" ref="AT33" ca="1">IF(T20=C20,SUM(IF(($BR$52:$BR$60=C20)*($BS$51:$CA$51=T18),$BS$52:$CA$60)),0)</f>
        <v>0</v>
      </c>
      <c r="AU33" s="4">
        <f t="array" aca="1" ref="AU33" ca="1">IF(T20=C20,SUM(IF(($BR$52:$BR$60=C20)*($BS$51:$CA$51=T19),$BS$52:$CA$60)),0)</f>
        <v>0</v>
      </c>
      <c r="AV33" s="4">
        <f t="array" aca="1" ref="AV33" ca="1">IF(T20=C20,SUM(IF(($BR$52:$BR$60=C20)*($BS$51:$CA$51=T21),$BS$52:$CA$60)),0)</f>
        <v>0</v>
      </c>
      <c r="AW33" s="4">
        <f t="array" aca="1" ref="AW33" ca="1">IF(T20=C20,SUM(IF(($BR$52:$BR$60=C20)*($BS$51:$CA$51=T22),$BS$52:$CA$60)),0)</f>
        <v>0</v>
      </c>
      <c r="AX33" s="4">
        <f t="array" aca="1" ref="AX33" ca="1">IF(T20=C20,SUM(IF(($BR$52:$BR$60=C20)*($BS$51:$CA$51=T23),$BS$52:$CA$60)),0)</f>
        <v>0</v>
      </c>
      <c r="AY33" s="4">
        <f t="array" aca="1" ref="AY33" ca="1">IF(T20=C20,SUM(IF(($BR$52:$BR$60=C20)*($BS$51:$CA$51=T$24),$BS$52:$CA$60)),0)</f>
        <v>0</v>
      </c>
      <c r="AZ33" s="4">
        <f t="array" aca="1" ref="AZ33" ca="1">IF(T20=C20,SUM(IF(($BR$52:$BR$60=C20)*($BS$51:$CA$51=T$25),$BS$52:$CA$60)),0)</f>
        <v>0</v>
      </c>
      <c r="BA33" s="6">
        <f t="array" aca="1" ref="BA33" ca="1">IF(U20=C20,SUM(IF(($BR$52:$BR$60=C20)*($BS$51:$CA$51=U$17),$BS$52:$CA$60)),0)</f>
        <v>0</v>
      </c>
      <c r="BB33" s="4">
        <f t="array" aca="1" ref="BB33" ca="1">IF(U20=C20,SUM(IF(($BR$52:$BR$60=C20)*($BS$51:$CA$51=U$18),$BS$52:$CA$60)),0)</f>
        <v>0</v>
      </c>
      <c r="BC33" s="4">
        <f t="array" aca="1" ref="BC33" ca="1">IF(U20=C20,SUM(IF(($BR$52:$BR$60=C20)*($BS$51:$CA$51=U$19),$BS$52:$CA$60)),0)</f>
        <v>0</v>
      </c>
      <c r="BD33" s="4">
        <f t="array" aca="1" ref="BD33" ca="1">IF(U20=C20,SUM(IF(($BR$52:$BR$60=C20)*($BS$51:$CA$51=U$21),$BS$52:$CA$60)),0)</f>
        <v>0</v>
      </c>
      <c r="BE33" s="4">
        <f t="array" aca="1" ref="BE33" ca="1">IF(U20=C20,SUM(IF(($BR$52:$BR$60=C20)*($BS$51:$CA$51=U$22),$BS$52:$CA$60)),0)</f>
        <v>0</v>
      </c>
      <c r="BF33" s="4">
        <f t="array" aca="1" ref="BF33" ca="1">IF(U20=C20,SUM(IF(($BR$52:$BR$60=C20)*($BS$51:$CA$51=U$23),$BS$52:$CA$60)),0)</f>
        <v>0</v>
      </c>
      <c r="BG33" s="4">
        <f t="array" aca="1" ref="BG33" ca="1">IF(U20=C20,SUM(IF(($BR$52:$BR$60=C20)*($BS$51:$CA$51=U$24),$BS$52:$CA$60)),0)</f>
        <v>0</v>
      </c>
      <c r="BH33" s="4">
        <f t="array" aca="1" ref="BH33" ca="1">IF(U20=C20,SUM(IF(($BR$52:$BR$60=C20)*($BS$51:$CA$51=U$25),$BS$52:$CA$60)),0)</f>
        <v>0</v>
      </c>
      <c r="BI33" s="6">
        <f t="array" aca="1" ref="BI33" ca="1">IF(V20=C20,SUM(IF(($BR$52:$BR$60=C20)*($BS$51:$CA$51=V$17),$BS$52:$CA$60)),0)</f>
        <v>0</v>
      </c>
      <c r="BJ33" s="4">
        <f t="array" aca="1" ref="BJ33" ca="1">IF(V20=C20,SUM(IF(($BR$52:$BR$60=C20)*($BS$51:$CA$51=V$18),$BS$52:$CA$60)),0)</f>
        <v>0</v>
      </c>
      <c r="BK33" s="4">
        <f t="array" aca="1" ref="BK33" ca="1">IF(V20=C20,SUM(IF(($BR$52:$BR$60=C20)*($BS$51:$CA$51=V$19),$BS$52:$CA$60)),0)</f>
        <v>0</v>
      </c>
      <c r="BL33" s="4">
        <f t="array" aca="1" ref="BL33" ca="1">IF(V20=C20,SUM(IF(($BR$52:$BR$60=C20)*($BS$51:$CA$51=V$21),$BS$52:$CA$60)),0)</f>
        <v>0</v>
      </c>
      <c r="BM33" s="4">
        <f t="array" aca="1" ref="BM33" ca="1">IF(V20=C20,SUM(IF(($BR$52:$BR$60=C20)*($BS$51:$CA$51=V$22),$BS$52:$CA$60)),0)</f>
        <v>0</v>
      </c>
      <c r="BN33" s="4">
        <f t="array" aca="1" ref="BN33" ca="1">IF(V20=C20,SUM(IF(($BR$52:$BR$60=C20)*($BS$51:$CA$51=V$23),$BS$52:$CA$60)),0)</f>
        <v>0</v>
      </c>
      <c r="BO33" s="4">
        <f t="array" aca="1" ref="BO33" ca="1">IF(V20=C20,SUM(IF(($BR$52:$BR$60=C20)*($BS$51:$CA$51=V$24),$BS$52:$CA$60)),0)</f>
        <v>0</v>
      </c>
      <c r="BP33" s="16">
        <f t="array" aca="1" ref="BP33" ca="1">IF(V20=C20,SUM(IF(($BR$52:$BR$60=C20)*($BS$51:$CA$51=V$25),$BS$52:$CA$60)),0)</f>
        <v>0</v>
      </c>
      <c r="BQ33" s="4"/>
      <c r="BR33" s="2" t="str">
        <f t="shared" si="62"/>
        <v>Maibach 1822 eV</v>
      </c>
      <c r="BS33" s="9">
        <f t="shared" ca="1" si="65"/>
        <v>0</v>
      </c>
      <c r="BT33" s="9">
        <f t="shared" ca="1" si="67"/>
        <v>0</v>
      </c>
      <c r="BU33" s="9">
        <f t="shared" ref="BU33:BU38" ca="1" si="69">SUMIFS($X$64:$X$135,$V$64:$V$135,$BR33,$W$64:$W$135,BU$29)+SUMIFS($Y$64:$Y$135,$W$64:$W$135,$BR33,$V$64:$V$135,BU$29)</f>
        <v>2</v>
      </c>
      <c r="BV33" s="7"/>
      <c r="BW33" s="8">
        <f ca="1">SUMIFS($X$64:$X$135,$V$64:$V$135,$BR33,$W$64:$W$135,BW$29)+SUMIFS($Y$64:$Y$135,$W$64:$W$135,$BR33,$V$64:$V$135,BW$29)</f>
        <v>0</v>
      </c>
      <c r="BX33" s="8">
        <f ca="1">SUMIFS($X$64:$X$135,$V$64:$V$135,$BR33,$W$64:$W$135,BX$29)+SUMIFS($Y$64:$Y$135,$W$64:$W$135,$BR33,$V$64:$V$135,BX$29)</f>
        <v>0</v>
      </c>
      <c r="BY33" s="8">
        <f ca="1">SUMIFS($X$64:$X$135,$V$64:$V$135,$BR33,$W$64:$W$135,BY$29)+SUMIFS($Y$64:$Y$135,$W$64:$W$135,$BR33,$V$64:$V$135,BY$29)</f>
        <v>0</v>
      </c>
      <c r="BZ33" s="8">
        <f ca="1">SUMIFS($X$64:$X$135,$V$64:$V$135,$BR33,$W$64:$W$135,BZ$29)+SUMIFS($Y$64:$Y$135,$W$64:$W$135,$BR33,$V$64:$V$135,BZ$29)</f>
        <v>0</v>
      </c>
      <c r="CA33" s="8">
        <f ca="1">SUMIFS($X$64:$X$135,$V$64:$V$135,$BR33,$W$64:$W$135,CA$29)+SUMIFS($Y$64:$Y$135,$W$64:$W$135,$BR33,$V$64:$V$135,CA$29)</f>
        <v>0</v>
      </c>
      <c r="CB33" s="4"/>
    </row>
    <row r="34" spans="2:80" s="2" customFormat="1" x14ac:dyDescent="0.2">
      <c r="C34" s="2" t="str">
        <f t="shared" si="64"/>
        <v>VFB Essenheim</v>
      </c>
      <c r="E34" s="15">
        <f t="array" aca="1" ref="E34" ca="1">IF(O21=C21,SUM(IF(($BR$52:$BR$60=C21)*($BS$51:$CA$51=O17),$BS$52:$CA$60)),0)</f>
        <v>0</v>
      </c>
      <c r="F34" s="4">
        <f t="array" aca="1" ref="F34" ca="1">IF(O21=C21,SUM(IF(($BR$52:$BR$60=C21)*($BS$51:$CA$51=O18),$BS$52:$CA$60)),0)</f>
        <v>0</v>
      </c>
      <c r="G34" s="4">
        <f t="array" aca="1" ref="G34" ca="1">IF(O21=C21,SUM(IF(($BR$52:$BR$60=C21)*($BS$51:$CA$51=O19),$BS$52:$CA$60)),0)</f>
        <v>0</v>
      </c>
      <c r="H34" s="4">
        <f t="array" aca="1" ref="H34" ca="1">IF(O21=C21,SUM(IF(($BR$52:$BR$60=C21)*($BS$51:$CA$51=O20),$BS$52:$CA$60)),0)</f>
        <v>0</v>
      </c>
      <c r="I34" s="4">
        <f t="array" aca="1" ref="I34" ca="1">IF(O21=C21,SUM(IF(($BR$52:$BR$60=C21)*($BS$51:$CA$51=O22),$BS$52:$CA$60)),0)</f>
        <v>0</v>
      </c>
      <c r="J34" s="4">
        <f t="array" aca="1" ref="J34" ca="1">IF(O21=C21,SUM(IF(($BR$52:$BR$60=C21)*($BS$51:$CA$51=O23),$BS$52:$CA$60)),0)</f>
        <v>0</v>
      </c>
      <c r="K34" s="4">
        <f t="array" aca="1" ref="K34" ca="1">IF(O21=C21,SUM(IF(($BR$52:$BR$60=C21)*($BS$51:$CA$51=O$24),$BS$52:$CA$60)),0)</f>
        <v>0</v>
      </c>
      <c r="L34" s="4">
        <f t="array" aca="1" ref="L34" ca="1">IF(O21=C21,SUM(IF(($BR$52:$BR$60=C21)*($BS$51:$CA$51=O$25),$BS$52:$CA$60)),0)</f>
        <v>0</v>
      </c>
      <c r="M34" s="6">
        <f t="array" aca="1" ref="M34" ca="1">IF(P21=C21,SUM(IF(($BR$52:$BR$60=C21)*($BS$51:$CA$51=P17),$BS$52:$CA$60)),0)</f>
        <v>0</v>
      </c>
      <c r="N34" s="4">
        <f t="array" aca="1" ref="N34" ca="1">IF(P21=C21,SUM(IF(($BR$52:$BR$60=C21)*($BS$51:$CA$51=P18),$BS$52:$CA$60)),0)</f>
        <v>0</v>
      </c>
      <c r="O34" s="4">
        <f t="array" aca="1" ref="O34" ca="1">IF(P21=C21,SUM(IF(($BR$52:$BR$60=C21)*($BS$51:$CA$51=P19),$BS$52:$CA$60)),0)</f>
        <v>0</v>
      </c>
      <c r="P34" s="4">
        <f t="array" aca="1" ref="P34" ca="1">IF(P21=C21,SUM(IF(($BR$52:$BR$60=C21)*($BS$51:$CA$51=P20),$BS$52:$CA$60)),0)</f>
        <v>0</v>
      </c>
      <c r="Q34" s="4">
        <f t="array" aca="1" ref="Q34" ca="1">IF(P21=C21,SUM(IF(($BR$52:$BR$60=C21)*($BS$51:$CA$51=P22),$BS$52:$CA$60)),0)</f>
        <v>0</v>
      </c>
      <c r="R34" s="4">
        <f t="array" aca="1" ref="R34" ca="1">IF(P21=C21,SUM(IF(($BR$52:$BR$60=C21)*($BS$51:$CA$51=P23),$BS$52:$CA$60)),0)</f>
        <v>0</v>
      </c>
      <c r="S34" s="4">
        <f t="array" aca="1" ref="S34" ca="1">IF(P21=C21,SUM(IF(($BR$52:$BR$60=C21)*($BS$51:$CA$51=P$24),$BS$52:$CA$60)),0)</f>
        <v>0</v>
      </c>
      <c r="T34" s="4">
        <f t="array" aca="1" ref="T34" ca="1">IF(P21=C21,SUM(IF(($BR$52:$BR$60=C21)*($BS$51:$CA$51=P$25),$BS$52:$CA$60)),0)</f>
        <v>0</v>
      </c>
      <c r="U34" s="6">
        <f t="array" aca="1" ref="U34" ca="1">IF(Q21=C21,SUM(IF(($BR$52:$BR$60=C21)*($BS$51:$CA$51=Q17),$BS$52:$CA$60)),0)</f>
        <v>0</v>
      </c>
      <c r="V34" s="4">
        <f t="array" aca="1" ref="V34" ca="1">IF(Q21=C21,SUM(IF(($BR$52:$BR$60=C21)*($BS$51:$CA$51=Q18),$BS$52:$CA$60)),0)</f>
        <v>0</v>
      </c>
      <c r="W34" s="4">
        <f t="array" aca="1" ref="W34" ca="1">IF(Q21=C21,SUM(IF(($BR$52:$BR$60=C21)*($BS$51:$CA$51=Q19),$BS$52:$CA$60)),0)</f>
        <v>0</v>
      </c>
      <c r="X34" s="4">
        <f t="array" aca="1" ref="X34" ca="1">IF(Q21=C21,SUM(IF(($BR$52:$BR$60=C21)*($BS$51:$CA$51=Q20),$BS$52:$CA$60)),0)</f>
        <v>0</v>
      </c>
      <c r="Y34" s="4">
        <f t="array" aca="1" ref="Y34" ca="1">IF(Q21=C21,SUM(IF(($BR$52:$BR$60=C21)*($BS$51:$CA$51=Q22),$BS$52:$CA$60)),0)</f>
        <v>0</v>
      </c>
      <c r="Z34" s="4">
        <f t="array" aca="1" ref="Z34" ca="1">IF(Q21=C21,SUM(IF(($BR$52:$BR$60=C21)*($BS$51:$CA$51=Q23),$BS$52:$CA$60)),0)</f>
        <v>0</v>
      </c>
      <c r="AA34" s="4">
        <f t="array" aca="1" ref="AA34" ca="1">IF(Q21=C21,SUM(IF(($BR$52:$BR$60=C21)*($BS$51:$CA$51=Q$24),$BS$52:$CA$60)),0)</f>
        <v>0</v>
      </c>
      <c r="AB34" s="4">
        <f t="array" aca="1" ref="AB34" ca="1">IF(Q21=C21,SUM(IF(($BR$52:$BR$60=C21)*($BS$51:$CA$51=Q$25),$BS$52:$CA$60)),0)</f>
        <v>0</v>
      </c>
      <c r="AC34" s="6">
        <f t="array" aca="1" ref="AC34" ca="1">IF(R21=C21,SUM(IF(($BR$52:$BR$60=C21)*($BS$51:$CA$51=R17),$BS$52:$CA$60)),0)</f>
        <v>0</v>
      </c>
      <c r="AD34" s="4">
        <f t="array" aca="1" ref="AD34" ca="1">IF(R21=C21,SUM(IF(($BR$52:$BR$60=C21)*($BS$51:$CA$51=R18),$BS$52:$CA$60)),0)</f>
        <v>0</v>
      </c>
      <c r="AE34" s="4">
        <f t="array" aca="1" ref="AE34" ca="1">IF(R21=C21,SUM(IF(($BR$52:$BR$60=C21)*($BS$51:$CA$51=R19),$BS$52:$CA$60)),0)</f>
        <v>0</v>
      </c>
      <c r="AF34" s="4">
        <f t="array" aca="1" ref="AF34" ca="1">IF(R21=C21,SUM(IF(($BR$52:$BR$60=C21)*($BS$51:$CA$51=R20),$BS$52:$CA$60)),0)</f>
        <v>0</v>
      </c>
      <c r="AG34" s="4">
        <f t="array" aca="1" ref="AG34" ca="1">IF(R21=C21,SUM(IF(($BR$52:$BR$60=C21)*($BS$51:$CA$51=R22),$BS$52:$CA$60)),0)</f>
        <v>0</v>
      </c>
      <c r="AH34" s="4">
        <f t="array" aca="1" ref="AH34" ca="1">IF(R21=C21,SUM(IF(($BR$52:$BR$60=C21)*($BS$51:$CA$51=R23),$BS$52:$CA$60)),0)</f>
        <v>0</v>
      </c>
      <c r="AI34" s="4">
        <f t="array" aca="1" ref="AI34" ca="1">IF(R21=C21,SUM(IF(($BR$52:$BR$60=C21)*($BS$51:$CA$51=R$24),$BS$52:$CA$60)),0)</f>
        <v>0</v>
      </c>
      <c r="AJ34" s="4">
        <f t="array" aca="1" ref="AJ34" ca="1">IF(R21=C21,SUM(IF(($BR$52:$BR$60=C21)*($BS$51:$CA$51=R$25),$BS$52:$CA$60)),0)</f>
        <v>0</v>
      </c>
      <c r="AK34" s="6">
        <f t="array" aca="1" ref="AK34" ca="1">IF(S21=C21,SUM(IF(($BR$52:$BR$60=C21)*($BS$51:$CA$51=S17),$BS$52:$CA$60)),0)</f>
        <v>0</v>
      </c>
      <c r="AL34" s="4">
        <f t="array" aca="1" ref="AL34" ca="1">IF(S21=C21,SUM(IF(($BR$52:$BR$60=C21)*($BS$51:$CA$51=S18),$BS$52:$CA$60)),0)</f>
        <v>0</v>
      </c>
      <c r="AM34" s="4">
        <f t="array" aca="1" ref="AM34" ca="1">IF(S21=C21,SUM(IF(($BR$52:$BR$60=C21)*($BS$51:$CA$51=S19),$BS$52:$CA$60)),0)</f>
        <v>0</v>
      </c>
      <c r="AN34" s="4">
        <f t="array" aca="1" ref="AN34" ca="1">IF(S21=C21,SUM(IF(($BR$52:$BR$60=C21)*($BS$51:$CA$51=S20),$BS$52:$CA$60)),0)</f>
        <v>0</v>
      </c>
      <c r="AO34" s="4">
        <f t="array" aca="1" ref="AO34" ca="1">IF(S21=C21,SUM(IF(($BR$52:$BR$60=C21)*($BS$51:$CA$51=S22),$BS$52:$CA$60)),0)</f>
        <v>0</v>
      </c>
      <c r="AP34" s="4">
        <f t="array" aca="1" ref="AP34" ca="1">IF(S21=C21,SUM(IF(($BR$52:$BR$60=C21)*($BS$51:$CA$51=S23),$BS$52:$CA$60)),0)</f>
        <v>0</v>
      </c>
      <c r="AQ34" s="4">
        <f t="array" aca="1" ref="AQ34" ca="1">IF(S21=C21,SUM(IF(($BR$52:$BR$60=C21)*($BS$51:$CA$51=S$24),$BS$52:$CA$60)),0)</f>
        <v>0</v>
      </c>
      <c r="AR34" s="4">
        <f t="array" aca="1" ref="AR34" ca="1">IF(S21=C21,SUM(IF(($BR$52:$BR$60=C21)*($BS$51:$CA$51=S$25),$BS$52:$CA$60)),0)</f>
        <v>0</v>
      </c>
      <c r="AS34" s="6">
        <f t="array" aca="1" ref="AS34" ca="1">IF(T21=C21,SUM(IF(($BR$52:$BR$60=C21)*($BS$51:$CA$51=T17),$BS$52:$CA$60)),0)</f>
        <v>0</v>
      </c>
      <c r="AT34" s="4">
        <f t="array" aca="1" ref="AT34" ca="1">IF(T21=C21,SUM(IF(($BR$52:$BR$60=C21)*($BS$51:$CA$51=T18),$BS$52:$CA$60)),0)</f>
        <v>0</v>
      </c>
      <c r="AU34" s="4">
        <f t="array" aca="1" ref="AU34" ca="1">IF(T21=C21,SUM(IF(($BR$52:$BR$60=C21)*($BS$51:$CA$51=T19),$BS$52:$CA$60)),0)</f>
        <v>0</v>
      </c>
      <c r="AV34" s="4">
        <f t="array" aca="1" ref="AV34" ca="1">IF(T21=C21,SUM(IF(($BR$52:$BR$60=C21)*($BS$51:$CA$51=T20),$BS$52:$CA$60)),0)</f>
        <v>0</v>
      </c>
      <c r="AW34" s="4">
        <f t="array" aca="1" ref="AW34" ca="1">IF(T21=C21,SUM(IF(($BR$52:$BR$60=C21)*($BS$51:$CA$51=T22),$BS$52:$CA$60)),0)</f>
        <v>0</v>
      </c>
      <c r="AX34" s="4">
        <f t="array" aca="1" ref="AX34" ca="1">IF(T21=C21,SUM(IF(($BR$52:$BR$60=C21)*($BS$51:$CA$51=T23),$BS$52:$CA$60)),0)</f>
        <v>0</v>
      </c>
      <c r="AY34" s="4">
        <f t="array" aca="1" ref="AY34" ca="1">IF(T21=C21,SUM(IF(($BR$52:$BR$60=C21)*($BS$51:$CA$51=T$24),$BS$52:$CA$60)),0)</f>
        <v>0</v>
      </c>
      <c r="AZ34" s="4">
        <f t="array" aca="1" ref="AZ34" ca="1">IF(T21=C21,SUM(IF(($BR$52:$BR$60=C21)*($BS$51:$CA$51=T$25),$BS$52:$CA$60)),0)</f>
        <v>0</v>
      </c>
      <c r="BA34" s="6">
        <f t="array" aca="1" ref="BA34" ca="1">IF(U21=C21,SUM(IF(($BR$52:$BR$60=C21)*($BS$51:$CA$51=U$17),$BS$52:$CA$60)),0)</f>
        <v>0</v>
      </c>
      <c r="BB34" s="4">
        <f t="array" aca="1" ref="BB34" ca="1">IF(U21=C21,SUM(IF(($BR$52:$BR$60=C21)*($BS$51:$CA$51=U$18),$BS$52:$CA$60)),0)</f>
        <v>0</v>
      </c>
      <c r="BC34" s="4">
        <f t="array" aca="1" ref="BC34" ca="1">IF(U21=C21,SUM(IF(($BR$52:$BR$60=C21)*($BS$51:$CA$51=U$19),$BS$52:$CA$60)),0)</f>
        <v>0</v>
      </c>
      <c r="BD34" s="4">
        <f t="array" aca="1" ref="BD34" ca="1">IF(U21=C21,SUM(IF(($BR$52:$BR$60=C21)*($BS$51:$CA$51=U$20),$BS$52:$CA$60)),0)</f>
        <v>0</v>
      </c>
      <c r="BE34" s="4">
        <f t="array" aca="1" ref="BE34" ca="1">IF(U21=C21,SUM(IF(($BR$52:$BR$60=C21)*($BS$51:$CA$51=U$22),$BS$52:$CA$60)),0)</f>
        <v>0</v>
      </c>
      <c r="BF34" s="4">
        <f t="array" aca="1" ref="BF34" ca="1">IF(U21=C21,SUM(IF(($BR$52:$BR$60=C21)*($BS$51:$CA$51=U$23),$BS$52:$CA$60)),0)</f>
        <v>0</v>
      </c>
      <c r="BG34" s="4">
        <f t="array" aca="1" ref="BG34" ca="1">IF(U21=C21,SUM(IF(($BR$52:$BR$60=C21)*($BS$51:$CA$51=U$24),$BS$52:$CA$60)),0)</f>
        <v>0</v>
      </c>
      <c r="BH34" s="4">
        <f t="array" aca="1" ref="BH34" ca="1">IF(U21=C21,SUM(IF(($BR$52:$BR$60=C21)*($BS$51:$CA$51=U$25),$BS$52:$CA$60)),0)</f>
        <v>0</v>
      </c>
      <c r="BI34" s="6">
        <f t="array" aca="1" ref="BI34" ca="1">IF(V21=C21,SUM(IF(($BR$52:$BR$60=C21)*($BS$51:$CA$51=V$17),$BS$52:$CA$60)),0)</f>
        <v>0</v>
      </c>
      <c r="BJ34" s="4">
        <f t="array" aca="1" ref="BJ34" ca="1">IF(V21=C21,SUM(IF(($BR$52:$BR$60=C21)*($BS$51:$CA$51=V$18),$BS$52:$CA$60)),0)</f>
        <v>0</v>
      </c>
      <c r="BK34" s="4">
        <f t="array" aca="1" ref="BK34" ca="1">IF(V21=C21,SUM(IF(($BR$52:$BR$60=C21)*($BS$51:$CA$51=V$19),$BS$52:$CA$60)),0)</f>
        <v>0</v>
      </c>
      <c r="BL34" s="4">
        <f t="array" aca="1" ref="BL34" ca="1">IF(V21=C21,SUM(IF(($BR$52:$BR$60=C21)*($BS$51:$CA$51=V$20),$BS$52:$CA$60)),0)</f>
        <v>0</v>
      </c>
      <c r="BM34" s="4">
        <f t="array" aca="1" ref="BM34" ca="1">IF(V21=C21,SUM(IF(($BR$52:$BR$60=C21)*($BS$51:$CA$51=V$22),$BS$52:$CA$60)),0)</f>
        <v>0</v>
      </c>
      <c r="BN34" s="4">
        <f t="array" aca="1" ref="BN34" ca="1">IF(V21=C21,SUM(IF(($BR$52:$BR$60=C21)*($BS$51:$CA$51=V$23),$BS$52:$CA$60)),0)</f>
        <v>0</v>
      </c>
      <c r="BO34" s="4">
        <f t="array" aca="1" ref="BO34" ca="1">IF(V21=C21,SUM(IF(($BR$52:$BR$60=C21)*($BS$51:$CA$51=V$24),$BS$52:$CA$60)),0)</f>
        <v>0</v>
      </c>
      <c r="BP34" s="16">
        <f t="array" aca="1" ref="BP34" ca="1">IF(V21=C21,SUM(IF(($BR$52:$BR$60=C21)*($BS$51:$CA$51=V$25),$BS$52:$CA$60)),0)</f>
        <v>0</v>
      </c>
      <c r="BQ34" s="4"/>
      <c r="BR34" s="2" t="str">
        <f t="shared" si="62"/>
        <v>VFB Essenheim</v>
      </c>
      <c r="BS34" s="9">
        <f t="shared" ca="1" si="65"/>
        <v>0</v>
      </c>
      <c r="BT34" s="9">
        <f t="shared" ca="1" si="67"/>
        <v>2</v>
      </c>
      <c r="BU34" s="9">
        <f t="shared" ca="1" si="69"/>
        <v>0</v>
      </c>
      <c r="BV34" s="9">
        <f ca="1">SUMIFS($X$64:$X$135,$V$64:$V$135,$BR34,$W$64:$W$135,BV$29)+SUMIFS($Y$64:$Y$135,$W$64:$W$135,$BR34,$V$64:$V$135,BV$29)</f>
        <v>0</v>
      </c>
      <c r="BW34" s="7"/>
      <c r="BX34" s="8">
        <f ca="1">SUMIFS($X$64:$X$135,$V$64:$V$135,$BR34,$W$64:$W$135,BX$29)+SUMIFS($Y$64:$Y$135,$W$64:$W$135,$BR34,$V$64:$V$135,BX$29)</f>
        <v>0</v>
      </c>
      <c r="BY34" s="8">
        <f ca="1">SUMIFS($X$64:$X$135,$V$64:$V$135,$BR34,$W$64:$W$135,BY$29)+SUMIFS($Y$64:$Y$135,$W$64:$W$135,$BR34,$V$64:$V$135,BY$29)</f>
        <v>0</v>
      </c>
      <c r="BZ34" s="8">
        <f ca="1">SUMIFS($X$64:$X$135,$V$64:$V$135,$BR34,$W$64:$W$135,BZ$29)+SUMIFS($Y$64:$Y$135,$W$64:$W$135,$BR34,$V$64:$V$135,BZ$29)</f>
        <v>0</v>
      </c>
      <c r="CA34" s="8">
        <f ca="1">SUMIFS($X$64:$X$135,$V$64:$V$135,$BR34,$W$64:$W$135,CA$29)+SUMIFS($Y$64:$Y$135,$W$64:$W$135,$BR34,$V$64:$V$135,CA$29)</f>
        <v>0</v>
      </c>
      <c r="CB34" s="4"/>
    </row>
    <row r="35" spans="2:80" s="2" customFormat="1" x14ac:dyDescent="0.2">
      <c r="C35" s="2" t="str">
        <f t="shared" si="64"/>
        <v>Inter Mailand</v>
      </c>
      <c r="E35" s="15">
        <f t="array" aca="1" ref="E35" ca="1">IF(O22=C22,SUM(IF(($BR$52:$BR$60=C22)*($BS$51:$CA$51=O17),$BS$52:$CA$60)),0)</f>
        <v>0</v>
      </c>
      <c r="F35" s="4">
        <f t="array" aca="1" ref="F35" ca="1">IF(O22=C22,SUM(IF(($BR$52:$BR$60=C22)*($BS$51:$CA$51=O18),$BS$52:$CA$60)),0)</f>
        <v>0</v>
      </c>
      <c r="G35" s="4">
        <f t="array" aca="1" ref="G35" ca="1">IF(O22=C22,SUM(IF(($BR$52:$BR$60=C22)*($BS$51:$CA$51=O19),$BS$52:$CA$60)),0)</f>
        <v>0</v>
      </c>
      <c r="H35" s="4">
        <f t="array" aca="1" ref="H35" ca="1">IF(O22=C22,SUM(IF(($BR$52:$BR$60=C22)*($BS$51:$CA$51=O20),$BS$52:$CA$60)),0)</f>
        <v>0</v>
      </c>
      <c r="I35" s="4">
        <f t="array" aca="1" ref="I35" ca="1">IF(O22=C22,SUM(IF(($BR$52:$BR$60=C22)*($BS$51:$CA$51=O21),$BS$52:$CA$60)),0)</f>
        <v>0</v>
      </c>
      <c r="J35" s="4">
        <f t="array" aca="1" ref="J35" ca="1">IF(O22=C22,SUM(IF(($BR$52:$BR$60=C22)*($BS$51:$CA$51=O23),$BS$52:$CA$60)),0)</f>
        <v>0</v>
      </c>
      <c r="K35" s="4">
        <f t="array" aca="1" ref="K35" ca="1">IF(O22=C22,SUM(IF(($BR$52:$BR$60=C22)*($BS$51:$CA$51=O$24),$BS$52:$CA$60)),0)</f>
        <v>0</v>
      </c>
      <c r="L35" s="4">
        <f t="array" aca="1" ref="L35" ca="1">IF(O22=C22,SUM(IF(($BR$52:$BR$60=C22)*($BS$51:$CA$51=O$25),$BS$52:$CA$60)),0)</f>
        <v>0</v>
      </c>
      <c r="M35" s="6">
        <f t="array" aca="1" ref="M35" ca="1">IF(P22=C22,SUM(IF(($BR$52:$BR$60=C22)*($BS$51:$CA$51=P17),$BS$52:$CA$60)),0)</f>
        <v>0</v>
      </c>
      <c r="N35" s="4">
        <f t="array" aca="1" ref="N35" ca="1">IF(P22=C22,SUM(IF(($BR$52:$BR$60=C22)*($BS$51:$CA$51=P18),$BS$52:$CA$60)),0)</f>
        <v>0</v>
      </c>
      <c r="O35" s="4">
        <f t="array" aca="1" ref="O35" ca="1">IF(P22=C22,SUM(IF(($BR$52:$BR$60=C22)*($BS$51:$CA$51=P19),$BS$52:$CA$60)),0)</f>
        <v>0</v>
      </c>
      <c r="P35" s="4">
        <f t="array" aca="1" ref="P35" ca="1">IF(P22=C22,SUM(IF(($BR$52:$BR$60=C22)*($BS$51:$CA$51=P20),$BS$52:$CA$60)),0)</f>
        <v>0</v>
      </c>
      <c r="Q35" s="4">
        <f t="array" aca="1" ref="Q35" ca="1">IF(P22=C22,SUM(IF(($BR$52:$BR$60=C22)*($BS$51:$CA$51=P21),$BS$52:$CA$60)),0)</f>
        <v>0</v>
      </c>
      <c r="R35" s="4">
        <f t="array" aca="1" ref="R35" ca="1">IF(P22=C22,SUM(IF(($BR$52:$BR$60=C22)*($BS$51:$CA$51=P23),$BS$52:$CA$60)),0)</f>
        <v>0</v>
      </c>
      <c r="S35" s="4">
        <f t="array" aca="1" ref="S35" ca="1">IF(P22=C22,SUM(IF(($BR$52:$BR$60=C22)*($BS$51:$CA$51=P$24),$BS$52:$CA$60)),0)</f>
        <v>0</v>
      </c>
      <c r="T35" s="4">
        <f t="array" aca="1" ref="T35" ca="1">IF(P22=C22,SUM(IF(($BR$52:$BR$60=C22)*($BS$51:$CA$51=P$25),$BS$52:$CA$60)),0)</f>
        <v>0</v>
      </c>
      <c r="U35" s="6">
        <f t="array" aca="1" ref="U35" ca="1">IF(Q22=C22,SUM(IF(($BR$52:$BR$60=C22)*($BS$51:$CA$51=Q17),$BS$52:$CA$60)),0)</f>
        <v>0</v>
      </c>
      <c r="V35" s="4">
        <f t="array" aca="1" ref="V35" ca="1">IF(Q22=C22,SUM(IF(($BR$52:$BR$60=C22)*($BS$51:$CA$51=Q18),$BS$52:$CA$60)),0)</f>
        <v>0</v>
      </c>
      <c r="W35" s="4">
        <f t="array" aca="1" ref="W35" ca="1">IF(Q22=C22,SUM(IF(($BR$52:$BR$60=C22)*($BS$51:$CA$51=Q19),$BS$52:$CA$60)),0)</f>
        <v>0</v>
      </c>
      <c r="X35" s="4">
        <f t="array" aca="1" ref="X35" ca="1">IF(Q22=C22,SUM(IF(($BR$52:$BR$60=C22)*($BS$51:$CA$51=Q20),$BS$52:$CA$60)),0)</f>
        <v>0</v>
      </c>
      <c r="Y35" s="4">
        <f t="array" aca="1" ref="Y35" ca="1">IF(Q22=C22,SUM(IF(($BR$52:$BR$60=C22)*($BS$51:$CA$51=Q21),$BS$52:$CA$60)),0)</f>
        <v>0</v>
      </c>
      <c r="Z35" s="4">
        <f t="array" aca="1" ref="Z35" ca="1">IF(Q22=C22,SUM(IF(($BR$52:$BR$60=C22)*($BS$51:$CA$51=Q23),$BS$52:$CA$60)),0)</f>
        <v>0</v>
      </c>
      <c r="AA35" s="4">
        <f t="array" aca="1" ref="AA35" ca="1">IF(Q22=C22,SUM(IF(($BR$52:$BR$60=C22)*($BS$51:$CA$51=Q$24),$BS$52:$CA$60)),0)</f>
        <v>0</v>
      </c>
      <c r="AB35" s="4">
        <f t="array" aca="1" ref="AB35" ca="1">IF(Q22=C22,SUM(IF(($BR$52:$BR$60=C22)*($BS$51:$CA$51=Q$25),$BS$52:$CA$60)),0)</f>
        <v>0</v>
      </c>
      <c r="AC35" s="6">
        <f t="array" aca="1" ref="AC35" ca="1">IF(R22=C22,SUM(IF(($BR$52:$BR$60=C22)*($BS$51:$CA$51=R17),$BS$52:$CA$60)),0)</f>
        <v>0</v>
      </c>
      <c r="AD35" s="4">
        <f t="array" aca="1" ref="AD35" ca="1">IF(R22=C22,SUM(IF(($BR$52:$BR$60=C22)*($BS$51:$CA$51=R18),$BS$52:$CA$60)),0)</f>
        <v>0</v>
      </c>
      <c r="AE35" s="4">
        <f t="array" aca="1" ref="AE35" ca="1">IF(R22=C22,SUM(IF(($BR$52:$BR$60=C22)*($BS$51:$CA$51=R19),$BS$52:$CA$60)),0)</f>
        <v>0</v>
      </c>
      <c r="AF35" s="4">
        <f t="array" aca="1" ref="AF35" ca="1">IF(R22=C22,SUM(IF(($BR$52:$BR$60=C22)*($BS$51:$CA$51=R20),$BS$52:$CA$60)),0)</f>
        <v>0</v>
      </c>
      <c r="AG35" s="4">
        <f t="array" aca="1" ref="AG35" ca="1">IF(R22=C22,SUM(IF(($BR$52:$BR$60=C22)*($BS$51:$CA$51=R21),$BS$52:$CA$60)),0)</f>
        <v>0</v>
      </c>
      <c r="AH35" s="4">
        <f t="array" aca="1" ref="AH35" ca="1">IF(R22=C22,SUM(IF(($BR$52:$BR$60=C22)*($BS$51:$CA$51=R23),$BS$52:$CA$60)),0)</f>
        <v>0</v>
      </c>
      <c r="AI35" s="4">
        <f t="array" aca="1" ref="AI35" ca="1">IF(R22=C22,SUM(IF(($BR$52:$BR$60=C22)*($BS$51:$CA$51=R$24),$BS$52:$CA$60)),0)</f>
        <v>0</v>
      </c>
      <c r="AJ35" s="4">
        <f t="array" aca="1" ref="AJ35" ca="1">IF(R22=C22,SUM(IF(($BR$52:$BR$60=C22)*($BS$51:$CA$51=R$25),$BS$52:$CA$60)),0)</f>
        <v>0</v>
      </c>
      <c r="AK35" s="6">
        <f t="array" aca="1" ref="AK35" ca="1">IF(S22=C22,SUM(IF(($BR$52:$BR$60=C22)*($BS$51:$CA$51=S17),$BS$52:$CA$60)),0)</f>
        <v>1</v>
      </c>
      <c r="AL35" s="4">
        <f t="array" aca="1" ref="AL35" ca="1">IF(S22=C22,SUM(IF(($BR$52:$BR$60=C22)*($BS$51:$CA$51=S18),$BS$52:$CA$60)),0)</f>
        <v>0</v>
      </c>
      <c r="AM35" s="4">
        <f t="array" aca="1" ref="AM35" ca="1">IF(S22=C22,SUM(IF(($BR$52:$BR$60=C22)*($BS$51:$CA$51=S19),$BS$52:$CA$60)),0)</f>
        <v>0</v>
      </c>
      <c r="AN35" s="4">
        <f t="array" aca="1" ref="AN35" ca="1">IF(S22=C22,SUM(IF(($BR$52:$BR$60=C22)*($BS$51:$CA$51=S20),$BS$52:$CA$60)),0)</f>
        <v>0</v>
      </c>
      <c r="AO35" s="4">
        <f t="array" aca="1" ref="AO35" ca="1">IF(S22=C22,SUM(IF(($BR$52:$BR$60=C22)*($BS$51:$CA$51=S21),$BS$52:$CA$60)),0)</f>
        <v>0</v>
      </c>
      <c r="AP35" s="4">
        <f t="array" aca="1" ref="AP35" ca="1">IF(S22=C22,SUM(IF(($BR$52:$BR$60=C22)*($BS$51:$CA$51=S23),$BS$52:$CA$60)),0)</f>
        <v>0</v>
      </c>
      <c r="AQ35" s="4">
        <f t="array" aca="1" ref="AQ35" ca="1">IF(S22=C22,SUM(IF(($BR$52:$BR$60=C22)*($BS$51:$CA$51=S$24),$BS$52:$CA$60)),0)</f>
        <v>0</v>
      </c>
      <c r="AR35" s="4">
        <f t="array" aca="1" ref="AR35" ca="1">IF(S22=C22,SUM(IF(($BR$52:$BR$60=C22)*($BS$51:$CA$51=S$25),$BS$52:$CA$60)),0)</f>
        <v>0</v>
      </c>
      <c r="AS35" s="6">
        <f t="array" aca="1" ref="AS35" ca="1">IF(T22=C22,SUM(IF(($BR$52:$BR$60=C22)*($BS$51:$CA$51=T17),$BS$52:$CA$60)),0)</f>
        <v>0</v>
      </c>
      <c r="AT35" s="4">
        <f t="array" aca="1" ref="AT35" ca="1">IF(T22=C22,SUM(IF(($BR$52:$BR$60=C22)*($BS$51:$CA$51=T18),$BS$52:$CA$60)),0)</f>
        <v>0</v>
      </c>
      <c r="AU35" s="4">
        <f t="array" aca="1" ref="AU35" ca="1">IF(T22=C22,SUM(IF(($BR$52:$BR$60=C22)*($BS$51:$CA$51=T19),$BS$52:$CA$60)),0)</f>
        <v>0</v>
      </c>
      <c r="AV35" s="4">
        <f t="array" aca="1" ref="AV35" ca="1">IF(T22=C22,SUM(IF(($BR$52:$BR$60=C22)*($BS$51:$CA$51=T20),$BS$52:$CA$60)),0)</f>
        <v>0</v>
      </c>
      <c r="AW35" s="4">
        <f t="array" aca="1" ref="AW35" ca="1">IF(T22=C22,SUM(IF(($BR$52:$BR$60=C22)*($BS$51:$CA$51=T21),$BS$52:$CA$60)),0)</f>
        <v>0</v>
      </c>
      <c r="AX35" s="4">
        <f t="array" aca="1" ref="AX35" ca="1">IF(T22=C22,SUM(IF(($BR$52:$BR$60=C22)*($BS$51:$CA$51=T23),$BS$52:$CA$60)),0)</f>
        <v>0</v>
      </c>
      <c r="AY35" s="4">
        <f t="array" aca="1" ref="AY35" ca="1">IF(T22=C22,SUM(IF(($BR$52:$BR$60=C22)*($BS$51:$CA$51=T$24),$BS$52:$CA$60)),0)</f>
        <v>0</v>
      </c>
      <c r="AZ35" s="4">
        <f t="array" aca="1" ref="AZ35" ca="1">IF(T22=C22,SUM(IF(($BR$52:$BR$60=C22)*($BS$51:$CA$51=T$25),$BS$52:$CA$60)),0)</f>
        <v>0</v>
      </c>
      <c r="BA35" s="6">
        <f t="array" aca="1" ref="BA35" ca="1">IF(U22=C22,SUM(IF(($BR$52:$BR$60=C22)*($BS$51:$CA$51=U$17),$BS$52:$CA$60)),0)</f>
        <v>0</v>
      </c>
      <c r="BB35" s="4">
        <f t="array" aca="1" ref="BB35" ca="1">IF(U22=C22,SUM(IF(($BR$52:$BR$60=C22)*($BS$51:$CA$51=U$18),$BS$52:$CA$60)),0)</f>
        <v>0</v>
      </c>
      <c r="BC35" s="4">
        <f t="array" aca="1" ref="BC35" ca="1">IF(U22=C22,SUM(IF(($BR$52:$BR$60=C22)*($BS$51:$CA$51=U$19),$BS$52:$CA$60)),0)</f>
        <v>0</v>
      </c>
      <c r="BD35" s="4">
        <f t="array" aca="1" ref="BD35" ca="1">IF(U22=C22,SUM(IF(($BR$52:$BR$60=C22)*($BS$51:$CA$51=U$20),$BS$52:$CA$60)),0)</f>
        <v>0</v>
      </c>
      <c r="BE35" s="4">
        <f t="array" aca="1" ref="BE35" ca="1">IF(U22=C22,SUM(IF(($BR$52:$BR$60=C22)*($BS$51:$CA$51=U$21),$BS$52:$CA$60)),0)</f>
        <v>0</v>
      </c>
      <c r="BF35" s="4">
        <f t="array" aca="1" ref="BF35" ca="1">IF(U22=C22,SUM(IF(($BR$52:$BR$60=C22)*($BS$51:$CA$51=U$23),$BS$52:$CA$60)),0)</f>
        <v>0</v>
      </c>
      <c r="BG35" s="4">
        <f t="array" aca="1" ref="BG35" ca="1">IF(U22=C22,SUM(IF(($BR$52:$BR$60=C22)*($BS$51:$CA$51=U$24),$BS$52:$CA$60)),0)</f>
        <v>0</v>
      </c>
      <c r="BH35" s="4">
        <f t="array" aca="1" ref="BH35" ca="1">IF(U22=C22,SUM(IF(($BR$52:$BR$60=C22)*($BS$51:$CA$51=U$25),$BS$52:$CA$60)),0)</f>
        <v>0</v>
      </c>
      <c r="BI35" s="6">
        <f t="array" aca="1" ref="BI35" ca="1">IF(V22=C22,SUM(IF(($BR$52:$BR$60=C22)*($BS$51:$CA$51=V$17),$BS$52:$CA$60)),0)</f>
        <v>0</v>
      </c>
      <c r="BJ35" s="4">
        <f t="array" aca="1" ref="BJ35" ca="1">IF(V22=C22,SUM(IF(($BR$52:$BR$60=C22)*($BS$51:$CA$51=V$18),$BS$52:$CA$60)),0)</f>
        <v>0</v>
      </c>
      <c r="BK35" s="4">
        <f t="array" aca="1" ref="BK35" ca="1">IF(V22=C22,SUM(IF(($BR$52:$BR$60=C22)*($BS$51:$CA$51=V$19),$BS$52:$CA$60)),0)</f>
        <v>0</v>
      </c>
      <c r="BL35" s="4">
        <f t="array" aca="1" ref="BL35" ca="1">IF(V22=C22,SUM(IF(($BR$52:$BR$60=C22)*($BS$51:$CA$51=V$20),$BS$52:$CA$60)),0)</f>
        <v>0</v>
      </c>
      <c r="BM35" s="4">
        <f t="array" aca="1" ref="BM35" ca="1">IF(V22=C22,SUM(IF(($BR$52:$BR$60=C22)*($BS$51:$CA$51=V$21),$BS$52:$CA$60)),0)</f>
        <v>0</v>
      </c>
      <c r="BN35" s="4">
        <f t="array" aca="1" ref="BN35" ca="1">IF(V22=C22,SUM(IF(($BR$52:$BR$60=C22)*($BS$51:$CA$51=V$23),$BS$52:$CA$60)),0)</f>
        <v>0</v>
      </c>
      <c r="BO35" s="4">
        <f t="array" aca="1" ref="BO35" ca="1">IF(V22=C22,SUM(IF(($BR$52:$BR$60=C22)*($BS$51:$CA$51=V$24),$BS$52:$CA$60)),0)</f>
        <v>0</v>
      </c>
      <c r="BP35" s="16">
        <f t="array" aca="1" ref="BP35" ca="1">IF(V22=C22,SUM(IF(($BR$52:$BR$60=C22)*($BS$51:$CA$51=V$25),$BS$52:$CA$60)),0)</f>
        <v>0</v>
      </c>
      <c r="BQ35" s="4"/>
      <c r="BR35" s="2" t="str">
        <f t="shared" si="62"/>
        <v>Inter Mailand</v>
      </c>
      <c r="BS35" s="9">
        <f t="shared" ca="1" si="65"/>
        <v>1</v>
      </c>
      <c r="BT35" s="9">
        <f t="shared" ca="1" si="67"/>
        <v>0</v>
      </c>
      <c r="BU35" s="9">
        <f t="shared" ca="1" si="69"/>
        <v>2</v>
      </c>
      <c r="BV35" s="9">
        <f ca="1">SUMIFS($X$64:$X$135,$V$64:$V$135,$BR35,$W$64:$W$135,BV$29)+SUMIFS($Y$64:$Y$135,$W$64:$W$135,$BR35,$V$64:$V$135,BV$29)</f>
        <v>0</v>
      </c>
      <c r="BW35" s="9">
        <f ca="1">SUMIFS($X$64:$X$135,$V$64:$V$135,$BR35,$W$64:$W$135,BW$29)+SUMIFS($Y$64:$Y$135,$W$64:$W$135,$BR35,$V$64:$V$135,BW$29)</f>
        <v>0</v>
      </c>
      <c r="BX35" s="7"/>
      <c r="BY35" s="8">
        <f ca="1">SUMIFS($X$64:$X$135,$V$64:$V$135,$BR35,$W$64:$W$135,BY$29)+SUMIFS($Y$64:$Y$135,$W$64:$W$135,$BR35,$V$64:$V$135,BY$29)</f>
        <v>0</v>
      </c>
      <c r="BZ35" s="8">
        <f ca="1">SUMIFS($X$64:$X$135,$V$64:$V$135,$BR35,$W$64:$W$135,BZ$29)+SUMIFS($Y$64:$Y$135,$W$64:$W$135,$BR35,$V$64:$V$135,BZ$29)</f>
        <v>0</v>
      </c>
      <c r="CA35" s="8">
        <f ca="1">SUMIFS($X$64:$X$135,$V$64:$V$135,$BR35,$W$64:$W$135,CA$29)+SUMIFS($Y$64:$Y$135,$W$64:$W$135,$BR35,$V$64:$V$135,CA$29)</f>
        <v>0</v>
      </c>
      <c r="CB35" s="4"/>
    </row>
    <row r="36" spans="2:80" s="2" customFormat="1" x14ac:dyDescent="0.2">
      <c r="C36" s="2" t="str">
        <f t="shared" si="64"/>
        <v>SSV Wildbach</v>
      </c>
      <c r="E36" s="15">
        <f t="array" aca="1" ref="E36" ca="1">IF(O23=C23,SUM(IF(($BR$52:$BR$60=C23)*($BS$51:$CA$51=O17),$BS$52:$CA$60)),0)</f>
        <v>0</v>
      </c>
      <c r="F36" s="4">
        <f t="array" aca="1" ref="F36" ca="1">IF(O23=C23,SUM(IF(($BR$52:$BR$60=C23)*($BS$51:$CA$51=O$18),$BS$52:$CA$60)),0)</f>
        <v>0</v>
      </c>
      <c r="G36" s="4">
        <f t="array" aca="1" ref="G36" ca="1">IF(O23=C23,SUM(IF(($BR$52:$BR$60=C23)*($BS$51:$CA$51=O$19),$BS$52:$CA$60)),0)</f>
        <v>0</v>
      </c>
      <c r="H36" s="4">
        <f t="array" aca="1" ref="H36" ca="1">IF(O23=C23,SUM(IF(($BR$52:$BR$60=C23)*($BS$51:$CA$51=O$20),$BS$52:$CA$60)),0)</f>
        <v>0</v>
      </c>
      <c r="I36" s="4">
        <f t="array" aca="1" ref="I36" ca="1">IF(O23=C23,SUM(IF(($BR$52:$BR$60=C23)*($BS$51:$CA$51=O$21),$BS$52:$CA$60)),0)</f>
        <v>0</v>
      </c>
      <c r="J36" s="4">
        <f t="array" aca="1" ref="J36" ca="1">IF(O23=C23,SUM(IF(($BR$52:$BR$60=C23)*($BS$51:$CA$51=O$22),$BS$52:$CA$60)),0)</f>
        <v>0</v>
      </c>
      <c r="K36" s="4">
        <f t="array" aca="1" ref="K36" ca="1">IF(O23=C23,SUM(IF(($BR$52:$BR$60=C23)*($BS$51:$CA$51=O$24),$BS$52:$CA$60)),0)</f>
        <v>0</v>
      </c>
      <c r="L36" s="4">
        <f t="array" aca="1" ref="L36" ca="1">IF(O23=C23,SUM(IF(($BR$52:$BR$60=C23)*($BS$51:$CA$51=O$25),$BS$52:$CA$60)),0)</f>
        <v>0</v>
      </c>
      <c r="M36" s="6">
        <f t="array" aca="1" ref="M36" ca="1">IF(P23=C23,SUM(IF(($BR$52:$BR$60=C23)*($BS$51:$CA$51=P$17),$BS$52:$CA$60)),0)</f>
        <v>0</v>
      </c>
      <c r="N36" s="4">
        <f t="array" aca="1" ref="N36" ca="1">IF(P23=C23,SUM(IF(($BR$52:$BR$60=C23)*($BS$51:$CA$51=P$18),$BS$52:$CA$60)),0)</f>
        <v>0</v>
      </c>
      <c r="O36" s="4">
        <f t="array" aca="1" ref="O36" ca="1">IF(P23=C23,SUM(IF(($BR$52:$BR$60=C23)*($BS$51:$CA$51=P$19),$BS$52:$CA$60)),0)</f>
        <v>0</v>
      </c>
      <c r="P36" s="4">
        <f t="array" aca="1" ref="P36" ca="1">IF(P23=C23,SUM(IF(($BR$52:$BR$60=C23)*($BS$51:$CA$51=P$20),$BS$52:$CA$60)),0)</f>
        <v>0</v>
      </c>
      <c r="Q36" s="4">
        <f t="array" aca="1" ref="Q36" ca="1">IF(P23=C23,SUM(IF(($BR$52:$BR$60=C23)*($BS$51:$CA$51=P$21),$BS$52:$CA$60)),0)</f>
        <v>0</v>
      </c>
      <c r="R36" s="4">
        <f t="array" aca="1" ref="R36" ca="1">IF(P23=C23,SUM(IF(($BR$52:$BR$60=C23)*($BS$51:$CA$51=P$22),$BS$52:$CA$60)),0)</f>
        <v>0</v>
      </c>
      <c r="S36" s="4">
        <f t="array" aca="1" ref="S36" ca="1">IF(P23=C23,SUM(IF(($BR$52:$BR$60=C23)*($BS$51:$CA$51=P$24),$BS$52:$CA$60)),0)</f>
        <v>0</v>
      </c>
      <c r="T36" s="4">
        <f t="array" aca="1" ref="T36" ca="1">IF(P23=C23,SUM(IF(($BR$52:$BR$60=C23)*($BS$51:$CA$51=P$25),$BS$52:$CA$60)),0)</f>
        <v>0</v>
      </c>
      <c r="U36" s="6">
        <f t="array" aca="1" ref="U36" ca="1">IF(Q23=C23,SUM(IF(($BR$52:$BR$60=C23)*($BS$51:$CA$51=Q$17),$BS$52:$CA$60)),0)</f>
        <v>0</v>
      </c>
      <c r="V36" s="4">
        <f t="array" aca="1" ref="V36" ca="1">IF(Q23=C23,SUM(IF(($BR$52:$BR$60=C23)*($BS$51:$CA$51=Q$18),$BS$52:$CA$60)),0)</f>
        <v>0</v>
      </c>
      <c r="W36" s="4">
        <f t="array" aca="1" ref="W36" ca="1">IF(Q23=C23,SUM(IF(($BR$52:$BR$60=C23)*($BS$51:$CA$51=Q$19),$BS$52:$CA$60)),0)</f>
        <v>0</v>
      </c>
      <c r="X36" s="4">
        <f t="array" aca="1" ref="X36" ca="1">IF(Q23=C23,SUM(IF(($BR$52:$BR$60=C23)*($BS$51:$CA$51=Q$20),$BS$52:$CA$60)),0)</f>
        <v>0</v>
      </c>
      <c r="Y36" s="4">
        <f t="array" aca="1" ref="Y36" ca="1">IF(Q23=C23,SUM(IF(($BR$52:$BR$60=C23)*($BS$51:$CA$51=Q$21),$BS$52:$CA$60)),0)</f>
        <v>0</v>
      </c>
      <c r="Z36" s="4">
        <f t="array" aca="1" ref="Z36" ca="1">IF(Q23=C23,SUM(IF(($BR$52:$BR$60=C23)*($BS$51:$CA$51=Q$22),$BS$52:$CA$60)),0)</f>
        <v>0</v>
      </c>
      <c r="AA36" s="4">
        <f t="array" aca="1" ref="AA36" ca="1">IF(Q23=C23,SUM(IF(($BR$52:$BR$60=C23)*($BS$51:$CA$51=Q$24),$BS$52:$CA$60)),0)</f>
        <v>0</v>
      </c>
      <c r="AB36" s="4">
        <f t="array" aca="1" ref="AB36" ca="1">IF(Q23=C23,SUM(IF(($BR$52:$BR$60=C23)*($BS$51:$CA$51=Q$25),$BS$52:$CA$60)),0)</f>
        <v>0</v>
      </c>
      <c r="AC36" s="6">
        <f t="array" aca="1" ref="AC36" ca="1">IF(R23=C23,SUM(IF(($BR$52:$BR$60=C23)*($BS$51:$CA$51=R$17),$BS$52:$CA$60)),0)</f>
        <v>0</v>
      </c>
      <c r="AD36" s="4">
        <f t="array" aca="1" ref="AD36" ca="1">IF(R23=C23,SUM(IF(($BR$52:$BR$60=C23)*($BS$51:$CA$51=R$18),$BS$52:$CA$60)),0)</f>
        <v>0</v>
      </c>
      <c r="AE36" s="4">
        <f t="array" aca="1" ref="AE36" ca="1">IF(R23=C23,SUM(IF(($BR$52:$BR$60=C23)*($BS$51:$CA$51=R$19),$BS$52:$CA$60)),0)</f>
        <v>0</v>
      </c>
      <c r="AF36" s="4">
        <f t="array" aca="1" ref="AF36" ca="1">IF(R23=C23,SUM(IF(($BR$52:$BR$60=C23)*($BS$51:$CA$51=R$20),$BS$52:$CA$60)),0)</f>
        <v>0</v>
      </c>
      <c r="AG36" s="4">
        <f t="array" aca="1" ref="AG36" ca="1">IF(R23=C23,SUM(IF(($BR$52:$BR$60=C23)*($BS$51:$CA$51=R$21),$BS$52:$CA$60)),0)</f>
        <v>0</v>
      </c>
      <c r="AH36" s="4">
        <f t="array" aca="1" ref="AH36" ca="1">IF(R23=C23,SUM(IF(($BR$52:$BR$60=C23)*($BS$51:$CA$51=R$22),$BS$52:$CA$60)),0)</f>
        <v>0</v>
      </c>
      <c r="AI36" s="4">
        <f t="array" aca="1" ref="AI36" ca="1">IF(R23=C23,SUM(IF(($BR$52:$BR$60=C23)*($BS$51:$CA$51=R$24),$BS$52:$CA$60)),0)</f>
        <v>0</v>
      </c>
      <c r="AJ36" s="4">
        <f t="array" aca="1" ref="AJ36" ca="1">IF(R23=C23,SUM(IF(($BR$52:$BR$60=C23)*($BS$51:$CA$51=R$25),$BS$52:$CA$60)),0)</f>
        <v>0</v>
      </c>
      <c r="AK36" s="6">
        <f t="array" aca="1" ref="AK36" ca="1">IF(S23=C23,SUM(IF(($BR$52:$BR$60=C23)*($BS$51:$CA$51=S$17),$BS$52:$CA$60)),0)</f>
        <v>0</v>
      </c>
      <c r="AL36" s="4">
        <f t="array" aca="1" ref="AL36" ca="1">IF(S23=C23,SUM(IF(($BR$52:$BR$60=C23)*($BS$51:$CA$51=S$18),$BS$52:$CA$60)),0)</f>
        <v>0</v>
      </c>
      <c r="AM36" s="4">
        <f t="array" aca="1" ref="AM36" ca="1">IF(S23=C23,SUM(IF(($BR$52:$BR$60=C23)*($BS$51:$CA$51=S$19),$BS$52:$CA$60)),0)</f>
        <v>0</v>
      </c>
      <c r="AN36" s="4">
        <f t="array" aca="1" ref="AN36" ca="1">IF(S23=C23,SUM(IF(($BR$52:$BR$60=C23)*($BS$51:$CA$51=S$20),$BS$52:$CA$60)),0)</f>
        <v>0</v>
      </c>
      <c r="AO36" s="4">
        <f t="array" aca="1" ref="AO36" ca="1">IF(S23=C23,SUM(IF(($BR$52:$BR$60=C23)*($BS$51:$CA$51=S$21),$BS$52:$CA$60)),0)</f>
        <v>0</v>
      </c>
      <c r="AP36" s="4">
        <f t="array" aca="1" ref="AP36" ca="1">IF(S23=C23,SUM(IF(($BR$52:$BR$60=C23)*($BS$51:$CA$51=S$22),$BS$52:$CA$60)),0)</f>
        <v>0</v>
      </c>
      <c r="AQ36" s="4">
        <f t="array" aca="1" ref="AQ36" ca="1">IF(S23=C23,SUM(IF(($BR$52:$BR$60=C23)*($BS$51:$CA$51=S$24),$BS$52:$CA$60)),0)</f>
        <v>0</v>
      </c>
      <c r="AR36" s="4">
        <f t="array" aca="1" ref="AR36" ca="1">IF(S23=C23,SUM(IF(($BR$52:$BR$60=C23)*($BS$51:$CA$51=S$25),$BS$52:$CA$60)),0)</f>
        <v>0</v>
      </c>
      <c r="AS36" s="6">
        <f t="array" aca="1" ref="AS36" ca="1">IF(T23=C23,SUM(IF(($BR$52:$BR$60=C23)*($BS$51:$CA$51=T$17),$BS$52:$CA$60)),0)</f>
        <v>0</v>
      </c>
      <c r="AT36" s="4">
        <f t="array" aca="1" ref="AT36" ca="1">IF(T23=C23,SUM(IF(($BR$52:$BR$60=C23)*($BS$51:$CA$51=T$18),$BS$52:$CA$60)),0)</f>
        <v>0</v>
      </c>
      <c r="AU36" s="4">
        <f t="array" aca="1" ref="AU36" ca="1">IF(T23=C23,SUM(IF(($BR$52:$BR$60=C23)*($BS$51:$CA$51=T$19),$BS$52:$CA$60)),0)</f>
        <v>0</v>
      </c>
      <c r="AV36" s="4">
        <f t="array" aca="1" ref="AV36" ca="1">IF(T23=C23,SUM(IF(($BR$52:$BR$60=C23)*($BS$51:$CA$51=T$20),$BS$52:$CA$60)),0)</f>
        <v>0</v>
      </c>
      <c r="AW36" s="4">
        <f t="array" aca="1" ref="AW36" ca="1">IF(T23=C23,SUM(IF(($BR$52:$BR$60=C23)*($BS$51:$CA$51=T$21),$BS$52:$CA$60)),0)</f>
        <v>0</v>
      </c>
      <c r="AX36" s="4">
        <f t="array" aca="1" ref="AX36" ca="1">IF(T23=C23,SUM(IF(($BR$52:$BR$60=C23)*($BS$51:$CA$51=T$22),$BS$52:$CA$60)),0)</f>
        <v>0</v>
      </c>
      <c r="AY36" s="4">
        <f t="array" aca="1" ref="AY36" ca="1">IF(T23=C23,SUM(IF(($BR$52:$BR$60=C23)*($BS$51:$CA$51=T$24),$BS$52:$CA$60)),0)</f>
        <v>0</v>
      </c>
      <c r="AZ36" s="4">
        <f t="array" aca="1" ref="AZ36" ca="1">IF(T23=C23,SUM(IF(($BR$52:$BR$60=C23)*($BS$51:$CA$51=T$25),$BS$52:$CA$60)),0)</f>
        <v>0</v>
      </c>
      <c r="BA36" s="6">
        <f t="array" aca="1" ref="BA36" ca="1">IF(U23=C23,SUM(IF(($BR$52:$BR$60=C23)*($BS$51:$CA$51=U$17),$BS$52:$CA$60)),0)</f>
        <v>0</v>
      </c>
      <c r="BB36" s="4">
        <f t="array" aca="1" ref="BB36" ca="1">IF(U23=C23,SUM(IF(($BR$52:$BR$60=C23)*($BS$51:$CA$51=U$18),$BS$52:$CA$60)),0)</f>
        <v>0</v>
      </c>
      <c r="BC36" s="4">
        <f t="array" aca="1" ref="BC36" ca="1">IF(U23=C23,SUM(IF(($BR$52:$BR$60=C23)*($BS$51:$CA$51=U$19),$BS$52:$CA$60)),0)</f>
        <v>0</v>
      </c>
      <c r="BD36" s="4">
        <f t="array" aca="1" ref="BD36" ca="1">IF(U23=C23,SUM(IF(($BR$52:$BR$60=C23)*($BS$51:$CA$51=U$20),$BS$52:$CA$60)),0)</f>
        <v>0</v>
      </c>
      <c r="BE36" s="4">
        <f t="array" aca="1" ref="BE36" ca="1">IF(U23=C23,SUM(IF(($BR$52:$BR$60=C23)*($BS$51:$CA$51=U$21),$BS$52:$CA$60)),0)</f>
        <v>0</v>
      </c>
      <c r="BF36" s="4">
        <f t="array" aca="1" ref="BF36" ca="1">IF(U23=C23,SUM(IF(($BR$52:$BR$60=C23)*($BS$51:$CA$51=U$22),$BS$52:$CA$60)),0)</f>
        <v>0</v>
      </c>
      <c r="BG36" s="4">
        <f t="array" aca="1" ref="BG36" ca="1">IF(U23=C23,SUM(IF(($BR$52:$BR$60=C23)*($BS$51:$CA$51=U$24),$BS$52:$CA$60)),0)</f>
        <v>0</v>
      </c>
      <c r="BH36" s="4">
        <f t="array" aca="1" ref="BH36" ca="1">IF(U23=C23,SUM(IF(($BR$52:$BR$60=C23)*($BS$51:$CA$51=U$25),$BS$52:$CA$60)),0)</f>
        <v>0</v>
      </c>
      <c r="BI36" s="6">
        <f t="array" aca="1" ref="BI36" ca="1">IF(V23=C23,SUM(IF(($BR$52:$BR$60=C23)*($BS$51:$CA$51=V$17),$BS$52:$CA$60)),0)</f>
        <v>0</v>
      </c>
      <c r="BJ36" s="4">
        <f t="array" aca="1" ref="BJ36" ca="1">IF(V23=C23,SUM(IF(($BR$52:$BR$60=C23)*($BS$51:$CA$51=V$18),$BS$52:$CA$60)),0)</f>
        <v>0</v>
      </c>
      <c r="BK36" s="4">
        <f t="array" aca="1" ref="BK36" ca="1">IF(V23=C23,SUM(IF(($BR$52:$BR$60=C23)*($BS$51:$CA$51=V$19),$BS$52:$CA$60)),0)</f>
        <v>0</v>
      </c>
      <c r="BL36" s="4">
        <f t="array" aca="1" ref="BL36" ca="1">IF(V23=C23,SUM(IF(($BR$52:$BR$60=C23)*($BS$51:$CA$51=V$20),$BS$52:$CA$60)),0)</f>
        <v>0</v>
      </c>
      <c r="BM36" s="4">
        <f t="array" aca="1" ref="BM36" ca="1">IF(V23=C23,SUM(IF(($BR$52:$BR$60=C23)*($BS$51:$CA$51=V$21),$BS$52:$CA$60)),0)</f>
        <v>0</v>
      </c>
      <c r="BN36" s="4">
        <f t="array" aca="1" ref="BN36" ca="1">IF(V23=C23,SUM(IF(($BR$52:$BR$60=C23)*($BS$51:$CA$51=V$22),$BS$52:$CA$60)),0)</f>
        <v>0</v>
      </c>
      <c r="BO36" s="4">
        <f t="array" aca="1" ref="BO36" ca="1">IF(V23=C23,SUM(IF(($BR$52:$BR$60=C23)*($BS$51:$CA$51=V$24),$BS$52:$CA$60)),0)</f>
        <v>0</v>
      </c>
      <c r="BP36" s="16">
        <f t="array" aca="1" ref="BP36" ca="1">IF(V23=C23,SUM(IF(($BR$52:$BR$60=C23)*($BS$51:$CA$51=V$25),$BS$52:$CA$60)),0)</f>
        <v>0</v>
      </c>
      <c r="BQ36" s="4"/>
      <c r="BR36" s="2" t="str">
        <f t="shared" si="62"/>
        <v>SSV Wildbach</v>
      </c>
      <c r="BS36" s="9">
        <f t="shared" ca="1" si="65"/>
        <v>3</v>
      </c>
      <c r="BT36" s="9">
        <f t="shared" ca="1" si="67"/>
        <v>2</v>
      </c>
      <c r="BU36" s="9">
        <f t="shared" ca="1" si="69"/>
        <v>0</v>
      </c>
      <c r="BV36" s="9">
        <f ca="1">SUMIFS($X$64:$X$135,$V$64:$V$135,$BR36,$W$64:$W$135,BV$29)+SUMIFS($Y$64:$Y$135,$W$64:$W$135,$BR36,$V$64:$V$135,BV$29)</f>
        <v>0</v>
      </c>
      <c r="BW36" s="9">
        <f ca="1">SUMIFS($X$64:$X$135,$V$64:$V$135,$BR36,$W$64:$W$135,BW$29)+SUMIFS($Y$64:$Y$135,$W$64:$W$135,$BR36,$V$64:$V$135,BW$29)</f>
        <v>0</v>
      </c>
      <c r="BX36" s="9">
        <f ca="1">SUMIFS($X$64:$X$135,$V$64:$V$135,$BR36,$W$64:$W$135,BX$29)+SUMIFS($Y$64:$Y$135,$W$64:$W$135,$BR36,$V$64:$V$135,BX$29)</f>
        <v>0</v>
      </c>
      <c r="BY36" s="7"/>
      <c r="BZ36" s="8">
        <f ca="1">SUMIFS($X$64:$X$135,$V$64:$V$135,$BR36,$W$64:$W$135,BZ$29)+SUMIFS($Y$64:$Y$135,$W$64:$W$135,$BR36,$V$64:$V$135,BZ$29)</f>
        <v>0</v>
      </c>
      <c r="CA36" s="8">
        <f ca="1">SUMIFS($X$64:$X$135,$V$64:$V$135,$BR36,$W$64:$W$135,CA$29)+SUMIFS($Y$64:$Y$135,$W$64:$W$135,$BR36,$V$64:$V$135,CA$29)</f>
        <v>0</v>
      </c>
      <c r="CB36" s="4"/>
    </row>
    <row r="37" spans="2:80" s="2" customFormat="1" x14ac:dyDescent="0.2">
      <c r="C37" s="2" t="str">
        <f t="shared" si="64"/>
        <v/>
      </c>
      <c r="E37" s="15">
        <f t="array" aca="1" ref="E37" ca="1">IF(O24=C24,SUM(IF(($BR$52:$BR$60=C24)*($BS$51:$CA$51=O17),$BS$52:$CA$60)),0)</f>
        <v>0</v>
      </c>
      <c r="F37" s="4">
        <f t="array" aca="1" ref="F37" ca="1">IF(O24=C24,SUM(IF(($BR$52:$BR$60=C24)*($BS$51:$CA$51=O$18),$BS$52:$CA$60)),0)</f>
        <v>0</v>
      </c>
      <c r="G37" s="4">
        <f t="array" aca="1" ref="G37" ca="1">IF(O24=C24,SUM(IF(($BR$52:$BR$60=C24)*($BS$51:$CA$51=O$19),$BS$52:$CA$60)),0)</f>
        <v>0</v>
      </c>
      <c r="H37" s="4">
        <f t="array" aca="1" ref="H37" ca="1">IF(O24=C24,SUM(IF(($BR$52:$BR$60=C24)*($BS$51:$CA$51=O$20),$BS$52:$CA$60)),0)</f>
        <v>0</v>
      </c>
      <c r="I37" s="4">
        <f t="array" aca="1" ref="I37" ca="1">IF(O24=C24,SUM(IF(($BR$52:$BR$60=C24)*($BS$51:$CA$51=O$21),$BS$52:$CA$60)),0)</f>
        <v>0</v>
      </c>
      <c r="J37" s="4">
        <f t="array" aca="1" ref="J37" ca="1">IF(O24=C24,SUM(IF(($BR$52:$BR$60=C24)*($BS$51:$CA$51=O$22),$BS$52:$CA$60)),0)</f>
        <v>0</v>
      </c>
      <c r="K37" s="4">
        <f t="array" aca="1" ref="K37" ca="1">IF(O24=C24,SUM(IF(($BR$52:$BR$60=C24)*($BS$51:$CA$51=O$23),$BS$52:$CA$60)),0)</f>
        <v>0</v>
      </c>
      <c r="L37" s="4">
        <f t="array" aca="1" ref="L37" ca="1">IF(O24=C24,SUM(IF(($BR$52:$BR$60=C24)*($BS$51:$CA$51=O$25),$BS$52:$CA$60)),0)</f>
        <v>0</v>
      </c>
      <c r="M37" s="6">
        <f t="array" aca="1" ref="M37" ca="1">IF(P24=C24,SUM(IF(($BR$52:$BR$60=C24)*($BS$51:$CA$51=P$17),$BS$52:$CA$60)),0)</f>
        <v>0</v>
      </c>
      <c r="N37" s="4">
        <f t="array" aca="1" ref="N37" ca="1">IF(P24=C24,SUM(IF(($BR$52:$BR$60=C24)*($BS$51:$CA$51=P$18),$BS$52:$CA$60)),0)</f>
        <v>0</v>
      </c>
      <c r="O37" s="4">
        <f t="array" aca="1" ref="O37" ca="1">IF(P24=C24,SUM(IF(($BR$52:$BR$60=C24)*($BS$51:$CA$51=P$19),$BS$52:$CA$60)),0)</f>
        <v>0</v>
      </c>
      <c r="P37" s="4">
        <f t="array" aca="1" ref="P37" ca="1">IF(P24=C24,SUM(IF(($BR$52:$BR$60=C24)*($BS$51:$CA$51=P$20),$BS$52:$CA$60)),0)</f>
        <v>0</v>
      </c>
      <c r="Q37" s="4">
        <f t="array" aca="1" ref="Q37" ca="1">IF(P24=C24,SUM(IF(($BR$52:$BR$60=C24)*($BS$51:$CA$51=P$21),$BS$52:$CA$60)),0)</f>
        <v>0</v>
      </c>
      <c r="R37" s="4">
        <f t="array" aca="1" ref="R37" ca="1">IF(P24=C24,SUM(IF(($BR$52:$BR$60=C24)*($BS$51:$CA$51=P$22),$BS$52:$CA$60)),0)</f>
        <v>0</v>
      </c>
      <c r="S37" s="4">
        <f t="array" aca="1" ref="S37" ca="1">IF(P24=C24,SUM(IF(($BR$52:$BR$60=C24)*($BS$51:$CA$51=P$23),$BS$52:$CA$60)),0)</f>
        <v>0</v>
      </c>
      <c r="T37" s="4">
        <f t="array" aca="1" ref="T37" ca="1">IF(P24=C24,SUM(IF(($BR$52:$BR$60=C24)*($BS$51:$CA$51=P$25),$BS$52:$CA$60)),0)</f>
        <v>0</v>
      </c>
      <c r="U37" s="6">
        <f t="array" aca="1" ref="U37" ca="1">IF(Q24=C24,SUM(IF(($BR$52:$BR$60=C24)*($BS$51:$CA$51=Q$17),$BS$52:$CA$60)),0)</f>
        <v>0</v>
      </c>
      <c r="V37" s="4">
        <f t="array" aca="1" ref="V37" ca="1">IF(Q24=C24,SUM(IF(($BR$52:$BR$60=C24)*($BS$51:$CA$51=Q$18),$BS$52:$CA$60)),0)</f>
        <v>0</v>
      </c>
      <c r="W37" s="4">
        <f t="array" aca="1" ref="W37" ca="1">IF(Q24=C24,SUM(IF(($BR$52:$BR$60=C24)*($BS$51:$CA$51=Q$19),$BS$52:$CA$60)),0)</f>
        <v>0</v>
      </c>
      <c r="X37" s="4">
        <f t="array" aca="1" ref="X37" ca="1">IF(Q24=C24,SUM(IF(($BR$52:$BR$60=C24)*($BS$51:$CA$51=Q$20),$BS$52:$CA$60)),0)</f>
        <v>0</v>
      </c>
      <c r="Y37" s="4">
        <f t="array" aca="1" ref="Y37" ca="1">IF(Q24=C24,SUM(IF(($BR$52:$BR$60=C24)*($BS$51:$CA$51=Q$21),$BS$52:$CA$60)),0)</f>
        <v>0</v>
      </c>
      <c r="Z37" s="4">
        <f t="array" aca="1" ref="Z37" ca="1">IF(Q24=C24,SUM(IF(($BR$52:$BR$60=C24)*($BS$51:$CA$51=Q$22),$BS$52:$CA$60)),0)</f>
        <v>0</v>
      </c>
      <c r="AA37" s="4">
        <f t="array" aca="1" ref="AA37" ca="1">IF(Q24=C24,SUM(IF(($BR$52:$BR$60=C24)*($BS$51:$CA$51=Q$23),$BS$52:$CA$60)),0)</f>
        <v>0</v>
      </c>
      <c r="AB37" s="4">
        <f t="array" aca="1" ref="AB37" ca="1">IF(Q24=C24,SUM(IF(($BR$52:$BR$60=C24)*($BS$51:$CA$51=Q$25),$BS$52:$CA$60)),0)</f>
        <v>0</v>
      </c>
      <c r="AC37" s="6">
        <f t="array" aca="1" ref="AC37" ca="1">IF(R24=C24,SUM(IF(($BR$52:$BR$60=C24)*($BS$51:$CA$51=R$17),$BS$52:$CA$60)),0)</f>
        <v>0</v>
      </c>
      <c r="AD37" s="4">
        <f t="array" aca="1" ref="AD37" ca="1">IF(R24=C24,SUM(IF(($BR$52:$BR$60=C24)*($BS$51:$CA$51=R$18),$BS$52:$CA$60)),0)</f>
        <v>0</v>
      </c>
      <c r="AE37" s="4">
        <f t="array" aca="1" ref="AE37" ca="1">IF(R24=C24,SUM(IF(($BR$52:$BR$60=C24)*($BS$51:$CA$51=R$19),$BS$52:$CA$60)),0)</f>
        <v>0</v>
      </c>
      <c r="AF37" s="4">
        <f t="array" aca="1" ref="AF37" ca="1">IF(R24=C24,SUM(IF(($BR$52:$BR$60=C24)*($BS$51:$CA$51=R$20),$BS$52:$CA$60)),0)</f>
        <v>0</v>
      </c>
      <c r="AG37" s="4">
        <f t="array" aca="1" ref="AG37" ca="1">IF(R24=C24,SUM(IF(($BR$52:$BR$60=C24)*($BS$51:$CA$51=R$21),$BS$52:$CA$60)),0)</f>
        <v>0</v>
      </c>
      <c r="AH37" s="4">
        <f t="array" aca="1" ref="AH37" ca="1">IF(R24=C24,SUM(IF(($BR$52:$BR$60=C24)*($BS$51:$CA$51=R$22),$BS$52:$CA$60)),0)</f>
        <v>0</v>
      </c>
      <c r="AI37" s="4">
        <f t="array" aca="1" ref="AI37" ca="1">IF(R24=C24,SUM(IF(($BR$52:$BR$60=C24)*($BS$51:$CA$51=R$23),$BS$52:$CA$60)),0)</f>
        <v>0</v>
      </c>
      <c r="AJ37" s="4">
        <f t="array" aca="1" ref="AJ37" ca="1">IF(R24=C24,SUM(IF(($BR$52:$BR$60=C24)*($BS$51:$CA$51=R$25),$BS$52:$CA$60)),0)</f>
        <v>0</v>
      </c>
      <c r="AK37" s="6">
        <f t="array" aca="1" ref="AK37" ca="1">IF(S24=C24,SUM(IF(($BR$52:$BR$60=C24)*($BS$51:$CA$51=S$17),$BS$52:$CA$60)),0)</f>
        <v>0</v>
      </c>
      <c r="AL37" s="4">
        <f t="array" aca="1" ref="AL37" ca="1">IF(S24=C24,SUM(IF(($BR$52:$BR$60=C24)*($BS$51:$CA$51=S$18),$BS$52:$CA$60)),0)</f>
        <v>0</v>
      </c>
      <c r="AM37" s="4">
        <f t="array" aca="1" ref="AM37" ca="1">IF(S24=C24,SUM(IF(($BR$52:$BR$60=C24)*($BS$51:$CA$51=S$19),$BS$52:$CA$60)),0)</f>
        <v>0</v>
      </c>
      <c r="AN37" s="4">
        <f t="array" aca="1" ref="AN37" ca="1">IF(S24=C24,SUM(IF(($BR$52:$BR$60=C24)*($BS$51:$CA$51=S$20),$BS$52:$CA$60)),0)</f>
        <v>0</v>
      </c>
      <c r="AO37" s="4">
        <f t="array" aca="1" ref="AO37" ca="1">IF(S24=C24,SUM(IF(($BR$52:$BR$60=C24)*($BS$51:$CA$51=S$21),$BS$52:$CA$60)),0)</f>
        <v>0</v>
      </c>
      <c r="AP37" s="4">
        <f t="array" aca="1" ref="AP37" ca="1">IF(S24=C24,SUM(IF(($BR$52:$BR$60=C24)*($BS$51:$CA$51=S$22),$BS$52:$CA$60)),0)</f>
        <v>0</v>
      </c>
      <c r="AQ37" s="4">
        <f t="array" aca="1" ref="AQ37" ca="1">IF(S24=C24,SUM(IF(($BR$52:$BR$60=C24)*($BS$51:$CA$51=S$23),$BS$52:$CA$60)),0)</f>
        <v>0</v>
      </c>
      <c r="AR37" s="4">
        <f t="array" aca="1" ref="AR37" ca="1">IF(S24=C24,SUM(IF(($BR$52:$BR$60=C24)*($BS$51:$CA$51=S$25),$BS$52:$CA$60)),0)</f>
        <v>0</v>
      </c>
      <c r="AS37" s="6">
        <f t="array" aca="1" ref="AS37" ca="1">IF(T24=C24,SUM(IF(($BR$52:$BR$60=C24)*($BS$51:$CA$51=T$17),$BS$52:$CA$60)),0)</f>
        <v>0</v>
      </c>
      <c r="AT37" s="4">
        <f t="array" aca="1" ref="AT37" ca="1">IF(T24=C24,SUM(IF(($BR$52:$BR$60=C24)*($BS$51:$CA$51=T$18),$BS$52:$CA$60)),0)</f>
        <v>0</v>
      </c>
      <c r="AU37" s="4">
        <f t="array" aca="1" ref="AU37" ca="1">IF(T24=C24,SUM(IF(($BR$52:$BR$60=C24)*($BS$51:$CA$51=T$19),$BS$52:$CA$60)),0)</f>
        <v>0</v>
      </c>
      <c r="AV37" s="4">
        <f t="array" aca="1" ref="AV37" ca="1">IF(T24=C24,SUM(IF(($BR$52:$BR$60=C24)*($BS$51:$CA$51=T$20),$BS$52:$CA$60)),0)</f>
        <v>0</v>
      </c>
      <c r="AW37" s="4">
        <f t="array" aca="1" ref="AW37" ca="1">IF(T24=C24,SUM(IF(($BR$52:$BR$60=C24)*($BS$51:$CA$51=T$21),$BS$52:$CA$60)),0)</f>
        <v>0</v>
      </c>
      <c r="AX37" s="4">
        <f t="array" aca="1" ref="AX37" ca="1">IF(T24=C24,SUM(IF(($BR$52:$BR$60=C24)*($BS$51:$CA$51=T$22),$BS$52:$CA$60)),0)</f>
        <v>0</v>
      </c>
      <c r="AY37" s="4">
        <f t="array" aca="1" ref="AY37" ca="1">IF(T24=C24,SUM(IF(($BR$52:$BR$60=C24)*($BS$51:$CA$51=T$23),$BS$52:$CA$60)),0)</f>
        <v>0</v>
      </c>
      <c r="AZ37" s="4">
        <f t="array" aca="1" ref="AZ37" ca="1">IF(T24=C24,SUM(IF(($BR$52:$BR$60=C24)*($BS$51:$CA$51=T$25),$BS$52:$CA$60)),0)</f>
        <v>0</v>
      </c>
      <c r="BA37" s="6">
        <f t="array" aca="1" ref="BA37" ca="1">IF(U24=C24,SUM(IF(($BR$52:$BR$60=C24)*($BS$51:$CA$51=U$17),$BS$52:$CA$60)),0)</f>
        <v>0</v>
      </c>
      <c r="BB37" s="4">
        <f t="array" aca="1" ref="BB37" ca="1">IF(U24=C24,SUM(IF(($BR$52:$BR$60=C24)*($BS$51:$CA$51=U$18),$BS$52:$CA$60)),0)</f>
        <v>0</v>
      </c>
      <c r="BC37" s="4">
        <f t="array" aca="1" ref="BC37" ca="1">IF(U24=C24,SUM(IF(($BR$52:$BR$60=C24)*($BS$51:$CA$51=U$19),$BS$52:$CA$60)),0)</f>
        <v>0</v>
      </c>
      <c r="BD37" s="4">
        <f t="array" aca="1" ref="BD37" ca="1">IF(U24=C24,SUM(IF(($BR$52:$BR$60=C24)*($BS$51:$CA$51=U$20),$BS$52:$CA$60)),0)</f>
        <v>0</v>
      </c>
      <c r="BE37" s="4">
        <f t="array" aca="1" ref="BE37" ca="1">IF(U24=C24,SUM(IF(($BR$52:$BR$60=C24)*($BS$51:$CA$51=U$21),$BS$52:$CA$60)),0)</f>
        <v>0</v>
      </c>
      <c r="BF37" s="4">
        <f t="array" aca="1" ref="BF37" ca="1">IF(U24=C24,SUM(IF(($BR$52:$BR$60=C24)*($BS$51:$CA$51=U$22),$BS$52:$CA$60)),0)</f>
        <v>0</v>
      </c>
      <c r="BG37" s="4">
        <f t="array" aca="1" ref="BG37" ca="1">IF(U24=C24,SUM(IF(($BR$52:$BR$60=C24)*($BS$51:$CA$51=U$23),$BS$52:$CA$60)),0)</f>
        <v>0</v>
      </c>
      <c r="BH37" s="4">
        <f t="array" aca="1" ref="BH37" ca="1">IF(U24=C24,SUM(IF(($BR$52:$BR$60=C24)*($BS$51:$CA$51=U$25),$BS$52:$CA$60)),0)</f>
        <v>0</v>
      </c>
      <c r="BI37" s="6">
        <f t="array" aca="1" ref="BI37" ca="1">IF(V24=C24,SUM(IF(($BR$52:$BR$60=C24)*($BS$51:$CA$51=V$17),$BS$52:$CA$60)),0)</f>
        <v>0</v>
      </c>
      <c r="BJ37" s="4">
        <f t="array" aca="1" ref="BJ37" ca="1">IF(V24=C24,SUM(IF(($BR$52:$BR$60=C24)*($BS$51:$CA$51=V$18),$BS$52:$CA$60)),0)</f>
        <v>0</v>
      </c>
      <c r="BK37" s="4">
        <f t="array" aca="1" ref="BK37" ca="1">IF(V24=C24,SUM(IF(($BR$52:$BR$60=C24)*($BS$51:$CA$51=V$19),$BS$52:$CA$60)),0)</f>
        <v>0</v>
      </c>
      <c r="BL37" s="4">
        <f t="array" aca="1" ref="BL37" ca="1">IF(V24=C24,SUM(IF(($BR$52:$BR$60=C24)*($BS$51:$CA$51=V$20),$BS$52:$CA$60)),0)</f>
        <v>0</v>
      </c>
      <c r="BM37" s="4">
        <f t="array" aca="1" ref="BM37" ca="1">IF(V24=C24,SUM(IF(($BR$52:$BR$60=C24)*($BS$51:$CA$51=V$21),$BS$52:$CA$60)),0)</f>
        <v>0</v>
      </c>
      <c r="BN37" s="4">
        <f t="array" aca="1" ref="BN37" ca="1">IF(V24=C24,SUM(IF(($BR$52:$BR$60=C24)*($BS$51:$CA$51=V$22),$BS$52:$CA$60)),0)</f>
        <v>0</v>
      </c>
      <c r="BO37" s="4">
        <f t="array" aca="1" ref="BO37" ca="1">IF(V24=C24,SUM(IF(($BR$52:$BR$60=C24)*($BS$51:$CA$51=V$23),$BS$52:$CA$60)),0)</f>
        <v>0</v>
      </c>
      <c r="BP37" s="16">
        <f t="array" aca="1" ref="BP37" ca="1">IF(V24=C24,SUM(IF(($BR$52:$BR$60=C24)*($BS$51:$CA$51=V$25),$BS$52:$CA$60)),0)</f>
        <v>0</v>
      </c>
      <c r="BQ37" s="4"/>
      <c r="BR37" s="2" t="str">
        <f t="shared" si="62"/>
        <v/>
      </c>
      <c r="BS37" s="9">
        <f t="shared" ca="1" si="65"/>
        <v>0</v>
      </c>
      <c r="BT37" s="9">
        <f t="shared" ca="1" si="67"/>
        <v>0</v>
      </c>
      <c r="BU37" s="9">
        <f t="shared" ca="1" si="69"/>
        <v>0</v>
      </c>
      <c r="BV37" s="9">
        <f ca="1">SUMIFS($X$64:$X$135,$V$64:$V$135,$BR37,$W$64:$W$135,BV$29)+SUMIFS($Y$64:$Y$135,$W$64:$W$135,$BR37,$V$64:$V$135,BV$29)</f>
        <v>0</v>
      </c>
      <c r="BW37" s="9">
        <f ca="1">SUMIFS($X$64:$X$135,$V$64:$V$135,$BR37,$W$64:$W$135,BW$29)+SUMIFS($Y$64:$Y$135,$W$64:$W$135,$BR37,$V$64:$V$135,BW$29)</f>
        <v>0</v>
      </c>
      <c r="BX37" s="9">
        <f ca="1">SUMIFS($X$64:$X$135,$V$64:$V$135,$BR37,$W$64:$W$135,BX$29)+SUMIFS($Y$64:$Y$135,$W$64:$W$135,$BR37,$V$64:$V$135,BX$29)</f>
        <v>0</v>
      </c>
      <c r="BY37" s="9">
        <f ca="1">SUMIFS($X$64:$X$135,$V$64:$V$135,$BR37,$W$64:$W$135,BY$29)+SUMIFS($Y$64:$Y$135,$W$64:$W$135,$BR37,$V$64:$V$135,BY$29)</f>
        <v>0</v>
      </c>
      <c r="BZ37" s="7"/>
      <c r="CA37" s="8">
        <f ca="1">SUMIFS($X$64:$X$135,$V$64:$V$135,$BR37,$W$64:$W$135,CA$29)+SUMIFS($Y$64:$Y$135,$W$64:$W$135,$BR37,$V$64:$V$135,CA$29)</f>
        <v>0</v>
      </c>
      <c r="CB37" s="4"/>
    </row>
    <row r="38" spans="2:80" s="2" customFormat="1" x14ac:dyDescent="0.2">
      <c r="C38" s="2" t="str">
        <f t="shared" si="64"/>
        <v/>
      </c>
      <c r="E38" s="15">
        <f t="array" aca="1" ref="E38" ca="1">IF(O25=C25,SUM(IF(($BR$52:$BR$60=C25)*($BS$51:$CA$51=O17),$BS$52:$CA$60)),0)</f>
        <v>0</v>
      </c>
      <c r="F38" s="4">
        <f t="array" aca="1" ref="F38" ca="1">IF(O25=C25,SUM(IF(($BR$52:$BR$60=C25)*($BS$51:$CA$51=O$18),$BS$52:$CA$60)),0)</f>
        <v>0</v>
      </c>
      <c r="G38" s="4">
        <f t="array" aca="1" ref="G38" ca="1">IF(O25=C25,SUM(IF(($BR$52:$BR$60=C25)*($BS$51:$CA$51=O$19),$BS$52:$CA$60)),0)</f>
        <v>0</v>
      </c>
      <c r="H38" s="4">
        <f t="array" aca="1" ref="H38" ca="1">IF(O25=C25,SUM(IF(($BR$52:$BR$60=C25)*($BS$51:$CA$51=O$20),$BS$52:$CA$60)),0)</f>
        <v>0</v>
      </c>
      <c r="I38" s="4">
        <f t="array" aca="1" ref="I38" ca="1">IF(O25=C25,SUM(IF(($BR$52:$BR$60=C25)*($BS$51:$CA$51=O$21),$BS$52:$CA$60)),0)</f>
        <v>0</v>
      </c>
      <c r="J38" s="4">
        <f t="array" aca="1" ref="J38" ca="1">IF(O25=C25,SUM(IF(($BR$52:$BR$60=C25)*($BS$51:$CA$51=O$22),$BS$52:$CA$60)),0)</f>
        <v>0</v>
      </c>
      <c r="K38" s="4">
        <f t="array" aca="1" ref="K38" ca="1">IF(O25=C25,SUM(IF(($BR$52:$BR$60=C25)*($BS$51:$CA$51=O$23),$BS$52:$CA$60)),0)</f>
        <v>0</v>
      </c>
      <c r="L38" s="4">
        <f t="array" aca="1" ref="L38" ca="1">IF(O25=C25,SUM(IF(($BR$52:$BR$60=C25)*($BS$51:$CA$51=O$24),$BS$52:$CA$60)),0)</f>
        <v>0</v>
      </c>
      <c r="M38" s="6">
        <f t="array" aca="1" ref="M38" ca="1">IF(P25=C25,SUM(IF(($BR$52:$BR$60=C25)*($BS$51:$CA$51=P$17),$BS$52:$CA$60)),0)</f>
        <v>0</v>
      </c>
      <c r="N38" s="4">
        <f t="array" aca="1" ref="N38" ca="1">IF(P25=C25,SUM(IF(($BR$52:$BR$60=C25)*($BS$51:$CA$51=P$18),$BS$52:$CA$60)),0)</f>
        <v>0</v>
      </c>
      <c r="O38" s="4">
        <f t="array" aca="1" ref="O38" ca="1">IF(P25=C25,SUM(IF(($BR$52:$BR$60=C25)*($BS$51:$CA$51=P$19),$BS$52:$CA$60)),0)</f>
        <v>0</v>
      </c>
      <c r="P38" s="4">
        <f t="array" aca="1" ref="P38" ca="1">IF(P25=C25,SUM(IF(($BR$52:$BR$60=C25)*($BS$51:$CA$51=P$20),$BS$52:$CA$60)),0)</f>
        <v>0</v>
      </c>
      <c r="Q38" s="4">
        <f t="array" aca="1" ref="Q38" ca="1">IF(P25=C25,SUM(IF(($BR$52:$BR$60=C25)*($BS$51:$CA$51=P$21),$BS$52:$CA$60)),0)</f>
        <v>0</v>
      </c>
      <c r="R38" s="4">
        <f t="array" aca="1" ref="R38" ca="1">IF(P25=C25,SUM(IF(($BR$52:$BR$60=C25)*($BS$51:$CA$51=P$22),$BS$52:$CA$60)),0)</f>
        <v>0</v>
      </c>
      <c r="S38" s="4">
        <f t="array" aca="1" ref="S38" ca="1">IF(P25=C25,SUM(IF(($BR$52:$BR$60=C25)*($BS$51:$CA$51=P$23),$BS$52:$CA$60)),0)</f>
        <v>0</v>
      </c>
      <c r="T38" s="4">
        <f t="array" aca="1" ref="T38" ca="1">IF(P25=C25,SUM(IF(($BR$52:$BR$60=C25)*($BS$51:$CA$51=P$24),$BS$52:$CA$60)),0)</f>
        <v>0</v>
      </c>
      <c r="U38" s="6">
        <f t="array" aca="1" ref="U38" ca="1">IF(Q25=C25,SUM(IF(($BR$52:$BR$60=C25)*($BS$51:$CA$51=Q$17),$BS$52:$CA$60)),0)</f>
        <v>0</v>
      </c>
      <c r="V38" s="4">
        <f t="array" aca="1" ref="V38" ca="1">IF(Q25=C25,SUM(IF(($BR$52:$BR$60=C25)*($BS$51:$CA$51=Q$18),$BS$52:$CA$60)),0)</f>
        <v>0</v>
      </c>
      <c r="W38" s="4">
        <f t="array" aca="1" ref="W38" ca="1">IF(Q25=C25,SUM(IF(($BR$52:$BR$60=C25)*($BS$51:$CA$51=Q$19),$BS$52:$CA$60)),0)</f>
        <v>0</v>
      </c>
      <c r="X38" s="4">
        <f t="array" aca="1" ref="X38" ca="1">IF(Q25=C25,SUM(IF(($BR$52:$BR$60=C25)*($BS$51:$CA$51=Q$20),$BS$52:$CA$60)),0)</f>
        <v>0</v>
      </c>
      <c r="Y38" s="4">
        <f t="array" aca="1" ref="Y38" ca="1">IF(Q25=C25,SUM(IF(($BR$52:$BR$60=C25)*($BS$51:$CA$51=Q$21),$BS$52:$CA$60)),0)</f>
        <v>0</v>
      </c>
      <c r="Z38" s="4">
        <f t="array" aca="1" ref="Z38" ca="1">IF(Q25=C25,SUM(IF(($BR$52:$BR$60=C25)*($BS$51:$CA$51=Q$22),$BS$52:$CA$60)),0)</f>
        <v>0</v>
      </c>
      <c r="AA38" s="4">
        <f t="array" aca="1" ref="AA38" ca="1">IF(Q25=C25,SUM(IF(($BR$52:$BR$60=C25)*($BS$51:$CA$51=Q$23),$BS$52:$CA$60)),0)</f>
        <v>0</v>
      </c>
      <c r="AB38" s="4">
        <f t="array" aca="1" ref="AB38" ca="1">IF(Q25=C25,SUM(IF(($BR$52:$BR$60=C25)*($BS$51:$CA$51=Q$24),$BS$52:$CA$60)),0)</f>
        <v>0</v>
      </c>
      <c r="AC38" s="6">
        <f t="array" aca="1" ref="AC38" ca="1">IF(R25=C25,SUM(IF(($BR$52:$BR$60=C25)*($BS$51:$CA$51=R$17),$BS$52:$CA$60)),0)</f>
        <v>0</v>
      </c>
      <c r="AD38" s="4">
        <f t="array" aca="1" ref="AD38" ca="1">IF(R25=C25,SUM(IF(($BR$52:$BR$60=C25)*($BS$51:$CA$51=R$18),$BS$52:$CA$60)),0)</f>
        <v>0</v>
      </c>
      <c r="AE38" s="4">
        <f t="array" aca="1" ref="AE38" ca="1">IF(R25=C25,SUM(IF(($BR$52:$BR$60=C25)*($BS$51:$CA$51=R$19),$BS$52:$CA$60)),0)</f>
        <v>0</v>
      </c>
      <c r="AF38" s="4">
        <f t="array" aca="1" ref="AF38" ca="1">IF(R25=C25,SUM(IF(($BR$52:$BR$60=C25)*($BS$51:$CA$51=R$20),$BS$52:$CA$60)),0)</f>
        <v>0</v>
      </c>
      <c r="AG38" s="4">
        <f t="array" aca="1" ref="AG38" ca="1">IF(R25=C25,SUM(IF(($BR$52:$BR$60=C25)*($BS$51:$CA$51=R$21),$BS$52:$CA$60)),0)</f>
        <v>0</v>
      </c>
      <c r="AH38" s="4">
        <f t="array" aca="1" ref="AH38" ca="1">IF(R25=C25,SUM(IF(($BR$52:$BR$60=C25)*($BS$51:$CA$51=R$22),$BS$52:$CA$60)),0)</f>
        <v>0</v>
      </c>
      <c r="AI38" s="4">
        <f t="array" aca="1" ref="AI38" ca="1">IF(R25=C25,SUM(IF(($BR$52:$BR$60=C25)*($BS$51:$CA$51=R$23),$BS$52:$CA$60)),0)</f>
        <v>0</v>
      </c>
      <c r="AJ38" s="4">
        <f t="array" aca="1" ref="AJ38" ca="1">IF(R25=C25,SUM(IF(($BR$52:$BR$60=C25)*($BS$51:$CA$51=R$24),$BS$52:$CA$60)),0)</f>
        <v>0</v>
      </c>
      <c r="AK38" s="6">
        <f t="array" aca="1" ref="AK38" ca="1">IF(S25=C25,SUM(IF(($BR$52:$BR$60=C25)*($BS$51:$CA$51=S$17),$BS$52:$CA$60)),0)</f>
        <v>0</v>
      </c>
      <c r="AL38" s="4">
        <f t="array" aca="1" ref="AL38" ca="1">IF(S25=C25,SUM(IF(($BR$52:$BR$60=C25)*($BS$51:$CA$51=S$18),$BS$52:$CA$60)),0)</f>
        <v>0</v>
      </c>
      <c r="AM38" s="4">
        <f t="array" aca="1" ref="AM38" ca="1">IF(S25=C25,SUM(IF(($BR$52:$BR$60=C25)*($BS$51:$CA$51=S$19),$BS$52:$CA$60)),0)</f>
        <v>0</v>
      </c>
      <c r="AN38" s="4">
        <f t="array" aca="1" ref="AN38" ca="1">IF(S25=C25,SUM(IF(($BR$52:$BR$60=C25)*($BS$51:$CA$51=S$20),$BS$52:$CA$60)),0)</f>
        <v>0</v>
      </c>
      <c r="AO38" s="4">
        <f t="array" aca="1" ref="AO38" ca="1">IF(S25=C25,SUM(IF(($BR$52:$BR$60=C25)*($BS$51:$CA$51=S$21),$BS$52:$CA$60)),0)</f>
        <v>0</v>
      </c>
      <c r="AP38" s="4">
        <f t="array" aca="1" ref="AP38" ca="1">IF(S25=C25,SUM(IF(($BR$52:$BR$60=C25)*($BS$51:$CA$51=S$22),$BS$52:$CA$60)),0)</f>
        <v>0</v>
      </c>
      <c r="AQ38" s="4">
        <f t="array" aca="1" ref="AQ38" ca="1">IF(S25=C25,SUM(IF(($BR$52:$BR$60=C25)*($BS$51:$CA$51=S$23),$BS$52:$CA$60)),0)</f>
        <v>0</v>
      </c>
      <c r="AR38" s="4">
        <f t="array" aca="1" ref="AR38" ca="1">IF(S25=C25,SUM(IF(($BR$52:$BR$60=C25)*($BS$51:$CA$51=S$24),$BS$52:$CA$60)),0)</f>
        <v>0</v>
      </c>
      <c r="AS38" s="6">
        <f t="array" aca="1" ref="AS38" ca="1">IF(T25=C25,SUM(IF(($BR$52:$BR$60=C25)*($BS$51:$CA$51=T$17),$BS$52:$CA$60)),0)</f>
        <v>0</v>
      </c>
      <c r="AT38" s="4">
        <f t="array" aca="1" ref="AT38" ca="1">IF(T25=C25,SUM(IF(($BR$52:$BR$60=C25)*($BS$51:$CA$51=T$18),$BS$52:$CA$60)),0)</f>
        <v>0</v>
      </c>
      <c r="AU38" s="4">
        <f t="array" aca="1" ref="AU38" ca="1">IF(T25=C25,SUM(IF(($BR$52:$BR$60=C25)*($BS$51:$CA$51=T$19),$BS$52:$CA$60)),0)</f>
        <v>0</v>
      </c>
      <c r="AV38" s="4">
        <f t="array" aca="1" ref="AV38" ca="1">IF(T25=C25,SUM(IF(($BR$52:$BR$60=C25)*($BS$51:$CA$51=T$20),$BS$52:$CA$60)),0)</f>
        <v>0</v>
      </c>
      <c r="AW38" s="4">
        <f t="array" aca="1" ref="AW38" ca="1">IF(T25=C25,SUM(IF(($BR$52:$BR$60=C25)*($BS$51:$CA$51=T$21),$BS$52:$CA$60)),0)</f>
        <v>0</v>
      </c>
      <c r="AX38" s="4">
        <f t="array" aca="1" ref="AX38" ca="1">IF(T25=C25,SUM(IF(($BR$52:$BR$60=C25)*($BS$51:$CA$51=T$22),$BS$52:$CA$60)),0)</f>
        <v>0</v>
      </c>
      <c r="AY38" s="4">
        <f t="array" aca="1" ref="AY38" ca="1">IF(T25=C25,SUM(IF(($BR$52:$BR$60=C25)*($BS$51:$CA$51=T$23),$BS$52:$CA$60)),0)</f>
        <v>0</v>
      </c>
      <c r="AZ38" s="4">
        <f t="array" aca="1" ref="AZ38" ca="1">IF(T25=C25,SUM(IF(($BR$52:$BR$60=C25)*($BS$51:$CA$51=T$24),$BS$52:$CA$60)),0)</f>
        <v>0</v>
      </c>
      <c r="BA38" s="6">
        <f t="array" aca="1" ref="BA38" ca="1">IF(U25=C25,SUM(IF(($BR$52:$BR$60=C25)*($BS$51:$CA$51=U$17),$BS$52:$CA$60)),0)</f>
        <v>0</v>
      </c>
      <c r="BB38" s="4">
        <f t="array" aca="1" ref="BB38" ca="1">IF(U25=C25,SUM(IF(($BR$52:$BR$60=C25)*($BS$51:$CA$51=U$18),$BS$52:$CA$60)),0)</f>
        <v>0</v>
      </c>
      <c r="BC38" s="4">
        <f t="array" aca="1" ref="BC38" ca="1">IF(U25=C25,SUM(IF(($BR$52:$BR$60=C25)*($BS$51:$CA$51=U$19),$BS$52:$CA$60)),0)</f>
        <v>0</v>
      </c>
      <c r="BD38" s="4">
        <f t="array" aca="1" ref="BD38" ca="1">IF(U25=C25,SUM(IF(($BR$52:$BR$60=C25)*($BS$51:$CA$51=U$20),$BS$52:$CA$60)),0)</f>
        <v>0</v>
      </c>
      <c r="BE38" s="4">
        <f t="array" aca="1" ref="BE38" ca="1">IF(U25=C25,SUM(IF(($BR$52:$BR$60=C25)*($BS$51:$CA$51=U$21),$BS$52:$CA$60)),0)</f>
        <v>0</v>
      </c>
      <c r="BF38" s="4">
        <f t="array" aca="1" ref="BF38" ca="1">IF(U25=C25,SUM(IF(($BR$52:$BR$60=C25)*($BS$51:$CA$51=U$22),$BS$52:$CA$60)),0)</f>
        <v>0</v>
      </c>
      <c r="BG38" s="4">
        <f t="array" aca="1" ref="BG38" ca="1">IF(U25=C25,SUM(IF(($BR$52:$BR$60=C25)*($BS$51:$CA$51=U$23),$BS$52:$CA$60)),0)</f>
        <v>0</v>
      </c>
      <c r="BH38" s="4">
        <f t="array" aca="1" ref="BH38" ca="1">IF(U25=C25,SUM(IF(($BR$52:$BR$60=C25)*($BS$51:$CA$51=U$24),$BS$52:$CA$60)),0)</f>
        <v>0</v>
      </c>
      <c r="BI38" s="6">
        <f t="array" aca="1" ref="BI38" ca="1">IF(V25=C25,SUM(IF(($BR$52:$BR$60=C25)*($BS$51:$CA$51=V$17),$BS$52:$CA$60)),0)</f>
        <v>0</v>
      </c>
      <c r="BJ38" s="4">
        <f t="array" aca="1" ref="BJ38" ca="1">IF(V25=C25,SUM(IF(($BR$52:$BR$60=C25)*($BS$51:$CA$51=V$18),$BS$52:$CA$60)),0)</f>
        <v>0</v>
      </c>
      <c r="BK38" s="4">
        <f t="array" aca="1" ref="BK38" ca="1">IF(V25=C25,SUM(IF(($BR$52:$BR$60=C25)*($BS$51:$CA$51=V$19),$BS$52:$CA$60)),0)</f>
        <v>0</v>
      </c>
      <c r="BL38" s="4">
        <f t="array" aca="1" ref="BL38" ca="1">IF(V25=C25,SUM(IF(($BR$52:$BR$60=C25)*($BS$51:$CA$51=V$20),$BS$52:$CA$60)),0)</f>
        <v>0</v>
      </c>
      <c r="BM38" s="4">
        <f t="array" aca="1" ref="BM38" ca="1">IF(V25=C25,SUM(IF(($BR$52:$BR$60=C25)*($BS$51:$CA$51=V$21),$BS$52:$CA$60)),0)</f>
        <v>0</v>
      </c>
      <c r="BN38" s="4">
        <f t="array" aca="1" ref="BN38" ca="1">IF(V25=C25,SUM(IF(($BR$52:$BR$60=C25)*($BS$51:$CA$51=V$22),$BS$52:$CA$60)),0)</f>
        <v>0</v>
      </c>
      <c r="BO38" s="4">
        <f t="array" aca="1" ref="BO38" ca="1">IF(V25=C25,SUM(IF(($BR$52:$BR$60=C25)*($BS$51:$CA$51=V$23),$BS$52:$CA$60)),0)</f>
        <v>0</v>
      </c>
      <c r="BP38" s="16">
        <f t="array" aca="1" ref="BP38" ca="1">IF(V25=C25,SUM(IF(($BR$52:$BR$60=C25)*($BS$51:$CA$51=V$24),$BS$52:$CA$60)),0)</f>
        <v>0</v>
      </c>
      <c r="BQ38" s="4"/>
      <c r="BR38" s="2" t="str">
        <f t="shared" si="62"/>
        <v/>
      </c>
      <c r="BS38" s="9">
        <f t="shared" ca="1" si="65"/>
        <v>0</v>
      </c>
      <c r="BT38" s="9">
        <f t="shared" ca="1" si="67"/>
        <v>0</v>
      </c>
      <c r="BU38" s="9">
        <f t="shared" ca="1" si="69"/>
        <v>0</v>
      </c>
      <c r="BV38" s="9">
        <f ca="1">SUMIFS($X$64:$X$135,$V$64:$V$135,$BR38,$W$64:$W$135,BV$29)+SUMIFS($Y$64:$Y$135,$W$64:$W$135,$BR38,$V$64:$V$135,BV$29)</f>
        <v>0</v>
      </c>
      <c r="BW38" s="9">
        <f ca="1">SUMIFS($X$64:$X$135,$V$64:$V$135,$BR38,$W$64:$W$135,BW$29)+SUMIFS($Y$64:$Y$135,$W$64:$W$135,$BR38,$V$64:$V$135,BW$29)</f>
        <v>0</v>
      </c>
      <c r="BX38" s="9">
        <f ca="1">SUMIFS($X$64:$X$135,$V$64:$V$135,$BR38,$W$64:$W$135,BX$29)+SUMIFS($Y$64:$Y$135,$W$64:$W$135,$BR38,$V$64:$V$135,BX$29)</f>
        <v>0</v>
      </c>
      <c r="BY38" s="9">
        <f ca="1">SUMIFS($X$64:$X$135,$V$64:$V$135,$BR38,$W$64:$W$135,BY$29)+SUMIFS($Y$64:$Y$135,$W$64:$W$135,$BR38,$V$64:$V$135,BY$29)</f>
        <v>0</v>
      </c>
      <c r="BZ38" s="9">
        <f ca="1">SUMIFS($X$64:$X$135,$V$64:$V$135,$BR38,$W$64:$W$135,BZ$29)+SUMIFS($Y$64:$Y$135,$W$64:$W$135,$BR38,$V$64:$V$135,BZ$29)</f>
        <v>0</v>
      </c>
      <c r="CA38" s="7"/>
      <c r="CB38" s="4"/>
    </row>
    <row r="39" spans="2:80" s="2" customFormat="1" x14ac:dyDescent="0.2">
      <c r="E39" s="15"/>
      <c r="F39" s="4"/>
      <c r="G39" s="4"/>
      <c r="H39" s="4"/>
      <c r="I39" s="4"/>
      <c r="J39" s="4"/>
      <c r="K39" s="4"/>
      <c r="L39" s="4"/>
      <c r="M39" s="6"/>
      <c r="N39" s="4"/>
      <c r="O39" s="4"/>
      <c r="P39" s="4"/>
      <c r="Q39" s="4"/>
      <c r="R39" s="4"/>
      <c r="S39" s="4"/>
      <c r="T39" s="4"/>
      <c r="U39" s="6"/>
      <c r="V39" s="4"/>
      <c r="W39" s="4"/>
      <c r="X39" s="4"/>
      <c r="Y39" s="4"/>
      <c r="Z39" s="4"/>
      <c r="AA39" s="4"/>
      <c r="AB39" s="4"/>
      <c r="AC39" s="6"/>
      <c r="AD39" s="4"/>
      <c r="AE39" s="4"/>
      <c r="AF39" s="4"/>
      <c r="AG39" s="4"/>
      <c r="AH39" s="4"/>
      <c r="AI39" s="4"/>
      <c r="AJ39" s="4"/>
      <c r="AK39" s="6"/>
      <c r="AL39" s="4"/>
      <c r="AM39" s="4"/>
      <c r="AN39" s="4"/>
      <c r="AO39" s="4"/>
      <c r="AP39" s="4"/>
      <c r="AQ39" s="4"/>
      <c r="AR39" s="4"/>
      <c r="AS39" s="6"/>
      <c r="AT39" s="4"/>
      <c r="AU39" s="4"/>
      <c r="AV39" s="4"/>
      <c r="AW39" s="4"/>
      <c r="AX39" s="4"/>
      <c r="AY39" s="4"/>
      <c r="AZ39" s="4"/>
      <c r="BA39" s="6"/>
      <c r="BB39" s="4"/>
      <c r="BC39" s="4"/>
      <c r="BD39" s="4"/>
      <c r="BE39" s="4"/>
      <c r="BF39" s="4"/>
      <c r="BG39" s="4"/>
      <c r="BH39" s="4"/>
      <c r="BI39" s="6"/>
      <c r="BJ39" s="4"/>
      <c r="BK39" s="4"/>
      <c r="BL39" s="4"/>
      <c r="BM39" s="4"/>
      <c r="BN39" s="4"/>
      <c r="BO39" s="4"/>
      <c r="BP39" s="16"/>
      <c r="BQ39" s="4"/>
      <c r="CB39" s="4"/>
    </row>
    <row r="40" spans="2:80" s="2" customFormat="1" x14ac:dyDescent="0.2">
      <c r="E40" s="15"/>
      <c r="F40" s="4"/>
      <c r="G40" s="4"/>
      <c r="H40" s="4"/>
      <c r="I40" s="4"/>
      <c r="J40" s="4"/>
      <c r="K40" s="4"/>
      <c r="L40" s="4"/>
      <c r="M40" s="6"/>
      <c r="N40" s="4"/>
      <c r="O40" s="4"/>
      <c r="P40" s="4"/>
      <c r="Q40" s="4"/>
      <c r="R40" s="4"/>
      <c r="S40" s="4"/>
      <c r="T40" s="4"/>
      <c r="U40" s="6"/>
      <c r="V40" s="4"/>
      <c r="W40" s="4"/>
      <c r="X40" s="4"/>
      <c r="Y40" s="4"/>
      <c r="Z40" s="4"/>
      <c r="AA40" s="4"/>
      <c r="AB40" s="4"/>
      <c r="AC40" s="6"/>
      <c r="AD40" s="4"/>
      <c r="AE40" s="4"/>
      <c r="AF40" s="4"/>
      <c r="AG40" s="4"/>
      <c r="AH40" s="4"/>
      <c r="AI40" s="4"/>
      <c r="AJ40" s="4"/>
      <c r="AK40" s="6"/>
      <c r="AL40" s="4"/>
      <c r="AM40" s="4"/>
      <c r="AN40" s="4"/>
      <c r="AO40" s="4"/>
      <c r="AP40" s="4"/>
      <c r="AQ40" s="4"/>
      <c r="AR40" s="4"/>
      <c r="AS40" s="6"/>
      <c r="AT40" s="4"/>
      <c r="AU40" s="4"/>
      <c r="AV40" s="4"/>
      <c r="AW40" s="4"/>
      <c r="AX40" s="4"/>
      <c r="AY40" s="4"/>
      <c r="AZ40" s="4"/>
      <c r="BA40" s="6"/>
      <c r="BB40" s="4"/>
      <c r="BC40" s="4"/>
      <c r="BD40" s="4"/>
      <c r="BE40" s="4"/>
      <c r="BF40" s="4"/>
      <c r="BG40" s="4"/>
      <c r="BH40" s="4"/>
      <c r="BI40" s="6"/>
      <c r="BJ40" s="4"/>
      <c r="BK40" s="4"/>
      <c r="BL40" s="4"/>
      <c r="BM40" s="4"/>
      <c r="BN40" s="4"/>
      <c r="BO40" s="4"/>
      <c r="BP40" s="16"/>
      <c r="BQ40" s="4"/>
      <c r="BR40" s="5" t="s">
        <v>107</v>
      </c>
      <c r="BS40" s="2" t="str">
        <f>$F$4</f>
        <v>1. FC Riedwald</v>
      </c>
      <c r="BT40" s="2" t="str">
        <f>$F$5</f>
        <v>FC Barcelona</v>
      </c>
      <c r="BU40" s="2" t="str">
        <f>$F$6</f>
        <v>Eintracht Frankfurt</v>
      </c>
      <c r="BV40" s="2" t="str">
        <f>$F$7</f>
        <v>Maibach 1822 eV</v>
      </c>
      <c r="BW40" s="2" t="str">
        <f>$F$8</f>
        <v>VFB Essenheim</v>
      </c>
      <c r="BX40" s="2" t="str">
        <f>$F$9</f>
        <v>Inter Mailand</v>
      </c>
      <c r="BY40" s="2" t="str">
        <f>$F$10</f>
        <v>SSV Wildbach</v>
      </c>
      <c r="BZ40" s="2" t="str">
        <f>$F$11</f>
        <v/>
      </c>
      <c r="CA40" s="2" t="str">
        <f>$F$12</f>
        <v/>
      </c>
      <c r="CB40" s="4"/>
    </row>
    <row r="41" spans="2:80" s="2" customFormat="1" x14ac:dyDescent="0.2">
      <c r="B41" s="2" t="s">
        <v>105</v>
      </c>
      <c r="E41" s="15">
        <f t="array" aca="1" ref="E41" ca="1">IF(O17=C17,SUM(IF(($BR$41:$BR$49=C17)*($BS$40:$CA$40=O18),$BS$41:$CA$49)),0)</f>
        <v>0</v>
      </c>
      <c r="F41" s="4">
        <f t="array" aca="1" ref="F41" ca="1">IF(O17=C17,SUM(IF(($BR$41:$BR$49=C17)*($BS$40:$CA$40=O19),$BS$41:$CA$49)),0)</f>
        <v>0</v>
      </c>
      <c r="G41" s="4">
        <f t="array" aca="1" ref="G41" ca="1">IF(O17=C17,SUM(IF(($BR$41:$BR$49=C17)*($BS$40:$CA$40=O20),$BS$41:$CA$49)),0)</f>
        <v>0</v>
      </c>
      <c r="H41" s="4">
        <f t="array" aca="1" ref="H41" ca="1">IF(O17=C17,SUM(IF(($BR$41:$BR$49=C17)*($BS$40:$CA$40=O21),$BS$41:$CA$49)),0)</f>
        <v>0</v>
      </c>
      <c r="I41" s="4">
        <f t="array" aca="1" ref="I41" ca="1">IF(O17=C17,SUM(IF(($BR$41:$BR$49=C17)*($BS$40:$CA$40=O22),$BS$41:$CA$49)),0)</f>
        <v>0</v>
      </c>
      <c r="J41" s="4">
        <f t="array" aca="1" ref="J41" ca="1">IF(O17=C17,SUM(IF(($BR$41:$BR$49=C17)*($BS$40:$CA$40=O23),$BS$41:$CA$49)),0)</f>
        <v>0</v>
      </c>
      <c r="K41" s="4">
        <f t="array" aca="1" ref="K41" ca="1">IF(O17=C17,SUM(IF(($BR$41:$BR$49=C17)*($BS$40:$CA$40=O$24),$BS$41:$CA$49)),0)</f>
        <v>0</v>
      </c>
      <c r="L41" s="4">
        <f t="array" aca="1" ref="L41" ca="1">IF(O17=C17,SUM(IF(($BR$41:$BR$49=C17)*($BS$40:$CA$40=O$25),$BS$41:$CA$49)),0)</f>
        <v>0</v>
      </c>
      <c r="M41" s="6">
        <f t="array" aca="1" ref="M41" ca="1">IF(P17=C17,SUM(IF(($BR$41:$BR$49=C17)*($BS$40:$CA$40=P18),$BS$41:$CA$49)),0)</f>
        <v>0</v>
      </c>
      <c r="N41" s="4">
        <f t="array" aca="1" ref="N41" ca="1">IF(P17=C17,SUM(IF(($BR$41:$BR$49=C17)*($BS$40:$CA$40=P19),$BS$41:$CA$49)),0)</f>
        <v>0</v>
      </c>
      <c r="O41" s="4">
        <f t="array" aca="1" ref="O41" ca="1">IF(P17=C17,SUM(IF(($BR$41:$BR$49=C17)*($BS$40:$CA$40=P20),$BS$41:$CA$49)),0)</f>
        <v>0</v>
      </c>
      <c r="P41" s="4">
        <f t="array" aca="1" ref="P41" ca="1">IF(P17=C17,SUM(IF(($BR$41:$BR$49=C17)*($BS$40:$CA$40=P21),$BS$41:$CA$49)),0)</f>
        <v>0</v>
      </c>
      <c r="Q41" s="4">
        <f t="array" aca="1" ref="Q41" ca="1">IF(P17=C17,SUM(IF(($BR$41:$BR$49=C17)*($BS$40:$CA$40=P22),$BS$41:$CA$49)),0)</f>
        <v>0</v>
      </c>
      <c r="R41" s="4">
        <f t="array" aca="1" ref="R41" ca="1">IF(P17=C17,SUM(IF(($BR$41:$BR$49=C17)*($BS$40:$CA$40=P23),$BS$41:$CA$49)),0)</f>
        <v>0</v>
      </c>
      <c r="S41" s="4">
        <f t="array" aca="1" ref="S41" ca="1">IF(P17=C17,SUM(IF(($BR$41:$BR$49=C17)*($BS$40:$CA$40=P$24),$BS$41:$CA$49)),0)</f>
        <v>0</v>
      </c>
      <c r="T41" s="4">
        <f t="array" aca="1" ref="T41" ca="1">IF(P17=C17,SUM(IF(($BR$41:$BR$49=C17)*($BS$40:$CA$40=P$25),$BS$41:$CA$49)),0)</f>
        <v>0</v>
      </c>
      <c r="U41" s="6">
        <f t="array" aca="1" ref="U41" ca="1">IF(Q17=C17,SUM(IF(($BR$41:$BR$49=C17)*($BS$40:$CA$40=Q18),$BS$41:$CA$49)),0)</f>
        <v>0</v>
      </c>
      <c r="V41" s="4">
        <f t="array" aca="1" ref="V41" ca="1">IF(Q17=C17,SUM(IF(($BR$41:$BR$49=C17)*($BS$40:$CA$40=Q19),$BS$41:$CA$49)),0)</f>
        <v>0</v>
      </c>
      <c r="W41" s="4">
        <f t="array" aca="1" ref="W41" ca="1">IF(Q17=C17,SUM(IF(($BR$41:$BR$49=C17)*($BS$40:$CA$40=Q20),$BS$41:$CA$49)),0)</f>
        <v>0</v>
      </c>
      <c r="X41" s="4">
        <f t="array" aca="1" ref="X41" ca="1">IF(Q17=C17,SUM(IF(($BR$41:$BR$49=C17)*($BS$40:$CA$40=Q21),$BS$41:$CA$49)),0)</f>
        <v>0</v>
      </c>
      <c r="Y41" s="4">
        <f t="array" aca="1" ref="Y41" ca="1">IF(Q17=C17,SUM(IF(($BR$41:$BR$49=C17)*($BS$40:$CA$40=Q22),$BS$41:$CA$49)),0)</f>
        <v>0</v>
      </c>
      <c r="Z41" s="4">
        <f t="array" aca="1" ref="Z41" ca="1">IF(Q17=C17,SUM(IF(($BR$41:$BR$49=C17)*($BS$40:$CA$40=Q23),$BS$41:$CA$49)),0)</f>
        <v>0</v>
      </c>
      <c r="AA41" s="4">
        <f t="array" aca="1" ref="AA41" ca="1">IF(Q17=C17,SUM(IF(($BR$41:$BR$49=C17)*($BS$40:$CA$40=Q$24),$BS$41:$CA$49)),0)</f>
        <v>0</v>
      </c>
      <c r="AB41" s="4">
        <f t="array" aca="1" ref="AB41" ca="1">IF(Q17=C17,SUM(IF(($BR$41:$BR$49=C17)*($BS$40:$CA$40=Q$25),$BS$41:$CA$49)),0)</f>
        <v>0</v>
      </c>
      <c r="AC41" s="6">
        <f t="array" aca="1" ref="AC41" ca="1">IF(R17=C17,SUM(IF(($BR$41:$BR$49=C17)*($BS$40:$CA$40=R18),$BS$41:$CA$49)),0)</f>
        <v>0</v>
      </c>
      <c r="AD41" s="4">
        <f t="array" aca="1" ref="AD41" ca="1">IF(R17=C17,SUM(IF(($BR$41:$BR$49=C17)*($BS$40:$CA$40=R19),$BS$41:$CA$49)),0)</f>
        <v>0</v>
      </c>
      <c r="AE41" s="4">
        <f t="array" aca="1" ref="AE41" ca="1">IF(R17=C17,SUM(IF(($BR$41:$BR$49=C17)*($BS$40:$CA$40=R20),$BS$41:$CA$49)),0)</f>
        <v>0</v>
      </c>
      <c r="AF41" s="4">
        <f t="array" aca="1" ref="AF41" ca="1">IF(R17=C17,SUM(IF(($BR$41:$BR$49=C17)*($BS$40:$CA$40=R21),$BS$41:$CA$49)),0)</f>
        <v>0</v>
      </c>
      <c r="AG41" s="4">
        <f t="array" aca="1" ref="AG41" ca="1">IF(R17=C17,SUM(IF(($BR$41:$BR$49=C17)*($BS$40:$CA$40=R22),$BS$41:$CA$49)),0)</f>
        <v>0</v>
      </c>
      <c r="AH41" s="4">
        <f t="array" aca="1" ref="AH41" ca="1">IF(R17=C17,SUM(IF(($BR$41:$BR$49=C17)*($BS$40:$CA$40=R23),$BS$41:$CA$49)),0)</f>
        <v>0</v>
      </c>
      <c r="AI41" s="4">
        <f t="array" aca="1" ref="AI41" ca="1">IF(R17=C17,SUM(IF(($BR$41:$BR$49=C17)*($BS$40:$CA$40=R$24),$BS$41:$CA$49)),0)</f>
        <v>0</v>
      </c>
      <c r="AJ41" s="4">
        <f t="array" aca="1" ref="AJ41" ca="1">IF(R17=C17,SUM(IF(($BR$41:$BR$49=C17)*($BS$40:$CA$40=R$25),$BS$41:$CA$49)),0)</f>
        <v>0</v>
      </c>
      <c r="AK41" s="6">
        <f t="array" aca="1" ref="AK41" ca="1">IF(S17=C17,SUM(IF(($BR$41:$BR$49=C17)*($BS$40:$CA$40=S18),$BS$41:$CA$49)),0)</f>
        <v>0</v>
      </c>
      <c r="AL41" s="4">
        <f t="array" aca="1" ref="AL41" ca="1">IF(S17=C17,SUM(IF(($BR$41:$BR$49=C17)*($BS$40:$CA$40=S19),$BS$41:$CA$49)),0)</f>
        <v>0</v>
      </c>
      <c r="AM41" s="4">
        <f t="array" aca="1" ref="AM41" ca="1">IF(S17=C17,SUM(IF(($BR$41:$BR$49=C17)*($BS$40:$CA$40=S20),$BS$41:$CA$49)),0)</f>
        <v>0</v>
      </c>
      <c r="AN41" s="4">
        <f t="array" aca="1" ref="AN41" ca="1">IF(S17=C17,SUM(IF(($BR$41:$BR$49=C17)*($BS$40:$CA$40=S21),$BS$41:$CA$49)),0)</f>
        <v>0</v>
      </c>
      <c r="AO41" s="4">
        <f t="array" aca="1" ref="AO41" ca="1">IF(S17=C17,SUM(IF(($BR$41:$BR$49=C17)*($BS$40:$CA$40=S22),$BS$41:$CA$49)),0)</f>
        <v>0</v>
      </c>
      <c r="AP41" s="4">
        <f t="array" aca="1" ref="AP41" ca="1">IF(S17=C17,SUM(IF(($BR$41:$BR$49=C17)*($BS$40:$CA$40=S23),$BS$41:$CA$49)),0)</f>
        <v>0</v>
      </c>
      <c r="AQ41" s="4">
        <f t="array" aca="1" ref="AQ41" ca="1">IF(S17=C17,SUM(IF(($BR$41:$BR$49=C17)*($BS$40:$CA$40=S$24),$BS$41:$CA$49)),0)</f>
        <v>0</v>
      </c>
      <c r="AR41" s="4">
        <f t="array" aca="1" ref="AR41" ca="1">IF(S17=C17,SUM(IF(($BR$41:$BR$49=C17)*($BS$40:$CA$40=S$25),$BS$41:$CA$49)),0)</f>
        <v>0</v>
      </c>
      <c r="AS41" s="6">
        <f t="array" aca="1" ref="AS41" ca="1">IF(T17=C17,SUM(IF(($BR$41:$BR$49=C17)*($BS$40:$CA$40=T18),$BS$41:$CA$49)),0)</f>
        <v>0</v>
      </c>
      <c r="AT41" s="4">
        <f t="array" aca="1" ref="AT41" ca="1">IF(T17=C17,SUM(IF(($BR$41:$BR$49=C17)*($BS$40:$CA$40=T19),$BS$41:$CA$49)),0)</f>
        <v>0</v>
      </c>
      <c r="AU41" s="4">
        <f t="array" aca="1" ref="AU41" ca="1">IF(T17=C17,SUM(IF(($BR$41:$BR$49=C17)*($BS$40:$CA$40=T20),$BS$41:$CA$49)),0)</f>
        <v>0</v>
      </c>
      <c r="AV41" s="4">
        <f t="array" aca="1" ref="AV41" ca="1">IF(T17=C17,SUM(IF(($BR$41:$BR$49=C17)*($BS$40:$CA$40=T21),$BS$41:$CA$49)),0)</f>
        <v>0</v>
      </c>
      <c r="AW41" s="4">
        <f t="array" aca="1" ref="AW41" ca="1">IF(T17=C17,SUM(IF(($BR$41:$BR$49=C17)*($BS$40:$CA$40=T22),$BS$41:$CA$49)),0)</f>
        <v>0</v>
      </c>
      <c r="AX41" s="4">
        <f t="array" aca="1" ref="AX41" ca="1">IF(T17=C17,SUM(IF(($BR$41:$BR$49=C17)*($BS$40:$CA$40=T23),$BS$41:$CA$49)),0)</f>
        <v>0</v>
      </c>
      <c r="AY41" s="4">
        <f t="array" aca="1" ref="AY41" ca="1">IF(T17=C17,SUM(IF(($BR$41:$BR$49=C17)*($BS$40:$CA$40=T$24),$BS$41:$CA$49)),0)</f>
        <v>0</v>
      </c>
      <c r="AZ41" s="4">
        <f t="array" aca="1" ref="AZ41" ca="1">IF(T17=C17,SUM(IF(($BR$41:$BR$49=C17)*($BS$40:$CA$40=T$25),$BS$41:$CA$49)),0)</f>
        <v>0</v>
      </c>
      <c r="BA41" s="6">
        <f t="array" aca="1" ref="BA41" ca="1">IF(U17=C17,SUM(IF(($BR$41:$BR$49=C17)*($BS$40:$CA$40=U$18),$BS$41:$CA$49)),0)</f>
        <v>0</v>
      </c>
      <c r="BB41" s="4">
        <f t="array" aca="1" ref="BB41" ca="1">IF(U17=C17,SUM(IF(($BR$41:$BR$49=C17)*($BS$40:$CA$40=U$19),$BS$41:$CA$49)),0)</f>
        <v>0</v>
      </c>
      <c r="BC41" s="4">
        <f t="array" aca="1" ref="BC41" ca="1">IF(U17=C17,SUM(IF(($BR$41:$BR$49=C17)*($BS$40:$CA$40=U$20),$BS$41:$CA$49)),0)</f>
        <v>0</v>
      </c>
      <c r="BD41" s="4">
        <f t="array" aca="1" ref="BD41" ca="1">IF(U17=C17,SUM(IF(($BR$41:$BR$49=C17)*($BS$40:$CA$40=U$21),$BS$41:$CA$49)),0)</f>
        <v>0</v>
      </c>
      <c r="BE41" s="4">
        <f t="array" aca="1" ref="BE41" ca="1">IF(U17=C17,SUM(IF(($BR$41:$BR$49=C17)*($BS$40:$CA$40=U$22),$BS$41:$CA$49)),0)</f>
        <v>0</v>
      </c>
      <c r="BF41" s="4">
        <f t="array" aca="1" ref="BF41" ca="1">IF(U17=C17,SUM(IF(($BR$41:$BR$49=C17)*($BS$40:$CA$40=U$23),$BS$41:$CA$49)),0)</f>
        <v>0</v>
      </c>
      <c r="BG41" s="4">
        <f t="array" aca="1" ref="BG41" ca="1">IF(U17=C17,SUM(IF(($BR$41:$BR$49=C17)*($BS$40:$CA$40=U$24),$BS$41:$CA$49)),0)</f>
        <v>0</v>
      </c>
      <c r="BH41" s="4">
        <f t="array" aca="1" ref="BH41" ca="1">IF(U17=C17,SUM(IF(($BR$41:$BR$49=C17)*($BS$40:$CA$40=U$25),$BS$41:$CA$49)),0)</f>
        <v>0</v>
      </c>
      <c r="BI41" s="6">
        <f t="array" aca="1" ref="BI41" ca="1">IF(V17=C17,SUM(IF(($BR$41:$BR$49=C17)*($BS$40:$CA$40=V$18),$BS$41:$CA$49)),0)</f>
        <v>0</v>
      </c>
      <c r="BJ41" s="4">
        <f t="array" aca="1" ref="BJ41" ca="1">IF(V17=C17,SUM(IF(($BR$41:$BR$49=C17)*($BS$40:$CA$40=V$19),$BS$41:$CA$49)),0)</f>
        <v>0</v>
      </c>
      <c r="BK41" s="4">
        <f t="array" aca="1" ref="BK41" ca="1">IF(V17=C17,SUM(IF(($BR$41:$BR$49=C17)*($BS$40:$CA$40=V$20),$BS$41:$CA$49)),0)</f>
        <v>0</v>
      </c>
      <c r="BL41" s="4">
        <f t="array" aca="1" ref="BL41" ca="1">IF(V17=C17,SUM(IF(($BR$41:$BR$49=C17)*($BS$40:$CA$40=V$21),$BS$41:$CA$49)),0)</f>
        <v>0</v>
      </c>
      <c r="BM41" s="4">
        <f t="array" aca="1" ref="BM41" ca="1">IF(V17=C17,SUM(IF(($BR$41:$BR$49=C17)*($BS$40:$CA$40=V$22),$BS$41:$CA$49)),0)</f>
        <v>0</v>
      </c>
      <c r="BN41" s="4">
        <f t="array" aca="1" ref="BN41" ca="1">IF(V17=C17,SUM(IF(($BR$41:$BR$49=C17)*($BS$40:$CA$40=V$23),$BS$41:$CA$49)),0)</f>
        <v>0</v>
      </c>
      <c r="BO41" s="4">
        <f t="array" aca="1" ref="BO41" ca="1">IF(V17=C17,SUM(IF(($BR$41:$BR$49=C17)*($BS$40:$CA$40=V$24),$BS$41:$CA$49)),0)</f>
        <v>0</v>
      </c>
      <c r="BP41" s="16">
        <f t="array" aca="1" ref="BP41" ca="1">IF(V17=C17,SUM(IF(($BR$41:$BR$49=C17)*($BS$40:$CA$40=V$25),$BS$41:$CA$49)),0)</f>
        <v>0</v>
      </c>
      <c r="BQ41" s="4"/>
      <c r="BR41" s="2" t="str">
        <f t="shared" ref="BR41:BR49" si="70">F4</f>
        <v>1. FC Riedwald</v>
      </c>
      <c r="BS41" s="7"/>
      <c r="BT41" s="8">
        <f ca="1">BT30-BS31</f>
        <v>0</v>
      </c>
      <c r="BU41" s="8">
        <f ca="1">BU30-BS32</f>
        <v>0</v>
      </c>
      <c r="BV41" s="8">
        <f ca="1">BV30-BS33</f>
        <v>0</v>
      </c>
      <c r="BW41" s="8">
        <f ca="1">BW30-BS34</f>
        <v>0</v>
      </c>
      <c r="BX41" s="8">
        <f ca="1">BX30-BS35</f>
        <v>0</v>
      </c>
      <c r="BY41" s="8">
        <f ca="1">BY30-BS36</f>
        <v>-1</v>
      </c>
      <c r="BZ41" s="8">
        <f ca="1">BZ30-BS37</f>
        <v>0</v>
      </c>
      <c r="CA41" s="8">
        <f ca="1">CA30-BS38</f>
        <v>0</v>
      </c>
      <c r="CB41" s="4"/>
    </row>
    <row r="42" spans="2:80" s="2" customFormat="1" x14ac:dyDescent="0.2">
      <c r="E42" s="15">
        <f t="array" aca="1" ref="E42" ca="1">IF(O18=C18,SUM(IF(($BR$41:$BR$49=C18)*($BS$40:$CA$40=O17),$BS$41:$CA$49)),0)</f>
        <v>0</v>
      </c>
      <c r="F42" s="4">
        <f t="array" aca="1" ref="F42" ca="1">IF(O18=C18,SUM(IF(($BR$41:$BR$49=C18)*($BS$40:$CA$40=O19),$BS$41:$CA$49)),0)</f>
        <v>0</v>
      </c>
      <c r="G42" s="4">
        <f t="array" aca="1" ref="G42" ca="1">IF(O18=C18,SUM(IF(($BR$41:$BR$49=C18)*($BS$40:$CA$40=O20),$BS$41:$CA$49)),0)</f>
        <v>0</v>
      </c>
      <c r="H42" s="4">
        <f t="array" aca="1" ref="H42" ca="1">IF(O18=C18,SUM(IF(($BR$41:$BR$49=C18)*($BS$40:$CA$40=O21),$BS$41:$CA$49)),0)</f>
        <v>0</v>
      </c>
      <c r="I42" s="4">
        <f t="array" aca="1" ref="I42" ca="1">IF(O18=C18,SUM(IF(($BR$41:$BR$49=C18)*($BS$40:$CA$40=O22),$BS$41:$CA$49)),0)</f>
        <v>0</v>
      </c>
      <c r="J42" s="4">
        <f t="array" aca="1" ref="J42" ca="1">IF(O18=C18,SUM(IF(($BR$41:$BR$49=C18)*($BS$40:$CA$40=O23),$BS$41:$CA$49)),0)</f>
        <v>0</v>
      </c>
      <c r="K42" s="4">
        <f t="array" aca="1" ref="K42" ca="1">IF(O18=C18,SUM(IF(($BR$41:$BR$49=C18)*($BS$40:$CA$40=O$24),$BS$41:$CA$49)),0)</f>
        <v>0</v>
      </c>
      <c r="L42" s="4">
        <f t="array" aca="1" ref="L42" ca="1">IF(O18=C18,SUM(IF(($BR$41:$BR$49=C18)*($BS$40:$CA$40=O$25),$BS$41:$CA$49)),0)</f>
        <v>0</v>
      </c>
      <c r="M42" s="6">
        <f t="array" aca="1" ref="M42" ca="1">IF(P18=C18,SUM(IF(($BR$41:$BR$49=C18)*($BS$40:$CA$40=P17),$BS$41:$CA$49)),0)</f>
        <v>0</v>
      </c>
      <c r="N42" s="4">
        <f t="array" aca="1" ref="N42" ca="1">IF(P18=C18,SUM(IF(($BR$41:$BR$49=C18)*($BS$40:$CA$40=P19),$BS$41:$CA$49)),0)</f>
        <v>0</v>
      </c>
      <c r="O42" s="4">
        <f t="array" aca="1" ref="O42" ca="1">IF(P18=C18,SUM(IF(($BR$41:$BR$49=C18)*($BS$40:$CA$40=P20),$BS$41:$CA$49)),0)</f>
        <v>0</v>
      </c>
      <c r="P42" s="4">
        <f t="array" aca="1" ref="P42" ca="1">IF(P18=C18,SUM(IF(($BR$41:$BR$49=C18)*($BS$40:$CA$40=P21),$BS$41:$CA$49)),0)</f>
        <v>0</v>
      </c>
      <c r="Q42" s="4">
        <f t="array" aca="1" ref="Q42" ca="1">IF(P18=C18,SUM(IF(($BR$41:$BR$49=C18)*($BS$40:$CA$40=P22),$BS$41:$CA$49)),0)</f>
        <v>0</v>
      </c>
      <c r="R42" s="4">
        <f t="array" aca="1" ref="R42" ca="1">IF(P18=C18,SUM(IF(($BR$41:$BR$49=C18)*($BS$40:$CA$40=P23),$BS$41:$CA$49)),0)</f>
        <v>0</v>
      </c>
      <c r="S42" s="4">
        <f t="array" aca="1" ref="S42" ca="1">IF(P18=C18,SUM(IF(($BR$41:$BR$49=C18)*($BS$40:$CA$40=P$24),$BS$41:$CA$49)),0)</f>
        <v>0</v>
      </c>
      <c r="T42" s="4">
        <f t="array" aca="1" ref="T42" ca="1">IF(P18=C18,SUM(IF(($BR$41:$BR$49=C18)*($BS$40:$CA$40=P$25),$BS$41:$CA$49)),0)</f>
        <v>0</v>
      </c>
      <c r="U42" s="6">
        <f t="array" aca="1" ref="U42" ca="1">IF(Q18=C18,SUM(IF(($BR$41:$BR$49=C18)*($BS$40:$CA$40=Q17),$BS$41:$CA$49)),0)</f>
        <v>0</v>
      </c>
      <c r="V42" s="4">
        <f t="array" aca="1" ref="V42" ca="1">IF(Q18=C18,SUM(IF(($BR$41:$BR$49=C18)*($BS$40:$CA$40=Q19),$BS$41:$CA$49)),0)</f>
        <v>0</v>
      </c>
      <c r="W42" s="4">
        <f t="array" aca="1" ref="W42" ca="1">IF(Q18=C18,SUM(IF(($BR$41:$BR$49=C18)*($BS$40:$CA$40=Q20),$BS$41:$CA$49)),0)</f>
        <v>0</v>
      </c>
      <c r="X42" s="4">
        <f t="array" aca="1" ref="X42" ca="1">IF(Q18=C18,SUM(IF(($BR$41:$BR$49=C18)*($BS$40:$CA$40=Q21),$BS$41:$CA$49)),0)</f>
        <v>0</v>
      </c>
      <c r="Y42" s="4">
        <f t="array" aca="1" ref="Y42" ca="1">IF(Q18=C18,SUM(IF(($BR$41:$BR$49=C18)*($BS$40:$CA$40=Q22),$BS$41:$CA$49)),0)</f>
        <v>0</v>
      </c>
      <c r="Z42" s="4">
        <f t="array" aca="1" ref="Z42" ca="1">IF(Q18=C18,SUM(IF(($BR$41:$BR$49=C18)*($BS$40:$CA$40=Q23),$BS$41:$CA$49)),0)</f>
        <v>0</v>
      </c>
      <c r="AA42" s="4">
        <f t="array" aca="1" ref="AA42" ca="1">IF(Q18=C18,SUM(IF(($BR$41:$BR$49=C18)*($BS$40:$CA$40=Q$24),$BS$41:$CA$49)),0)</f>
        <v>0</v>
      </c>
      <c r="AB42" s="4">
        <f t="array" aca="1" ref="AB42" ca="1">IF(Q18=C18,SUM(IF(($BR$41:$BR$49=C18)*($BS$40:$CA$40=Q$25),$BS$41:$CA$49)),0)</f>
        <v>0</v>
      </c>
      <c r="AC42" s="6">
        <f t="array" aca="1" ref="AC42" ca="1">IF(R18=C18,SUM(IF(($BR$41:$BR$49=C18)*($BS$40:$CA$40=R17),$BS$41:$CA$49)),0)</f>
        <v>0</v>
      </c>
      <c r="AD42" s="4">
        <f t="array" aca="1" ref="AD42" ca="1">IF(R18=C18,SUM(IF(($BR$41:$BR$49=C18)*($BS$40:$CA$40=R19),$BS$41:$CA$49)),0)</f>
        <v>0</v>
      </c>
      <c r="AE42" s="4">
        <f t="array" aca="1" ref="AE42" ca="1">IF(R18=C18,SUM(IF(($BR$41:$BR$49=C18)*($BS$40:$CA$40=R20),$BS$41:$CA$49)),0)</f>
        <v>0</v>
      </c>
      <c r="AF42" s="4">
        <f t="array" aca="1" ref="AF42" ca="1">IF(R18=C18,SUM(IF(($BR$41:$BR$49=C18)*($BS$40:$CA$40=R21),$BS$41:$CA$49)),0)</f>
        <v>0</v>
      </c>
      <c r="AG42" s="4">
        <f t="array" aca="1" ref="AG42" ca="1">IF(R18=C18,SUM(IF(($BR$41:$BR$49=C18)*($BS$40:$CA$40=R22),$BS$41:$CA$49)),0)</f>
        <v>0</v>
      </c>
      <c r="AH42" s="4">
        <f t="array" aca="1" ref="AH42" ca="1">IF(R18=C18,SUM(IF(($BR$41:$BR$49=C18)*($BS$40:$CA$40=R23),$BS$41:$CA$49)),0)</f>
        <v>0</v>
      </c>
      <c r="AI42" s="4">
        <f t="array" aca="1" ref="AI42" ca="1">IF(R18=C18,SUM(IF(($BR$41:$BR$49=C18)*($BS$40:$CA$40=R$24),$BS$41:$CA$49)),0)</f>
        <v>0</v>
      </c>
      <c r="AJ42" s="4">
        <f t="array" aca="1" ref="AJ42" ca="1">IF(R18=C18,SUM(IF(($BR$41:$BR$49=C18)*($BS$40:$CA$40=R$25),$BS$41:$CA$49)),0)</f>
        <v>0</v>
      </c>
      <c r="AK42" s="6">
        <f t="array" aca="1" ref="AK42" ca="1">IF(S18=C18,SUM(IF(($BR$41:$BR$49=C18)*($BS$40:$CA$40=S17),$BS$41:$CA$49)),0)</f>
        <v>0</v>
      </c>
      <c r="AL42" s="4">
        <f t="array" aca="1" ref="AL42" ca="1">IF(S18=C18,SUM(IF(($BR$41:$BR$49=C18)*($BS$40:$CA$40=S19),$BS$41:$CA$49)),0)</f>
        <v>0</v>
      </c>
      <c r="AM42" s="4">
        <f t="array" aca="1" ref="AM42" ca="1">IF(S18=C18,SUM(IF(($BR$41:$BR$49=C18)*($BS$40:$CA$40=S20),$BS$41:$CA$49)),0)</f>
        <v>0</v>
      </c>
      <c r="AN42" s="4">
        <f t="array" aca="1" ref="AN42" ca="1">IF(S18=C18,SUM(IF(($BR$41:$BR$49=C18)*($BS$40:$CA$40=S21),$BS$41:$CA$49)),0)</f>
        <v>0</v>
      </c>
      <c r="AO42" s="4">
        <f t="array" aca="1" ref="AO42" ca="1">IF(S18=C18,SUM(IF(($BR$41:$BR$49=C18)*($BS$40:$CA$40=S22),$BS$41:$CA$49)),0)</f>
        <v>0</v>
      </c>
      <c r="AP42" s="4">
        <f t="array" aca="1" ref="AP42" ca="1">IF(S18=C18,SUM(IF(($BR$41:$BR$49=C18)*($BS$40:$CA$40=S23),$BS$41:$CA$49)),0)</f>
        <v>0</v>
      </c>
      <c r="AQ42" s="4">
        <f t="array" aca="1" ref="AQ42" ca="1">IF(S18=C18,SUM(IF(($BR$41:$BR$49=C18)*($BS$40:$CA$40=S$24),$BS$41:$CA$49)),0)</f>
        <v>0</v>
      </c>
      <c r="AR42" s="4">
        <f t="array" aca="1" ref="AR42" ca="1">IF(S18=C18,SUM(IF(($BR$41:$BR$49=C18)*($BS$40:$CA$40=S$25),$BS$41:$CA$49)),0)</f>
        <v>0</v>
      </c>
      <c r="AS42" s="6">
        <f t="array" aca="1" ref="AS42" ca="1">IF(T18=C18,SUM(IF(($BR$41:$BR$49=C18)*($BS$40:$CA$40=T17),$BS$41:$CA$49)),0)</f>
        <v>0</v>
      </c>
      <c r="AT42" s="4">
        <f t="array" aca="1" ref="AT42" ca="1">IF(T18=C18,SUM(IF(($BR$41:$BR$49=C18)*($BS$40:$CA$40=T19),$BS$41:$CA$49)),0)</f>
        <v>0</v>
      </c>
      <c r="AU42" s="4">
        <f t="array" aca="1" ref="AU42" ca="1">IF(T18=C18,SUM(IF(($BR$41:$BR$49=C18)*($BS$40:$CA$40=T20),$BS$41:$CA$49)),0)</f>
        <v>0</v>
      </c>
      <c r="AV42" s="4">
        <f t="array" aca="1" ref="AV42" ca="1">IF(T18=C18,SUM(IF(($BR$41:$BR$49=C18)*($BS$40:$CA$40=T21),$BS$41:$CA$49)),0)</f>
        <v>0</v>
      </c>
      <c r="AW42" s="4">
        <f t="array" aca="1" ref="AW42" ca="1">IF(T18=C18,SUM(IF(($BR$41:$BR$49=C18)*($BS$40:$CA$40=T22),$BS$41:$CA$49)),0)</f>
        <v>0</v>
      </c>
      <c r="AX42" s="4">
        <f t="array" aca="1" ref="AX42" ca="1">IF(T18=C18,SUM(IF(($BR$41:$BR$49=C18)*($BS$40:$CA$40=T23),$BS$41:$CA$49)),0)</f>
        <v>0</v>
      </c>
      <c r="AY42" s="4">
        <f t="array" aca="1" ref="AY42" ca="1">IF(T18=C18,SUM(IF(($BR$41:$BR$49=C18)*($BS$40:$CA$40=T$24),$BS$41:$CA$49)),0)</f>
        <v>0</v>
      </c>
      <c r="AZ42" s="4">
        <f t="array" aca="1" ref="AZ42" ca="1">IF(T18=C18,SUM(IF(($BR$41:$BR$49=C18)*($BS$40:$CA$40=T$25),$BS$41:$CA$49)),0)</f>
        <v>0</v>
      </c>
      <c r="BA42" s="6">
        <f t="array" aca="1" ref="BA42" ca="1">IF(U18=C18,SUM(IF(($BR$41:$BR$49=C18)*($BS$40:$CA$40=U$17),$BS$41:$CA$49)),0)</f>
        <v>0</v>
      </c>
      <c r="BB42" s="4">
        <f t="array" aca="1" ref="BB42" ca="1">IF(U18=C18,SUM(IF(($BR$41:$BR$49=C18)*($BS$40:$CA$40=U$19),$BS$41:$CA$49)),0)</f>
        <v>0</v>
      </c>
      <c r="BC42" s="4">
        <f t="array" aca="1" ref="BC42" ca="1">IF(U18=C18,SUM(IF(($BR$41:$BR$49=C18)*($BS$40:$CA$40=U$20),$BS$41:$CA$49)),0)</f>
        <v>0</v>
      </c>
      <c r="BD42" s="4">
        <f t="array" aca="1" ref="BD42" ca="1">IF(U18=C18,SUM(IF(($BR$41:$BR$49=C18)*($BS$40:$CA$40=U$21),$BS$41:$CA$49)),0)</f>
        <v>0</v>
      </c>
      <c r="BE42" s="4">
        <f t="array" aca="1" ref="BE42" ca="1">IF(U18=C18,SUM(IF(($BR$41:$BR$49=C18)*($BS$40:$CA$40=U$22),$BS$41:$CA$49)),0)</f>
        <v>0</v>
      </c>
      <c r="BF42" s="4">
        <f t="array" aca="1" ref="BF42" ca="1">IF(U18=C18,SUM(IF(($BR$41:$BR$49=C18)*($BS$40:$CA$40=U$23),$BS$41:$CA$49)),0)</f>
        <v>0</v>
      </c>
      <c r="BG42" s="4">
        <f t="array" aca="1" ref="BG42" ca="1">IF(U18=C18,SUM(IF(($BR$41:$BR$49=C18)*($BS$40:$CA$40=U$24),$BS$41:$CA$49)),0)</f>
        <v>0</v>
      </c>
      <c r="BH42" s="4">
        <f t="array" aca="1" ref="BH42" ca="1">IF(U18=C18,SUM(IF(($BR$41:$BR$49=C18)*($BS$40:$CA$40=U$25),$BS$41:$CA$49)),0)</f>
        <v>0</v>
      </c>
      <c r="BI42" s="6">
        <f t="array" aca="1" ref="BI42" ca="1">IF(V18=C18,SUM(IF(($BR$41:$BR$49=C18)*($BS$40:$CA$40=V$18),$BS$41:$CA$49)),0)</f>
        <v>0</v>
      </c>
      <c r="BJ42" s="4">
        <f t="array" aca="1" ref="BJ42" ca="1">IF(V18=C18,SUM(IF(($BR$41:$BR$49=C18)*($BS$40:$CA$40=V$19),$BS$41:$CA$49)),0)</f>
        <v>0</v>
      </c>
      <c r="BK42" s="4">
        <f t="array" aca="1" ref="BK42" ca="1">IF(V18=C18,SUM(IF(($BR$41:$BR$49=C18)*($BS$40:$CA$40=V$20),$BS$41:$CA$49)),0)</f>
        <v>0</v>
      </c>
      <c r="BL42" s="4">
        <f t="array" aca="1" ref="BL42" ca="1">IF(V18=C18,SUM(IF(($BR$41:$BR$49=C18)*($BS$40:$CA$40=V$21),$BS$41:$CA$49)),0)</f>
        <v>0</v>
      </c>
      <c r="BM42" s="4">
        <f t="array" aca="1" ref="BM42" ca="1">IF(V18=C18,SUM(IF(($BR$41:$BR$49=C18)*($BS$40:$CA$40=V$22),$BS$41:$CA$49)),0)</f>
        <v>0</v>
      </c>
      <c r="BN42" s="4">
        <f t="array" aca="1" ref="BN42" ca="1">IF(V18=C18,SUM(IF(($BR$41:$BR$49=C18)*($BS$40:$CA$40=V$23),$BS$41:$CA$49)),0)</f>
        <v>0</v>
      </c>
      <c r="BO42" s="4">
        <f t="array" aca="1" ref="BO42" ca="1">IF(V18=C18,SUM(IF(($BR$41:$BR$49=C18)*($BS$40:$CA$40=V$24),$BS$41:$CA$49)),0)</f>
        <v>0</v>
      </c>
      <c r="BP42" s="16">
        <f t="array" aca="1" ref="BP42" ca="1">IF(V18=C18,SUM(IF(($BR$41:$BR$49=C18)*($BS$40:$CA$40=V$25),$BS$41:$CA$49)),0)</f>
        <v>0</v>
      </c>
      <c r="BQ42" s="4"/>
      <c r="BR42" s="2" t="str">
        <f t="shared" si="70"/>
        <v>FC Barcelona</v>
      </c>
      <c r="BS42" s="9">
        <f ca="1">IF(BT41="","",-1*BT41)</f>
        <v>0</v>
      </c>
      <c r="BT42" s="7"/>
      <c r="BU42" s="8">
        <f ca="1">BU31-BT32</f>
        <v>0</v>
      </c>
      <c r="BV42" s="8">
        <f ca="1">BV31-BT33</f>
        <v>0</v>
      </c>
      <c r="BW42" s="8">
        <f ca="1">BW31-BT34</f>
        <v>0</v>
      </c>
      <c r="BX42" s="8">
        <f ca="1">BX31-BT35</f>
        <v>0</v>
      </c>
      <c r="BY42" s="8">
        <f ca="1">BY31-BT36</f>
        <v>-2</v>
      </c>
      <c r="BZ42" s="8">
        <f ca="1">BZ31-BT37</f>
        <v>0</v>
      </c>
      <c r="CA42" s="8">
        <f ca="1">CA31-BT38</f>
        <v>0</v>
      </c>
      <c r="CB42" s="4"/>
    </row>
    <row r="43" spans="2:80" s="2" customFormat="1" x14ac:dyDescent="0.2">
      <c r="E43" s="15">
        <f t="array" aca="1" ref="E43" ca="1">IF(O19=C19,SUM(IF(($BR$41:$BR$49=C19)*($BS$40:$CA$40=O17),$BS$41:$CA$49)),0)</f>
        <v>0</v>
      </c>
      <c r="F43" s="4">
        <f t="array" aca="1" ref="F43" ca="1">IF(O19=C19,SUM(IF(($BR$41:$BR$49=C19)*($BS$40:$CA$40=O18),$BS$41:$CA$49)),0)</f>
        <v>0</v>
      </c>
      <c r="G43" s="4">
        <f t="array" aca="1" ref="G43" ca="1">IF(O19=C19,SUM(IF(($BR$41:$BR$49=C19)*($BS$40:$CA$40=O20),$BS$41:$CA$49)),0)</f>
        <v>0</v>
      </c>
      <c r="H43" s="4">
        <f t="array" aca="1" ref="H43" ca="1">IF(O19=C19,SUM(IF(($BR$41:$BR$49=C19)*($BS$40:$CA$40=O21),$BS$41:$CA$49)),0)</f>
        <v>0</v>
      </c>
      <c r="I43" s="4">
        <f t="array" aca="1" ref="I43" ca="1">IF(O19=C19,SUM(IF(($BR$41:$BR$49=C19)*($BS$40:$CA$40=O22),$BS$41:$CA$49)),0)</f>
        <v>0</v>
      </c>
      <c r="J43" s="4">
        <f t="array" aca="1" ref="J43" ca="1">IF(O19=C19,SUM(IF(($BR$41:$BR$49=C19)*($BS$40:$CA$40=O23),$BS$41:$CA$49)),0)</f>
        <v>0</v>
      </c>
      <c r="K43" s="4">
        <f t="array" aca="1" ref="K43" ca="1">IF(O19=C19,SUM(IF(($BR$41:$BR$49=C19)*($BS$40:$CA$40=O$24),$BS$41:$CA$49)),0)</f>
        <v>0</v>
      </c>
      <c r="L43" s="4">
        <f t="array" aca="1" ref="L43" ca="1">IF(O19=C19,SUM(IF(($BR$41:$BR$49=C19)*($BS$40:$CA$40=O$25),$BS$41:$CA$49)),0)</f>
        <v>0</v>
      </c>
      <c r="M43" s="6">
        <f t="array" aca="1" ref="M43" ca="1">IF(P19=C19,SUM(IF(($BR$41:$BR$49=C19)*($BS$40:$CA$40=P17),$BS$41:$CA$49)),0)</f>
        <v>0</v>
      </c>
      <c r="N43" s="4">
        <f t="array" aca="1" ref="N43" ca="1">IF(P19=C19,SUM(IF(($BR$41:$BR$49=C19)*($BS$40:$CA$40=P18),$BS$41:$CA$49)),0)</f>
        <v>0</v>
      </c>
      <c r="O43" s="4">
        <f t="array" aca="1" ref="O43" ca="1">IF(P19=C19,SUM(IF(($BR$41:$BR$49=C19)*($BS$40:$CA$40=P20),$BS$41:$CA$49)),0)</f>
        <v>0</v>
      </c>
      <c r="P43" s="4">
        <f t="array" aca="1" ref="P43" ca="1">IF(P19=C19,SUM(IF(($BR$41:$BR$49=C19)*($BS$40:$CA$40=P21),$BS$41:$CA$49)),0)</f>
        <v>0</v>
      </c>
      <c r="Q43" s="4">
        <f t="array" aca="1" ref="Q43" ca="1">IF(P19=C19,SUM(IF(($BR$41:$BR$49=C19)*($BS$40:$CA$40=P22),$BS$41:$CA$49)),0)</f>
        <v>0</v>
      </c>
      <c r="R43" s="4">
        <f t="array" aca="1" ref="R43" ca="1">IF(P19=C19,SUM(IF(($BR$41:$BR$49=C19)*($BS$40:$CA$40=P23),$BS$41:$CA$49)),0)</f>
        <v>0</v>
      </c>
      <c r="S43" s="4">
        <f t="array" aca="1" ref="S43" ca="1">IF(P19=C19,SUM(IF(($BR$41:$BR$49=C19)*($BS$40:$CA$40=P$24),$BS$41:$CA$49)),0)</f>
        <v>0</v>
      </c>
      <c r="T43" s="4">
        <f t="array" aca="1" ref="T43" ca="1">IF(P19=C19,SUM(IF(($BR$41:$BR$49=C19)*($BS$40:$CA$40=P$25),$BS$41:$CA$49)),0)</f>
        <v>0</v>
      </c>
      <c r="U43" s="6">
        <f t="array" aca="1" ref="U43" ca="1">IF(Q19=C19,SUM(IF(($BR$41:$BR$49=C19)*($BS$40:$CA$40=Q17),$BS$41:$CA$49)),0)</f>
        <v>0</v>
      </c>
      <c r="V43" s="4">
        <f t="array" aca="1" ref="V43" ca="1">IF(Q19=C19,SUM(IF(($BR$41:$BR$49=C19)*($BS$40:$CA$40=Q18),$BS$41:$CA$49)),0)</f>
        <v>0</v>
      </c>
      <c r="W43" s="4">
        <f t="array" aca="1" ref="W43" ca="1">IF(Q19=C19,SUM(IF(($BR$41:$BR$49=C19)*($BS$40:$CA$40=Q20),$BS$41:$CA$49)),0)</f>
        <v>0</v>
      </c>
      <c r="X43" s="4">
        <f t="array" aca="1" ref="X43" ca="1">IF(Q19=C19,SUM(IF(($BR$41:$BR$49=C19)*($BS$40:$CA$40=Q21),$BS$41:$CA$49)),0)</f>
        <v>0</v>
      </c>
      <c r="Y43" s="4">
        <f t="array" aca="1" ref="Y43" ca="1">IF(Q19=C19,SUM(IF(($BR$41:$BR$49=C19)*($BS$40:$CA$40=Q22),$BS$41:$CA$49)),0)</f>
        <v>0</v>
      </c>
      <c r="Z43" s="4">
        <f t="array" aca="1" ref="Z43" ca="1">IF(Q19=C19,SUM(IF(($BR$41:$BR$49=C19)*($BS$40:$CA$40=Q23),$BS$41:$CA$49)),0)</f>
        <v>0</v>
      </c>
      <c r="AA43" s="4">
        <f t="array" aca="1" ref="AA43" ca="1">IF(Q19=C19,SUM(IF(($BR$41:$BR$49=C19)*($BS$40:$CA$40=Q$24),$BS$41:$CA$49)),0)</f>
        <v>0</v>
      </c>
      <c r="AB43" s="4">
        <f t="array" aca="1" ref="AB43" ca="1">IF(Q19=C19,SUM(IF(($BR$41:$BR$49=C19)*($BS$40:$CA$40=Q$25),$BS$41:$CA$49)),0)</f>
        <v>0</v>
      </c>
      <c r="AC43" s="6">
        <f t="array" aca="1" ref="AC43" ca="1">IF(R19=C19,SUM(IF(($BR$41:$BR$49=C19)*($BS$40:$CA$40=R17),$BS$41:$CA$49)),0)</f>
        <v>0</v>
      </c>
      <c r="AD43" s="4">
        <f t="array" aca="1" ref="AD43" ca="1">IF(R19=C19,SUM(IF(($BR$41:$BR$49=C19)*($BS$40:$CA$40=R18),$BS$41:$CA$49)),0)</f>
        <v>0</v>
      </c>
      <c r="AE43" s="4">
        <f t="array" aca="1" ref="AE43" ca="1">IF(R19=C19,SUM(IF(($BR$41:$BR$49=C19)*($BS$40:$CA$40=R20),$BS$41:$CA$49)),0)</f>
        <v>0</v>
      </c>
      <c r="AF43" s="4">
        <f t="array" aca="1" ref="AF43" ca="1">IF(R19=C19,SUM(IF(($BR$41:$BR$49=C19)*($BS$40:$CA$40=R21),$BS$41:$CA$49)),0)</f>
        <v>0</v>
      </c>
      <c r="AG43" s="4">
        <f t="array" aca="1" ref="AG43" ca="1">IF(R19=C19,SUM(IF(($BR$41:$BR$49=C19)*($BS$40:$CA$40=R22),$BS$41:$CA$49)),0)</f>
        <v>0</v>
      </c>
      <c r="AH43" s="4">
        <f t="array" aca="1" ref="AH43" ca="1">IF(R19=C19,SUM(IF(($BR$41:$BR$49=C19)*($BS$40:$CA$40=R23),$BS$41:$CA$49)),0)</f>
        <v>0</v>
      </c>
      <c r="AI43" s="4">
        <f t="array" aca="1" ref="AI43" ca="1">IF(R19=C19,SUM(IF(($BR$41:$BR$49=C19)*($BS$40:$CA$40=R$24),$BS$41:$CA$49)),0)</f>
        <v>0</v>
      </c>
      <c r="AJ43" s="4">
        <f t="array" aca="1" ref="AJ43" ca="1">IF(R19=C19,SUM(IF(($BR$41:$BR$49=C19)*($BS$40:$CA$40=R$25),$BS$41:$CA$49)),0)</f>
        <v>0</v>
      </c>
      <c r="AK43" s="6">
        <f t="array" aca="1" ref="AK43" ca="1">IF(S19=C19,SUM(IF(($BR$41:$BR$49=C19)*($BS$40:$CA$40=S17),$BS$41:$CA$49)),0)</f>
        <v>0</v>
      </c>
      <c r="AL43" s="4">
        <f t="array" aca="1" ref="AL43" ca="1">IF(S19=C19,SUM(IF(($BR$41:$BR$49=C19)*($BS$40:$CA$40=S18),$BS$41:$CA$49)),0)</f>
        <v>0</v>
      </c>
      <c r="AM43" s="4">
        <f t="array" aca="1" ref="AM43" ca="1">IF(S19=C19,SUM(IF(($BR$41:$BR$49=C19)*($BS$40:$CA$40=S20),$BS$41:$CA$49)),0)</f>
        <v>0</v>
      </c>
      <c r="AN43" s="4">
        <f t="array" aca="1" ref="AN43" ca="1">IF(S19=C19,SUM(IF(($BR$41:$BR$49=C19)*($BS$40:$CA$40=S21),$BS$41:$CA$49)),0)</f>
        <v>0</v>
      </c>
      <c r="AO43" s="4">
        <f t="array" aca="1" ref="AO43" ca="1">IF(S19=C19,SUM(IF(($BR$41:$BR$49=C19)*($BS$40:$CA$40=S22),$BS$41:$CA$49)),0)</f>
        <v>0</v>
      </c>
      <c r="AP43" s="4">
        <f t="array" aca="1" ref="AP43" ca="1">IF(S19=C19,SUM(IF(($BR$41:$BR$49=C19)*($BS$40:$CA$40=S23),$BS$41:$CA$49)),0)</f>
        <v>0</v>
      </c>
      <c r="AQ43" s="4">
        <f t="array" aca="1" ref="AQ43" ca="1">IF(S19=C19,SUM(IF(($BR$41:$BR$49=C19)*($BS$40:$CA$40=S$24),$BS$41:$CA$49)),0)</f>
        <v>0</v>
      </c>
      <c r="AR43" s="4">
        <f t="array" aca="1" ref="AR43" ca="1">IF(S19=C19,SUM(IF(($BR$41:$BR$49=C19)*($BS$40:$CA$40=S$25),$BS$41:$CA$49)),0)</f>
        <v>0</v>
      </c>
      <c r="AS43" s="6">
        <f t="array" aca="1" ref="AS43" ca="1">IF(T19=C19,SUM(IF(($BR$41:$BR$49=C19)*($BS$40:$CA$40=T17),$BS$41:$CA$49)),0)</f>
        <v>0</v>
      </c>
      <c r="AT43" s="4">
        <f t="array" aca="1" ref="AT43" ca="1">IF(T19=C19,SUM(IF(($BR$41:$BR$49=C19)*($BS$40:$CA$40=T18),$BS$41:$CA$49)),0)</f>
        <v>0</v>
      </c>
      <c r="AU43" s="4">
        <f t="array" aca="1" ref="AU43" ca="1">IF(T19=C19,SUM(IF(($BR$41:$BR$49=C19)*($BS$40:$CA$40=T20),$BS$41:$CA$49)),0)</f>
        <v>0</v>
      </c>
      <c r="AV43" s="4">
        <f t="array" aca="1" ref="AV43" ca="1">IF(T19=C19,SUM(IF(($BR$41:$BR$49=C19)*($BS$40:$CA$40=T21),$BS$41:$CA$49)),0)</f>
        <v>0</v>
      </c>
      <c r="AW43" s="4">
        <f t="array" aca="1" ref="AW43" ca="1">IF(T19=C19,SUM(IF(($BR$41:$BR$49=C19)*($BS$40:$CA$40=T22),$BS$41:$CA$49)),0)</f>
        <v>0</v>
      </c>
      <c r="AX43" s="4">
        <f t="array" aca="1" ref="AX43" ca="1">IF(T19=C19,SUM(IF(($BR$41:$BR$49=C19)*($BS$40:$CA$40=T23),$BS$41:$CA$49)),0)</f>
        <v>0</v>
      </c>
      <c r="AY43" s="4">
        <f t="array" aca="1" ref="AY43" ca="1">IF(T19=C19,SUM(IF(($BR$41:$BR$49=C19)*($BS$40:$CA$40=T$24),$BS$41:$CA$49)),0)</f>
        <v>0</v>
      </c>
      <c r="AZ43" s="4">
        <f t="array" aca="1" ref="AZ43" ca="1">IF(T19=C19,SUM(IF(($BR$41:$BR$49=C19)*($BS$40:$CA$40=T$25),$BS$41:$CA$49)),0)</f>
        <v>0</v>
      </c>
      <c r="BA43" s="6">
        <f t="array" aca="1" ref="BA43" ca="1">IF(U19=C19,SUM(IF(($BR$41:$BR$49=C19)*($BS$40:$CA$40=U$17),$BS$41:$CA$49)),0)</f>
        <v>0</v>
      </c>
      <c r="BB43" s="4">
        <f t="array" aca="1" ref="BB43" ca="1">IF(U19=C19,SUM(IF(($BR$41:$BR$49=C19)*($BS$40:$CA$40=U$18),$BS$41:$CA$49)),0)</f>
        <v>0</v>
      </c>
      <c r="BC43" s="4">
        <f t="array" aca="1" ref="BC43" ca="1">IF(U19=C19,SUM(IF(($BR$41:$BR$49=C19)*($BS$40:$CA$40=U$20),$BS$41:$CA$49)),0)</f>
        <v>0</v>
      </c>
      <c r="BD43" s="4">
        <f t="array" aca="1" ref="BD43" ca="1">IF(U19=C19,SUM(IF(($BR$41:$BR$49=C19)*($BS$40:$CA$40=U$21),$BS$41:$CA$49)),0)</f>
        <v>0</v>
      </c>
      <c r="BE43" s="4">
        <f t="array" aca="1" ref="BE43" ca="1">IF(U19=C19,SUM(IF(($BR$41:$BR$49=C19)*($BS$40:$CA$40=U$22),$BS$41:$CA$49)),0)</f>
        <v>0</v>
      </c>
      <c r="BF43" s="4">
        <f t="array" aca="1" ref="BF43" ca="1">IF(U19=C19,SUM(IF(($BR$41:$BR$49=C19)*($BS$40:$CA$40=U$23),$BS$41:$CA$49)),0)</f>
        <v>0</v>
      </c>
      <c r="BG43" s="4">
        <f t="array" aca="1" ref="BG43" ca="1">IF(U19=C19,SUM(IF(($BR$41:$BR$49=C19)*($BS$40:$CA$40=U$24),$BS$41:$CA$49)),0)</f>
        <v>0</v>
      </c>
      <c r="BH43" s="4">
        <f t="array" aca="1" ref="BH43" ca="1">IF(U19=C19,SUM(IF(($BR$41:$BR$49=C19)*($BS$40:$CA$40=U$25),$BS$41:$CA$49)),0)</f>
        <v>0</v>
      </c>
      <c r="BI43" s="6">
        <f t="array" aca="1" ref="BI43" ca="1">IF(V19=C19,SUM(IF(($BR$41:$BR$49=C19)*($BS$40:$CA$40=V$18),$BS$41:$CA$49)),0)</f>
        <v>0</v>
      </c>
      <c r="BJ43" s="4">
        <f t="array" aca="1" ref="BJ43" ca="1">IF(V19=C19,SUM(IF(($BR$41:$BR$49=C19)*($BS$40:$CA$40=V$19),$BS$41:$CA$49)),0)</f>
        <v>0</v>
      </c>
      <c r="BK43" s="4">
        <f t="array" aca="1" ref="BK43" ca="1">IF(V19=C19,SUM(IF(($BR$41:$BR$49=C19)*($BS$40:$CA$40=V$20),$BS$41:$CA$49)),0)</f>
        <v>0</v>
      </c>
      <c r="BL43" s="4">
        <f t="array" aca="1" ref="BL43" ca="1">IF(V19=C19,SUM(IF(($BR$41:$BR$49=C19)*($BS$40:$CA$40=V$21),$BS$41:$CA$49)),0)</f>
        <v>0</v>
      </c>
      <c r="BM43" s="4">
        <f t="array" aca="1" ref="BM43" ca="1">IF(V19=C19,SUM(IF(($BR$41:$BR$49=C19)*($BS$40:$CA$40=V$22),$BS$41:$CA$49)),0)</f>
        <v>0</v>
      </c>
      <c r="BN43" s="4">
        <f t="array" aca="1" ref="BN43" ca="1">IF(V19=C19,SUM(IF(($BR$41:$BR$49=C19)*($BS$40:$CA$40=V$23),$BS$41:$CA$49)),0)</f>
        <v>0</v>
      </c>
      <c r="BO43" s="4">
        <f t="array" aca="1" ref="BO43" ca="1">IF(V19=C19,SUM(IF(($BR$41:$BR$49=C19)*($BS$40:$CA$40=V$24),$BS$41:$CA$49)),0)</f>
        <v>0</v>
      </c>
      <c r="BP43" s="16">
        <f t="array" aca="1" ref="BP43" ca="1">IF(V19=C19,SUM(IF(($BR$41:$BR$49=C19)*($BS$40:$CA$40=V$25),$BS$41:$CA$49)),0)</f>
        <v>0</v>
      </c>
      <c r="BQ43" s="4"/>
      <c r="BR43" s="2" t="str">
        <f t="shared" si="70"/>
        <v>Eintracht Frankfurt</v>
      </c>
      <c r="BS43" s="9">
        <f ca="1">IF(BU41="","",-1*BU41)</f>
        <v>0</v>
      </c>
      <c r="BT43" s="9">
        <f ca="1">IF(BU42="","",-1*BU42)</f>
        <v>0</v>
      </c>
      <c r="BU43" s="7"/>
      <c r="BV43" s="8">
        <f ca="1">BV32-BU33</f>
        <v>-1</v>
      </c>
      <c r="BW43" s="8">
        <f ca="1">BW32-BU34</f>
        <v>0</v>
      </c>
      <c r="BX43" s="8">
        <f ca="1">BX32-BU35</f>
        <v>1</v>
      </c>
      <c r="BY43" s="8">
        <f ca="1">BY32-BU36</f>
        <v>0</v>
      </c>
      <c r="BZ43" s="8">
        <f ca="1">BZ32-BU37</f>
        <v>0</v>
      </c>
      <c r="CA43" s="8">
        <f ca="1">CA32-BU38</f>
        <v>0</v>
      </c>
      <c r="CB43" s="4"/>
    </row>
    <row r="44" spans="2:80" s="2" customFormat="1" x14ac:dyDescent="0.2">
      <c r="E44" s="15">
        <f t="array" aca="1" ref="E44" ca="1">IF(O20=C20,SUM(IF(($BR$41:$BR$49=C20)*($BS$40:$CA$40=O17),$BS$41:$CA$49)),0)</f>
        <v>0</v>
      </c>
      <c r="F44" s="4">
        <f t="array" aca="1" ref="F44" ca="1">IF(O20=C20,SUM(IF(($BR$41:$BR$49=C20)*($BS$40:$CA$40=O18),$BS$41:$CA$49)),0)</f>
        <v>0</v>
      </c>
      <c r="G44" s="4">
        <f t="array" aca="1" ref="G44" ca="1">IF(O20=C20,SUM(IF(($BR$41:$BR$49=C20)*($BS$40:$CA$40=O19),$BS$41:$CA$49)),0)</f>
        <v>0</v>
      </c>
      <c r="H44" s="4">
        <f t="array" aca="1" ref="H44" ca="1">IF(O20=C20,SUM(IF(($BR$41:$BR$49=C20)*($BS$40:$CA$40=O21),$BS$41:$CA$49)),0)</f>
        <v>0</v>
      </c>
      <c r="I44" s="4">
        <f t="array" aca="1" ref="I44" ca="1">IF(O20=C20,SUM(IF(($BR$41:$BR$49=C20)*($BS$40:$CA$40=O22),$BS$41:$CA$49)),0)</f>
        <v>0</v>
      </c>
      <c r="J44" s="4">
        <f t="array" aca="1" ref="J44" ca="1">IF(O20=C20,SUM(IF(($BR$41:$BR$49=C20)*($BS$40:$CA$40=O23),$BS$41:$CA$49)),0)</f>
        <v>0</v>
      </c>
      <c r="K44" s="4">
        <f t="array" aca="1" ref="K44" ca="1">IF(O20=C20,SUM(IF(($BR$41:$BR$49=C20)*($BS$40:$CA$40=O$24),$BS$41:$CA$49)),0)</f>
        <v>0</v>
      </c>
      <c r="L44" s="4">
        <f t="array" aca="1" ref="L44" ca="1">IF(O20=C20,SUM(IF(($BR$41:$BR$49=C20)*($BS$40:$CA$40=O$25),$BS$41:$CA$49)),0)</f>
        <v>0</v>
      </c>
      <c r="M44" s="6">
        <f t="array" aca="1" ref="M44" ca="1">IF(P20=C20,SUM(IF(($BR$41:$BR$49=C20)*($BS$40:$CA$40=P17),$BS$41:$CA$49)),0)</f>
        <v>0</v>
      </c>
      <c r="N44" s="4">
        <f t="array" aca="1" ref="N44" ca="1">IF(P20=C20,SUM(IF(($BR$41:$BR$49=C20)*($BS$40:$CA$40=P18),$BS$41:$CA$49)),0)</f>
        <v>0</v>
      </c>
      <c r="O44" s="4">
        <f t="array" aca="1" ref="O44" ca="1">IF(P20=C20,SUM(IF(($BR$41:$BR$49=C20)*($BS$40:$CA$40=P19),$BS$41:$CA$49)),0)</f>
        <v>0</v>
      </c>
      <c r="P44" s="4">
        <f t="array" aca="1" ref="P44" ca="1">IF(P20=C20,SUM(IF(($BR$41:$BR$49=C20)*($BS$40:$CA$40=P21),$BS$41:$CA$49)),0)</f>
        <v>0</v>
      </c>
      <c r="Q44" s="4">
        <f t="array" aca="1" ref="Q44" ca="1">IF(P20=C20,SUM(IF(($BR$41:$BR$49=C20)*($BS$40:$CA$40=P22),$BS$41:$CA$49)),0)</f>
        <v>0</v>
      </c>
      <c r="R44" s="4">
        <f t="array" aca="1" ref="R44" ca="1">IF(P20=C20,SUM(IF(($BR$41:$BR$49=C20)*($BS$40:$CA$40=P23),$BS$41:$CA$49)),0)</f>
        <v>0</v>
      </c>
      <c r="S44" s="4">
        <f t="array" aca="1" ref="S44" ca="1">IF(P20=C20,SUM(IF(($BR$41:$BR$49=C20)*($BS$40:$CA$40=P$24),$BS$41:$CA$49)),0)</f>
        <v>0</v>
      </c>
      <c r="T44" s="4">
        <f t="array" aca="1" ref="T44" ca="1">IF(P20=C20,SUM(IF(($BR$41:$BR$49=C20)*($BS$40:$CA$40=P$25),$BS$41:$CA$49)),0)</f>
        <v>0</v>
      </c>
      <c r="U44" s="6">
        <f t="array" aca="1" ref="U44" ca="1">IF(Q20=C20,SUM(IF(($BR$41:$BR$49=C20)*($BS$40:$CA$40=Q17),$BS$41:$CA$49)),0)</f>
        <v>0</v>
      </c>
      <c r="V44" s="4">
        <f t="array" aca="1" ref="V44" ca="1">IF(Q20=C20,SUM(IF(($BR$41:$BR$49=C20)*($BS$40:$CA$40=Q18),$BS$41:$CA$49)),0)</f>
        <v>0</v>
      </c>
      <c r="W44" s="4">
        <f t="array" aca="1" ref="W44" ca="1">IF(Q20=C20,SUM(IF(($BR$41:$BR$49=C20)*($BS$40:$CA$40=Q19),$BS$41:$CA$49)),0)</f>
        <v>0</v>
      </c>
      <c r="X44" s="4">
        <f t="array" aca="1" ref="X44" ca="1">IF(Q20=C20,SUM(IF(($BR$41:$BR$49=C20)*($BS$40:$CA$40=Q21),$BS$41:$CA$49)),0)</f>
        <v>0</v>
      </c>
      <c r="Y44" s="4">
        <f t="array" aca="1" ref="Y44" ca="1">IF(Q20=C20,SUM(IF(($BR$41:$BR$49=C20)*($BS$40:$CA$40=Q22),$BS$41:$CA$49)),0)</f>
        <v>0</v>
      </c>
      <c r="Z44" s="4">
        <f t="array" aca="1" ref="Z44" ca="1">IF(Q20=C20,SUM(IF(($BR$41:$BR$49=C20)*($BS$40:$CA$40=Q23),$BS$41:$CA$49)),0)</f>
        <v>0</v>
      </c>
      <c r="AA44" s="4">
        <f t="array" aca="1" ref="AA44" ca="1">IF(Q20=C20,SUM(IF(($BR$41:$BR$49=C20)*($BS$40:$CA$40=Q$24),$BS$41:$CA$49)),0)</f>
        <v>0</v>
      </c>
      <c r="AB44" s="4">
        <f t="array" aca="1" ref="AB44" ca="1">IF(Q20=C20,SUM(IF(($BR$41:$BR$49=C20)*($BS$40:$CA$40=Q$25),$BS$41:$CA$49)),0)</f>
        <v>0</v>
      </c>
      <c r="AC44" s="6">
        <f t="array" aca="1" ref="AC44" ca="1">IF(R20=C20,SUM(IF(($BR$41:$BR$49=C20)*($BS$40:$CA$40=R17),$BS$41:$CA$49)),0)</f>
        <v>0</v>
      </c>
      <c r="AD44" s="4">
        <f t="array" aca="1" ref="AD44" ca="1">IF(R20=C20,SUM(IF(($BR$41:$BR$49=C20)*($BS$40:$CA$40=R18),$BS$41:$CA$49)),0)</f>
        <v>0</v>
      </c>
      <c r="AE44" s="4">
        <f t="array" aca="1" ref="AE44" ca="1">IF(R20=C20,SUM(IF(($BR$41:$BR$49=C20)*($BS$40:$CA$40=R19),$BS$41:$CA$49)),0)</f>
        <v>0</v>
      </c>
      <c r="AF44" s="4">
        <f t="array" aca="1" ref="AF44" ca="1">IF(R20=C20,SUM(IF(($BR$41:$BR$49=C20)*($BS$40:$CA$40=R21),$BS$41:$CA$49)),0)</f>
        <v>0</v>
      </c>
      <c r="AG44" s="4">
        <f t="array" aca="1" ref="AG44" ca="1">IF(R20=C20,SUM(IF(($BR$41:$BR$49=C20)*($BS$40:$CA$40=R22),$BS$41:$CA$49)),0)</f>
        <v>0</v>
      </c>
      <c r="AH44" s="4">
        <f t="array" aca="1" ref="AH44" ca="1">IF(R20=C20,SUM(IF(($BR$41:$BR$49=C20)*($BS$40:$CA$40=R23),$BS$41:$CA$49)),0)</f>
        <v>0</v>
      </c>
      <c r="AI44" s="4">
        <f t="array" aca="1" ref="AI44" ca="1">IF(R20=C20,SUM(IF(($BR$41:$BR$49=C20)*($BS$40:$CA$40=R$24),$BS$41:$CA$49)),0)</f>
        <v>0</v>
      </c>
      <c r="AJ44" s="4">
        <f t="array" aca="1" ref="AJ44" ca="1">IF(R20=C20,SUM(IF(($BR$41:$BR$49=C20)*($BS$40:$CA$40=R$25),$BS$41:$CA$49)),0)</f>
        <v>0</v>
      </c>
      <c r="AK44" s="6">
        <f t="array" aca="1" ref="AK44" ca="1">IF(S20=C20,SUM(IF(($BR$41:$BR$49=C20)*($BS$40:$CA$40=S17),$BS$41:$CA$49)),0)</f>
        <v>0</v>
      </c>
      <c r="AL44" s="4">
        <f t="array" aca="1" ref="AL44" ca="1">IF(S20=C20,SUM(IF(($BR$41:$BR$49=C20)*($BS$40:$CA$40=S18),$BS$41:$CA$49)),0)</f>
        <v>0</v>
      </c>
      <c r="AM44" s="4">
        <f t="array" aca="1" ref="AM44" ca="1">IF(S20=C20,SUM(IF(($BR$41:$BR$49=C20)*($BS$40:$CA$40=S19),$BS$41:$CA$49)),0)</f>
        <v>0</v>
      </c>
      <c r="AN44" s="4">
        <f t="array" aca="1" ref="AN44" ca="1">IF(S20=C20,SUM(IF(($BR$41:$BR$49=C20)*($BS$40:$CA$40=S21),$BS$41:$CA$49)),0)</f>
        <v>0</v>
      </c>
      <c r="AO44" s="4">
        <f t="array" aca="1" ref="AO44" ca="1">IF(S20=C20,SUM(IF(($BR$41:$BR$49=C20)*($BS$40:$CA$40=S22),$BS$41:$CA$49)),0)</f>
        <v>0</v>
      </c>
      <c r="AP44" s="4">
        <f t="array" aca="1" ref="AP44" ca="1">IF(S20=C20,SUM(IF(($BR$41:$BR$49=C20)*($BS$40:$CA$40=S23),$BS$41:$CA$49)),0)</f>
        <v>0</v>
      </c>
      <c r="AQ44" s="4">
        <f t="array" aca="1" ref="AQ44" ca="1">IF(S20=C20,SUM(IF(($BR$41:$BR$49=C20)*($BS$40:$CA$40=S$24),$BS$41:$CA$49)),0)</f>
        <v>0</v>
      </c>
      <c r="AR44" s="4">
        <f t="array" aca="1" ref="AR44" ca="1">IF(S20=C20,SUM(IF(($BR$41:$BR$49=C20)*($BS$40:$CA$40=S$25),$BS$41:$CA$49)),0)</f>
        <v>0</v>
      </c>
      <c r="AS44" s="6">
        <f t="array" aca="1" ref="AS44" ca="1">IF(T20=C20,SUM(IF(($BR$41:$BR$49=C20)*($BS$40:$CA$40=T17),$BS$41:$CA$49)),0)</f>
        <v>0</v>
      </c>
      <c r="AT44" s="4">
        <f t="array" aca="1" ref="AT44" ca="1">IF(T20=C20,SUM(IF(($BR$41:$BR$49=C20)*($BS$40:$CA$40=T18),$BS$41:$CA$49)),0)</f>
        <v>0</v>
      </c>
      <c r="AU44" s="4">
        <f t="array" aca="1" ref="AU44" ca="1">IF(T20=C20,SUM(IF(($BR$41:$BR$49=C20)*($BS$40:$CA$40=T19),$BS$41:$CA$49)),0)</f>
        <v>0</v>
      </c>
      <c r="AV44" s="4">
        <f t="array" aca="1" ref="AV44" ca="1">IF(T20=C20,SUM(IF(($BR$41:$BR$49=C20)*($BS$40:$CA$40=T21),$BS$41:$CA$49)),0)</f>
        <v>0</v>
      </c>
      <c r="AW44" s="4">
        <f t="array" aca="1" ref="AW44" ca="1">IF(T20=C20,SUM(IF(($BR$41:$BR$49=C20)*($BS$40:$CA$40=T22),$BS$41:$CA$49)),0)</f>
        <v>0</v>
      </c>
      <c r="AX44" s="4">
        <f t="array" aca="1" ref="AX44" ca="1">IF(T20=C20,SUM(IF(($BR$41:$BR$49=C20)*($BS$40:$CA$40=T23),$BS$41:$CA$49)),0)</f>
        <v>0</v>
      </c>
      <c r="AY44" s="4">
        <f t="array" aca="1" ref="AY44" ca="1">IF(T20=C20,SUM(IF(($BR$41:$BR$49=C20)*($BS$40:$CA$40=T$24),$BS$41:$CA$49)),0)</f>
        <v>0</v>
      </c>
      <c r="AZ44" s="4">
        <f t="array" aca="1" ref="AZ44" ca="1">IF(T20=C20,SUM(IF(($BR$41:$BR$49=C20)*($BS$40:$CA$40=T$25),$BS$41:$CA$49)),0)</f>
        <v>0</v>
      </c>
      <c r="BA44" s="6">
        <f t="array" aca="1" ref="BA44" ca="1">IF(U20=C20,SUM(IF(($BR$41:$BR$49=C20)*($BS$40:$CA$40=U$17),$BS$41:$CA$49)),0)</f>
        <v>0</v>
      </c>
      <c r="BB44" s="4">
        <f t="array" aca="1" ref="BB44" ca="1">IF(U20=C20,SUM(IF(($BR$41:$BR$49=C20)*($BS$40:$CA$40=U$18),$BS$41:$CA$49)),0)</f>
        <v>0</v>
      </c>
      <c r="BC44" s="4">
        <f t="array" aca="1" ref="BC44" ca="1">IF(U20=C20,SUM(IF(($BR$41:$BR$49=C20)*($BS$40:$CA$40=U$19),$BS$41:$CA$49)),0)</f>
        <v>0</v>
      </c>
      <c r="BD44" s="4">
        <f t="array" aca="1" ref="BD44" ca="1">IF(U20=C20,SUM(IF(($BR$41:$BR$49=C20)*($BS$40:$CA$40=U$21),$BS$41:$CA$49)),0)</f>
        <v>0</v>
      </c>
      <c r="BE44" s="4">
        <f t="array" aca="1" ref="BE44" ca="1">IF(U20=C20,SUM(IF(($BR$41:$BR$49=C20)*($BS$40:$CA$40=U$22),$BS$41:$CA$49)),0)</f>
        <v>0</v>
      </c>
      <c r="BF44" s="4">
        <f t="array" aca="1" ref="BF44" ca="1">IF(U20=C20,SUM(IF(($BR$41:$BR$49=C20)*($BS$40:$CA$40=U$23),$BS$41:$CA$49)),0)</f>
        <v>0</v>
      </c>
      <c r="BG44" s="4">
        <f t="array" aca="1" ref="BG44" ca="1">IF(U20=C20,SUM(IF(($BR$41:$BR$49=C20)*($BS$40:$CA$40=U$24),$BS$41:$CA$49)),0)</f>
        <v>0</v>
      </c>
      <c r="BH44" s="4">
        <f t="array" aca="1" ref="BH44" ca="1">IF(U20=C20,SUM(IF(($BR$41:$BR$49=C20)*($BS$40:$CA$40=U$25),$BS$41:$CA$49)),0)</f>
        <v>0</v>
      </c>
      <c r="BI44" s="6">
        <f t="array" aca="1" ref="BI44" ca="1">IF(V20=C20,SUM(IF(($BR$41:$BR$49=C20)*($BS$40:$CA$40=V$18),$BS$41:$CA$49)),0)</f>
        <v>0</v>
      </c>
      <c r="BJ44" s="4">
        <f t="array" aca="1" ref="BJ44" ca="1">IF(V20=C20,SUM(IF(($BR$41:$BR$49=C20)*($BS$40:$CA$40=V$19),$BS$41:$CA$49)),0)</f>
        <v>0</v>
      </c>
      <c r="BK44" s="4">
        <f t="array" aca="1" ref="BK44" ca="1">IF(V20=C20,SUM(IF(($BR$41:$BR$49=C20)*($BS$40:$CA$40=V$20),$BS$41:$CA$49)),0)</f>
        <v>0</v>
      </c>
      <c r="BL44" s="4">
        <f t="array" aca="1" ref="BL44" ca="1">IF(V20=C20,SUM(IF(($BR$41:$BR$49=C20)*($BS$40:$CA$40=V$21),$BS$41:$CA$49)),0)</f>
        <v>0</v>
      </c>
      <c r="BM44" s="4">
        <f t="array" aca="1" ref="BM44" ca="1">IF(V20=C20,SUM(IF(($BR$41:$BR$49=C20)*($BS$40:$CA$40=V$22),$BS$41:$CA$49)),0)</f>
        <v>0</v>
      </c>
      <c r="BN44" s="4">
        <f t="array" aca="1" ref="BN44" ca="1">IF(V20=C20,SUM(IF(($BR$41:$BR$49=C20)*($BS$40:$CA$40=V$23),$BS$41:$CA$49)),0)</f>
        <v>0</v>
      </c>
      <c r="BO44" s="4">
        <f t="array" aca="1" ref="BO44" ca="1">IF(V20=C20,SUM(IF(($BR$41:$BR$49=C20)*($BS$40:$CA$40=V$24),$BS$41:$CA$49)),0)</f>
        <v>0</v>
      </c>
      <c r="BP44" s="16">
        <f t="array" aca="1" ref="BP44" ca="1">IF(V20=C20,SUM(IF(($BR$41:$BR$49=C20)*($BS$40:$CA$40=V$25),$BS$41:$CA$49)),0)</f>
        <v>0</v>
      </c>
      <c r="BQ44" s="4"/>
      <c r="BR44" s="2" t="str">
        <f t="shared" si="70"/>
        <v>Maibach 1822 eV</v>
      </c>
      <c r="BS44" s="9">
        <f ca="1">IF(BV41="","",-1*BV41)</f>
        <v>0</v>
      </c>
      <c r="BT44" s="9">
        <f ca="1">IF(BV42="","",-1*BV42)</f>
        <v>0</v>
      </c>
      <c r="BU44" s="9">
        <f ca="1">IF(BV43="","",-1*BV43)</f>
        <v>1</v>
      </c>
      <c r="BV44" s="7"/>
      <c r="BW44" s="8">
        <f ca="1">BW33-BV34</f>
        <v>0</v>
      </c>
      <c r="BX44" s="8">
        <f ca="1">BX33-BV35</f>
        <v>0</v>
      </c>
      <c r="BY44" s="8">
        <f ca="1">BY33-BV36</f>
        <v>0</v>
      </c>
      <c r="BZ44" s="8">
        <f ca="1">BZ33-BV37</f>
        <v>0</v>
      </c>
      <c r="CA44" s="8">
        <f ca="1">CA33-BV38</f>
        <v>0</v>
      </c>
      <c r="CB44" s="4"/>
    </row>
    <row r="45" spans="2:80" s="2" customFormat="1" x14ac:dyDescent="0.2">
      <c r="E45" s="15">
        <f t="array" aca="1" ref="E45" ca="1">IF(O21=C21,SUM(IF(($BR$41:$BR$49=C21)*($BS$40:$CA$40=O17),$BS$41:$CA$49)),0)</f>
        <v>0</v>
      </c>
      <c r="F45" s="4">
        <f t="array" aca="1" ref="F45" ca="1">IF(O21=C21,SUM(IF(($BR$41:$BR$49=C21)*($BS$40:$CA$40=O18),$BS$41:$CA$49)),0)</f>
        <v>0</v>
      </c>
      <c r="G45" s="4">
        <f t="array" aca="1" ref="G45" ca="1">IF(O21=C21,SUM(IF(($BR$41:$BR$49=C21)*($BS$40:$CA$40=O19),$BS$41:$CA$49)),0)</f>
        <v>0</v>
      </c>
      <c r="H45" s="4">
        <f t="array" aca="1" ref="H45" ca="1">IF(O21=C21,SUM(IF(($BR$41:$BR$49=C21)*($BS$40:$CA$40=O20),$BS$41:$CA$49)),0)</f>
        <v>0</v>
      </c>
      <c r="I45" s="4">
        <f t="array" aca="1" ref="I45" ca="1">IF(O21=C21,SUM(IF(($BR$41:$BR$49=C21)*($BS$40:$CA$40=O22),$BS$41:$CA$49)),0)</f>
        <v>0</v>
      </c>
      <c r="J45" s="4">
        <f t="array" aca="1" ref="J45" ca="1">IF(O21=C21,SUM(IF(($BR$41:$BR$49=C21)*($BS$40:$CA$40=O23),$BS$41:$CA$49)),0)</f>
        <v>0</v>
      </c>
      <c r="K45" s="4">
        <f t="array" aca="1" ref="K45" ca="1">IF(O21=C21,SUM(IF(($BR$41:$BR$49=C21)*($BS$40:$CA$40=O$24),$BS$41:$CA$49)),0)</f>
        <v>0</v>
      </c>
      <c r="L45" s="4">
        <f t="array" aca="1" ref="L45" ca="1">IF(O21=C21,SUM(IF(($BR$41:$BR$49=C21)*($BS$40:$CA$40=O$25),$BS$41:$CA$49)),0)</f>
        <v>0</v>
      </c>
      <c r="M45" s="6">
        <f t="array" aca="1" ref="M45" ca="1">IF(P21=C21,SUM(IF(($BR$41:$BR$49=C21)*($BS$40:$CA$40=P17),$BS$41:$CA$49)),0)</f>
        <v>0</v>
      </c>
      <c r="N45" s="4">
        <f t="array" aca="1" ref="N45" ca="1">IF(P21=C21,SUM(IF(($BR$41:$BR$49=C21)*($BS$40:$CA$40=P18),$BS$41:$CA$49)),0)</f>
        <v>0</v>
      </c>
      <c r="O45" s="4">
        <f t="array" aca="1" ref="O45" ca="1">IF(P21=C21,SUM(IF(($BR$41:$BR$49=C21)*($BS$40:$CA$40=P19),$BS$41:$CA$49)),0)</f>
        <v>0</v>
      </c>
      <c r="P45" s="4">
        <f t="array" aca="1" ref="P45" ca="1">IF(P21=C21,SUM(IF(($BR$41:$BR$49=C21)*($BS$40:$CA$40=P20),$BS$41:$CA$49)),0)</f>
        <v>0</v>
      </c>
      <c r="Q45" s="4">
        <f t="array" aca="1" ref="Q45" ca="1">IF(P21=C21,SUM(IF(($BR$41:$BR$49=C21)*($BS$40:$CA$40=P22),$BS$41:$CA$49)),0)</f>
        <v>0</v>
      </c>
      <c r="R45" s="4">
        <f t="array" aca="1" ref="R45" ca="1">IF(P21=C21,SUM(IF(($BR$41:$BR$49=C21)*($BS$40:$CA$40=P23),$BS$41:$CA$49)),0)</f>
        <v>0</v>
      </c>
      <c r="S45" s="4">
        <f t="array" aca="1" ref="S45" ca="1">IF(P21=C21,SUM(IF(($BR$41:$BR$49=C21)*($BS$40:$CA$40=P$24),$BS$41:$CA$49)),0)</f>
        <v>0</v>
      </c>
      <c r="T45" s="4">
        <f t="array" aca="1" ref="T45" ca="1">IF(P21=C21,SUM(IF(($BR$41:$BR$49=C21)*($BS$40:$CA$40=P$25),$BS$41:$CA$49)),0)</f>
        <v>0</v>
      </c>
      <c r="U45" s="6">
        <f t="array" aca="1" ref="U45" ca="1">IF(Q21=C21,SUM(IF(($BR$41:$BR$49=C21)*($BS$40:$CA$40=Q17),$BS$41:$CA$49)),0)</f>
        <v>0</v>
      </c>
      <c r="V45" s="4">
        <f t="array" aca="1" ref="V45" ca="1">IF(Q21=C21,SUM(IF(($BR$41:$BR$49=C21)*($BS$40:$CA$40=Q18),$BS$41:$CA$49)),0)</f>
        <v>0</v>
      </c>
      <c r="W45" s="4">
        <f t="array" aca="1" ref="W45" ca="1">IF(Q21=C21,SUM(IF(($BR$41:$BR$49=C21)*($BS$40:$CA$40=Q19),$BS$41:$CA$49)),0)</f>
        <v>0</v>
      </c>
      <c r="X45" s="4">
        <f t="array" aca="1" ref="X45" ca="1">IF(Q21=C21,SUM(IF(($BR$41:$BR$49=C21)*($BS$40:$CA$40=Q20),$BS$41:$CA$49)),0)</f>
        <v>0</v>
      </c>
      <c r="Y45" s="4">
        <f t="array" aca="1" ref="Y45" ca="1">IF(Q21=C21,SUM(IF(($BR$41:$BR$49=C21)*($BS$40:$CA$40=Q22),$BS$41:$CA$49)),0)</f>
        <v>0</v>
      </c>
      <c r="Z45" s="4">
        <f t="array" aca="1" ref="Z45" ca="1">IF(Q21=C21,SUM(IF(($BR$41:$BR$49=C21)*($BS$40:$CA$40=Q23),$BS$41:$CA$49)),0)</f>
        <v>0</v>
      </c>
      <c r="AA45" s="4">
        <f t="array" aca="1" ref="AA45" ca="1">IF(Q21=C21,SUM(IF(($BR$41:$BR$49=C21)*($BS$40:$CA$40=Q$24),$BS$41:$CA$49)),0)</f>
        <v>0</v>
      </c>
      <c r="AB45" s="4">
        <f t="array" aca="1" ref="AB45" ca="1">IF(Q21=C21,SUM(IF(($BR$41:$BR$49=C21)*($BS$40:$CA$40=Q$25),$BS$41:$CA$49)),0)</f>
        <v>0</v>
      </c>
      <c r="AC45" s="6">
        <f t="array" aca="1" ref="AC45" ca="1">IF(R21=C21,SUM(IF(($BR$41:$BR$49=C21)*($BS$40:$CA$40=R17),$BS$41:$CA$49)),0)</f>
        <v>0</v>
      </c>
      <c r="AD45" s="4">
        <f t="array" aca="1" ref="AD45" ca="1">IF(R21=C21,SUM(IF(($BR$41:$BR$49=C21)*($BS$40:$CA$40=R18),$BS$41:$CA$49)),0)</f>
        <v>0</v>
      </c>
      <c r="AE45" s="4">
        <f t="array" aca="1" ref="AE45" ca="1">IF(R21=C21,SUM(IF(($BR$41:$BR$49=C21)*($BS$40:$CA$40=R19),$BS$41:$CA$49)),0)</f>
        <v>0</v>
      </c>
      <c r="AF45" s="4">
        <f t="array" aca="1" ref="AF45" ca="1">IF(R21=C21,SUM(IF(($BR$41:$BR$49=C21)*($BS$40:$CA$40=R20),$BS$41:$CA$49)),0)</f>
        <v>0</v>
      </c>
      <c r="AG45" s="4">
        <f t="array" aca="1" ref="AG45" ca="1">IF(R21=C21,SUM(IF(($BR$41:$BR$49=C21)*($BS$40:$CA$40=R22),$BS$41:$CA$49)),0)</f>
        <v>0</v>
      </c>
      <c r="AH45" s="4">
        <f t="array" aca="1" ref="AH45" ca="1">IF(R21=C21,SUM(IF(($BR$41:$BR$49=C21)*($BS$40:$CA$40=R23),$BS$41:$CA$49)),0)</f>
        <v>0</v>
      </c>
      <c r="AI45" s="4">
        <f t="array" aca="1" ref="AI45" ca="1">IF(R21=C21,SUM(IF(($BR$41:$BR$49=C21)*($BS$40:$CA$40=R$24),$BS$41:$CA$49)),0)</f>
        <v>0</v>
      </c>
      <c r="AJ45" s="4">
        <f t="array" aca="1" ref="AJ45" ca="1">IF(R21=C21,SUM(IF(($BR$41:$BR$49=C21)*($BS$40:$CA$40=R$25),$BS$41:$CA$49)),0)</f>
        <v>0</v>
      </c>
      <c r="AK45" s="6">
        <f t="array" aca="1" ref="AK45" ca="1">IF(S21=C21,SUM(IF(($BR$41:$BR$49=C21)*($BS$40:$CA$40=S17),$BS$41:$CA$49)),0)</f>
        <v>0</v>
      </c>
      <c r="AL45" s="4">
        <f t="array" aca="1" ref="AL45" ca="1">IF(S21=C21,SUM(IF(($BR$41:$BR$49=C21)*($BS$40:$CA$40=S18),$BS$41:$CA$49)),0)</f>
        <v>0</v>
      </c>
      <c r="AM45" s="4">
        <f t="array" aca="1" ref="AM45" ca="1">IF(S21=C21,SUM(IF(($BR$41:$BR$49=C21)*($BS$40:$CA$40=S19),$BS$41:$CA$49)),0)</f>
        <v>0</v>
      </c>
      <c r="AN45" s="4">
        <f t="array" aca="1" ref="AN45" ca="1">IF(S21=C21,SUM(IF(($BR$41:$BR$49=C21)*($BS$40:$CA$40=S20),$BS$41:$CA$49)),0)</f>
        <v>0</v>
      </c>
      <c r="AO45" s="4">
        <f t="array" aca="1" ref="AO45" ca="1">IF(S21=C21,SUM(IF(($BR$41:$BR$49=C21)*($BS$40:$CA$40=S22),$BS$41:$CA$49)),0)</f>
        <v>0</v>
      </c>
      <c r="AP45" s="4">
        <f t="array" aca="1" ref="AP45" ca="1">IF(S21=C21,SUM(IF(($BR$41:$BR$49=C21)*($BS$40:$CA$40=S23),$BS$41:$CA$49)),0)</f>
        <v>0</v>
      </c>
      <c r="AQ45" s="4">
        <f t="array" aca="1" ref="AQ45" ca="1">IF(S21=C21,SUM(IF(($BR$41:$BR$49=C21)*($BS$40:$CA$40=S$24),$BS$41:$CA$49)),0)</f>
        <v>0</v>
      </c>
      <c r="AR45" s="4">
        <f t="array" aca="1" ref="AR45" ca="1">IF(S21=C21,SUM(IF(($BR$41:$BR$49=C21)*($BS$40:$CA$40=S$25),$BS$41:$CA$49)),0)</f>
        <v>0</v>
      </c>
      <c r="AS45" s="6">
        <f t="array" aca="1" ref="AS45" ca="1">IF(T21=C21,SUM(IF(($BR$41:$BR$49=C21)*($BS$40:$CA$40=T17),$BS$41:$CA$49)),0)</f>
        <v>0</v>
      </c>
      <c r="AT45" s="4">
        <f t="array" aca="1" ref="AT45" ca="1">IF(T21=C21,SUM(IF(($BR$41:$BR$49=C21)*($BS$40:$CA$40=T18),$BS$41:$CA$49)),0)</f>
        <v>0</v>
      </c>
      <c r="AU45" s="4">
        <f t="array" aca="1" ref="AU45" ca="1">IF(T21=C21,SUM(IF(($BR$41:$BR$49=C21)*($BS$40:$CA$40=T19),$BS$41:$CA$49)),0)</f>
        <v>0</v>
      </c>
      <c r="AV45" s="4">
        <f t="array" aca="1" ref="AV45" ca="1">IF(T21=C21,SUM(IF(($BR$41:$BR$49=C21)*($BS$40:$CA$40=T20),$BS$41:$CA$49)),0)</f>
        <v>0</v>
      </c>
      <c r="AW45" s="4">
        <f t="array" aca="1" ref="AW45" ca="1">IF(T21=C21,SUM(IF(($BR$41:$BR$49=C21)*($BS$40:$CA$40=T22),$BS$41:$CA$49)),0)</f>
        <v>0</v>
      </c>
      <c r="AX45" s="4">
        <f t="array" aca="1" ref="AX45" ca="1">IF(T21=C21,SUM(IF(($BR$41:$BR$49=C21)*($BS$40:$CA$40=T23),$BS$41:$CA$49)),0)</f>
        <v>0</v>
      </c>
      <c r="AY45" s="4">
        <f t="array" aca="1" ref="AY45" ca="1">IF(T21=C21,SUM(IF(($BR$41:$BR$49=C21)*($BS$40:$CA$40=T$24),$BS$41:$CA$49)),0)</f>
        <v>0</v>
      </c>
      <c r="AZ45" s="4">
        <f t="array" aca="1" ref="AZ45" ca="1">IF(T21=C21,SUM(IF(($BR$41:$BR$49=C21)*($BS$40:$CA$40=T$25),$BS$41:$CA$49)),0)</f>
        <v>0</v>
      </c>
      <c r="BA45" s="6">
        <f t="array" aca="1" ref="BA45" ca="1">IF(U21=C21,SUM(IF(($BR$41:$BR$49=C21)*($BS$40:$CA$40=U$17),$BS$41:$CA$49)),0)</f>
        <v>0</v>
      </c>
      <c r="BB45" s="4">
        <f t="array" aca="1" ref="BB45" ca="1">IF(U21=C21,SUM(IF(($BR$41:$BR$49=C21)*($BS$40:$CA$40=U$18),$BS$41:$CA$49)),0)</f>
        <v>0</v>
      </c>
      <c r="BC45" s="4">
        <f t="array" aca="1" ref="BC45" ca="1">IF(U21=C21,SUM(IF(($BR$41:$BR$49=C21)*($BS$40:$CA$40=U$19),$BS$41:$CA$49)),0)</f>
        <v>0</v>
      </c>
      <c r="BD45" s="4">
        <f t="array" aca="1" ref="BD45" ca="1">IF(U21=C21,SUM(IF(($BR$41:$BR$49=C21)*($BS$40:$CA$40=U$20),$BS$41:$CA$49)),0)</f>
        <v>0</v>
      </c>
      <c r="BE45" s="4">
        <f t="array" aca="1" ref="BE45" ca="1">IF(U21=C21,SUM(IF(($BR$41:$BR$49=C21)*($BS$40:$CA$40=U$22),$BS$41:$CA$49)),0)</f>
        <v>0</v>
      </c>
      <c r="BF45" s="4">
        <f t="array" aca="1" ref="BF45" ca="1">IF(U21=C21,SUM(IF(($BR$41:$BR$49=C21)*($BS$40:$CA$40=U$23),$BS$41:$CA$49)),0)</f>
        <v>0</v>
      </c>
      <c r="BG45" s="4">
        <f t="array" aca="1" ref="BG45" ca="1">IF(U21=C21,SUM(IF(($BR$41:$BR$49=C21)*($BS$40:$CA$40=U$24),$BS$41:$CA$49)),0)</f>
        <v>0</v>
      </c>
      <c r="BH45" s="4">
        <f t="array" aca="1" ref="BH45" ca="1">IF(U21=C21,SUM(IF(($BR$41:$BR$49=C21)*($BS$40:$CA$40=U$25),$BS$41:$CA$49)),0)</f>
        <v>0</v>
      </c>
      <c r="BI45" s="6">
        <f t="array" aca="1" ref="BI45" ca="1">IF(V21=C21,SUM(IF(($BR$41:$BR$49=C21)*($BS$40:$CA$40=V$18),$BS$41:$CA$49)),0)</f>
        <v>0</v>
      </c>
      <c r="BJ45" s="4">
        <f t="array" aca="1" ref="BJ45" ca="1">IF(V21=C21,SUM(IF(($BR$41:$BR$49=C21)*($BS$40:$CA$40=V$19),$BS$41:$CA$49)),0)</f>
        <v>0</v>
      </c>
      <c r="BK45" s="4">
        <f t="array" aca="1" ref="BK45" ca="1">IF(V21=C21,SUM(IF(($BR$41:$BR$49=C21)*($BS$40:$CA$40=V$20),$BS$41:$CA$49)),0)</f>
        <v>0</v>
      </c>
      <c r="BL45" s="4">
        <f t="array" aca="1" ref="BL45" ca="1">IF(V21=C21,SUM(IF(($BR$41:$BR$49=C21)*($BS$40:$CA$40=V$21),$BS$41:$CA$49)),0)</f>
        <v>0</v>
      </c>
      <c r="BM45" s="4">
        <f t="array" aca="1" ref="BM45" ca="1">IF(V21=C21,SUM(IF(($BR$41:$BR$49=C21)*($BS$40:$CA$40=V$22),$BS$41:$CA$49)),0)</f>
        <v>0</v>
      </c>
      <c r="BN45" s="4">
        <f t="array" aca="1" ref="BN45" ca="1">IF(V21=C21,SUM(IF(($BR$41:$BR$49=C21)*($BS$40:$CA$40=V$23),$BS$41:$CA$49)),0)</f>
        <v>0</v>
      </c>
      <c r="BO45" s="4">
        <f t="array" aca="1" ref="BO45" ca="1">IF(V21=C21,SUM(IF(($BR$41:$BR$49=C21)*($BS$40:$CA$40=V$24),$BS$41:$CA$49)),0)</f>
        <v>0</v>
      </c>
      <c r="BP45" s="16">
        <f t="array" aca="1" ref="BP45" ca="1">IF(V21=C21,SUM(IF(($BR$41:$BR$49=C21)*($BS$40:$CA$40=V$25),$BS$41:$CA$49)),0)</f>
        <v>0</v>
      </c>
      <c r="BQ45" s="4"/>
      <c r="BR45" s="2" t="str">
        <f t="shared" si="70"/>
        <v>VFB Essenheim</v>
      </c>
      <c r="BS45" s="9">
        <f ca="1">IF(BW41="","",-1*BW41)</f>
        <v>0</v>
      </c>
      <c r="BT45" s="9">
        <f ca="1">IF(BW42="","",-1*BW42)</f>
        <v>0</v>
      </c>
      <c r="BU45" s="9">
        <f ca="1">IF(BW43="","",-1*BW43)</f>
        <v>0</v>
      </c>
      <c r="BV45" s="9">
        <f ca="1">IF(BW44="","",-1*BW44)</f>
        <v>0</v>
      </c>
      <c r="BW45" s="7"/>
      <c r="BX45" s="8">
        <f ca="1">BX34-BW35</f>
        <v>0</v>
      </c>
      <c r="BY45" s="8">
        <f ca="1">BY34-BW36</f>
        <v>0</v>
      </c>
      <c r="BZ45" s="8">
        <f ca="1">BZ34-BW37</f>
        <v>0</v>
      </c>
      <c r="CA45" s="8">
        <f ca="1">CA34-BW38</f>
        <v>0</v>
      </c>
      <c r="CB45" s="4"/>
    </row>
    <row r="46" spans="2:80" s="2" customFormat="1" x14ac:dyDescent="0.2">
      <c r="E46" s="15">
        <f t="array" aca="1" ref="E46" ca="1">IF(O22=C22,SUM(IF(($BR$41:$BR$49=C22)*($BS$40:$CA$40=O17),$BS$41:$CA$49)),0)</f>
        <v>0</v>
      </c>
      <c r="F46" s="4">
        <f t="array" aca="1" ref="F46" ca="1">IF(O22=C22,SUM(IF(($BR$41:$BR$49=C22)*($BS$40:$CA$40=O18),$BS$41:$CA$49)),0)</f>
        <v>0</v>
      </c>
      <c r="G46" s="4">
        <f t="array" aca="1" ref="G46" ca="1">IF(O22=C22,SUM(IF(($BR$41:$BR$49=C22)*($BS$40:$CA$40=O19),$BS$41:$CA$49)),0)</f>
        <v>0</v>
      </c>
      <c r="H46" s="4">
        <f t="array" aca="1" ref="H46" ca="1">IF(O22=C22,SUM(IF(($BR$41:$BR$49=C22)*($BS$40:$CA$40=O20),$BS$41:$CA$49)),0)</f>
        <v>0</v>
      </c>
      <c r="I46" s="4">
        <f t="array" aca="1" ref="I46" ca="1">IF(O22=C22,SUM(IF(($BR$41:$BR$49=C22)*($BS$40:$CA$40=O21),$BS$41:$CA$49)),0)</f>
        <v>0</v>
      </c>
      <c r="J46" s="4">
        <f t="array" aca="1" ref="J46" ca="1">IF(O22=C22,SUM(IF(($BR$41:$BR$49=C22)*($BS$40:$CA$40=O23),$BS$41:$CA$49)),0)</f>
        <v>0</v>
      </c>
      <c r="K46" s="4">
        <f t="array" aca="1" ref="K46" ca="1">IF(O22=C22,SUM(IF(($BR$41:$BR$49=C22)*($BS$40:$CA$40=O$24),$BS$41:$CA$49)),0)</f>
        <v>0</v>
      </c>
      <c r="L46" s="4">
        <f t="array" aca="1" ref="L46" ca="1">IF(O22=C22,SUM(IF(($BR$41:$BR$49=C22)*($BS$40:$CA$40=O$25),$BS$41:$CA$49)),0)</f>
        <v>0</v>
      </c>
      <c r="M46" s="6">
        <f t="array" aca="1" ref="M46" ca="1">IF(P22=C22,SUM(IF(($BR$41:$BR$49=C22)*($BS$40:$CA$40=P17),$BS$41:$CA$49)),0)</f>
        <v>0</v>
      </c>
      <c r="N46" s="4">
        <f t="array" aca="1" ref="N46" ca="1">IF(P22=C22,SUM(IF(($BR$41:$BR$49=C22)*($BS$40:$CA$40=P18),$BS$41:$CA$49)),0)</f>
        <v>0</v>
      </c>
      <c r="O46" s="4">
        <f t="array" aca="1" ref="O46" ca="1">IF(P22=C22,SUM(IF(($BR$41:$BR$49=C22)*($BS$40:$CA$40=P19),$BS$41:$CA$49)),0)</f>
        <v>0</v>
      </c>
      <c r="P46" s="4">
        <f t="array" aca="1" ref="P46" ca="1">IF(P22=C22,SUM(IF(($BR$41:$BR$49=C22)*($BS$40:$CA$40=P20),$BS$41:$CA$49)),0)</f>
        <v>0</v>
      </c>
      <c r="Q46" s="4">
        <f t="array" aca="1" ref="Q46" ca="1">IF(P22=C22,SUM(IF(($BR$41:$BR$49=C22)*($BS$40:$CA$40=P21),$BS$41:$CA$49)),0)</f>
        <v>0</v>
      </c>
      <c r="R46" s="4">
        <f t="array" aca="1" ref="R46" ca="1">IF(P22=C22,SUM(IF(($BR$41:$BR$49=C22)*($BS$40:$CA$40=P23),$BS$41:$CA$49)),0)</f>
        <v>0</v>
      </c>
      <c r="S46" s="4">
        <f t="array" aca="1" ref="S46" ca="1">IF(P22=C22,SUM(IF(($BR$41:$BR$49=C22)*($BS$40:$CA$40=P$24),$BS$41:$CA$49)),0)</f>
        <v>0</v>
      </c>
      <c r="T46" s="4">
        <f t="array" aca="1" ref="T46" ca="1">IF(P22=C22,SUM(IF(($BR$41:$BR$49=C22)*($BS$40:$CA$40=P$25),$BS$41:$CA$49)),0)</f>
        <v>0</v>
      </c>
      <c r="U46" s="6">
        <f t="array" aca="1" ref="U46" ca="1">IF(Q22=C22,SUM(IF(($BR$41:$BR$49=C22)*($BS$40:$CA$40=Q17),$BS$41:$CA$49)),0)</f>
        <v>0</v>
      </c>
      <c r="V46" s="4">
        <f t="array" aca="1" ref="V46" ca="1">IF(Q22=C22,SUM(IF(($BR$41:$BR$49=C22)*($BS$40:$CA$40=Q18),$BS$41:$CA$49)),0)</f>
        <v>0</v>
      </c>
      <c r="W46" s="4">
        <f t="array" aca="1" ref="W46" ca="1">IF(Q22=C22,SUM(IF(($BR$41:$BR$49=C22)*($BS$40:$CA$40=Q19),$BS$41:$CA$49)),0)</f>
        <v>0</v>
      </c>
      <c r="X46" s="4">
        <f t="array" aca="1" ref="X46" ca="1">IF(Q22=C22,SUM(IF(($BR$41:$BR$49=C22)*($BS$40:$CA$40=Q20),$BS$41:$CA$49)),0)</f>
        <v>0</v>
      </c>
      <c r="Y46" s="4">
        <f t="array" aca="1" ref="Y46" ca="1">IF(Q22=C22,SUM(IF(($BR$41:$BR$49=C22)*($BS$40:$CA$40=Q21),$BS$41:$CA$49)),0)</f>
        <v>0</v>
      </c>
      <c r="Z46" s="4">
        <f t="array" aca="1" ref="Z46" ca="1">IF(Q22=C22,SUM(IF(($BR$41:$BR$49=C22)*($BS$40:$CA$40=Q23),$BS$41:$CA$49)),0)</f>
        <v>0</v>
      </c>
      <c r="AA46" s="4">
        <f t="array" aca="1" ref="AA46" ca="1">IF(Q22=C22,SUM(IF(($BR$41:$BR$49=C22)*($BS$40:$CA$40=Q$24),$BS$41:$CA$49)),0)</f>
        <v>0</v>
      </c>
      <c r="AB46" s="4">
        <f t="array" aca="1" ref="AB46" ca="1">IF(Q22=C22,SUM(IF(($BR$41:$BR$49=C22)*($BS$40:$CA$40=Q$25),$BS$41:$CA$49)),0)</f>
        <v>0</v>
      </c>
      <c r="AC46" s="6">
        <f t="array" aca="1" ref="AC46" ca="1">IF(R22=C22,SUM(IF(($BR$41:$BR$49=C22)*($BS$40:$CA$40=R17),$BS$41:$CA$49)),0)</f>
        <v>0</v>
      </c>
      <c r="AD46" s="4">
        <f t="array" aca="1" ref="AD46" ca="1">IF(R22=C22,SUM(IF(($BR$41:$BR$49=C22)*($BS$40:$CA$40=R18),$BS$41:$CA$49)),0)</f>
        <v>0</v>
      </c>
      <c r="AE46" s="4">
        <f t="array" aca="1" ref="AE46" ca="1">IF(R22=C22,SUM(IF(($BR$41:$BR$49=C22)*($BS$40:$CA$40=R19),$BS$41:$CA$49)),0)</f>
        <v>0</v>
      </c>
      <c r="AF46" s="4">
        <f t="array" aca="1" ref="AF46" ca="1">IF(R22=C22,SUM(IF(($BR$41:$BR$49=C22)*($BS$40:$CA$40=R20),$BS$41:$CA$49)),0)</f>
        <v>0</v>
      </c>
      <c r="AG46" s="4">
        <f t="array" aca="1" ref="AG46" ca="1">IF(R22=C22,SUM(IF(($BR$41:$BR$49=C22)*($BS$40:$CA$40=R21),$BS$41:$CA$49)),0)</f>
        <v>0</v>
      </c>
      <c r="AH46" s="4">
        <f t="array" aca="1" ref="AH46" ca="1">IF(R22=C22,SUM(IF(($BR$41:$BR$49=C22)*($BS$40:$CA$40=R23),$BS$41:$CA$49)),0)</f>
        <v>0</v>
      </c>
      <c r="AI46" s="4">
        <f t="array" aca="1" ref="AI46" ca="1">IF(R22=C22,SUM(IF(($BR$41:$BR$49=C22)*($BS$40:$CA$40=R$24),$BS$41:$CA$49)),0)</f>
        <v>0</v>
      </c>
      <c r="AJ46" s="4">
        <f t="array" aca="1" ref="AJ46" ca="1">IF(R22=C22,SUM(IF(($BR$41:$BR$49=C22)*($BS$40:$CA$40=R$25),$BS$41:$CA$49)),0)</f>
        <v>0</v>
      </c>
      <c r="AK46" s="6">
        <f t="array" aca="1" ref="AK46" ca="1">IF(S22=C22,SUM(IF(($BR$41:$BR$49=C22)*($BS$40:$CA$40=S17),$BS$41:$CA$49)),0)</f>
        <v>0</v>
      </c>
      <c r="AL46" s="4">
        <f t="array" aca="1" ref="AL46" ca="1">IF(S22=C22,SUM(IF(($BR$41:$BR$49=C22)*($BS$40:$CA$40=S18),$BS$41:$CA$49)),0)</f>
        <v>0</v>
      </c>
      <c r="AM46" s="4">
        <f t="array" aca="1" ref="AM46" ca="1">IF(S22=C22,SUM(IF(($BR$41:$BR$49=C22)*($BS$40:$CA$40=S19),$BS$41:$CA$49)),0)</f>
        <v>0</v>
      </c>
      <c r="AN46" s="4">
        <f t="array" aca="1" ref="AN46" ca="1">IF(S22=C22,SUM(IF(($BR$41:$BR$49=C22)*($BS$40:$CA$40=S20),$BS$41:$CA$49)),0)</f>
        <v>0</v>
      </c>
      <c r="AO46" s="4">
        <f t="array" aca="1" ref="AO46" ca="1">IF(S22=C22,SUM(IF(($BR$41:$BR$49=C22)*($BS$40:$CA$40=S21),$BS$41:$CA$49)),0)</f>
        <v>0</v>
      </c>
      <c r="AP46" s="4">
        <f t="array" aca="1" ref="AP46" ca="1">IF(S22=C22,SUM(IF(($BR$41:$BR$49=C22)*($BS$40:$CA$40=S23),$BS$41:$CA$49)),0)</f>
        <v>0</v>
      </c>
      <c r="AQ46" s="4">
        <f t="array" aca="1" ref="AQ46" ca="1">IF(S22=C22,SUM(IF(($BR$41:$BR$49=C22)*($BS$40:$CA$40=S$24),$BS$41:$CA$49)),0)</f>
        <v>0</v>
      </c>
      <c r="AR46" s="4">
        <f t="array" aca="1" ref="AR46" ca="1">IF(S22=C22,SUM(IF(($BR$41:$BR$49=C22)*($BS$40:$CA$40=S$25),$BS$41:$CA$49)),0)</f>
        <v>0</v>
      </c>
      <c r="AS46" s="6">
        <f t="array" aca="1" ref="AS46" ca="1">IF(T22=C22,SUM(IF(($BR$41:$BR$49=C22)*($BS$40:$CA$40=T17),$BS$41:$CA$49)),0)</f>
        <v>0</v>
      </c>
      <c r="AT46" s="4">
        <f t="array" aca="1" ref="AT46" ca="1">IF(T22=C22,SUM(IF(($BR$41:$BR$49=C22)*($BS$40:$CA$40=T18),$BS$41:$CA$49)),0)</f>
        <v>0</v>
      </c>
      <c r="AU46" s="4">
        <f t="array" aca="1" ref="AU46" ca="1">IF(T22=C22,SUM(IF(($BR$41:$BR$49=C22)*($BS$40:$CA$40=T19),$BS$41:$CA$49)),0)</f>
        <v>0</v>
      </c>
      <c r="AV46" s="4">
        <f t="array" aca="1" ref="AV46" ca="1">IF(T22=C22,SUM(IF(($BR$41:$BR$49=C22)*($BS$40:$CA$40=T20),$BS$41:$CA$49)),0)</f>
        <v>0</v>
      </c>
      <c r="AW46" s="4">
        <f t="array" aca="1" ref="AW46" ca="1">IF(T22=C22,SUM(IF(($BR$41:$BR$49=C22)*($BS$40:$CA$40=T21),$BS$41:$CA$49)),0)</f>
        <v>0</v>
      </c>
      <c r="AX46" s="4">
        <f t="array" aca="1" ref="AX46" ca="1">IF(T22=C22,SUM(IF(($BR$41:$BR$49=C22)*($BS$40:$CA$40=T23),$BS$41:$CA$49)),0)</f>
        <v>0</v>
      </c>
      <c r="AY46" s="4">
        <f t="array" aca="1" ref="AY46" ca="1">IF(T22=C22,SUM(IF(($BR$41:$BR$49=C22)*($BS$40:$CA$40=T$24),$BS$41:$CA$49)),0)</f>
        <v>0</v>
      </c>
      <c r="AZ46" s="4">
        <f t="array" aca="1" ref="AZ46" ca="1">IF(T22=C22,SUM(IF(($BR$41:$BR$49=C22)*($BS$40:$CA$40=T$25),$BS$41:$CA$49)),0)</f>
        <v>0</v>
      </c>
      <c r="BA46" s="6">
        <f t="array" aca="1" ref="BA46" ca="1">IF(U22=C22,SUM(IF(($BR$41:$BR$49=C22)*($BS$40:$CA$40=U$17),$BS$41:$CA$49)),0)</f>
        <v>0</v>
      </c>
      <c r="BB46" s="4">
        <f t="array" aca="1" ref="BB46" ca="1">IF(U22=C22,SUM(IF(($BR$41:$BR$49=C22)*($BS$40:$CA$40=U$18),$BS$41:$CA$49)),0)</f>
        <v>0</v>
      </c>
      <c r="BC46" s="4">
        <f t="array" aca="1" ref="BC46" ca="1">IF(U22=C22,SUM(IF(($BR$41:$BR$49=C22)*($BS$40:$CA$40=U$19),$BS$41:$CA$49)),0)</f>
        <v>0</v>
      </c>
      <c r="BD46" s="4">
        <f t="array" aca="1" ref="BD46" ca="1">IF(U22=C22,SUM(IF(($BR$41:$BR$49=C22)*($BS$40:$CA$40=U$20),$BS$41:$CA$49)),0)</f>
        <v>0</v>
      </c>
      <c r="BE46" s="4">
        <f t="array" aca="1" ref="BE46" ca="1">IF(U22=C22,SUM(IF(($BR$41:$BR$49=C22)*($BS$40:$CA$40=U$21),$BS$41:$CA$49)),0)</f>
        <v>0</v>
      </c>
      <c r="BF46" s="4">
        <f t="array" aca="1" ref="BF46" ca="1">IF(U22=C22,SUM(IF(($BR$41:$BR$49=C22)*($BS$40:$CA$40=U$23),$BS$41:$CA$49)),0)</f>
        <v>0</v>
      </c>
      <c r="BG46" s="4">
        <f t="array" aca="1" ref="BG46" ca="1">IF(U22=C22,SUM(IF(($BR$41:$BR$49=C22)*($BS$40:$CA$40=U$24),$BS$41:$CA$49)),0)</f>
        <v>0</v>
      </c>
      <c r="BH46" s="4">
        <f t="array" aca="1" ref="BH46" ca="1">IF(U22=C22,SUM(IF(($BR$41:$BR$49=C22)*($BS$40:$CA$40=U$25),$BS$41:$CA$49)),0)</f>
        <v>0</v>
      </c>
      <c r="BI46" s="6">
        <f t="array" aca="1" ref="BI46" ca="1">IF(V22=C22,SUM(IF(($BR$41:$BR$49=C22)*($BS$40:$CA$40=V$18),$BS$41:$CA$49)),0)</f>
        <v>0</v>
      </c>
      <c r="BJ46" s="4">
        <f t="array" aca="1" ref="BJ46" ca="1">IF(V22=C22,SUM(IF(($BR$41:$BR$49=C22)*($BS$40:$CA$40=V$19),$BS$41:$CA$49)),0)</f>
        <v>0</v>
      </c>
      <c r="BK46" s="4">
        <f t="array" aca="1" ref="BK46" ca="1">IF(V22=C22,SUM(IF(($BR$41:$BR$49=C22)*($BS$40:$CA$40=V$20),$BS$41:$CA$49)),0)</f>
        <v>0</v>
      </c>
      <c r="BL46" s="4">
        <f t="array" aca="1" ref="BL46" ca="1">IF(V22=C22,SUM(IF(($BR$41:$BR$49=C22)*($BS$40:$CA$40=V$21),$BS$41:$CA$49)),0)</f>
        <v>0</v>
      </c>
      <c r="BM46" s="4">
        <f t="array" aca="1" ref="BM46" ca="1">IF(V22=C22,SUM(IF(($BR$41:$BR$49=C22)*($BS$40:$CA$40=V$22),$BS$41:$CA$49)),0)</f>
        <v>0</v>
      </c>
      <c r="BN46" s="4">
        <f t="array" aca="1" ref="BN46" ca="1">IF(V22=C22,SUM(IF(($BR$41:$BR$49=C22)*($BS$40:$CA$40=V$23),$BS$41:$CA$49)),0)</f>
        <v>0</v>
      </c>
      <c r="BO46" s="4">
        <f t="array" aca="1" ref="BO46" ca="1">IF(V22=C22,SUM(IF(($BR$41:$BR$49=C22)*($BS$40:$CA$40=V$24),$BS$41:$CA$49)),0)</f>
        <v>0</v>
      </c>
      <c r="BP46" s="16">
        <f t="array" aca="1" ref="BP46" ca="1">IF(V22=C22,SUM(IF(($BR$41:$BR$49=C22)*($BS$40:$CA$40=V$25),$BS$41:$CA$49)),0)</f>
        <v>0</v>
      </c>
      <c r="BQ46" s="4"/>
      <c r="BR46" s="2" t="str">
        <f t="shared" si="70"/>
        <v>Inter Mailand</v>
      </c>
      <c r="BS46" s="9">
        <f ca="1">IF(BX41="","",-1*BX41)</f>
        <v>0</v>
      </c>
      <c r="BT46" s="9">
        <f ca="1">IF(BX42="","",-1*BX42)</f>
        <v>0</v>
      </c>
      <c r="BU46" s="9">
        <f ca="1">IF(BX43="","",-1*BX43)</f>
        <v>-1</v>
      </c>
      <c r="BV46" s="9">
        <f ca="1">IF(BX44="","",-1*BX44)</f>
        <v>0</v>
      </c>
      <c r="BW46" s="9">
        <f ca="1">IF(BX45="","",-1*BX45)</f>
        <v>0</v>
      </c>
      <c r="BX46" s="7"/>
      <c r="BY46" s="8">
        <f ca="1">BY35-BX36</f>
        <v>0</v>
      </c>
      <c r="BZ46" s="8">
        <f ca="1">BZ35-BX37</f>
        <v>0</v>
      </c>
      <c r="CA46" s="8">
        <f ca="1">CA35-BX38</f>
        <v>0</v>
      </c>
      <c r="CB46" s="4"/>
    </row>
    <row r="47" spans="2:80" s="2" customFormat="1" x14ac:dyDescent="0.2">
      <c r="E47" s="15">
        <f t="array" aca="1" ref="E47" ca="1">IF(O23=C23,SUM(IF(($BR$41:$BR$49=C23)*($BS$40:$CA$40=O$17),$BS$41:$CA$49)),0)</f>
        <v>0</v>
      </c>
      <c r="F47" s="4">
        <f t="array" aca="1" ref="F47" ca="1">IF(O23=C23,SUM(IF(($BR$41:$BR$49=C23)*($BS$40:$CA$40=O$18),$BS$41:$CA$49)),0)</f>
        <v>0</v>
      </c>
      <c r="G47" s="4">
        <f t="array" aca="1" ref="G47" ca="1">IF(O23=C23,SUM(IF(($BR$41:$BR$49=C23)*($BS$40:$CA$40=O$19),$BS$41:$CA$49)),0)</f>
        <v>0</v>
      </c>
      <c r="H47" s="4">
        <f t="array" aca="1" ref="H47" ca="1">IF(O23=C23,SUM(IF(($BR$41:$BR$49=C23)*($BS$40:$CA$40=O$20),$BS$41:$CA$49)),0)</f>
        <v>0</v>
      </c>
      <c r="I47" s="4">
        <f t="array" aca="1" ref="I47" ca="1">IF(O23=C23,SUM(IF(($BR$41:$BR$49=C23)*($BS$40:$CA$40=O$21),$BS$41:$CA$49)),0)</f>
        <v>0</v>
      </c>
      <c r="J47" s="4">
        <f t="array" aca="1" ref="J47" ca="1">IF(O23=C23,SUM(IF(($BR$41:$BR$49=C23)*($BS$40:$CA$40=O$22),$BS$41:$CA$49)),0)</f>
        <v>0</v>
      </c>
      <c r="K47" s="4">
        <f t="array" aca="1" ref="K47" ca="1">IF(O23=C23,SUM(IF(($BR$41:$BR$49=C23)*($BS$40:$CA$40=O$24),$BS$41:$CA$49)),0)</f>
        <v>0</v>
      </c>
      <c r="L47" s="4">
        <f t="array" aca="1" ref="L47" ca="1">IF(O23=C23,SUM(IF(($BR$41:$BR$49=C23)*($BS$40:$CA$40=O$25),$BS$41:$CA$49)),0)</f>
        <v>0</v>
      </c>
      <c r="M47" s="6">
        <f t="array" aca="1" ref="M47" ca="1">IF(P23=C23,SUM(IF(($BR$41:$BR$49=C23)*($BS$40:$CA$40=P$17),$BS$41:$CA$49)),0)</f>
        <v>0</v>
      </c>
      <c r="N47" s="4">
        <f t="array" aca="1" ref="N47" ca="1">IF(P23=C23,SUM(IF(($BR$41:$BR$49=C23)*($BS$40:$CA$40=P$18),$BS$41:$CA$49)),0)</f>
        <v>0</v>
      </c>
      <c r="O47" s="4">
        <f t="array" aca="1" ref="O47" ca="1">IF(P23=C23,SUM(IF(($BR$41:$BR$49=C23)*($BS$40:$CA$40=P$19),$BS$41:$CA$49)),0)</f>
        <v>0</v>
      </c>
      <c r="P47" s="4">
        <f t="array" aca="1" ref="P47" ca="1">IF(P23=C23,SUM(IF(($BR$41:$BR$49=C23)*($BS$40:$CA$40=P$20),$BS$41:$CA$49)),0)</f>
        <v>0</v>
      </c>
      <c r="Q47" s="4">
        <f t="array" aca="1" ref="Q47" ca="1">IF(P23=C23,SUM(IF(($BR$41:$BR$49=C23)*($BS$40:$CA$40=P$21),$BS$41:$CA$49)),0)</f>
        <v>0</v>
      </c>
      <c r="R47" s="4">
        <f t="array" aca="1" ref="R47" ca="1">IF(P23=C23,SUM(IF(($BR$41:$BR$49=C23)*($BS$40:$CA$40=P$22),$BS$41:$CA$49)),0)</f>
        <v>0</v>
      </c>
      <c r="S47" s="4">
        <f t="array" aca="1" ref="S47" ca="1">IF(P23=C23,SUM(IF(($BR$41:$BR$49=C23)*($BS$40:$CA$40=P$24),$BS$41:$CA$49)),0)</f>
        <v>0</v>
      </c>
      <c r="T47" s="4">
        <f t="array" aca="1" ref="T47" ca="1">IF(P23=C23,SUM(IF(($BR$41:$BR$49=C23)*($BS$40:$CA$40=P$25),$BS$41:$CA$49)),0)</f>
        <v>0</v>
      </c>
      <c r="U47" s="6">
        <f t="array" aca="1" ref="U47" ca="1">IF(Q23=C23,SUM(IF(($BR$41:$BR$49=C23)*($BS$40:$CA$40=Q$17),$BS$41:$CA$49)),0)</f>
        <v>0</v>
      </c>
      <c r="V47" s="4">
        <f t="array" aca="1" ref="V47" ca="1">IF(Q23=C23,SUM(IF(($BR$41:$BR$49=C23)*($BS$40:$CA$40=Q$18),$BS$41:$CA$49)),0)</f>
        <v>0</v>
      </c>
      <c r="W47" s="4">
        <f t="array" aca="1" ref="W47" ca="1">IF(Q23=C23,SUM(IF(($BR$41:$BR$49=C23)*($BS$40:$CA$40=Q$19),$BS$41:$CA$49)),0)</f>
        <v>0</v>
      </c>
      <c r="X47" s="4">
        <f t="array" aca="1" ref="X47" ca="1">IF(Q23=C23,SUM(IF(($BR$41:$BR$49=C23)*($BS$40:$CA$40=Q$20),$BS$41:$CA$49)),0)</f>
        <v>0</v>
      </c>
      <c r="Y47" s="4">
        <f t="array" aca="1" ref="Y47" ca="1">IF(Q23=C23,SUM(IF(($BR$41:$BR$49=C23)*($BS$40:$CA$40=Q$21),$BS$41:$CA$49)),0)</f>
        <v>0</v>
      </c>
      <c r="Z47" s="4">
        <f t="array" aca="1" ref="Z47" ca="1">IF(Q23=C23,SUM(IF(($BR$41:$BR$49=C23)*($BS$40:$CA$40=Q$22),$BS$41:$CA$49)),0)</f>
        <v>0</v>
      </c>
      <c r="AA47" s="4">
        <f t="array" aca="1" ref="AA47" ca="1">IF(Q23=C23,SUM(IF(($BR$41:$BR$49=C23)*($BS$40:$CA$40=Q$24),$BS$41:$CA$49)),0)</f>
        <v>0</v>
      </c>
      <c r="AB47" s="4">
        <f t="array" aca="1" ref="AB47" ca="1">IF(Q23=C23,SUM(IF(($BR$41:$BR$49=C23)*($BS$40:$CA$40=Q$25),$BS$41:$CA$49)),0)</f>
        <v>0</v>
      </c>
      <c r="AC47" s="6">
        <f t="array" aca="1" ref="AC47" ca="1">IF(R23=C23,SUM(IF(($BR$41:$BR$49=C23)*($BS$40:$CA$40=R$17),$BS$41:$CA$49)),0)</f>
        <v>0</v>
      </c>
      <c r="AD47" s="4">
        <f t="array" aca="1" ref="AD47" ca="1">IF(R23=C23,SUM(IF(($BR$41:$BR$49=C23)*($BS$40:$CA$40=R$18),$BS$41:$CA$49)),0)</f>
        <v>0</v>
      </c>
      <c r="AE47" s="4">
        <f t="array" aca="1" ref="AE47" ca="1">IF(R23=C23,SUM(IF(($BR$41:$BR$49=C23)*($BS$40:$CA$40=R$19),$BS$41:$CA$49)),0)</f>
        <v>0</v>
      </c>
      <c r="AF47" s="4">
        <f t="array" aca="1" ref="AF47" ca="1">IF(R23=C23,SUM(IF(($BR$41:$BR$49=C23)*($BS$40:$CA$40=R$20),$BS$41:$CA$49)),0)</f>
        <v>0</v>
      </c>
      <c r="AG47" s="4">
        <f t="array" aca="1" ref="AG47" ca="1">IF(R23=C23,SUM(IF(($BR$41:$BR$49=C23)*($BS$40:$CA$40=R$21),$BS$41:$CA$49)),0)</f>
        <v>0</v>
      </c>
      <c r="AH47" s="4">
        <f t="array" aca="1" ref="AH47" ca="1">IF(R23=C23,SUM(IF(($BR$41:$BR$49=C23)*($BS$40:$CA$40=R$22),$BS$41:$CA$49)),0)</f>
        <v>0</v>
      </c>
      <c r="AI47" s="4">
        <f t="array" aca="1" ref="AI47" ca="1">IF(R23=C23,SUM(IF(($BR$41:$BR$49=C23)*($BS$40:$CA$40=R$24),$BS$41:$CA$49)),0)</f>
        <v>0</v>
      </c>
      <c r="AJ47" s="4">
        <f t="array" aca="1" ref="AJ47" ca="1">IF(R23=C23,SUM(IF(($BR$41:$BR$49=C23)*($BS$40:$CA$40=R$25),$BS$41:$CA$49)),0)</f>
        <v>0</v>
      </c>
      <c r="AK47" s="6">
        <f t="array" aca="1" ref="AK47" ca="1">IF(S23=C23,SUM(IF(($BR$41:$BR$49=C23)*($BS$40:$CA$40=S$17),$BS$41:$CA$49)),0)</f>
        <v>0</v>
      </c>
      <c r="AL47" s="4">
        <f t="array" aca="1" ref="AL47" ca="1">IF(S23=C23,SUM(IF(($BR$41:$BR$49=C23)*($BS$40:$CA$40=S$18),$BS$41:$CA$49)),0)</f>
        <v>0</v>
      </c>
      <c r="AM47" s="4">
        <f t="array" aca="1" ref="AM47" ca="1">IF(S23=C23,SUM(IF(($BR$41:$BR$49=C23)*($BS$40:$CA$40=S$19),$BS$41:$CA$49)),0)</f>
        <v>0</v>
      </c>
      <c r="AN47" s="4">
        <f t="array" aca="1" ref="AN47" ca="1">IF(S23=C23,SUM(IF(($BR$41:$BR$49=C23)*($BS$40:$CA$40=S$20),$BS$41:$CA$49)),0)</f>
        <v>0</v>
      </c>
      <c r="AO47" s="4">
        <f t="array" aca="1" ref="AO47" ca="1">IF(S23=C23,SUM(IF(($BR$41:$BR$49=C23)*($BS$40:$CA$40=S$21),$BS$41:$CA$49)),0)</f>
        <v>0</v>
      </c>
      <c r="AP47" s="4">
        <f t="array" aca="1" ref="AP47" ca="1">IF(S23=C23,SUM(IF(($BR$41:$BR$49=C23)*($BS$40:$CA$40=S$22),$BS$41:$CA$49)),0)</f>
        <v>0</v>
      </c>
      <c r="AQ47" s="4">
        <f t="array" aca="1" ref="AQ47" ca="1">IF(S23=C23,SUM(IF(($BR$41:$BR$49=C23)*($BS$40:$CA$40=S$24),$BS$41:$CA$49)),0)</f>
        <v>0</v>
      </c>
      <c r="AR47" s="4">
        <f t="array" aca="1" ref="AR47" ca="1">IF(S23=C23,SUM(IF(($BR$41:$BR$49=C23)*($BS$40:$CA$40=S$25),$BS$41:$CA$49)),0)</f>
        <v>0</v>
      </c>
      <c r="AS47" s="6">
        <f t="array" aca="1" ref="AS47" ca="1">IF(T23=C23,SUM(IF(($BR$41:$BR$49=C23)*($BS$40:$CA$40=T$17),$BS$41:$CA$49)),0)</f>
        <v>0</v>
      </c>
      <c r="AT47" s="4">
        <f t="array" aca="1" ref="AT47" ca="1">IF(T23=C23,SUM(IF(($BR$41:$BR$49=C23)*($BS$40:$CA$40=T$18),$BS$41:$CA$49)),0)</f>
        <v>0</v>
      </c>
      <c r="AU47" s="4">
        <f t="array" aca="1" ref="AU47" ca="1">IF(T23=C23,SUM(IF(($BR$41:$BR$49=C23)*($BS$40:$CA$40=T$19),$BS$41:$CA$49)),0)</f>
        <v>0</v>
      </c>
      <c r="AV47" s="4">
        <f t="array" aca="1" ref="AV47" ca="1">IF(T23=C23,SUM(IF(($BR$41:$BR$49=C23)*($BS$40:$CA$40=T$20),$BS$41:$CA$49)),0)</f>
        <v>0</v>
      </c>
      <c r="AW47" s="4">
        <f t="array" aca="1" ref="AW47" ca="1">IF(T23=C23,SUM(IF(($BR$41:$BR$49=C23)*($BS$40:$CA$40=T$21),$BS$41:$CA$49)),0)</f>
        <v>0</v>
      </c>
      <c r="AX47" s="4">
        <f t="array" aca="1" ref="AX47" ca="1">IF(T23=C23,SUM(IF(($BR$41:$BR$49=C23)*($BS$40:$CA$40=T$22),$BS$41:$CA$49)),0)</f>
        <v>0</v>
      </c>
      <c r="AY47" s="4">
        <f t="array" aca="1" ref="AY47" ca="1">IF(T23=C23,SUM(IF(($BR$41:$BR$49=C23)*($BS$40:$CA$40=T$24),$BS$41:$CA$49)),0)</f>
        <v>0</v>
      </c>
      <c r="AZ47" s="4">
        <f t="array" aca="1" ref="AZ47" ca="1">IF(T23=C23,SUM(IF(($BR$41:$BR$49=C23)*($BS$40:$CA$40=T$25),$BS$41:$CA$49)),0)</f>
        <v>0</v>
      </c>
      <c r="BA47" s="6">
        <f t="array" aca="1" ref="BA47" ca="1">IF(U23=C23,SUM(IF(($BR$41:$BR$49=C23)*($BS$40:$CA$40=U$17),$BS$41:$CA$49)),0)</f>
        <v>0</v>
      </c>
      <c r="BB47" s="4">
        <f t="array" aca="1" ref="BB47" ca="1">IF(U23=C23,SUM(IF(($BR$41:$BR$49=C23)*($BS$40:$CA$40=U$18),$BS$41:$CA$49)),0)</f>
        <v>0</v>
      </c>
      <c r="BC47" s="4">
        <f t="array" aca="1" ref="BC47" ca="1">IF(U23=C23,SUM(IF(($BR$41:$BR$49=C23)*($BS$40:$CA$40=U$19),$BS$41:$CA$49)),0)</f>
        <v>0</v>
      </c>
      <c r="BD47" s="4">
        <f t="array" aca="1" ref="BD47" ca="1">IF(U23=C23,SUM(IF(($BR$41:$BR$49=C23)*($BS$40:$CA$40=U$20),$BS$41:$CA$49)),0)</f>
        <v>0</v>
      </c>
      <c r="BE47" s="4">
        <f t="array" aca="1" ref="BE47" ca="1">IF(U23=C23,SUM(IF(($BR$41:$BR$49=C23)*($BS$40:$CA$40=U$21),$BS$41:$CA$49)),0)</f>
        <v>0</v>
      </c>
      <c r="BF47" s="4">
        <f t="array" aca="1" ref="BF47" ca="1">IF(U23=C23,SUM(IF(($BR$41:$BR$49=C23)*($BS$40:$CA$40=U$22),$BS$41:$CA$49)),0)</f>
        <v>0</v>
      </c>
      <c r="BG47" s="4">
        <f t="array" aca="1" ref="BG47" ca="1">IF(U23=C23,SUM(IF(($BR$41:$BR$49=C23)*($BS$40:$CA$40=U$24),$BS$41:$CA$49)),0)</f>
        <v>0</v>
      </c>
      <c r="BH47" s="4">
        <f t="array" aca="1" ref="BH47" ca="1">IF(U23=C23,SUM(IF(($BR$41:$BR$49=C23)*($BS$40:$CA$40=U$25),$BS$41:$CA$49)),0)</f>
        <v>0</v>
      </c>
      <c r="BI47" s="6">
        <f t="array" aca="1" ref="BI47" ca="1">IF(V23=C23,SUM(IF(($BR$41:$BR$49=C23)*($BS$40:$CA$40=V$18),$BS$41:$CA$49)),0)</f>
        <v>0</v>
      </c>
      <c r="BJ47" s="4">
        <f t="array" aca="1" ref="BJ47" ca="1">IF(V23=C23,SUM(IF(($BR$41:$BR$49=C23)*($BS$40:$CA$40=V$19),$BS$41:$CA$49)),0)</f>
        <v>0</v>
      </c>
      <c r="BK47" s="4">
        <f t="array" aca="1" ref="BK47" ca="1">IF(V23=C23,SUM(IF(($BR$41:$BR$49=C23)*($BS$40:$CA$40=V$20),$BS$41:$CA$49)),0)</f>
        <v>0</v>
      </c>
      <c r="BL47" s="4">
        <f t="array" aca="1" ref="BL47" ca="1">IF(V23=C23,SUM(IF(($BR$41:$BR$49=C23)*($BS$40:$CA$40=V$21),$BS$41:$CA$49)),0)</f>
        <v>0</v>
      </c>
      <c r="BM47" s="4">
        <f t="array" aca="1" ref="BM47" ca="1">IF(V23=C23,SUM(IF(($BR$41:$BR$49=C23)*($BS$40:$CA$40=V$22),$BS$41:$CA$49)),0)</f>
        <v>0</v>
      </c>
      <c r="BN47" s="4">
        <f t="array" aca="1" ref="BN47" ca="1">IF(V23=C23,SUM(IF(($BR$41:$BR$49=C23)*($BS$40:$CA$40=V$23),$BS$41:$CA$49)),0)</f>
        <v>0</v>
      </c>
      <c r="BO47" s="4">
        <f t="array" aca="1" ref="BO47" ca="1">IF(V23=C23,SUM(IF(($BR$41:$BR$49=C23)*($BS$40:$CA$40=V$24),$BS$41:$CA$49)),0)</f>
        <v>0</v>
      </c>
      <c r="BP47" s="16">
        <f t="array" aca="1" ref="BP47" ca="1">IF(V23=C23,SUM(IF(($BR$41:$BR$49=C23)*($BS$40:$CA$40=V$25),$BS$41:$CA$49)),0)</f>
        <v>0</v>
      </c>
      <c r="BQ47" s="4"/>
      <c r="BR47" s="2" t="str">
        <f t="shared" si="70"/>
        <v>SSV Wildbach</v>
      </c>
      <c r="BS47" s="9">
        <f ca="1">IF(BY41="","",-1*BY41)</f>
        <v>1</v>
      </c>
      <c r="BT47" s="9">
        <f ca="1">IF(BY42="","",-1*BY42)</f>
        <v>2</v>
      </c>
      <c r="BU47" s="9">
        <f ca="1">IF(BY43="","",-1*BY43)</f>
        <v>0</v>
      </c>
      <c r="BV47" s="9">
        <f ca="1">IF(BY44="","",-1*BY44)</f>
        <v>0</v>
      </c>
      <c r="BW47" s="9">
        <f ca="1">IF(BY45="","",-1*BY45)</f>
        <v>0</v>
      </c>
      <c r="BX47" s="9">
        <f ca="1">IF(BY46="","",-1*BY46)</f>
        <v>0</v>
      </c>
      <c r="BY47" s="7"/>
      <c r="BZ47" s="8">
        <f ca="1">BZ36-BY37</f>
        <v>0</v>
      </c>
      <c r="CA47" s="8">
        <f ca="1">CA36-BY38</f>
        <v>0</v>
      </c>
      <c r="CB47" s="4"/>
    </row>
    <row r="48" spans="2:80" s="2" customFormat="1" x14ac:dyDescent="0.2">
      <c r="E48" s="15">
        <f t="array" aca="1" ref="E48" ca="1">IF(O24=C24,SUM(IF(($BR$41:$BR$49=C24)*($BS$40:$CA$40=O$17),$BS$41:$CA$49)),0)</f>
        <v>0</v>
      </c>
      <c r="F48" s="4">
        <f t="array" aca="1" ref="F48" ca="1">IF(O24=C24,SUM(IF(($BR$41:$BR$49=C24)*($BS$40:$CA$40=O$18),$BS$41:$CA$49)),0)</f>
        <v>0</v>
      </c>
      <c r="G48" s="4">
        <f t="array" aca="1" ref="G48" ca="1">IF(O24=C24,SUM(IF(($BR$41:$BR$49=C24)*($BS$40:$CA$40=O$19),$BS$41:$CA$49)),0)</f>
        <v>0</v>
      </c>
      <c r="H48" s="4">
        <f t="array" aca="1" ref="H48" ca="1">IF(O24=C24,SUM(IF(($BR$41:$BR$49=C24)*($BS$40:$CA$40=O$20),$BS$41:$CA$49)),0)</f>
        <v>0</v>
      </c>
      <c r="I48" s="4">
        <f t="array" aca="1" ref="I48" ca="1">IF(O24=C24,SUM(IF(($BR$41:$BR$49=C24)*($BS$40:$CA$40=O$21),$BS$41:$CA$49)),0)</f>
        <v>0</v>
      </c>
      <c r="J48" s="4">
        <f t="array" aca="1" ref="J48" ca="1">IF(O24=C24,SUM(IF(($BR$41:$BR$49=C24)*($BS$40:$CA$40=O$22),$BS$41:$CA$49)),0)</f>
        <v>0</v>
      </c>
      <c r="K48" s="4">
        <f t="array" aca="1" ref="K48" ca="1">IF(O24=C24,SUM(IF(($BR$41:$BR$49=C24)*($BS$40:$CA$40=O$23),$BS$41:$CA$49)),0)</f>
        <v>0</v>
      </c>
      <c r="L48" s="4">
        <f t="array" aca="1" ref="L48" ca="1">IF(O24=C24,SUM(IF(($BR$41:$BR$49=C24)*($BS$40:$CA$40=O$25),$BS$41:$CA$49)),0)</f>
        <v>0</v>
      </c>
      <c r="M48" s="6">
        <f t="array" aca="1" ref="M48" ca="1">IF(P24=C24,SUM(IF(($BR$41:$BR$49=C24)*($BS$40:$CA$40=P$17),$BS$41:$CA$49)),0)</f>
        <v>0</v>
      </c>
      <c r="N48" s="4">
        <f t="array" aca="1" ref="N48" ca="1">IF(P24=C24,SUM(IF(($BR$41:$BR$49=C24)*($BS$40:$CA$40=P$18),$BS$41:$CA$49)),0)</f>
        <v>0</v>
      </c>
      <c r="O48" s="4">
        <f t="array" aca="1" ref="O48" ca="1">IF(P24=C24,SUM(IF(($BR$41:$BR$49=C24)*($BS$40:$CA$40=P$19),$BS$41:$CA$49)),0)</f>
        <v>0</v>
      </c>
      <c r="P48" s="4">
        <f t="array" aca="1" ref="P48" ca="1">IF(P24=C24,SUM(IF(($BR$41:$BR$49=C24)*($BS$40:$CA$40=P$20),$BS$41:$CA$49)),0)</f>
        <v>0</v>
      </c>
      <c r="Q48" s="4">
        <f t="array" aca="1" ref="Q48" ca="1">IF(P24=C24,SUM(IF(($BR$41:$BR$49=C24)*($BS$40:$CA$40=P$21),$BS$41:$CA$49)),0)</f>
        <v>0</v>
      </c>
      <c r="R48" s="4">
        <f t="array" aca="1" ref="R48" ca="1">IF(P24=C24,SUM(IF(($BR$41:$BR$49=C24)*($BS$40:$CA$40=P$22),$BS$41:$CA$49)),0)</f>
        <v>0</v>
      </c>
      <c r="S48" s="4">
        <f t="array" aca="1" ref="S48" ca="1">IF(P24=C24,SUM(IF(($BR$41:$BR$49=C24)*($BS$40:$CA$40=P$23),$BS$41:$CA$49)),0)</f>
        <v>0</v>
      </c>
      <c r="T48" s="4">
        <f t="array" aca="1" ref="T48" ca="1">IF(P24=C24,SUM(IF(($BR$41:$BR$49=C24)*($BS$40:$CA$40=P$25),$BS$41:$CA$49)),0)</f>
        <v>0</v>
      </c>
      <c r="U48" s="6">
        <f t="array" aca="1" ref="U48" ca="1">IF(Q24=C24,SUM(IF(($BR$41:$BR$49=C24)*($BS$40:$CA$40=Q$17),$BS$41:$CA$49)),0)</f>
        <v>0</v>
      </c>
      <c r="V48" s="4">
        <f t="array" aca="1" ref="V48" ca="1">IF(Q24=C24,SUM(IF(($BR$41:$BR$49=C24)*($BS$40:$CA$40=Q$18),$BS$41:$CA$49)),0)</f>
        <v>0</v>
      </c>
      <c r="W48" s="4">
        <f t="array" aca="1" ref="W48" ca="1">IF(Q24=C24,SUM(IF(($BR$41:$BR$49=C24)*($BS$40:$CA$40=Q$19),$BS$41:$CA$49)),0)</f>
        <v>0</v>
      </c>
      <c r="X48" s="4">
        <f t="array" aca="1" ref="X48" ca="1">IF(Q24=C24,SUM(IF(($BR$41:$BR$49=C24)*($BS$40:$CA$40=Q$20),$BS$41:$CA$49)),0)</f>
        <v>0</v>
      </c>
      <c r="Y48" s="4">
        <f t="array" aca="1" ref="Y48" ca="1">IF(Q24=C24,SUM(IF(($BR$41:$BR$49=C24)*($BS$40:$CA$40=Q$21),$BS$41:$CA$49)),0)</f>
        <v>0</v>
      </c>
      <c r="Z48" s="4">
        <f t="array" aca="1" ref="Z48" ca="1">IF(Q24=C24,SUM(IF(($BR$41:$BR$49=C24)*($BS$40:$CA$40=Q$22),$BS$41:$CA$49)),0)</f>
        <v>0</v>
      </c>
      <c r="AA48" s="4">
        <f t="array" aca="1" ref="AA48" ca="1">IF(Q24=C24,SUM(IF(($BR$41:$BR$49=C24)*($BS$40:$CA$40=Q$23),$BS$41:$CA$49)),0)</f>
        <v>0</v>
      </c>
      <c r="AB48" s="4">
        <f t="array" aca="1" ref="AB48" ca="1">IF(Q24=C24,SUM(IF(($BR$41:$BR$49=C24)*($BS$40:$CA$40=Q$25),$BS$41:$CA$49)),0)</f>
        <v>0</v>
      </c>
      <c r="AC48" s="6">
        <f t="array" aca="1" ref="AC48" ca="1">IF(R24=C24,SUM(IF(($BR$41:$BR$49=C24)*($BS$40:$CA$40=R$17),$BS$41:$CA$49)),0)</f>
        <v>0</v>
      </c>
      <c r="AD48" s="4">
        <f t="array" aca="1" ref="AD48" ca="1">IF(R24=C24,SUM(IF(($BR$41:$BR$49=C24)*($BS$40:$CA$40=R$18),$BS$41:$CA$49)),0)</f>
        <v>0</v>
      </c>
      <c r="AE48" s="4">
        <f t="array" aca="1" ref="AE48" ca="1">IF(R24=C24,SUM(IF(($BR$41:$BR$49=C24)*($BS$40:$CA$40=R$19),$BS$41:$CA$49)),0)</f>
        <v>0</v>
      </c>
      <c r="AF48" s="4">
        <f t="array" aca="1" ref="AF48" ca="1">IF(R24=C24,SUM(IF(($BR$41:$BR$49=C24)*($BS$40:$CA$40=R$20),$BS$41:$CA$49)),0)</f>
        <v>0</v>
      </c>
      <c r="AG48" s="4">
        <f t="array" aca="1" ref="AG48" ca="1">IF(R24=C24,SUM(IF(($BR$41:$BR$49=C24)*($BS$40:$CA$40=R$21),$BS$41:$CA$49)),0)</f>
        <v>0</v>
      </c>
      <c r="AH48" s="4">
        <f t="array" aca="1" ref="AH48" ca="1">IF(R24=C24,SUM(IF(($BR$41:$BR$49=C24)*($BS$40:$CA$40=R$22),$BS$41:$CA$49)),0)</f>
        <v>0</v>
      </c>
      <c r="AI48" s="4">
        <f t="array" aca="1" ref="AI48" ca="1">IF(R24=C24,SUM(IF(($BR$41:$BR$49=C24)*($BS$40:$CA$40=R$23),$BS$41:$CA$49)),0)</f>
        <v>0</v>
      </c>
      <c r="AJ48" s="4">
        <f t="array" aca="1" ref="AJ48" ca="1">IF(R24=C24,SUM(IF(($BR$41:$BR$49=C24)*($BS$40:$CA$40=R$25),$BS$41:$CA$49)),0)</f>
        <v>0</v>
      </c>
      <c r="AK48" s="6">
        <f t="array" aca="1" ref="AK48" ca="1">IF(S24=C24,SUM(IF(($BR$41:$BR$49=C24)*($BS$40:$CA$40=S$17),$BS$41:$CA$49)),0)</f>
        <v>0</v>
      </c>
      <c r="AL48" s="4">
        <f t="array" aca="1" ref="AL48" ca="1">IF(S24=C24,SUM(IF(($BR$41:$BR$49=C24)*($BS$40:$CA$40=S$18),$BS$41:$CA$49)),0)</f>
        <v>0</v>
      </c>
      <c r="AM48" s="4">
        <f t="array" aca="1" ref="AM48" ca="1">IF(S24=C24,SUM(IF(($BR$41:$BR$49=C24)*($BS$40:$CA$40=S$19),$BS$41:$CA$49)),0)</f>
        <v>0</v>
      </c>
      <c r="AN48" s="4">
        <f t="array" aca="1" ref="AN48" ca="1">IF(S24=C24,SUM(IF(($BR$41:$BR$49=C24)*($BS$40:$CA$40=S$20),$BS$41:$CA$49)),0)</f>
        <v>0</v>
      </c>
      <c r="AO48" s="4">
        <f t="array" aca="1" ref="AO48" ca="1">IF(S24=C24,SUM(IF(($BR$41:$BR$49=C24)*($BS$40:$CA$40=S$21),$BS$41:$CA$49)),0)</f>
        <v>0</v>
      </c>
      <c r="AP48" s="4">
        <f t="array" aca="1" ref="AP48" ca="1">IF(S24=C24,SUM(IF(($BR$41:$BR$49=C24)*($BS$40:$CA$40=S$22),$BS$41:$CA$49)),0)</f>
        <v>0</v>
      </c>
      <c r="AQ48" s="4">
        <f t="array" aca="1" ref="AQ48" ca="1">IF(S24=C24,SUM(IF(($BR$41:$BR$49=C24)*($BS$40:$CA$40=S$23),$BS$41:$CA$49)),0)</f>
        <v>0</v>
      </c>
      <c r="AR48" s="4">
        <f t="array" aca="1" ref="AR48" ca="1">IF(S24=C24,SUM(IF(($BR$41:$BR$49=C24)*($BS$40:$CA$40=S$25),$BS$41:$CA$49)),0)</f>
        <v>0</v>
      </c>
      <c r="AS48" s="6">
        <f t="array" aca="1" ref="AS48" ca="1">IF(T24=C24,SUM(IF(($BR$41:$BR$49=C24)*($BS$40:$CA$40=T$17),$BS$41:$CA$49)),0)</f>
        <v>0</v>
      </c>
      <c r="AT48" s="4">
        <f t="array" aca="1" ref="AT48" ca="1">IF(T24=C24,SUM(IF(($BR$41:$BR$49=C24)*($BS$40:$CA$40=T$18),$BS$41:$CA$49)),0)</f>
        <v>0</v>
      </c>
      <c r="AU48" s="4">
        <f t="array" aca="1" ref="AU48" ca="1">IF(T24=C24,SUM(IF(($BR$41:$BR$49=C24)*($BS$40:$CA$40=T$19),$BS$41:$CA$49)),0)</f>
        <v>0</v>
      </c>
      <c r="AV48" s="4">
        <f t="array" aca="1" ref="AV48" ca="1">IF(T24=C24,SUM(IF(($BR$41:$BR$49=C24)*($BS$40:$CA$40=T$20),$BS$41:$CA$49)),0)</f>
        <v>0</v>
      </c>
      <c r="AW48" s="4">
        <f t="array" aca="1" ref="AW48" ca="1">IF(T24=C24,SUM(IF(($BR$41:$BR$49=C24)*($BS$40:$CA$40=T$21),$BS$41:$CA$49)),0)</f>
        <v>0</v>
      </c>
      <c r="AX48" s="4">
        <f t="array" aca="1" ref="AX48" ca="1">IF(T24=C24,SUM(IF(($BR$41:$BR$49=C24)*($BS$40:$CA$40=T$22),$BS$41:$CA$49)),0)</f>
        <v>0</v>
      </c>
      <c r="AY48" s="4">
        <f t="array" aca="1" ref="AY48" ca="1">IF(T24=C24,SUM(IF(($BR$41:$BR$49=C24)*($BS$40:$CA$40=T$23),$BS$41:$CA$49)),0)</f>
        <v>0</v>
      </c>
      <c r="AZ48" s="4">
        <f t="array" aca="1" ref="AZ48" ca="1">IF(T24=C24,SUM(IF(($BR$41:$BR$49=C24)*($BS$40:$CA$40=T$25),$BS$41:$CA$49)),0)</f>
        <v>0</v>
      </c>
      <c r="BA48" s="6">
        <f t="array" aca="1" ref="BA48" ca="1">IF(U24=C24,SUM(IF(($BR$41:$BR$49=C24)*($BS$40:$CA$40=U$17),$BS$41:$CA$49)),0)</f>
        <v>0</v>
      </c>
      <c r="BB48" s="4">
        <f t="array" aca="1" ref="BB48" ca="1">IF(U24=C24,SUM(IF(($BR$41:$BR$49=C24)*($BS$40:$CA$40=U$18),$BS$41:$CA$49)),0)</f>
        <v>0</v>
      </c>
      <c r="BC48" s="4">
        <f t="array" aca="1" ref="BC48" ca="1">IF(U24=C24,SUM(IF(($BR$41:$BR$49=C24)*($BS$40:$CA$40=U$19),$BS$41:$CA$49)),0)</f>
        <v>0</v>
      </c>
      <c r="BD48" s="4">
        <f t="array" aca="1" ref="BD48" ca="1">IF(U24=C24,SUM(IF(($BR$41:$BR$49=C24)*($BS$40:$CA$40=U$20),$BS$41:$CA$49)),0)</f>
        <v>0</v>
      </c>
      <c r="BE48" s="4">
        <f t="array" aca="1" ref="BE48" ca="1">IF(U24=C24,SUM(IF(($BR$41:$BR$49=C24)*($BS$40:$CA$40=U$21),$BS$41:$CA$49)),0)</f>
        <v>0</v>
      </c>
      <c r="BF48" s="4">
        <f t="array" aca="1" ref="BF48" ca="1">IF(U24=C24,SUM(IF(($BR$41:$BR$49=C24)*($BS$40:$CA$40=U$22),$BS$41:$CA$49)),0)</f>
        <v>0</v>
      </c>
      <c r="BG48" s="4">
        <f t="array" aca="1" ref="BG48" ca="1">IF(U24=C24,SUM(IF(($BR$41:$BR$49=C24)*($BS$40:$CA$40=U$23),$BS$41:$CA$49)),0)</f>
        <v>0</v>
      </c>
      <c r="BH48" s="4">
        <f t="array" aca="1" ref="BH48" ca="1">IF(U24=C24,SUM(IF(($BR$41:$BR$49=C24)*($BS$40:$CA$40=U$25),$BS$41:$CA$49)),0)</f>
        <v>0</v>
      </c>
      <c r="BI48" s="6">
        <f t="array" aca="1" ref="BI48" ca="1">IF(V24=C24,SUM(IF(($BR$41:$BR$49=C24)*($BS$40:$CA$40=V$18),$BS$41:$CA$49)),0)</f>
        <v>0</v>
      </c>
      <c r="BJ48" s="4">
        <f t="array" aca="1" ref="BJ48" ca="1">IF(V24=C24,SUM(IF(($BR$41:$BR$49=C24)*($BS$40:$CA$40=V$19),$BS$41:$CA$49)),0)</f>
        <v>0</v>
      </c>
      <c r="BK48" s="4">
        <f t="array" aca="1" ref="BK48" ca="1">IF(V24=C24,SUM(IF(($BR$41:$BR$49=C24)*($BS$40:$CA$40=V$20),$BS$41:$CA$49)),0)</f>
        <v>0</v>
      </c>
      <c r="BL48" s="4">
        <f t="array" aca="1" ref="BL48" ca="1">IF(V24=C24,SUM(IF(($BR$41:$BR$49=C24)*($BS$40:$CA$40=V$21),$BS$41:$CA$49)),0)</f>
        <v>0</v>
      </c>
      <c r="BM48" s="4">
        <f t="array" aca="1" ref="BM48" ca="1">IF(V24=C24,SUM(IF(($BR$41:$BR$49=C24)*($BS$40:$CA$40=V$22),$BS$41:$CA$49)),0)</f>
        <v>0</v>
      </c>
      <c r="BN48" s="4">
        <f t="array" aca="1" ref="BN48" ca="1">IF(V24=C24,SUM(IF(($BR$41:$BR$49=C24)*($BS$40:$CA$40=V$23),$BS$41:$CA$49)),0)</f>
        <v>0</v>
      </c>
      <c r="BO48" s="4">
        <f t="array" aca="1" ref="BO48" ca="1">IF(V24=C24,SUM(IF(($BR$41:$BR$49=C24)*($BS$40:$CA$40=V$24),$BS$41:$CA$49)),0)</f>
        <v>0</v>
      </c>
      <c r="BP48" s="16">
        <f t="array" aca="1" ref="BP48" ca="1">IF(V24=C24,SUM(IF(($BR$41:$BR$49=C24)*($BS$40:$CA$40=V$25),$BS$41:$CA$49)),0)</f>
        <v>0</v>
      </c>
      <c r="BQ48" s="4"/>
      <c r="BR48" s="2" t="str">
        <f t="shared" si="70"/>
        <v/>
      </c>
      <c r="BS48" s="9">
        <f ca="1">IF(BZ41="","",-1*BZ41)</f>
        <v>0</v>
      </c>
      <c r="BT48" s="9">
        <f ca="1">IF(BZ42="","",-1*BZ42)</f>
        <v>0</v>
      </c>
      <c r="BU48" s="9">
        <f ca="1">IF(BZ43="","",-1*BZ43)</f>
        <v>0</v>
      </c>
      <c r="BV48" s="9">
        <f ca="1">IF(BZ44="","",-1*BZ44)</f>
        <v>0</v>
      </c>
      <c r="BW48" s="9">
        <f ca="1">IF(BZ45="","",-1*BZ45)</f>
        <v>0</v>
      </c>
      <c r="BX48" s="9">
        <f ca="1">IF(BZ46="","",-1*BZ46)</f>
        <v>0</v>
      </c>
      <c r="BY48" s="9">
        <f ca="1">IF(BZ47="","",-1*BZ47)</f>
        <v>0</v>
      </c>
      <c r="BZ48" s="7"/>
      <c r="CA48" s="8">
        <f ca="1">CA37-BZ38</f>
        <v>0</v>
      </c>
      <c r="CB48" s="4"/>
    </row>
    <row r="49" spans="2:80" s="2" customFormat="1" x14ac:dyDescent="0.2">
      <c r="E49" s="15">
        <f t="array" aca="1" ref="E49" ca="1">IF(O25=C25,SUM(IF(($BR$41:$BR$49=C25)*($BS$40:$CA$40=O$17),$BS$41:$CA$49)),0)</f>
        <v>0</v>
      </c>
      <c r="F49" s="4">
        <f t="array" aca="1" ref="F49" ca="1">IF(O25=C25,SUM(IF(($BR$41:$BR$49=C25)*($BS$40:$CA$40=O$18),$BS$41:$CA$49)),0)</f>
        <v>0</v>
      </c>
      <c r="G49" s="4">
        <f t="array" aca="1" ref="G49" ca="1">IF(O25=C25,SUM(IF(($BR$41:$BR$49=C25)*($BS$40:$CA$40=O$19),$BS$41:$CA$49)),0)</f>
        <v>0</v>
      </c>
      <c r="H49" s="4">
        <f t="array" aca="1" ref="H49" ca="1">IF(O25=C25,SUM(IF(($BR$41:$BR$49=C25)*($BS$40:$CA$40=O$20),$BS$41:$CA$49)),0)</f>
        <v>0</v>
      </c>
      <c r="I49" s="4">
        <f t="array" aca="1" ref="I49" ca="1">IF(O25=C25,SUM(IF(($BR$41:$BR$49=C25)*($BS$40:$CA$40=O$21),$BS$41:$CA$49)),0)</f>
        <v>0</v>
      </c>
      <c r="J49" s="4">
        <f t="array" aca="1" ref="J49" ca="1">IF(O25=C25,SUM(IF(($BR$41:$BR$49=C25)*($BS$40:$CA$40=O$22),$BS$41:$CA$49)),0)</f>
        <v>0</v>
      </c>
      <c r="K49" s="4">
        <f t="array" aca="1" ref="K49" ca="1">IF(O25=C25,SUM(IF(($BR$41:$BR$49=C25)*($BS$40:$CA$40=O$23),$BS$41:$CA$49)),0)</f>
        <v>0</v>
      </c>
      <c r="L49" s="4">
        <f t="array" aca="1" ref="L49" ca="1">IF(O25=C25,SUM(IF(($BR$41:$BR$49=C25)*($BS$40:$CA$40=O$24),$BS$41:$CA$49)),0)</f>
        <v>0</v>
      </c>
      <c r="M49" s="6">
        <f t="array" aca="1" ref="M49" ca="1">IF(P25=C25,SUM(IF(($BR$41:$BR$49=C25)*($BS$40:$CA$40=P$17),$BS$41:$CA$49)),0)</f>
        <v>0</v>
      </c>
      <c r="N49" s="4">
        <f t="array" aca="1" ref="N49" ca="1">IF(P25=C25,SUM(IF(($BR$41:$BR$49=C25)*($BS$40:$CA$40=P$18),$BS$41:$CA$49)),0)</f>
        <v>0</v>
      </c>
      <c r="O49" s="4">
        <f t="array" aca="1" ref="O49" ca="1">IF(P25=C25,SUM(IF(($BR$41:$BR$49=C25)*($BS$40:$CA$40=P$19),$BS$41:$CA$49)),0)</f>
        <v>0</v>
      </c>
      <c r="P49" s="4">
        <f t="array" aca="1" ref="P49" ca="1">IF(P25=C25,SUM(IF(($BR$41:$BR$49=C25)*($BS$40:$CA$40=P$20),$BS$41:$CA$49)),0)</f>
        <v>0</v>
      </c>
      <c r="Q49" s="4">
        <f t="array" aca="1" ref="Q49" ca="1">IF(P25=C25,SUM(IF(($BR$41:$BR$49=C25)*($BS$40:$CA$40=P$21),$BS$41:$CA$49)),0)</f>
        <v>0</v>
      </c>
      <c r="R49" s="4">
        <f t="array" aca="1" ref="R49" ca="1">IF(P25=C25,SUM(IF(($BR$41:$BR$49=C25)*($BS$40:$CA$40=P$22),$BS$41:$CA$49)),0)</f>
        <v>0</v>
      </c>
      <c r="S49" s="4">
        <f t="array" aca="1" ref="S49" ca="1">IF(P25=C25,SUM(IF(($BR$41:$BR$49=C25)*($BS$40:$CA$40=P$23),$BS$41:$CA$49)),0)</f>
        <v>0</v>
      </c>
      <c r="T49" s="4">
        <f t="array" aca="1" ref="T49" ca="1">IF(P25=C25,SUM(IF(($BR$41:$BR$49=C25)*($BS$40:$CA$40=P$24),$BS$41:$CA$49)),0)</f>
        <v>0</v>
      </c>
      <c r="U49" s="6">
        <f t="array" aca="1" ref="U49" ca="1">IF(Q25=C25,SUM(IF(($BR$41:$BR$49=C25)*($BS$40:$CA$40=Q$17),$BS$41:$CA$49)),0)</f>
        <v>0</v>
      </c>
      <c r="V49" s="4">
        <f t="array" aca="1" ref="V49" ca="1">IF(Q25=C25,SUM(IF(($BR$41:$BR$49=C25)*($BS$40:$CA$40=Q$18),$BS$41:$CA$49)),0)</f>
        <v>0</v>
      </c>
      <c r="W49" s="4">
        <f t="array" aca="1" ref="W49" ca="1">IF(Q25=C25,SUM(IF(($BR$41:$BR$49=C25)*($BS$40:$CA$40=Q$19),$BS$41:$CA$49)),0)</f>
        <v>0</v>
      </c>
      <c r="X49" s="4">
        <f t="array" aca="1" ref="X49" ca="1">IF(Q25=C25,SUM(IF(($BR$41:$BR$49=C25)*($BS$40:$CA$40=Q$20),$BS$41:$CA$49)),0)</f>
        <v>0</v>
      </c>
      <c r="Y49" s="4">
        <f t="array" aca="1" ref="Y49" ca="1">IF(Q25=C25,SUM(IF(($BR$41:$BR$49=C25)*($BS$40:$CA$40=Q$21),$BS$41:$CA$49)),0)</f>
        <v>0</v>
      </c>
      <c r="Z49" s="4">
        <f t="array" aca="1" ref="Z49" ca="1">IF(Q25=C25,SUM(IF(($BR$41:$BR$49=C25)*($BS$40:$CA$40=Q$22),$BS$41:$CA$49)),0)</f>
        <v>0</v>
      </c>
      <c r="AA49" s="4">
        <f t="array" aca="1" ref="AA49" ca="1">IF(Q25=C25,SUM(IF(($BR$41:$BR$49=C25)*($BS$40:$CA$40=Q$23),$BS$41:$CA$49)),0)</f>
        <v>0</v>
      </c>
      <c r="AB49" s="4">
        <f t="array" aca="1" ref="AB49" ca="1">IF(Q25=C25,SUM(IF(($BR$41:$BR$49=C25)*($BS$40:$CA$40=Q$24),$BS$41:$CA$49)),0)</f>
        <v>0</v>
      </c>
      <c r="AC49" s="6">
        <f t="array" aca="1" ref="AC49" ca="1">IF(R25=C25,SUM(IF(($BR$41:$BR$49=C25)*($BS$40:$CA$40=R$17),$BS$41:$CA$49)),0)</f>
        <v>0</v>
      </c>
      <c r="AD49" s="4">
        <f t="array" aca="1" ref="AD49" ca="1">IF(R25=C25,SUM(IF(($BR$41:$BR$49=C25)*($BS$40:$CA$40=R$18),$BS$41:$CA$49)),0)</f>
        <v>0</v>
      </c>
      <c r="AE49" s="4">
        <f t="array" aca="1" ref="AE49" ca="1">IF(R25=C25,SUM(IF(($BR$41:$BR$49=C25)*($BS$40:$CA$40=R$19),$BS$41:$CA$49)),0)</f>
        <v>0</v>
      </c>
      <c r="AF49" s="4">
        <f t="array" aca="1" ref="AF49" ca="1">IF(R25=C25,SUM(IF(($BR$41:$BR$49=C25)*($BS$40:$CA$40=R$20),$BS$41:$CA$49)),0)</f>
        <v>0</v>
      </c>
      <c r="AG49" s="4">
        <f t="array" aca="1" ref="AG49" ca="1">IF(R25=C25,SUM(IF(($BR$41:$BR$49=C25)*($BS$40:$CA$40=R$21),$BS$41:$CA$49)),0)</f>
        <v>0</v>
      </c>
      <c r="AH49" s="4">
        <f t="array" aca="1" ref="AH49" ca="1">IF(R25=C25,SUM(IF(($BR$41:$BR$49=C25)*($BS$40:$CA$40=R$22),$BS$41:$CA$49)),0)</f>
        <v>0</v>
      </c>
      <c r="AI49" s="4">
        <f t="array" aca="1" ref="AI49" ca="1">IF(R25=C25,SUM(IF(($BR$41:$BR$49=C25)*($BS$40:$CA$40=R$23),$BS$41:$CA$49)),0)</f>
        <v>0</v>
      </c>
      <c r="AJ49" s="4">
        <f t="array" aca="1" ref="AJ49" ca="1">IF(R25=C25,SUM(IF(($BR$41:$BR$49=C25)*($BS$40:$CA$40=R$24),$BS$41:$CA$49)),0)</f>
        <v>0</v>
      </c>
      <c r="AK49" s="6">
        <f t="array" aca="1" ref="AK49" ca="1">IF(S25=C25,SUM(IF(($BR$41:$BR$49=C25)*($BS$40:$CA$40=S$17),$BS$41:$CA$49)),0)</f>
        <v>0</v>
      </c>
      <c r="AL49" s="4">
        <f t="array" aca="1" ref="AL49" ca="1">IF(S25=C25,SUM(IF(($BR$41:$BR$49=C25)*($BS$40:$CA$40=S$18),$BS$41:$CA$49)),0)</f>
        <v>0</v>
      </c>
      <c r="AM49" s="4">
        <f t="array" aca="1" ref="AM49" ca="1">IF(S25=C25,SUM(IF(($BR$41:$BR$49=C25)*($BS$40:$CA$40=S$19),$BS$41:$CA$49)),0)</f>
        <v>0</v>
      </c>
      <c r="AN49" s="4">
        <f t="array" aca="1" ref="AN49" ca="1">IF(S25=C25,SUM(IF(($BR$41:$BR$49=C25)*($BS$40:$CA$40=S$20),$BS$41:$CA$49)),0)</f>
        <v>0</v>
      </c>
      <c r="AO49" s="4">
        <f t="array" aca="1" ref="AO49" ca="1">IF(S25=C25,SUM(IF(($BR$41:$BR$49=C25)*($BS$40:$CA$40=S$21),$BS$41:$CA$49)),0)</f>
        <v>0</v>
      </c>
      <c r="AP49" s="4">
        <f t="array" aca="1" ref="AP49" ca="1">IF(S25=C25,SUM(IF(($BR$41:$BR$49=C25)*($BS$40:$CA$40=S$22),$BS$41:$CA$49)),0)</f>
        <v>0</v>
      </c>
      <c r="AQ49" s="4">
        <f t="array" aca="1" ref="AQ49" ca="1">IF(S25=C25,SUM(IF(($BR$41:$BR$49=C25)*($BS$40:$CA$40=S$23),$BS$41:$CA$49)),0)</f>
        <v>0</v>
      </c>
      <c r="AR49" s="4">
        <f t="array" aca="1" ref="AR49" ca="1">IF(S25=C25,SUM(IF(($BR$41:$BR$49=C25)*($BS$40:$CA$40=S$24),$BS$41:$CA$49)),0)</f>
        <v>0</v>
      </c>
      <c r="AS49" s="6">
        <f t="array" aca="1" ref="AS49" ca="1">IF(T25=C25,SUM(IF(($BR$41:$BR$49=C25)*($BS$40:$CA$40=T$17),$BS$41:$CA$49)),0)</f>
        <v>0</v>
      </c>
      <c r="AT49" s="4">
        <f t="array" aca="1" ref="AT49" ca="1">IF(T25=C25,SUM(IF(($BR$41:$BR$49=C25)*($BS$40:$CA$40=T$18),$BS$41:$CA$49)),0)</f>
        <v>0</v>
      </c>
      <c r="AU49" s="4">
        <f t="array" aca="1" ref="AU49" ca="1">IF(T25=C25,SUM(IF(($BR$41:$BR$49=C25)*($BS$40:$CA$40=T$19),$BS$41:$CA$49)),0)</f>
        <v>0</v>
      </c>
      <c r="AV49" s="4">
        <f t="array" aca="1" ref="AV49" ca="1">IF(T25=C25,SUM(IF(($BR$41:$BR$49=C25)*($BS$40:$CA$40=T$20),$BS$41:$CA$49)),0)</f>
        <v>0</v>
      </c>
      <c r="AW49" s="4">
        <f t="array" aca="1" ref="AW49" ca="1">IF(T25=C25,SUM(IF(($BR$41:$BR$49=C25)*($BS$40:$CA$40=T$21),$BS$41:$CA$49)),0)</f>
        <v>0</v>
      </c>
      <c r="AX49" s="4">
        <f t="array" aca="1" ref="AX49" ca="1">IF(T25=C25,SUM(IF(($BR$41:$BR$49=C25)*($BS$40:$CA$40=T$22),$BS$41:$CA$49)),0)</f>
        <v>0</v>
      </c>
      <c r="AY49" s="4">
        <f t="array" aca="1" ref="AY49" ca="1">IF(T25=C25,SUM(IF(($BR$41:$BR$49=C25)*($BS$40:$CA$40=T$23),$BS$41:$CA$49)),0)</f>
        <v>0</v>
      </c>
      <c r="AZ49" s="4">
        <f t="array" aca="1" ref="AZ49" ca="1">IF(T25=C25,SUM(IF(($BR$41:$BR$49=C25)*($BS$40:$CA$40=T$24),$BS$41:$CA$49)),0)</f>
        <v>0</v>
      </c>
      <c r="BA49" s="6">
        <f t="array" aca="1" ref="BA49" ca="1">IF(U25=C25,SUM(IF(($BR$41:$BR$49=C25)*($BS$40:$CA$40=U$17),$BS$41:$CA$49)),0)</f>
        <v>0</v>
      </c>
      <c r="BB49" s="4">
        <f t="array" aca="1" ref="BB49" ca="1">IF(U25=C25,SUM(IF(($BR$41:$BR$49=C25)*($BS$40:$CA$40=U$18),$BS$41:$CA$49)),0)</f>
        <v>0</v>
      </c>
      <c r="BC49" s="4">
        <f t="array" aca="1" ref="BC49" ca="1">IF(U25=C25,SUM(IF(($BR$41:$BR$49=C25)*($BS$40:$CA$40=U$19),$BS$41:$CA$49)),0)</f>
        <v>0</v>
      </c>
      <c r="BD49" s="4">
        <f t="array" aca="1" ref="BD49" ca="1">IF(U25=C25,SUM(IF(($BR$41:$BR$49=C25)*($BS$40:$CA$40=U$20),$BS$41:$CA$49)),0)</f>
        <v>0</v>
      </c>
      <c r="BE49" s="4">
        <f t="array" aca="1" ref="BE49" ca="1">IF(U25=C25,SUM(IF(($BR$41:$BR$49=C25)*($BS$40:$CA$40=U$21),$BS$41:$CA$49)),0)</f>
        <v>0</v>
      </c>
      <c r="BF49" s="4">
        <f t="array" aca="1" ref="BF49" ca="1">IF(U25=C25,SUM(IF(($BR$41:$BR$49=C25)*($BS$40:$CA$40=U$22),$BS$41:$CA$49)),0)</f>
        <v>0</v>
      </c>
      <c r="BG49" s="4">
        <f t="array" aca="1" ref="BG49" ca="1">IF(U25=C25,SUM(IF(($BR$41:$BR$49=C25)*($BS$40:$CA$40=U$23),$BS$41:$CA$49)),0)</f>
        <v>0</v>
      </c>
      <c r="BH49" s="4">
        <f t="array" aca="1" ref="BH49" ca="1">IF(U25=C25,SUM(IF(($BR$41:$BR$49=C25)*($BS$40:$CA$40=U$24),$BS$41:$CA$49)),0)</f>
        <v>0</v>
      </c>
      <c r="BI49" s="6">
        <f t="array" aca="1" ref="BI49" ca="1">IF(V25=C25,SUM(IF(($BR$41:$BR$49=C25)*($BS$40:$CA$40=V$18),$BS$41:$CA$49)),0)</f>
        <v>0</v>
      </c>
      <c r="BJ49" s="4">
        <f t="array" aca="1" ref="BJ49" ca="1">IF(V25=C25,SUM(IF(($BR$41:$BR$49=C25)*($BS$40:$CA$40=V$19),$BS$41:$CA$49)),0)</f>
        <v>0</v>
      </c>
      <c r="BK49" s="4">
        <f t="array" aca="1" ref="BK49" ca="1">IF(V25=C25,SUM(IF(($BR$41:$BR$49=C25)*($BS$40:$CA$40=V$20),$BS$41:$CA$49)),0)</f>
        <v>0</v>
      </c>
      <c r="BL49" s="4">
        <f t="array" aca="1" ref="BL49" ca="1">IF(V25=C25,SUM(IF(($BR$41:$BR$49=C25)*($BS$40:$CA$40=V$21),$BS$41:$CA$49)),0)</f>
        <v>0</v>
      </c>
      <c r="BM49" s="4">
        <f t="array" aca="1" ref="BM49" ca="1">IF(V25=C25,SUM(IF(($BR$41:$BR$49=C25)*($BS$40:$CA$40=V$22),$BS$41:$CA$49)),0)</f>
        <v>0</v>
      </c>
      <c r="BN49" s="4">
        <f t="array" aca="1" ref="BN49" ca="1">IF(V25=C25,SUM(IF(($BR$41:$BR$49=C25)*($BS$40:$CA$40=V$23),$BS$41:$CA$49)),0)</f>
        <v>0</v>
      </c>
      <c r="BO49" s="4">
        <f t="array" aca="1" ref="BO49" ca="1">IF(V25=C25,SUM(IF(($BR$41:$BR$49=C25)*($BS$40:$CA$40=V$24),$BS$41:$CA$49)),0)</f>
        <v>0</v>
      </c>
      <c r="BP49" s="16">
        <f t="array" aca="1" ref="BP49" ca="1">IF(V25=C25,SUM(IF(($BR$41:$BR$49=C25)*($BS$40:$CA$40=V$25),$BS$41:$CA$49)),0)</f>
        <v>0</v>
      </c>
      <c r="BQ49" s="4"/>
      <c r="BR49" s="2" t="str">
        <f t="shared" si="70"/>
        <v/>
      </c>
      <c r="BS49" s="9">
        <f ca="1">IF(CA41="","",-1*CA41)</f>
        <v>0</v>
      </c>
      <c r="BT49" s="9">
        <f ca="1">IF(CA42="","",-1*CA42)</f>
        <v>0</v>
      </c>
      <c r="BU49" s="9">
        <f ca="1">IF(CA43="","",-1*CA43)</f>
        <v>0</v>
      </c>
      <c r="BV49" s="9">
        <f ca="1">IF(CA44="","",-1*CA44)</f>
        <v>0</v>
      </c>
      <c r="BW49" s="9">
        <f ca="1">IF(CA45="","",-1*CA45)</f>
        <v>0</v>
      </c>
      <c r="BX49" s="9">
        <f ca="1">IF(CA46="","",-1*CA46)</f>
        <v>0</v>
      </c>
      <c r="BY49" s="9">
        <f ca="1">IF(CA47="","",-1*CA47)</f>
        <v>0</v>
      </c>
      <c r="BZ49" s="9">
        <f t="shared" ref="BZ49" ca="1" si="71">IF(CA48="","",-1*CA48)</f>
        <v>0</v>
      </c>
      <c r="CA49" s="7"/>
      <c r="CB49" s="4"/>
    </row>
    <row r="50" spans="2:80" s="2" customFormat="1" x14ac:dyDescent="0.2">
      <c r="E50" s="15"/>
      <c r="F50" s="4"/>
      <c r="G50" s="4"/>
      <c r="H50" s="4"/>
      <c r="I50" s="4"/>
      <c r="J50" s="4"/>
      <c r="K50" s="4"/>
      <c r="L50" s="4"/>
      <c r="M50" s="6"/>
      <c r="N50" s="4"/>
      <c r="O50" s="4"/>
      <c r="P50" s="4"/>
      <c r="Q50" s="4"/>
      <c r="R50" s="4"/>
      <c r="S50" s="4"/>
      <c r="T50" s="4"/>
      <c r="U50" s="6"/>
      <c r="V50" s="4"/>
      <c r="W50" s="4"/>
      <c r="X50" s="4"/>
      <c r="Y50" s="4"/>
      <c r="Z50" s="4"/>
      <c r="AA50" s="4"/>
      <c r="AB50" s="4"/>
      <c r="AC50" s="6"/>
      <c r="AD50" s="4"/>
      <c r="AE50" s="4"/>
      <c r="AF50" s="4"/>
      <c r="AG50" s="4"/>
      <c r="AH50" s="4"/>
      <c r="AI50" s="4"/>
      <c r="AJ50" s="4"/>
      <c r="AK50" s="6"/>
      <c r="AL50" s="4"/>
      <c r="AM50" s="4"/>
      <c r="AN50" s="4"/>
      <c r="AO50" s="4"/>
      <c r="AP50" s="4"/>
      <c r="AQ50" s="4"/>
      <c r="AR50" s="4"/>
      <c r="AS50" s="6"/>
      <c r="AT50" s="4"/>
      <c r="AU50" s="4"/>
      <c r="AV50" s="4"/>
      <c r="AW50" s="4"/>
      <c r="AX50" s="4"/>
      <c r="AY50" s="4"/>
      <c r="AZ50" s="4"/>
      <c r="BA50" s="6"/>
      <c r="BB50" s="4"/>
      <c r="BC50" s="4"/>
      <c r="BD50" s="4"/>
      <c r="BE50" s="4"/>
      <c r="BF50" s="4"/>
      <c r="BG50" s="4"/>
      <c r="BH50" s="4"/>
      <c r="BI50" s="6"/>
      <c r="BJ50" s="4"/>
      <c r="BK50" s="4"/>
      <c r="BL50" s="4"/>
      <c r="BM50" s="4"/>
      <c r="BN50" s="4"/>
      <c r="BO50" s="4"/>
      <c r="BP50" s="16"/>
      <c r="BQ50" s="4"/>
      <c r="CB50" s="4"/>
    </row>
    <row r="51" spans="2:80" s="2" customFormat="1" x14ac:dyDescent="0.2">
      <c r="E51" s="15"/>
      <c r="F51" s="4"/>
      <c r="G51" s="4"/>
      <c r="H51" s="4"/>
      <c r="I51" s="4"/>
      <c r="J51" s="4"/>
      <c r="K51" s="4"/>
      <c r="L51" s="4"/>
      <c r="M51" s="6"/>
      <c r="N51" s="4"/>
      <c r="O51" s="4"/>
      <c r="P51" s="4"/>
      <c r="Q51" s="4"/>
      <c r="R51" s="4"/>
      <c r="S51" s="4"/>
      <c r="T51" s="4"/>
      <c r="U51" s="6"/>
      <c r="V51" s="4"/>
      <c r="W51" s="4"/>
      <c r="X51" s="4"/>
      <c r="Y51" s="4"/>
      <c r="Z51" s="4"/>
      <c r="AA51" s="4"/>
      <c r="AB51" s="4"/>
      <c r="AC51" s="6"/>
      <c r="AD51" s="4"/>
      <c r="AE51" s="4"/>
      <c r="AF51" s="4"/>
      <c r="AG51" s="4"/>
      <c r="AH51" s="4"/>
      <c r="AI51" s="4"/>
      <c r="AJ51" s="4"/>
      <c r="AK51" s="6"/>
      <c r="AL51" s="4"/>
      <c r="AM51" s="4"/>
      <c r="AN51" s="4"/>
      <c r="AO51" s="4"/>
      <c r="AP51" s="4"/>
      <c r="AQ51" s="4"/>
      <c r="AR51" s="4"/>
      <c r="AS51" s="6"/>
      <c r="AT51" s="4"/>
      <c r="AU51" s="4"/>
      <c r="AV51" s="4"/>
      <c r="AW51" s="4"/>
      <c r="AX51" s="4"/>
      <c r="AY51" s="4"/>
      <c r="AZ51" s="4"/>
      <c r="BA51" s="6"/>
      <c r="BB51" s="4"/>
      <c r="BC51" s="4"/>
      <c r="BD51" s="4"/>
      <c r="BE51" s="4"/>
      <c r="BF51" s="4"/>
      <c r="BG51" s="4"/>
      <c r="BH51" s="4"/>
      <c r="BI51" s="6"/>
      <c r="BJ51" s="4"/>
      <c r="BK51" s="4"/>
      <c r="BL51" s="4"/>
      <c r="BM51" s="4"/>
      <c r="BN51" s="4"/>
      <c r="BO51" s="4"/>
      <c r="BP51" s="16"/>
      <c r="BQ51" s="4"/>
      <c r="BR51" s="5" t="s">
        <v>99</v>
      </c>
      <c r="BS51" s="2" t="str">
        <f>$F$4</f>
        <v>1. FC Riedwald</v>
      </c>
      <c r="BT51" s="2" t="str">
        <f>$F$5</f>
        <v>FC Barcelona</v>
      </c>
      <c r="BU51" s="2" t="str">
        <f>$F$6</f>
        <v>Eintracht Frankfurt</v>
      </c>
      <c r="BV51" s="2" t="str">
        <f>$F$7</f>
        <v>Maibach 1822 eV</v>
      </c>
      <c r="BW51" s="2" t="str">
        <f>$F$8</f>
        <v>VFB Essenheim</v>
      </c>
      <c r="BX51" s="2" t="str">
        <f>$F$9</f>
        <v>Inter Mailand</v>
      </c>
      <c r="BY51" s="2" t="str">
        <f>$F$10</f>
        <v>SSV Wildbach</v>
      </c>
      <c r="BZ51" s="2" t="str">
        <f>$F$11</f>
        <v/>
      </c>
      <c r="CA51" s="2" t="str">
        <f>$F$12</f>
        <v/>
      </c>
      <c r="CB51" s="4"/>
    </row>
    <row r="52" spans="2:80" s="2" customFormat="1" x14ac:dyDescent="0.2">
      <c r="B52" s="2" t="s">
        <v>106</v>
      </c>
      <c r="E52" s="15">
        <f t="array" aca="1" ref="E52" ca="1">IF(O17=C17,SUM(IF(($BR$30:$BR$38=C17)*($BS$29:$CA$29=O18),$BS$30:$CA$38)),0)</f>
        <v>0</v>
      </c>
      <c r="F52" s="4">
        <f t="array" aca="1" ref="F52" ca="1">IF(O17=C17,SUM(IF(($BR$30:$BR$38=C17)*($BS$29:$CA$29=O19),$BS$30:$CA$38)),0)</f>
        <v>0</v>
      </c>
      <c r="G52" s="4">
        <f t="array" aca="1" ref="G52" ca="1">IF(O17=C17,SUM(IF(($BR$30:$BR$38=C17)*($BS$29:$CA$29=O20),$BS$30:$CA$38)),0)</f>
        <v>0</v>
      </c>
      <c r="H52" s="4">
        <f t="array" aca="1" ref="H52" ca="1">IF(O17=C17,SUM(IF(($BR$30:$BR$38=C17)*($BS$29:$CA$29=O21),$BS$30:$CA$38)),0)</f>
        <v>0</v>
      </c>
      <c r="I52" s="4">
        <f t="array" aca="1" ref="I52" ca="1">IF(O17=C17,SUM(IF(($BR$30:$BR$38=C17)*($BS$29:$CA$29=O22),$BS$30:$CA$38)),0)</f>
        <v>0</v>
      </c>
      <c r="J52" s="4">
        <f t="array" aca="1" ref="J52" ca="1">IF(O17=C17,SUM(IF(($BR$30:$BR$38=C17)*($BS$29:$CA$29=O23),$BS$30:$CA$38)),0)</f>
        <v>0</v>
      </c>
      <c r="K52" s="4">
        <f t="array" aca="1" ref="K52" ca="1">IF(O17=C17,SUM(IF(($BR$30:$BR$38=C17)*($BS$29:$CA$29=O$24),$BS$30:$CA$38)),0)</f>
        <v>0</v>
      </c>
      <c r="L52" s="4">
        <f t="array" aca="1" ref="L52" ca="1">IF(O17=C17,SUM(IF(($BR$30:$BR$38=C17)*($BS$29:$CA$29=O$25),$BS$30:$CA$38)),0)</f>
        <v>0</v>
      </c>
      <c r="M52" s="6">
        <f t="array" aca="1" ref="M52" ca="1">IF(P17=C17,SUM(IF(($BR$30:$BR$38=C17)*($BS$29:$CA$29=P18),$BS$30:$CA$38)),0)</f>
        <v>0</v>
      </c>
      <c r="N52" s="4">
        <f t="array" aca="1" ref="N52" ca="1">IF(P17=C17,SUM(IF(($BR$30:$BR$38=C17)*($BS$29:$CA$29=P19),$BS$30:$CA$38)),0)</f>
        <v>0</v>
      </c>
      <c r="O52" s="4">
        <f t="array" aca="1" ref="O52" ca="1">IF(P17=C17,SUM(IF(($BR$30:$BR$38=C17)*($BS$29:$CA$29=P20),$BS$30:$CA$38)),0)</f>
        <v>0</v>
      </c>
      <c r="P52" s="4">
        <f t="array" aca="1" ref="P52" ca="1">IF(P17=C17,SUM(IF(($BR$30:$BR$38=C17)*($BS$29:$CA$29=P21),$BS$30:$CA$38)),0)</f>
        <v>0</v>
      </c>
      <c r="Q52" s="4">
        <f t="array" aca="1" ref="Q52" ca="1">IF(P17=C17,SUM(IF(($BR$30:$BR$38=C17)*($BS$29:$CA$29=P22),$BS$30:$CA$38)),0)</f>
        <v>0</v>
      </c>
      <c r="R52" s="4">
        <f t="array" aca="1" ref="R52" ca="1">IF(P17=C17,SUM(IF(($BR$30:$BR$38=C17)*($BS$29:$CA$29=P23),$BS$30:$CA$38)),0)</f>
        <v>0</v>
      </c>
      <c r="S52" s="4">
        <f t="array" aca="1" ref="S52" ca="1">IF(P17=C17,SUM(IF(($BR$30:$BR$38=C17)*($BS$29:$CA$29=P$24),$BS$30:$CA$38)),0)</f>
        <v>0</v>
      </c>
      <c r="T52" s="4">
        <f t="array" aca="1" ref="T52" ca="1">IF(P17=C17,SUM(IF(($BR$30:$BR$38=C17)*($BS$29:$CA$29=P$25),$BS$30:$CA$38)),0)</f>
        <v>0</v>
      </c>
      <c r="U52" s="6">
        <f t="array" aca="1" ref="U52" ca="1">IF(Q17=C17,SUM(IF(($BR$30:$BR$38=C17)*($BS$29:$CA$29=Q18),$BS$30:$CA$38)),0)</f>
        <v>0</v>
      </c>
      <c r="V52" s="4">
        <f t="array" aca="1" ref="V52" ca="1">IF(Q17=C17,SUM(IF(($BR$30:$BR$38=C17)*($BS$29:$CA$29=Q19),$BS$30:$CA$38)),0)</f>
        <v>0</v>
      </c>
      <c r="W52" s="4">
        <f t="array" aca="1" ref="W52" ca="1">IF(Q17=C17,SUM(IF(($BR$30:$BR$38=C17)*($BS$29:$CA$29=Q20),$BS$30:$CA$38)),0)</f>
        <v>0</v>
      </c>
      <c r="X52" s="4">
        <f t="array" aca="1" ref="X52" ca="1">IF(Q17=C17,SUM(IF(($BR$30:$BR$38=C17)*($BS$29:$CA$29=Q21),$BS$30:$CA$38)),0)</f>
        <v>0</v>
      </c>
      <c r="Y52" s="4">
        <f t="array" aca="1" ref="Y52" ca="1">IF(Q17=C17,SUM(IF(($BR$30:$BR$38=C17)*($BS$29:$CA$29=Q22),$BS$30:$CA$38)),0)</f>
        <v>0</v>
      </c>
      <c r="Z52" s="4">
        <f t="array" aca="1" ref="Z52" ca="1">IF(Q17=C17,SUM(IF(($BR$30:$BR$38=C17)*($BS$29:$CA$29=Q23),$BS$30:$CA$38)),0)</f>
        <v>0</v>
      </c>
      <c r="AA52" s="4">
        <f t="array" aca="1" ref="AA52" ca="1">IF(Q17=C17,SUM(IF(($BR$30:$BR$38=C17)*($BS$29:$CA$29=Q$24),$BS$30:$CA$38)),0)</f>
        <v>0</v>
      </c>
      <c r="AB52" s="4">
        <f t="array" aca="1" ref="AB52" ca="1">IF(Q17=C17,SUM(IF(($BR$30:$BR$38=C17)*($BS$29:$CA$29=Q$25),$BS$30:$CA$38)),0)</f>
        <v>0</v>
      </c>
      <c r="AC52" s="6">
        <f t="array" aca="1" ref="AC52" ca="1">IF(R17=C17,SUM(IF(($BR$30:$BR$38=C17)*($BS$29:$CA$29=R18),$BS$30:$CA$38)),0)</f>
        <v>0</v>
      </c>
      <c r="AD52" s="4">
        <f t="array" aca="1" ref="AD52" ca="1">IF(R17=C17,SUM(IF(($BR$30:$BR$38=C17)*($BS$29:$CA$29=R19),$BS$30:$CA$38)),0)</f>
        <v>0</v>
      </c>
      <c r="AE52" s="4">
        <f t="array" aca="1" ref="AE52" ca="1">IF(R17=C17,SUM(IF(($BR$30:$BR$38=C17)*($BS$29:$CA$29=R20),$BS$30:$CA$38)),0)</f>
        <v>0</v>
      </c>
      <c r="AF52" s="4">
        <f t="array" aca="1" ref="AF52" ca="1">IF(R17=C17,SUM(IF(($BR$30:$BR$38=C17)*($BS$29:$CA$29=R21),$BS$30:$CA$38)),0)</f>
        <v>0</v>
      </c>
      <c r="AG52" s="4">
        <f t="array" aca="1" ref="AG52" ca="1">IF(R17=C17,SUM(IF(($BR$30:$BR$38=C17)*($BS$29:$CA$29=R22),$BS$30:$CA$38)),0)</f>
        <v>0</v>
      </c>
      <c r="AH52" s="4">
        <f t="array" aca="1" ref="AH52" ca="1">IF(R17=C17,SUM(IF(($BR$30:$BR$38=C17)*($BS$29:$CA$29=R23),$BS$30:$CA$38)),0)</f>
        <v>0</v>
      </c>
      <c r="AI52" s="4">
        <f t="array" aca="1" ref="AI52" ca="1">IF(R17=C17,SUM(IF(($BR$30:$BR$38=C17)*($BS$29:$CA$29=R$24),$BS$30:$CA$38)),0)</f>
        <v>0</v>
      </c>
      <c r="AJ52" s="4">
        <f t="array" aca="1" ref="AJ52" ca="1">IF(R17=C17,SUM(IF(($BR$30:$BR$38=C17)*($BS$29:$CA$29=R$25),$BS$30:$CA$38)),0)</f>
        <v>0</v>
      </c>
      <c r="AK52" s="6">
        <f t="array" aca="1" ref="AK52" ca="1">IF(S17=C17,SUM(IF(($BR$30:$BR$38=C17)*($BS$29:$CA$29=S18),$BS$30:$CA$38)),0)</f>
        <v>0</v>
      </c>
      <c r="AL52" s="4">
        <f t="array" aca="1" ref="AL52" ca="1">IF(S17=C17,SUM(IF(($BR$30:$BR$38=C17)*($BS$29:$CA$29=S19),$BS$30:$CA$38)),0)</f>
        <v>0</v>
      </c>
      <c r="AM52" s="4">
        <f t="array" aca="1" ref="AM52" ca="1">IF(S17=C17,SUM(IF(($BR$30:$BR$38=C17)*($BS$29:$CA$29=S20),$BS$30:$CA$38)),0)</f>
        <v>0</v>
      </c>
      <c r="AN52" s="4">
        <f t="array" aca="1" ref="AN52" ca="1">IF(S17=C17,SUM(IF(($BR$30:$BR$38=C17)*($BS$29:$CA$29=S21),$BS$30:$CA$38)),0)</f>
        <v>0</v>
      </c>
      <c r="AO52" s="4">
        <f t="array" aca="1" ref="AO52" ca="1">IF(S17=C17,SUM(IF(($BR$30:$BR$38=C17)*($BS$29:$CA$29=S22),$BS$30:$CA$38)),0)</f>
        <v>1</v>
      </c>
      <c r="AP52" s="4">
        <f t="array" aca="1" ref="AP52" ca="1">IF(S17=C17,SUM(IF(($BR$30:$BR$38=C17)*($BS$29:$CA$29=S23),$BS$30:$CA$38)),0)</f>
        <v>0</v>
      </c>
      <c r="AQ52" s="4">
        <f t="array" aca="1" ref="AQ52" ca="1">IF(S17=C17,SUM(IF(($BR$30:$BR$38=C17)*($BS$29:$CA$29=S$24),$BS$30:$CA$38)),0)</f>
        <v>0</v>
      </c>
      <c r="AR52" s="4">
        <f t="array" aca="1" ref="AR52" ca="1">IF(S17=C17,SUM(IF(($BR$30:$BR$38=C17)*($BS$29:$CA$29=S$25),$BS$30:$CA$38)),0)</f>
        <v>0</v>
      </c>
      <c r="AS52" s="6">
        <f t="array" aca="1" ref="AS52" ca="1">IF(T17=C17,SUM(IF(($BR$30:$BR$38=C17)*($BS$29:$CA$29=T18),$BS$30:$CA$38)),0)</f>
        <v>0</v>
      </c>
      <c r="AT52" s="4">
        <f t="array" aca="1" ref="AT52" ca="1">IF(T17=C17,SUM(IF(($BR$30:$BR$38=C17)*($BS$29:$CA$29=T19),$BS$30:$CA$38)),0)</f>
        <v>0</v>
      </c>
      <c r="AU52" s="4">
        <f t="array" aca="1" ref="AU52" ca="1">IF(T17=C17,SUM(IF(($BR$30:$BR$38=C17)*($BS$29:$CA$29=T20),$BS$30:$CA$38)),0)</f>
        <v>0</v>
      </c>
      <c r="AV52" s="4">
        <f t="array" aca="1" ref="AV52" ca="1">IF(T17=C17,SUM(IF(($BR$30:$BR$38=C17)*($BS$29:$CA$29=T21),$BS$30:$CA$38)),0)</f>
        <v>0</v>
      </c>
      <c r="AW52" s="4">
        <f t="array" aca="1" ref="AW52" ca="1">IF(T17=C17,SUM(IF(($BR$30:$BR$38=C17)*($BS$29:$CA$29=T22),$BS$30:$CA$38)),0)</f>
        <v>0</v>
      </c>
      <c r="AX52" s="4">
        <f t="array" aca="1" ref="AX52" ca="1">IF(T17=C17,SUM(IF(($BR$30:$BR$38=C17)*($BS$29:$CA$29=T23),$BS$30:$CA$38)),0)</f>
        <v>0</v>
      </c>
      <c r="AY52" s="4">
        <f t="array" aca="1" ref="AY52" ca="1">IF(T17=C17,SUM(IF(($BR$30:$BR$38=C17)*($BS$29:$CA$29=T$24),$BS$30:$CA$38)),0)</f>
        <v>0</v>
      </c>
      <c r="AZ52" s="4">
        <f t="array" aca="1" ref="AZ52" ca="1">IF(T17=C17,SUM(IF(($BR$30:$BR$38=C17)*($BS$29:$CA$29=T$25),$BS$30:$CA$38)),0)</f>
        <v>0</v>
      </c>
      <c r="BA52" s="6">
        <f t="array" aca="1" ref="BA52" ca="1">IF(U17=C17,SUM(IF(($BR$30:$BR$38=C17)*($BS$29:$CA$29=U$18),$BS$30:$CA$38)),0)</f>
        <v>0</v>
      </c>
      <c r="BB52" s="4">
        <f t="array" aca="1" ref="BB52" ca="1">IF(U17=C17,SUM(IF(($BR$30:$BR$38=C17)*($BS$29:$CA$29=U$19),$BS$30:$CA$38)),0)</f>
        <v>0</v>
      </c>
      <c r="BC52" s="4">
        <f t="array" aca="1" ref="BC52" ca="1">IF(U17=C17,SUM(IF(($BR$30:$BR$38=C17)*($BS$29:$CA$29=U$20),$BS$30:$CA$38)),0)</f>
        <v>0</v>
      </c>
      <c r="BD52" s="4">
        <f t="array" aca="1" ref="BD52" ca="1">IF(U17=C17,SUM(IF(($BR$30:$BR$38=C17)*($BS$29:$CA$29=U$21),$BS$30:$CA$38)),0)</f>
        <v>0</v>
      </c>
      <c r="BE52" s="4">
        <f t="array" aca="1" ref="BE52" ca="1">IF(U17=C17,SUM(IF(($BR$30:$BR$38=C17)*($BS$29:$CA$29=U$22),$BS$30:$CA$38)),0)</f>
        <v>0</v>
      </c>
      <c r="BF52" s="4">
        <f t="array" aca="1" ref="BF52" ca="1">IF(U17=C17,SUM(IF(($BR$30:$BR$38=C17)*($BS$29:$CA$29=U$23),$BS$30:$CA$38)),0)</f>
        <v>0</v>
      </c>
      <c r="BG52" s="4">
        <f t="array" aca="1" ref="BG52" ca="1">IF(U17=C17,SUM(IF(($BR$30:$BR$38=C17)*($BS$29:$CA$29=U$24),$BS$30:$CA$38)),0)</f>
        <v>0</v>
      </c>
      <c r="BH52" s="4">
        <f t="array" aca="1" ref="BH52" ca="1">IF(U17=C17,SUM(IF(($BR$30:$BR$38=C17)*($BS$29:$CA$29=U$25),$BS$30:$CA$38)),0)</f>
        <v>0</v>
      </c>
      <c r="BI52" s="6">
        <f t="array" aca="1" ref="BI52" ca="1">IF(V17=C17,SUM(IF(($BR$30:$BR$38=C17)*($BS$29:$CA$29=V$18),$BS$30:$CA$38)),0)</f>
        <v>0</v>
      </c>
      <c r="BJ52" s="4">
        <f t="array" aca="1" ref="BJ52" ca="1">IF(V17=C17,SUM(IF(($BR$30:$BR$38=C17)*($BS$29:$CA$29=V$19),$BS$30:$CA$38)),0)</f>
        <v>0</v>
      </c>
      <c r="BK52" s="4">
        <f t="array" aca="1" ref="BK52" ca="1">IF(V17=C17,SUM(IF(($BR$30:$BR$38=C17)*($BS$29:$CA$29=V$20),$BS$30:$CA$38)),0)</f>
        <v>0</v>
      </c>
      <c r="BL52" s="4">
        <f t="array" aca="1" ref="BL52" ca="1">IF(V17=C17,SUM(IF(($BR$30:$BR$38=C17)*($BS$29:$CA$29=V$21),$BS$30:$CA$38)),0)</f>
        <v>0</v>
      </c>
      <c r="BM52" s="4">
        <f t="array" aca="1" ref="BM52" ca="1">IF(V17=C17,SUM(IF(($BR$30:$BR$38=C17)*($BS$29:$CA$29=V$22),$BS$30:$CA$38)),0)</f>
        <v>0</v>
      </c>
      <c r="BN52" s="4">
        <f t="array" aca="1" ref="BN52" ca="1">IF(V17=C17,SUM(IF(($BR$30:$BR$38=C17)*($BS$29:$CA$29=V$23),$BS$30:$CA$38)),0)</f>
        <v>0</v>
      </c>
      <c r="BO52" s="4">
        <f t="array" aca="1" ref="BO52" ca="1">IF(V17=C17,SUM(IF(($BR$30:$BR$38=C17)*($BS$29:$CA$29=V$24),$BS$30:$CA$38)),0)</f>
        <v>0</v>
      </c>
      <c r="BP52" s="16">
        <f t="array" aca="1" ref="BP52" ca="1">IF(V17=C17,SUM(IF(($BR$30:$BR$38=C17)*($BS$29:$CA$29=V$25),$BS$30:$CA$38)),0)</f>
        <v>0</v>
      </c>
      <c r="BQ52" s="4"/>
      <c r="BR52" s="2" t="str">
        <f t="shared" ref="BR52:BR60" si="72">F4</f>
        <v>1. FC Riedwald</v>
      </c>
      <c r="BS52" s="7"/>
      <c r="BT52" s="8">
        <f t="shared" ref="BT52:BY52" ca="1" si="73">SUMIFS($AE$64:$AE$135,$V$64:$V$135,$BR52,$W$64:$W$135,BT$51)+SUMIFS($AF$64:$AF$135,$W$64:$W$135,$BR52,$V$64:$V$135,BT$51)</f>
        <v>0</v>
      </c>
      <c r="BU52" s="8">
        <f t="shared" ca="1" si="73"/>
        <v>0</v>
      </c>
      <c r="BV52" s="8">
        <f t="shared" ca="1" si="73"/>
        <v>0</v>
      </c>
      <c r="BW52" s="8">
        <f t="shared" ca="1" si="73"/>
        <v>0</v>
      </c>
      <c r="BX52" s="8">
        <f t="shared" ca="1" si="73"/>
        <v>1</v>
      </c>
      <c r="BY52" s="8">
        <f t="shared" ca="1" si="73"/>
        <v>0</v>
      </c>
      <c r="BZ52" s="8">
        <f t="shared" ref="BZ52:CA58" ca="1" si="74">SUMIFS($AE$64:$AE$135,$V$64:$V$135,$BR52,$W$64:$W$135,BZ$51)+SUMIFS($AF$64:$AF$135,$W$64:$W$135,$BR52,$V$64:$V$135,BZ$51)</f>
        <v>0</v>
      </c>
      <c r="CA52" s="8">
        <f t="shared" ca="1" si="74"/>
        <v>0</v>
      </c>
      <c r="CB52" s="4"/>
    </row>
    <row r="53" spans="2:80" s="2" customFormat="1" x14ac:dyDescent="0.2">
      <c r="E53" s="15">
        <f t="array" aca="1" ref="E53" ca="1">IF(O18=C18,SUM(IF(($BR$30:$BR$38=C18)*($BS$29:$CA$29=O17),$BS$30:$CA$38)),0)</f>
        <v>0</v>
      </c>
      <c r="F53" s="4">
        <f t="array" aca="1" ref="F53" ca="1">IF(O18=C18,SUM(IF(($BR$30:$BR$38=C18)*($BS$29:$CA$29=O19),$BS$30:$CA$38)),0)</f>
        <v>0</v>
      </c>
      <c r="G53" s="4">
        <f t="array" aca="1" ref="G53" ca="1">IF(O18=C18,SUM(IF(($BR$30:$BR$38=C18)*($BS$29:$CA$29=O20),$BS$30:$CA$38)),0)</f>
        <v>0</v>
      </c>
      <c r="H53" s="4">
        <f t="array" aca="1" ref="H53" ca="1">IF(O18=C18,SUM(IF(($BR$30:$BR$38=C18)*($BS$29:$CA$29=O21),$BS$30:$CA$38)),0)</f>
        <v>0</v>
      </c>
      <c r="I53" s="4">
        <f t="array" aca="1" ref="I53" ca="1">IF(O18=C18,SUM(IF(($BR$30:$BR$38=C18)*($BS$29:$CA$29=O22),$BS$30:$CA$38)),0)</f>
        <v>0</v>
      </c>
      <c r="J53" s="4">
        <f t="array" aca="1" ref="J53" ca="1">IF(O18=C18,SUM(IF(($BR$30:$BR$38=C18)*($BS$29:$CA$29=O23),$BS$30:$CA$38)),0)</f>
        <v>0</v>
      </c>
      <c r="K53" s="4">
        <f t="array" aca="1" ref="K53" ca="1">IF(O18=C18,SUM(IF(($BR$30:$BR$38=C18)*($BS$29:$CA$29=O$24),$BS$30:$CA$38)),0)</f>
        <v>0</v>
      </c>
      <c r="L53" s="4">
        <f t="array" aca="1" ref="L53" ca="1">IF(O18=C18,SUM(IF(($BR$30:$BR$38=C18)*($BS$29:$CA$29=O$25),$BS$30:$CA$38)),0)</f>
        <v>0</v>
      </c>
      <c r="M53" s="6">
        <f t="array" aca="1" ref="M53" ca="1">IF(P18=C18,SUM(IF(($BR$30:$BR$38=C18)*($BS$29:$CA$29=P17),$BS$30:$CA$38)),0)</f>
        <v>0</v>
      </c>
      <c r="N53" s="4">
        <f t="array" aca="1" ref="N53" ca="1">IF(P18=C18,SUM(IF(($BR$30:$BR$38=C18)*($BS$29:$CA$29=P19),$BS$30:$CA$38)),0)</f>
        <v>0</v>
      </c>
      <c r="O53" s="4">
        <f t="array" aca="1" ref="O53" ca="1">IF(P18=C18,SUM(IF(($BR$30:$BR$38=C18)*($BS$29:$CA$29=P20),$BS$30:$CA$38)),0)</f>
        <v>0</v>
      </c>
      <c r="P53" s="4">
        <f t="array" aca="1" ref="P53" ca="1">IF(P18=C18,SUM(IF(($BR$30:$BR$38=C18)*($BS$29:$CA$29=P21),$BS$30:$CA$38)),0)</f>
        <v>0</v>
      </c>
      <c r="Q53" s="4">
        <f t="array" aca="1" ref="Q53" ca="1">IF(P18=C18,SUM(IF(($BR$30:$BR$38=C18)*($BS$29:$CA$29=P22),$BS$30:$CA$38)),0)</f>
        <v>0</v>
      </c>
      <c r="R53" s="4">
        <f t="array" aca="1" ref="R53" ca="1">IF(P18=C18,SUM(IF(($BR$30:$BR$38=C18)*($BS$29:$CA$29=P23),$BS$30:$CA$38)),0)</f>
        <v>0</v>
      </c>
      <c r="S53" s="4">
        <f t="array" aca="1" ref="S53" ca="1">IF(P18=C18,SUM(IF(($BR$30:$BR$38=C18)*($BS$29:$CA$29=P$24),$BS$30:$CA$38)),0)</f>
        <v>0</v>
      </c>
      <c r="T53" s="4">
        <f t="array" aca="1" ref="T53" ca="1">IF(P18=C18,SUM(IF(($BR$30:$BR$38=C18)*($BS$29:$CA$29=P$25),$BS$30:$CA$38)),0)</f>
        <v>0</v>
      </c>
      <c r="U53" s="6">
        <f t="array" aca="1" ref="U53" ca="1">IF(Q18=C18,SUM(IF(($BR$30:$BR$38=C18)*($BS$29:$CA$29=Q17),$BS$30:$CA$38)),0)</f>
        <v>0</v>
      </c>
      <c r="V53" s="4">
        <f t="array" aca="1" ref="V53" ca="1">IF(Q18=C18,SUM(IF(($BR$30:$BR$38=C18)*($BS$29:$CA$29=Q19),$BS$30:$CA$38)),0)</f>
        <v>0</v>
      </c>
      <c r="W53" s="4">
        <f t="array" aca="1" ref="W53" ca="1">IF(Q18=C18,SUM(IF(($BR$30:$BR$38=C18)*($BS$29:$CA$29=Q20),$BS$30:$CA$38)),0)</f>
        <v>0</v>
      </c>
      <c r="X53" s="4">
        <f t="array" aca="1" ref="X53" ca="1">IF(Q18=C18,SUM(IF(($BR$30:$BR$38=C18)*($BS$29:$CA$29=Q21),$BS$30:$CA$38)),0)</f>
        <v>0</v>
      </c>
      <c r="Y53" s="4">
        <f t="array" aca="1" ref="Y53" ca="1">IF(Q18=C18,SUM(IF(($BR$30:$BR$38=C18)*($BS$29:$CA$29=Q22),$BS$30:$CA$38)),0)</f>
        <v>0</v>
      </c>
      <c r="Z53" s="4">
        <f t="array" aca="1" ref="Z53" ca="1">IF(Q18=C18,SUM(IF(($BR$30:$BR$38=C18)*($BS$29:$CA$29=Q23),$BS$30:$CA$38)),0)</f>
        <v>0</v>
      </c>
      <c r="AA53" s="4">
        <f t="array" aca="1" ref="AA53" ca="1">IF(Q18=C18,SUM(IF(($BR$30:$BR$38=C18)*($BS$29:$CA$29=Q$24),$BS$30:$CA$38)),0)</f>
        <v>0</v>
      </c>
      <c r="AB53" s="4">
        <f t="array" aca="1" ref="AB53" ca="1">IF(Q18=C18,SUM(IF(($BR$30:$BR$38=C18)*($BS$29:$CA$29=Q$25),$BS$30:$CA$38)),0)</f>
        <v>0</v>
      </c>
      <c r="AC53" s="6">
        <f t="array" aca="1" ref="AC53" ca="1">IF(R18=C18,SUM(IF(($BR$30:$BR$38=C18)*($BS$29:$CA$29=R17),$BS$30:$CA$38)),0)</f>
        <v>0</v>
      </c>
      <c r="AD53" s="4">
        <f t="array" aca="1" ref="AD53" ca="1">IF(R18=C18,SUM(IF(($BR$30:$BR$38=C18)*($BS$29:$CA$29=R19),$BS$30:$CA$38)),0)</f>
        <v>0</v>
      </c>
      <c r="AE53" s="4">
        <f t="array" aca="1" ref="AE53" ca="1">IF(R18=C18,SUM(IF(($BR$30:$BR$38=C18)*($BS$29:$CA$29=R20),$BS$30:$CA$38)),0)</f>
        <v>0</v>
      </c>
      <c r="AF53" s="4">
        <f t="array" aca="1" ref="AF53" ca="1">IF(R18=C18,SUM(IF(($BR$30:$BR$38=C18)*($BS$29:$CA$29=R21),$BS$30:$CA$38)),0)</f>
        <v>0</v>
      </c>
      <c r="AG53" s="4">
        <f t="array" aca="1" ref="AG53" ca="1">IF(R18=C18,SUM(IF(($BR$30:$BR$38=C18)*($BS$29:$CA$29=R22),$BS$30:$CA$38)),0)</f>
        <v>0</v>
      </c>
      <c r="AH53" s="4">
        <f t="array" aca="1" ref="AH53" ca="1">IF(R18=C18,SUM(IF(($BR$30:$BR$38=C18)*($BS$29:$CA$29=R23),$BS$30:$CA$38)),0)</f>
        <v>0</v>
      </c>
      <c r="AI53" s="4">
        <f t="array" aca="1" ref="AI53" ca="1">IF(R18=C18,SUM(IF(($BR$30:$BR$38=C18)*($BS$29:$CA$29=R$24),$BS$30:$CA$38)),0)</f>
        <v>0</v>
      </c>
      <c r="AJ53" s="4">
        <f t="array" aca="1" ref="AJ53" ca="1">IF(R18=C18,SUM(IF(($BR$30:$BR$38=C18)*($BS$29:$CA$29=R$25),$BS$30:$CA$38)),0)</f>
        <v>0</v>
      </c>
      <c r="AK53" s="6">
        <f t="array" aca="1" ref="AK53" ca="1">IF(S18=C18,SUM(IF(($BR$30:$BR$38=C18)*($BS$29:$CA$29=S17),$BS$30:$CA$38)),0)</f>
        <v>0</v>
      </c>
      <c r="AL53" s="4">
        <f t="array" aca="1" ref="AL53" ca="1">IF(S18=C18,SUM(IF(($BR$30:$BR$38=C18)*($BS$29:$CA$29=S19),$BS$30:$CA$38)),0)</f>
        <v>0</v>
      </c>
      <c r="AM53" s="4">
        <f t="array" aca="1" ref="AM53" ca="1">IF(S18=C18,SUM(IF(($BR$30:$BR$38=C18)*($BS$29:$CA$29=S20),$BS$30:$CA$38)),0)</f>
        <v>0</v>
      </c>
      <c r="AN53" s="4">
        <f t="array" aca="1" ref="AN53" ca="1">IF(S18=C18,SUM(IF(($BR$30:$BR$38=C18)*($BS$29:$CA$29=S21),$BS$30:$CA$38)),0)</f>
        <v>0</v>
      </c>
      <c r="AO53" s="4">
        <f t="array" aca="1" ref="AO53" ca="1">IF(S18=C18,SUM(IF(($BR$30:$BR$38=C18)*($BS$29:$CA$29=S22),$BS$30:$CA$38)),0)</f>
        <v>0</v>
      </c>
      <c r="AP53" s="4">
        <f t="array" aca="1" ref="AP53" ca="1">IF(S18=C18,SUM(IF(($BR$30:$BR$38=C18)*($BS$29:$CA$29=S23),$BS$30:$CA$38)),0)</f>
        <v>0</v>
      </c>
      <c r="AQ53" s="4">
        <f t="array" aca="1" ref="AQ53" ca="1">IF(S18=C18,SUM(IF(($BR$30:$BR$38=C18)*($BS$29:$CA$29=S$24),$BS$30:$CA$38)),0)</f>
        <v>0</v>
      </c>
      <c r="AR53" s="4">
        <f t="array" aca="1" ref="AR53" ca="1">IF(S18=C18,SUM(IF(($BR$30:$BR$38=C18)*($BS$29:$CA$29=S$25),$BS$30:$CA$38)),0)</f>
        <v>0</v>
      </c>
      <c r="AS53" s="6">
        <f t="array" aca="1" ref="AS53" ca="1">IF(T18=C18,SUM(IF(($BR$30:$BR$38=C18)*($BS$29:$CA$29=T17),$BS$30:$CA$38)),0)</f>
        <v>0</v>
      </c>
      <c r="AT53" s="4">
        <f t="array" aca="1" ref="AT53" ca="1">IF(T18=C18,SUM(IF(($BR$30:$BR$38=C18)*($BS$29:$CA$29=T19),$BS$30:$CA$38)),0)</f>
        <v>0</v>
      </c>
      <c r="AU53" s="4">
        <f t="array" aca="1" ref="AU53" ca="1">IF(T18=C18,SUM(IF(($BR$30:$BR$38=C18)*($BS$29:$CA$29=T20),$BS$30:$CA$38)),0)</f>
        <v>0</v>
      </c>
      <c r="AV53" s="4">
        <f t="array" aca="1" ref="AV53" ca="1">IF(T18=C18,SUM(IF(($BR$30:$BR$38=C18)*($BS$29:$CA$29=T21),$BS$30:$CA$38)),0)</f>
        <v>0</v>
      </c>
      <c r="AW53" s="4">
        <f t="array" aca="1" ref="AW53" ca="1">IF(T18=C18,SUM(IF(($BR$30:$BR$38=C18)*($BS$29:$CA$29=T22),$BS$30:$CA$38)),0)</f>
        <v>0</v>
      </c>
      <c r="AX53" s="4">
        <f t="array" aca="1" ref="AX53" ca="1">IF(T18=C18,SUM(IF(($BR$30:$BR$38=C18)*($BS$29:$CA$29=T23),$BS$30:$CA$38)),0)</f>
        <v>0</v>
      </c>
      <c r="AY53" s="4">
        <f t="array" aca="1" ref="AY53" ca="1">IF(T18=C18,SUM(IF(($BR$30:$BR$38=C18)*($BS$29:$CA$29=T$24),$BS$30:$CA$38)),0)</f>
        <v>0</v>
      </c>
      <c r="AZ53" s="4">
        <f t="array" aca="1" ref="AZ53" ca="1">IF(T18=C18,SUM(IF(($BR$30:$BR$38=C18)*($BS$29:$CA$29=T$25),$BS$30:$CA$38)),0)</f>
        <v>0</v>
      </c>
      <c r="BA53" s="6">
        <f t="array" aca="1" ref="BA53" ca="1">IF(U18=C18,SUM(IF(($BR$30:$BR$38=C18)*($BS$29:$CA$29=U$17),$BS$30:$CA$38)),0)</f>
        <v>0</v>
      </c>
      <c r="BB53" s="4">
        <f t="array" aca="1" ref="BB53" ca="1">IF(U18=C18,SUM(IF(($BR$30:$BR$38=C18)*($BS$29:$CA$29=U$19),$BS$30:$CA$38)),0)</f>
        <v>0</v>
      </c>
      <c r="BC53" s="4">
        <f t="array" aca="1" ref="BC53" ca="1">IF(U18=C18,SUM(IF(($BR$30:$BR$38=C18)*($BS$29:$CA$29=U$20),$BS$30:$CA$38)),0)</f>
        <v>0</v>
      </c>
      <c r="BD53" s="4">
        <f t="array" aca="1" ref="BD53" ca="1">IF(U18=C18,SUM(IF(($BR$30:$BR$38=C18)*($BS$29:$CA$29=U$21),$BS$30:$CA$38)),0)</f>
        <v>0</v>
      </c>
      <c r="BE53" s="4">
        <f t="array" aca="1" ref="BE53" ca="1">IF(U18=C18,SUM(IF(($BR$30:$BR$38=C18)*($BS$29:$CA$29=U$22),$BS$30:$CA$38)),0)</f>
        <v>0</v>
      </c>
      <c r="BF53" s="4">
        <f t="array" aca="1" ref="BF53" ca="1">IF(U18=C18,SUM(IF(($BR$30:$BR$38=C18)*($BS$29:$CA$29=U$23),$BS$30:$CA$38)),0)</f>
        <v>0</v>
      </c>
      <c r="BG53" s="4">
        <f t="array" aca="1" ref="BG53" ca="1">IF(U18=C18,SUM(IF(($BR$30:$BR$38=C18)*($BS$29:$CA$29=U$24),$BS$30:$CA$38)),0)</f>
        <v>0</v>
      </c>
      <c r="BH53" s="4">
        <f t="array" aca="1" ref="BH53" ca="1">IF(U18=C18,SUM(IF(($BR$30:$BR$38=C18)*($BS$29:$CA$29=U$25),$BS$30:$CA$38)),0)</f>
        <v>0</v>
      </c>
      <c r="BI53" s="6">
        <f t="array" aca="1" ref="BI53" ca="1">IF(V18=C18,SUM(IF(($BR$30:$BR$38=C18)*($BS$29:$CA$29=V$17),$BS$30:$CA$38)),0)</f>
        <v>0</v>
      </c>
      <c r="BJ53" s="4">
        <f t="array" aca="1" ref="BJ53" ca="1">IF(V18=C18,SUM(IF(($BR$30:$BR$38=C18)*($BS$29:$CA$29=V$19),$BS$30:$CA$38)),0)</f>
        <v>0</v>
      </c>
      <c r="BK53" s="4">
        <f t="array" aca="1" ref="BK53" ca="1">IF(V18=C18,SUM(IF(($BR$30:$BR$38=C18)*($BS$29:$CA$29=V$20),$BS$30:$CA$38)),0)</f>
        <v>0</v>
      </c>
      <c r="BL53" s="4">
        <f t="array" aca="1" ref="BL53" ca="1">IF(V18=C18,SUM(IF(($BR$30:$BR$38=C18)*($BS$29:$CA$29=V$21),$BS$30:$CA$38)),0)</f>
        <v>0</v>
      </c>
      <c r="BM53" s="4">
        <f t="array" aca="1" ref="BM53" ca="1">IF(V18=C18,SUM(IF(($BR$30:$BR$38=C18)*($BS$29:$CA$29=V$22),$BS$30:$CA$38)),0)</f>
        <v>0</v>
      </c>
      <c r="BN53" s="4">
        <f t="array" aca="1" ref="BN53" ca="1">IF(V18=C18,SUM(IF(($BR$30:$BR$38=C18)*($BS$29:$CA$29=V$23),$BS$30:$CA$38)),0)</f>
        <v>0</v>
      </c>
      <c r="BO53" s="4">
        <f t="array" aca="1" ref="BO53" ca="1">IF(V18=C18,SUM(IF(($BR$30:$BR$38=C18)*($BS$29:$CA$29=V$24),$BS$30:$CA$38)),0)</f>
        <v>0</v>
      </c>
      <c r="BP53" s="16">
        <f t="array" aca="1" ref="BP53" ca="1">IF(V18=C18,SUM(IF(($BR$30:$BR$38=C18)*($BS$29:$CA$29=V$25),$BS$30:$CA$38)),0)</f>
        <v>0</v>
      </c>
      <c r="BQ53" s="4"/>
      <c r="BR53" s="2" t="str">
        <f t="shared" si="72"/>
        <v>FC Barcelona</v>
      </c>
      <c r="BS53" s="9">
        <f t="shared" ref="BS53:BS60" ca="1" si="75">SUMIFS($AE$64:$AE$135,$V$64:$V$135,$BR53,$W$64:$W$135,BS$51)+SUMIFS($AF$64:$AF$135,$W$64:$W$135,$BR53,$V$64:$V$135,BS$51)</f>
        <v>0</v>
      </c>
      <c r="BT53" s="7"/>
      <c r="BU53" s="8">
        <f ca="1">SUMIFS($AE$64:$AE$135,$V$64:$V$135,$BR53,$W$64:$W$135,BU$51)+SUMIFS($AF$64:$AF$135,$W$64:$W$135,$BR53,$V$64:$V$135,BU$51)</f>
        <v>0</v>
      </c>
      <c r="BV53" s="8">
        <f ca="1">SUMIFS($AE$64:$AE$135,$V$64:$V$135,$BR53,$W$64:$W$135,BV$51)+SUMIFS($AF$64:$AF$135,$W$64:$W$135,$BR53,$V$64:$V$135,BV$51)</f>
        <v>0</v>
      </c>
      <c r="BW53" s="8">
        <f ca="1">SUMIFS($AE$64:$AE$135,$V$64:$V$135,$BR53,$W$64:$W$135,BW$51)+SUMIFS($AF$64:$AF$135,$W$64:$W$135,$BR53,$V$64:$V$135,BW$51)</f>
        <v>1</v>
      </c>
      <c r="BX53" s="8">
        <f ca="1">SUMIFS($AE$64:$AE$135,$V$64:$V$135,$BR53,$W$64:$W$135,BX$51)+SUMIFS($AF$64:$AF$135,$W$64:$W$135,$BR53,$V$64:$V$135,BX$51)</f>
        <v>0</v>
      </c>
      <c r="BY53" s="8">
        <f ca="1">SUMIFS($AE$64:$AE$135,$V$64:$V$135,$BR53,$W$64:$W$135,BY$51)+SUMIFS($AF$64:$AF$135,$W$64:$W$135,$BR53,$V$64:$V$135,BY$51)</f>
        <v>0</v>
      </c>
      <c r="BZ53" s="8">
        <f t="shared" ca="1" si="74"/>
        <v>0</v>
      </c>
      <c r="CA53" s="8">
        <f t="shared" ca="1" si="74"/>
        <v>0</v>
      </c>
      <c r="CB53" s="4"/>
    </row>
    <row r="54" spans="2:80" s="2" customFormat="1" x14ac:dyDescent="0.2">
      <c r="E54" s="15">
        <f t="array" aca="1" ref="E54" ca="1">IF(O19=C19,SUM(IF(($BR$30:$BR$38=C19)*($BS$29:$CA$29=O17),$BS$30:$CA$38)),0)</f>
        <v>0</v>
      </c>
      <c r="F54" s="4">
        <f t="array" aca="1" ref="F54" ca="1">IF(O19=C19,SUM(IF(($BR$30:$BR$38=C19)*($BS$29:$CA$29=O18),$BS$30:$CA$38)),0)</f>
        <v>0</v>
      </c>
      <c r="G54" s="4">
        <f t="array" aca="1" ref="G54" ca="1">IF(O19=C19,SUM(IF(($BR$30:$BR$38=C19)*($BS$29:$CA$29=O20),$BS$30:$CA$38)),0)</f>
        <v>0</v>
      </c>
      <c r="H54" s="4">
        <f t="array" aca="1" ref="H54" ca="1">IF(O19=C19,SUM(IF(($BR$30:$BR$38=C19)*($BS$29:$CA$29=O21),$BS$30:$CA$38)),0)</f>
        <v>0</v>
      </c>
      <c r="I54" s="4">
        <f t="array" aca="1" ref="I54" ca="1">IF(O19=C19,SUM(IF(($BR$30:$BR$38=C19)*($BS$29:$CA$29=O22),$BS$30:$CA$38)),0)</f>
        <v>0</v>
      </c>
      <c r="J54" s="4">
        <f t="array" aca="1" ref="J54" ca="1">IF(O19=C19,SUM(IF(($BR$30:$BR$38=C19)*($BS$29:$CA$29=O23),$BS$30:$CA$38)),0)</f>
        <v>0</v>
      </c>
      <c r="K54" s="4">
        <f t="array" aca="1" ref="K54" ca="1">IF(O19=C19,SUM(IF(($BR$30:$BR$38=C19)*($BS$29:$CA$29=O$24),$BS$30:$CA$38)),0)</f>
        <v>0</v>
      </c>
      <c r="L54" s="4">
        <f t="array" aca="1" ref="L54" ca="1">IF(O19=C19,SUM(IF(($BR$30:$BR$38=C19)*($BS$29:$CA$29=O$25),$BS$30:$CA$38)),0)</f>
        <v>0</v>
      </c>
      <c r="M54" s="6">
        <f t="array" aca="1" ref="M54" ca="1">IF(P19=C19,SUM(IF(($BR$30:$BR$38=C19)*($BS$29:$CA$29=P17),$BS$30:$CA$38)),0)</f>
        <v>0</v>
      </c>
      <c r="N54" s="4">
        <f t="array" aca="1" ref="N54" ca="1">IF(P19=C19,SUM(IF(($BR$30:$BR$38=C19)*($BS$29:$CA$29=P18),$BS$30:$CA$38)),0)</f>
        <v>0</v>
      </c>
      <c r="O54" s="4">
        <f t="array" aca="1" ref="O54" ca="1">IF(P19=C19,SUM(IF(($BR$30:$BR$38=C19)*($BS$29:$CA$29=P20),$BS$30:$CA$38)),0)</f>
        <v>0</v>
      </c>
      <c r="P54" s="4">
        <f t="array" aca="1" ref="P54" ca="1">IF(P19=C19,SUM(IF(($BR$30:$BR$38=C19)*($BS$29:$CA$29=P21),$BS$30:$CA$38)),0)</f>
        <v>0</v>
      </c>
      <c r="Q54" s="4">
        <f t="array" aca="1" ref="Q54" ca="1">IF(P19=C19,SUM(IF(($BR$30:$BR$38=C19)*($BS$29:$CA$29=P22),$BS$30:$CA$38)),0)</f>
        <v>0</v>
      </c>
      <c r="R54" s="4">
        <f t="array" aca="1" ref="R54" ca="1">IF(P19=C19,SUM(IF(($BR$30:$BR$38=C19)*($BS$29:$CA$29=P23),$BS$30:$CA$38)),0)</f>
        <v>0</v>
      </c>
      <c r="S54" s="4">
        <f t="array" aca="1" ref="S54" ca="1">IF(P19=C19,SUM(IF(($BR$30:$BR$38=C19)*($BS$29:$CA$29=P$24),$BS$30:$CA$38)),0)</f>
        <v>0</v>
      </c>
      <c r="T54" s="4">
        <f t="array" aca="1" ref="T54" ca="1">IF(P19=C19,SUM(IF(($BR$30:$BR$38=C19)*($BS$29:$CA$29=P$25),$BS$30:$CA$38)),0)</f>
        <v>0</v>
      </c>
      <c r="U54" s="6">
        <f t="array" aca="1" ref="U54" ca="1">IF(Q19=C19,SUM(IF(($BR$30:$BR$38=C19)*($BS$29:$CA$29=Q17),$BS$30:$CA$38)),0)</f>
        <v>0</v>
      </c>
      <c r="V54" s="4">
        <f t="array" aca="1" ref="V54" ca="1">IF(Q19=C19,SUM(IF(($BR$30:$BR$38=C19)*($BS$29:$CA$29=Q18),$BS$30:$CA$38)),0)</f>
        <v>0</v>
      </c>
      <c r="W54" s="4">
        <f t="array" aca="1" ref="W54" ca="1">IF(Q19=C19,SUM(IF(($BR$30:$BR$38=C19)*($BS$29:$CA$29=Q20),$BS$30:$CA$38)),0)</f>
        <v>0</v>
      </c>
      <c r="X54" s="4">
        <f t="array" aca="1" ref="X54" ca="1">IF(Q19=C19,SUM(IF(($BR$30:$BR$38=C19)*($BS$29:$CA$29=Q21),$BS$30:$CA$38)),0)</f>
        <v>0</v>
      </c>
      <c r="Y54" s="4">
        <f t="array" aca="1" ref="Y54" ca="1">IF(Q19=C19,SUM(IF(($BR$30:$BR$38=C19)*($BS$29:$CA$29=Q22),$BS$30:$CA$38)),0)</f>
        <v>0</v>
      </c>
      <c r="Z54" s="4">
        <f t="array" aca="1" ref="Z54" ca="1">IF(Q19=C19,SUM(IF(($BR$30:$BR$38=C19)*($BS$29:$CA$29=Q23),$BS$30:$CA$38)),0)</f>
        <v>0</v>
      </c>
      <c r="AA54" s="4">
        <f t="array" aca="1" ref="AA54" ca="1">IF(Q19=C19,SUM(IF(($BR$30:$BR$38=C19)*($BS$29:$CA$29=Q$24),$BS$30:$CA$38)),0)</f>
        <v>0</v>
      </c>
      <c r="AB54" s="4">
        <f t="array" aca="1" ref="AB54" ca="1">IF(Q19=C19,SUM(IF(($BR$30:$BR$38=C19)*($BS$29:$CA$29=Q$25),$BS$30:$CA$38)),0)</f>
        <v>0</v>
      </c>
      <c r="AC54" s="6">
        <f t="array" aca="1" ref="AC54" ca="1">IF(R19=C19,SUM(IF(($BR$30:$BR$38=C19)*($BS$29:$CA$29=R17),$BS$30:$CA$38)),0)</f>
        <v>0</v>
      </c>
      <c r="AD54" s="4">
        <f t="array" aca="1" ref="AD54" ca="1">IF(R19=C19,SUM(IF(($BR$30:$BR$38=C19)*($BS$29:$CA$29=R18),$BS$30:$CA$38)),0)</f>
        <v>0</v>
      </c>
      <c r="AE54" s="4">
        <f t="array" aca="1" ref="AE54" ca="1">IF(R19=C19,SUM(IF(($BR$30:$BR$38=C19)*($BS$29:$CA$29=R20),$BS$30:$CA$38)),0)</f>
        <v>0</v>
      </c>
      <c r="AF54" s="4">
        <f t="array" aca="1" ref="AF54" ca="1">IF(R19=C19,SUM(IF(($BR$30:$BR$38=C19)*($BS$29:$CA$29=R21),$BS$30:$CA$38)),0)</f>
        <v>0</v>
      </c>
      <c r="AG54" s="4">
        <f t="array" aca="1" ref="AG54" ca="1">IF(R19=C19,SUM(IF(($BR$30:$BR$38=C19)*($BS$29:$CA$29=R22),$BS$30:$CA$38)),0)</f>
        <v>0</v>
      </c>
      <c r="AH54" s="4">
        <f t="array" aca="1" ref="AH54" ca="1">IF(R19=C19,SUM(IF(($BR$30:$BR$38=C19)*($BS$29:$CA$29=R23),$BS$30:$CA$38)),0)</f>
        <v>0</v>
      </c>
      <c r="AI54" s="4">
        <f t="array" aca="1" ref="AI54" ca="1">IF(R19=C19,SUM(IF(($BR$30:$BR$38=C19)*($BS$29:$CA$29=R$24),$BS$30:$CA$38)),0)</f>
        <v>0</v>
      </c>
      <c r="AJ54" s="4">
        <f t="array" aca="1" ref="AJ54" ca="1">IF(R19=C19,SUM(IF(($BR$30:$BR$38=C19)*($BS$29:$CA$29=R$25),$BS$30:$CA$38)),0)</f>
        <v>0</v>
      </c>
      <c r="AK54" s="6">
        <f t="array" aca="1" ref="AK54" ca="1">IF(S19=C19,SUM(IF(($BR$30:$BR$38=C19)*($BS$29:$CA$29=S17),$BS$30:$CA$38)),0)</f>
        <v>0</v>
      </c>
      <c r="AL54" s="4">
        <f t="array" aca="1" ref="AL54" ca="1">IF(S19=C19,SUM(IF(($BR$30:$BR$38=C19)*($BS$29:$CA$29=S18),$BS$30:$CA$38)),0)</f>
        <v>0</v>
      </c>
      <c r="AM54" s="4">
        <f t="array" aca="1" ref="AM54" ca="1">IF(S19=C19,SUM(IF(($BR$30:$BR$38=C19)*($BS$29:$CA$29=S20),$BS$30:$CA$38)),0)</f>
        <v>0</v>
      </c>
      <c r="AN54" s="4">
        <f t="array" aca="1" ref="AN54" ca="1">IF(S19=C19,SUM(IF(($BR$30:$BR$38=C19)*($BS$29:$CA$29=S21),$BS$30:$CA$38)),0)</f>
        <v>0</v>
      </c>
      <c r="AO54" s="4">
        <f t="array" aca="1" ref="AO54" ca="1">IF(S19=C19,SUM(IF(($BR$30:$BR$38=C19)*($BS$29:$CA$29=S22),$BS$30:$CA$38)),0)</f>
        <v>0</v>
      </c>
      <c r="AP54" s="4">
        <f t="array" aca="1" ref="AP54" ca="1">IF(S19=C19,SUM(IF(($BR$30:$BR$38=C19)*($BS$29:$CA$29=S23),$BS$30:$CA$38)),0)</f>
        <v>0</v>
      </c>
      <c r="AQ54" s="4">
        <f t="array" aca="1" ref="AQ54" ca="1">IF(S19=C19,SUM(IF(($BR$30:$BR$38=C19)*($BS$29:$CA$29=S$24),$BS$30:$CA$38)),0)</f>
        <v>0</v>
      </c>
      <c r="AR54" s="4">
        <f t="array" aca="1" ref="AR54" ca="1">IF(S19=C19,SUM(IF(($BR$30:$BR$38=C19)*($BS$29:$CA$29=S$25),$BS$30:$CA$38)),0)</f>
        <v>0</v>
      </c>
      <c r="AS54" s="6">
        <f t="array" aca="1" ref="AS54" ca="1">IF(T19=C19,SUM(IF(($BR$30:$BR$38=C19)*($BS$29:$CA$29=T17),$BS$30:$CA$38)),0)</f>
        <v>0</v>
      </c>
      <c r="AT54" s="4">
        <f t="array" aca="1" ref="AT54" ca="1">IF(T19=C19,SUM(IF(($BR$30:$BR$38=C19)*($BS$29:$CA$29=T18),$BS$30:$CA$38)),0)</f>
        <v>0</v>
      </c>
      <c r="AU54" s="4">
        <f t="array" aca="1" ref="AU54" ca="1">IF(T19=C19,SUM(IF(($BR$30:$BR$38=C19)*($BS$29:$CA$29=T20),$BS$30:$CA$38)),0)</f>
        <v>0</v>
      </c>
      <c r="AV54" s="4">
        <f t="array" aca="1" ref="AV54" ca="1">IF(T19=C19,SUM(IF(($BR$30:$BR$38=C19)*($BS$29:$CA$29=T21),$BS$30:$CA$38)),0)</f>
        <v>0</v>
      </c>
      <c r="AW54" s="4">
        <f t="array" aca="1" ref="AW54" ca="1">IF(T19=C19,SUM(IF(($BR$30:$BR$38=C19)*($BS$29:$CA$29=T22),$BS$30:$CA$38)),0)</f>
        <v>0</v>
      </c>
      <c r="AX54" s="4">
        <f t="array" aca="1" ref="AX54" ca="1">IF(T19=C19,SUM(IF(($BR$30:$BR$38=C19)*($BS$29:$CA$29=T23),$BS$30:$CA$38)),0)</f>
        <v>0</v>
      </c>
      <c r="AY54" s="4">
        <f t="array" aca="1" ref="AY54" ca="1">IF(T19=C19,SUM(IF(($BR$30:$BR$38=C19)*($BS$29:$CA$29=T$24),$BS$30:$CA$38)),0)</f>
        <v>0</v>
      </c>
      <c r="AZ54" s="4">
        <f t="array" aca="1" ref="AZ54" ca="1">IF(T19=C19,SUM(IF(($BR$30:$BR$38=C19)*($BS$29:$CA$29=T$25),$BS$30:$CA$38)),0)</f>
        <v>0</v>
      </c>
      <c r="BA54" s="6">
        <f t="array" aca="1" ref="BA54" ca="1">IF(U19=C19,SUM(IF(($BR$30:$BR$38=C19)*($BS$29:$CA$29=U$17),$BS$30:$CA$38)),0)</f>
        <v>0</v>
      </c>
      <c r="BB54" s="4">
        <f t="array" aca="1" ref="BB54" ca="1">IF(U19=C19,SUM(IF(($BR$30:$BR$38=C19)*($BS$29:$CA$29=U$18),$BS$30:$CA$38)),0)</f>
        <v>0</v>
      </c>
      <c r="BC54" s="4">
        <f t="array" aca="1" ref="BC54" ca="1">IF(U19=C19,SUM(IF(($BR$30:$BR$38=C19)*($BS$29:$CA$29=U$20),$BS$30:$CA$38)),0)</f>
        <v>0</v>
      </c>
      <c r="BD54" s="4">
        <f t="array" aca="1" ref="BD54" ca="1">IF(U19=C19,SUM(IF(($BR$30:$BR$38=C19)*($BS$29:$CA$29=U$21),$BS$30:$CA$38)),0)</f>
        <v>0</v>
      </c>
      <c r="BE54" s="4">
        <f t="array" aca="1" ref="BE54" ca="1">IF(U19=C19,SUM(IF(($BR$30:$BR$38=C19)*($BS$29:$CA$29=U$22),$BS$30:$CA$38)),0)</f>
        <v>0</v>
      </c>
      <c r="BF54" s="4">
        <f t="array" aca="1" ref="BF54" ca="1">IF(U19=C19,SUM(IF(($BR$30:$BR$38=C19)*($BS$29:$CA$29=U$23),$BS$30:$CA$38)),0)</f>
        <v>0</v>
      </c>
      <c r="BG54" s="4">
        <f t="array" aca="1" ref="BG54" ca="1">IF(U19=C19,SUM(IF(($BR$30:$BR$38=C19)*($BS$29:$CA$29=U$24),$BS$30:$CA$38)),0)</f>
        <v>0</v>
      </c>
      <c r="BH54" s="4">
        <f t="array" aca="1" ref="BH54" ca="1">IF(U19=C19,SUM(IF(($BR$30:$BR$38=C19)*($BS$29:$CA$29=U$25),$BS$30:$CA$38)),0)</f>
        <v>0</v>
      </c>
      <c r="BI54" s="6">
        <f t="array" aca="1" ref="BI54" ca="1">IF(V19=C19,SUM(IF(($BR$30:$BR$38=C19)*($BS$29:$CA$29=V$17),$BS$30:$CA$38)),0)</f>
        <v>0</v>
      </c>
      <c r="BJ54" s="4">
        <f t="array" aca="1" ref="BJ54" ca="1">IF(V19=C19,SUM(IF(($BR$30:$BR$38=C19)*($BS$29:$CA$29=V$18),$BS$30:$CA$38)),0)</f>
        <v>0</v>
      </c>
      <c r="BK54" s="4">
        <f t="array" aca="1" ref="BK54" ca="1">IF(V19=C19,SUM(IF(($BR$30:$BR$38=C19)*($BS$29:$CA$29=V$20),$BS$30:$CA$38)),0)</f>
        <v>0</v>
      </c>
      <c r="BL54" s="4">
        <f t="array" aca="1" ref="BL54" ca="1">IF(V19=C19,SUM(IF(($BR$30:$BR$38=C19)*($BS$29:$CA$29=V$21),$BS$30:$CA$38)),0)</f>
        <v>0</v>
      </c>
      <c r="BM54" s="4">
        <f t="array" aca="1" ref="BM54" ca="1">IF(V19=C19,SUM(IF(($BR$30:$BR$38=C19)*($BS$29:$CA$29=V$22),$BS$30:$CA$38)),0)</f>
        <v>0</v>
      </c>
      <c r="BN54" s="4">
        <f t="array" aca="1" ref="BN54" ca="1">IF(V19=C19,SUM(IF(($BR$30:$BR$38=C19)*($BS$29:$CA$29=V$23),$BS$30:$CA$38)),0)</f>
        <v>0</v>
      </c>
      <c r="BO54" s="4">
        <f t="array" aca="1" ref="BO54" ca="1">IF(V19=C19,SUM(IF(($BR$30:$BR$38=C19)*($BS$29:$CA$29=V$24),$BS$30:$CA$38)),0)</f>
        <v>0</v>
      </c>
      <c r="BP54" s="16">
        <f t="array" aca="1" ref="BP54" ca="1">IF(V19=C19,SUM(IF(($BR$30:$BR$38=C19)*($BS$29:$CA$29=V$25),$BS$30:$CA$38)),0)</f>
        <v>0</v>
      </c>
      <c r="BQ54" s="4"/>
      <c r="BR54" s="2" t="str">
        <f t="shared" si="72"/>
        <v>Eintracht Frankfurt</v>
      </c>
      <c r="BS54" s="9">
        <f t="shared" ca="1" si="75"/>
        <v>0</v>
      </c>
      <c r="BT54" s="9">
        <f t="shared" ref="BT54:BT60" ca="1" si="76">SUMIFS($AE$64:$AE$135,$V$64:$V$135,$BR54,$W$64:$W$135,BT$51)+SUMIFS($AF$64:$AF$135,$W$64:$W$135,$BR54,$V$64:$V$135,BT$51)</f>
        <v>0</v>
      </c>
      <c r="BU54" s="7"/>
      <c r="BV54" s="8">
        <f ca="1">SUMIFS($AE$64:$AE$135,$V$64:$V$135,$BR54,$W$64:$W$135,BV$51)+SUMIFS($AF$64:$AF$135,$W$64:$W$135,$BR54,$V$64:$V$135,BV$51)</f>
        <v>0</v>
      </c>
      <c r="BW54" s="8">
        <f ca="1">SUMIFS($AE$64:$AE$135,$V$64:$V$135,$BR54,$W$64:$W$135,BW$51)+SUMIFS($AF$64:$AF$135,$W$64:$W$135,$BR54,$V$64:$V$135,BW$51)</f>
        <v>0</v>
      </c>
      <c r="BX54" s="8">
        <f ca="1">SUMIFS($AE$64:$AE$135,$V$64:$V$135,$BR54,$W$64:$W$135,BX$51)+SUMIFS($AF$64:$AF$135,$W$64:$W$135,$BR54,$V$64:$V$135,BX$51)</f>
        <v>3</v>
      </c>
      <c r="BY54" s="8">
        <f ca="1">SUMIFS($AE$64:$AE$135,$V$64:$V$135,$BR54,$W$64:$W$135,BY$51)+SUMIFS($AF$64:$AF$135,$W$64:$W$135,$BR54,$V$64:$V$135,BY$51)</f>
        <v>0</v>
      </c>
      <c r="BZ54" s="8">
        <f t="shared" ca="1" si="74"/>
        <v>0</v>
      </c>
      <c r="CA54" s="8">
        <f t="shared" ca="1" si="74"/>
        <v>0</v>
      </c>
      <c r="CB54" s="4"/>
    </row>
    <row r="55" spans="2:80" s="2" customFormat="1" x14ac:dyDescent="0.2">
      <c r="E55" s="15">
        <f t="array" aca="1" ref="E55" ca="1">IF(O20=C20,SUM(IF(($BR$30:$BR$38=C20)*($BS$29:$CA$29=O17),$BS$30:$CA$38)),0)</f>
        <v>0</v>
      </c>
      <c r="F55" s="4">
        <f t="array" aca="1" ref="F55" ca="1">IF(O20=C20,SUM(IF(($BR$30:$BR$38=C20)*($BS$29:$CA$29=O18),$BS$30:$CA$38)),0)</f>
        <v>0</v>
      </c>
      <c r="G55" s="4">
        <f t="array" aca="1" ref="G55" ca="1">IF(O20=C20,SUM(IF(($BR$30:$BR$38=C20)*($BS$29:$CA$29=O19),$BS$30:$CA$38)),0)</f>
        <v>0</v>
      </c>
      <c r="H55" s="4">
        <f t="array" aca="1" ref="H55" ca="1">IF(O20=C20,SUM(IF(($BR$30:$BR$38=C20)*($BS$29:$CA$29=O21),$BS$30:$CA$38)),0)</f>
        <v>0</v>
      </c>
      <c r="I55" s="4">
        <f t="array" aca="1" ref="I55" ca="1">IF(O20=C20,SUM(IF(($BR$30:$BR$38=C20)*($BS$29:$CA$29=O22),$BS$30:$CA$38)),0)</f>
        <v>0</v>
      </c>
      <c r="J55" s="4">
        <f t="array" aca="1" ref="J55" ca="1">IF(O20=C20,SUM(IF(($BR$30:$BR$38=C20)*($BS$29:$CA$29=O23),$BS$30:$CA$38)),0)</f>
        <v>0</v>
      </c>
      <c r="K55" s="4">
        <f t="array" aca="1" ref="K55" ca="1">IF(O20=C20,SUM(IF(($BR$30:$BR$38=C20)*($BS$29:$CA$29=O$24),$BS$30:$CA$38)),0)</f>
        <v>0</v>
      </c>
      <c r="L55" s="4">
        <f t="array" aca="1" ref="L55" ca="1">IF(O20=C20,SUM(IF(($BR$30:$BR$38=C20)*($BS$29:$CA$29=O$25),$BS$30:$CA$38)),0)</f>
        <v>0</v>
      </c>
      <c r="M55" s="6">
        <f t="array" aca="1" ref="M55" ca="1">IF(P20=C20,SUM(IF(($BR$30:$BR$38=C20)*($BS$29:$CA$29=P17),$BS$30:$CA$38)),0)</f>
        <v>0</v>
      </c>
      <c r="N55" s="4">
        <f t="array" aca="1" ref="N55" ca="1">IF(P20=C20,SUM(IF(($BR$30:$BR$38=C20)*($BS$29:$CA$29=P18),$BS$30:$CA$38)),0)</f>
        <v>0</v>
      </c>
      <c r="O55" s="4">
        <f t="array" aca="1" ref="O55" ca="1">IF(P20=C20,SUM(IF(($BR$30:$BR$38=C20)*($BS$29:$CA$29=P19),$BS$30:$CA$38)),0)</f>
        <v>0</v>
      </c>
      <c r="P55" s="4">
        <f t="array" aca="1" ref="P55" ca="1">IF(P20=C20,SUM(IF(($BR$30:$BR$38=C20)*($BS$29:$CA$29=P21),$BS$30:$CA$38)),0)</f>
        <v>0</v>
      </c>
      <c r="Q55" s="4">
        <f t="array" aca="1" ref="Q55" ca="1">IF(P20=C20,SUM(IF(($BR$30:$BR$38=C20)*($BS$29:$CA$29=P22),$BS$30:$CA$38)),0)</f>
        <v>0</v>
      </c>
      <c r="R55" s="4">
        <f t="array" aca="1" ref="R55" ca="1">IF(P20=C20,SUM(IF(($BR$30:$BR$38=C20)*($BS$29:$CA$29=P23),$BS$30:$CA$38)),0)</f>
        <v>0</v>
      </c>
      <c r="S55" s="4">
        <f t="array" aca="1" ref="S55" ca="1">IF(P20=C20,SUM(IF(($BR$30:$BR$38=C20)*($BS$29:$CA$29=P$24),$BS$30:$CA$38)),0)</f>
        <v>0</v>
      </c>
      <c r="T55" s="4">
        <f t="array" aca="1" ref="T55" ca="1">IF(P20=C20,SUM(IF(($BR$30:$BR$38=C20)*($BS$29:$CA$29=P$25),$BS$30:$CA$38)),0)</f>
        <v>0</v>
      </c>
      <c r="U55" s="6">
        <f t="array" aca="1" ref="U55" ca="1">IF(Q20=C20,SUM(IF(($BR$30:$BR$38=C20)*($BS$29:$CA$29=Q17),$BS$30:$CA$38)),0)</f>
        <v>0</v>
      </c>
      <c r="V55" s="4">
        <f t="array" aca="1" ref="V55" ca="1">IF(Q20=C20,SUM(IF(($BR$30:$BR$38=C20)*($BS$29:$CA$29=Q18),$BS$30:$CA$38)),0)</f>
        <v>0</v>
      </c>
      <c r="W55" s="4">
        <f t="array" aca="1" ref="W55" ca="1">IF(Q20=C20,SUM(IF(($BR$30:$BR$38=C20)*($BS$29:$CA$29=Q19),$BS$30:$CA$38)),0)</f>
        <v>0</v>
      </c>
      <c r="X55" s="4">
        <f t="array" aca="1" ref="X55" ca="1">IF(Q20=C20,SUM(IF(($BR$30:$BR$38=C20)*($BS$29:$CA$29=Q21),$BS$30:$CA$38)),0)</f>
        <v>0</v>
      </c>
      <c r="Y55" s="4">
        <f t="array" aca="1" ref="Y55" ca="1">IF(Q20=C20,SUM(IF(($BR$30:$BR$38=C20)*($BS$29:$CA$29=Q22),$BS$30:$CA$38)),0)</f>
        <v>0</v>
      </c>
      <c r="Z55" s="4">
        <f t="array" aca="1" ref="Z55" ca="1">IF(Q20=C20,SUM(IF(($BR$30:$BR$38=C20)*($BS$29:$CA$29=Q23),$BS$30:$CA$38)),0)</f>
        <v>0</v>
      </c>
      <c r="AA55" s="4">
        <f t="array" aca="1" ref="AA55" ca="1">IF(Q20=C20,SUM(IF(($BR$30:$BR$38=C20)*($BS$29:$CA$29=Q$24),$BS$30:$CA$38)),0)</f>
        <v>0</v>
      </c>
      <c r="AB55" s="4">
        <f t="array" aca="1" ref="AB55" ca="1">IF(Q20=C20,SUM(IF(($BR$30:$BR$38=C20)*($BS$29:$CA$29=Q$25),$BS$30:$CA$38)),0)</f>
        <v>0</v>
      </c>
      <c r="AC55" s="6">
        <f t="array" aca="1" ref="AC55" ca="1">IF(R20=C20,SUM(IF(($BR$30:$BR$38=C20)*($BS$29:$CA$29=R17),$BS$30:$CA$38)),0)</f>
        <v>0</v>
      </c>
      <c r="AD55" s="4">
        <f t="array" aca="1" ref="AD55" ca="1">IF(R20=C20,SUM(IF(($BR$30:$BR$38=C20)*($BS$29:$CA$29=R18),$BS$30:$CA$38)),0)</f>
        <v>0</v>
      </c>
      <c r="AE55" s="4">
        <f t="array" aca="1" ref="AE55" ca="1">IF(R20=C20,SUM(IF(($BR$30:$BR$38=C20)*($BS$29:$CA$29=R19),$BS$30:$CA$38)),0)</f>
        <v>0</v>
      </c>
      <c r="AF55" s="4">
        <f t="array" aca="1" ref="AF55" ca="1">IF(R20=C20,SUM(IF(($BR$30:$BR$38=C20)*($BS$29:$CA$29=R21),$BS$30:$CA$38)),0)</f>
        <v>0</v>
      </c>
      <c r="AG55" s="4">
        <f t="array" aca="1" ref="AG55" ca="1">IF(R20=C20,SUM(IF(($BR$30:$BR$38=C20)*($BS$29:$CA$29=R22),$BS$30:$CA$38)),0)</f>
        <v>0</v>
      </c>
      <c r="AH55" s="4">
        <f t="array" aca="1" ref="AH55" ca="1">IF(R20=C20,SUM(IF(($BR$30:$BR$38=C20)*($BS$29:$CA$29=R23),$BS$30:$CA$38)),0)</f>
        <v>0</v>
      </c>
      <c r="AI55" s="4">
        <f t="array" aca="1" ref="AI55" ca="1">IF(R20=C20,SUM(IF(($BR$30:$BR$38=C20)*($BS$29:$CA$29=R$24),$BS$30:$CA$38)),0)</f>
        <v>0</v>
      </c>
      <c r="AJ55" s="4">
        <f t="array" aca="1" ref="AJ55" ca="1">IF(R20=C20,SUM(IF(($BR$30:$BR$38=C20)*($BS$29:$CA$29=R$25),$BS$30:$CA$38)),0)</f>
        <v>0</v>
      </c>
      <c r="AK55" s="6">
        <f t="array" aca="1" ref="AK55" ca="1">IF(S20=C20,SUM(IF(($BR$30:$BR$38=C20)*($BS$29:$CA$29=S17),$BS$30:$CA$38)),0)</f>
        <v>0</v>
      </c>
      <c r="AL55" s="4">
        <f t="array" aca="1" ref="AL55" ca="1">IF(S20=C20,SUM(IF(($BR$30:$BR$38=C20)*($BS$29:$CA$29=S18),$BS$30:$CA$38)),0)</f>
        <v>0</v>
      </c>
      <c r="AM55" s="4">
        <f t="array" aca="1" ref="AM55" ca="1">IF(S20=C20,SUM(IF(($BR$30:$BR$38=C20)*($BS$29:$CA$29=S19),$BS$30:$CA$38)),0)</f>
        <v>0</v>
      </c>
      <c r="AN55" s="4">
        <f t="array" aca="1" ref="AN55" ca="1">IF(S20=C20,SUM(IF(($BR$30:$BR$38=C20)*($BS$29:$CA$29=S21),$BS$30:$CA$38)),0)</f>
        <v>0</v>
      </c>
      <c r="AO55" s="4">
        <f t="array" aca="1" ref="AO55" ca="1">IF(S20=C20,SUM(IF(($BR$30:$BR$38=C20)*($BS$29:$CA$29=S22),$BS$30:$CA$38)),0)</f>
        <v>0</v>
      </c>
      <c r="AP55" s="4">
        <f t="array" aca="1" ref="AP55" ca="1">IF(S20=C20,SUM(IF(($BR$30:$BR$38=C20)*($BS$29:$CA$29=S23),$BS$30:$CA$38)),0)</f>
        <v>0</v>
      </c>
      <c r="AQ55" s="4">
        <f t="array" aca="1" ref="AQ55" ca="1">IF(S20=C20,SUM(IF(($BR$30:$BR$38=C20)*($BS$29:$CA$29=S$24),$BS$30:$CA$38)),0)</f>
        <v>0</v>
      </c>
      <c r="AR55" s="4">
        <f t="array" aca="1" ref="AR55" ca="1">IF(S20=C20,SUM(IF(($BR$30:$BR$38=C20)*($BS$29:$CA$29=S$25),$BS$30:$CA$38)),0)</f>
        <v>0</v>
      </c>
      <c r="AS55" s="6">
        <f t="array" aca="1" ref="AS55" ca="1">IF(T20=C20,SUM(IF(($BR$30:$BR$38=C20)*($BS$29:$CA$29=T17),$BS$30:$CA$38)),0)</f>
        <v>0</v>
      </c>
      <c r="AT55" s="4">
        <f t="array" aca="1" ref="AT55" ca="1">IF(T20=C20,SUM(IF(($BR$30:$BR$38=C20)*($BS$29:$CA$29=T18),$BS$30:$CA$38)),0)</f>
        <v>0</v>
      </c>
      <c r="AU55" s="4">
        <f t="array" aca="1" ref="AU55" ca="1">IF(T20=C20,SUM(IF(($BR$30:$BR$38=C20)*($BS$29:$CA$29=T19),$BS$30:$CA$38)),0)</f>
        <v>0</v>
      </c>
      <c r="AV55" s="4">
        <f t="array" aca="1" ref="AV55" ca="1">IF(T20=C20,SUM(IF(($BR$30:$BR$38=C20)*($BS$29:$CA$29=T21),$BS$30:$CA$38)),0)</f>
        <v>0</v>
      </c>
      <c r="AW55" s="4">
        <f t="array" aca="1" ref="AW55" ca="1">IF(T20=C20,SUM(IF(($BR$30:$BR$38=C20)*($BS$29:$CA$29=T22),$BS$30:$CA$38)),0)</f>
        <v>0</v>
      </c>
      <c r="AX55" s="4">
        <f t="array" aca="1" ref="AX55" ca="1">IF(T20=C20,SUM(IF(($BR$30:$BR$38=C20)*($BS$29:$CA$29=T23),$BS$30:$CA$38)),0)</f>
        <v>0</v>
      </c>
      <c r="AY55" s="4">
        <f t="array" aca="1" ref="AY55" ca="1">IF(T20=C20,SUM(IF(($BR$30:$BR$38=C20)*($BS$29:$CA$29=T$24),$BS$30:$CA$38)),0)</f>
        <v>0</v>
      </c>
      <c r="AZ55" s="4">
        <f t="array" aca="1" ref="AZ55" ca="1">IF(T20=C20,SUM(IF(($BR$30:$BR$38=C20)*($BS$29:$CA$29=T$25),$BS$30:$CA$38)),0)</f>
        <v>0</v>
      </c>
      <c r="BA55" s="6">
        <f t="array" aca="1" ref="BA55" ca="1">IF(U20=C20,SUM(IF(($BR$30:$BR$38=C20)*($BS$29:$CA$29=U$17),$BS$30:$CA$38)),0)</f>
        <v>0</v>
      </c>
      <c r="BB55" s="4">
        <f t="array" aca="1" ref="BB55" ca="1">IF(U20=C20,SUM(IF(($BR$30:$BR$38=C20)*($BS$29:$CA$29=U$18),$BS$30:$CA$38)),0)</f>
        <v>0</v>
      </c>
      <c r="BC55" s="4">
        <f t="array" aca="1" ref="BC55" ca="1">IF(U20=C20,SUM(IF(($BR$30:$BR$38=C20)*($BS$29:$CA$29=U$19),$BS$30:$CA$38)),0)</f>
        <v>0</v>
      </c>
      <c r="BD55" s="4">
        <f t="array" aca="1" ref="BD55" ca="1">IF(U20=C20,SUM(IF(($BR$30:$BR$38=C20)*($BS$29:$CA$29=U$21),$BS$30:$CA$38)),0)</f>
        <v>0</v>
      </c>
      <c r="BE55" s="4">
        <f t="array" aca="1" ref="BE55" ca="1">IF(U20=C20,SUM(IF(($BR$30:$BR$38=C20)*($BS$29:$CA$29=U$22),$BS$30:$CA$38)),0)</f>
        <v>0</v>
      </c>
      <c r="BF55" s="4">
        <f t="array" aca="1" ref="BF55" ca="1">IF(U20=C20,SUM(IF(($BR$30:$BR$38=C20)*($BS$29:$CA$29=U$23),$BS$30:$CA$38)),0)</f>
        <v>0</v>
      </c>
      <c r="BG55" s="4">
        <f t="array" aca="1" ref="BG55" ca="1">IF(U20=C20,SUM(IF(($BR$30:$BR$38=C20)*($BS$29:$CA$29=U$24),$BS$30:$CA$38)),0)</f>
        <v>0</v>
      </c>
      <c r="BH55" s="4">
        <f t="array" aca="1" ref="BH55" ca="1">IF(U20=C20,SUM(IF(($BR$30:$BR$38=C20)*($BS$29:$CA$29=U$25),$BS$30:$CA$38)),0)</f>
        <v>0</v>
      </c>
      <c r="BI55" s="6">
        <f t="array" aca="1" ref="BI55" ca="1">IF(V20=C20,SUM(IF(($BR$30:$BR$38=C20)*($BS$29:$CA$29=V$17),$BS$30:$CA$38)),0)</f>
        <v>0</v>
      </c>
      <c r="BJ55" s="4">
        <f t="array" aca="1" ref="BJ55" ca="1">IF(V20=C20,SUM(IF(($BR$30:$BR$38=C20)*($BS$29:$CA$29=V$18),$BS$30:$CA$38)),0)</f>
        <v>0</v>
      </c>
      <c r="BK55" s="4">
        <f t="array" aca="1" ref="BK55" ca="1">IF(V20=C20,SUM(IF(($BR$30:$BR$38=C20)*($BS$29:$CA$29=V$19),$BS$30:$CA$38)),0)</f>
        <v>0</v>
      </c>
      <c r="BL55" s="4">
        <f t="array" aca="1" ref="BL55" ca="1">IF(V20=C20,SUM(IF(($BR$30:$BR$38=C20)*($BS$29:$CA$29=V$21),$BS$30:$CA$38)),0)</f>
        <v>0</v>
      </c>
      <c r="BM55" s="4">
        <f t="array" aca="1" ref="BM55" ca="1">IF(V20=C20,SUM(IF(($BR$30:$BR$38=C20)*($BS$29:$CA$29=V$22),$BS$30:$CA$38)),0)</f>
        <v>0</v>
      </c>
      <c r="BN55" s="4">
        <f t="array" aca="1" ref="BN55" ca="1">IF(V20=C20,SUM(IF(($BR$30:$BR$38=C20)*($BS$29:$CA$29=V$23),$BS$30:$CA$38)),0)</f>
        <v>0</v>
      </c>
      <c r="BO55" s="4">
        <f t="array" aca="1" ref="BO55" ca="1">IF(V20=C20,SUM(IF(($BR$30:$BR$38=C20)*($BS$29:$CA$29=V$24),$BS$30:$CA$38)),0)</f>
        <v>0</v>
      </c>
      <c r="BP55" s="16">
        <f t="array" aca="1" ref="BP55" ca="1">IF(V20=C20,SUM(IF(($BR$30:$BR$38=C20)*($BS$29:$CA$29=V$25),$BS$30:$CA$38)),0)</f>
        <v>0</v>
      </c>
      <c r="BQ55" s="4"/>
      <c r="BR55" s="2" t="str">
        <f t="shared" si="72"/>
        <v>Maibach 1822 eV</v>
      </c>
      <c r="BS55" s="9">
        <f t="shared" ca="1" si="75"/>
        <v>0</v>
      </c>
      <c r="BT55" s="9">
        <f t="shared" ca="1" si="76"/>
        <v>0</v>
      </c>
      <c r="BU55" s="9">
        <f t="shared" ref="BU55:BU60" ca="1" si="77">SUMIFS($AE$64:$AE$135,$V$64:$V$135,$BR55,$W$64:$W$135,BU$51)+SUMIFS($AF$64:$AF$135,$W$64:$W$135,$BR55,$V$64:$V$135,BU$51)</f>
        <v>3</v>
      </c>
      <c r="BV55" s="7"/>
      <c r="BW55" s="8">
        <f ca="1">SUMIFS($AE$64:$AE$135,$V$64:$V$135,$BR55,$W$64:$W$135,BW$51)+SUMIFS($AF$64:$AF$135,$W$64:$W$135,$BR55,$V$64:$V$135,BW$51)</f>
        <v>1</v>
      </c>
      <c r="BX55" s="8">
        <f ca="1">SUMIFS($AE$64:$AE$135,$V$64:$V$135,$BR55,$W$64:$W$135,BX$51)+SUMIFS($AF$64:$AF$135,$W$64:$W$135,$BR55,$V$64:$V$135,BX$51)</f>
        <v>0</v>
      </c>
      <c r="BY55" s="8">
        <f ca="1">SUMIFS($AE$64:$AE$135,$V$64:$V$135,$BR55,$W$64:$W$135,BY$51)+SUMIFS($AF$64:$AF$135,$W$64:$W$135,$BR55,$V$64:$V$135,BY$51)</f>
        <v>0</v>
      </c>
      <c r="BZ55" s="8">
        <f t="shared" ca="1" si="74"/>
        <v>0</v>
      </c>
      <c r="CA55" s="8">
        <f t="shared" ca="1" si="74"/>
        <v>0</v>
      </c>
      <c r="CB55" s="4"/>
    </row>
    <row r="56" spans="2:80" s="2" customFormat="1" x14ac:dyDescent="0.2">
      <c r="E56" s="15">
        <f t="array" aca="1" ref="E56" ca="1">IF(O21=C21,SUM(IF(($BR$30:$BR$38=C21)*($BS$29:$CA$29=O17),$BS$30:$CA$38)),0)</f>
        <v>0</v>
      </c>
      <c r="F56" s="4">
        <f t="array" aca="1" ref="F56" ca="1">IF(O21=C21,SUM(IF(($BR$30:$BR$38=C21)*($BS$29:$CA$29=O18),$BS$30:$CA$38)),0)</f>
        <v>0</v>
      </c>
      <c r="G56" s="4">
        <f t="array" aca="1" ref="G56" ca="1">IF(O21=C21,SUM(IF(($BR$30:$BR$38=C21)*($BS$29:$CA$29=O19),$BS$30:$CA$38)),0)</f>
        <v>0</v>
      </c>
      <c r="H56" s="4">
        <f t="array" aca="1" ref="H56" ca="1">IF(O21=C21,SUM(IF(($BR$30:$BR$38=C21)*($BS$29:$CA$29=O20),$BS$30:$CA$38)),0)</f>
        <v>0</v>
      </c>
      <c r="I56" s="4">
        <f t="array" aca="1" ref="I56" ca="1">IF(O21=C21,SUM(IF(($BR$30:$BR$38=C21)*($BS$29:$CA$29=O22),$BS$30:$CA$38)),0)</f>
        <v>0</v>
      </c>
      <c r="J56" s="4">
        <f t="array" aca="1" ref="J56" ca="1">IF(O21=C21,SUM(IF(($BR$30:$BR$38=C21)*($BS$29:$CA$29=O23),$BS$30:$CA$38)),0)</f>
        <v>0</v>
      </c>
      <c r="K56" s="4">
        <f t="array" aca="1" ref="K56" ca="1">IF(O21=C21,SUM(IF(($BR$30:$BR$38=C21)*($BS$29:$CA$29=O$24),$BS$30:$CA$38)),0)</f>
        <v>0</v>
      </c>
      <c r="L56" s="4">
        <f t="array" aca="1" ref="L56" ca="1">IF(O21=C21,SUM(IF(($BR$30:$BR$38=C21)*($BS$29:$CA$29=O$25),$BS$30:$CA$38)),0)</f>
        <v>0</v>
      </c>
      <c r="M56" s="6">
        <f t="array" aca="1" ref="M56" ca="1">IF(P21=C21,SUM(IF(($BR$30:$BR$38=C21)*($BS$29:$CA$29=P17),$BS$30:$CA$38)),0)</f>
        <v>0</v>
      </c>
      <c r="N56" s="4">
        <f t="array" aca="1" ref="N56" ca="1">IF(P21=C21,SUM(IF(($BR$30:$BR$38=C21)*($BS$29:$CA$29=P18),$BS$30:$CA$38)),0)</f>
        <v>0</v>
      </c>
      <c r="O56" s="4">
        <f t="array" aca="1" ref="O56" ca="1">IF(P21=C21,SUM(IF(($BR$30:$BR$38=C21)*($BS$29:$CA$29=P19),$BS$30:$CA$38)),0)</f>
        <v>0</v>
      </c>
      <c r="P56" s="4">
        <f t="array" aca="1" ref="P56" ca="1">IF(P21=C21,SUM(IF(($BR$30:$BR$38=C21)*($BS$29:$CA$29=P20),$BS$30:$CA$38)),0)</f>
        <v>0</v>
      </c>
      <c r="Q56" s="4">
        <f t="array" aca="1" ref="Q56" ca="1">IF(P21=C21,SUM(IF(($BR$30:$BR$38=C21)*($BS$29:$CA$29=P22),$BS$30:$CA$38)),0)</f>
        <v>0</v>
      </c>
      <c r="R56" s="4">
        <f t="array" aca="1" ref="R56" ca="1">IF(P21=C21,SUM(IF(($BR$30:$BR$38=C21)*($BS$29:$CA$29=P23),$BS$30:$CA$38)),0)</f>
        <v>0</v>
      </c>
      <c r="S56" s="4">
        <f t="array" aca="1" ref="S56" ca="1">IF(P21=C21,SUM(IF(($BR$30:$BR$38=C21)*($BS$29:$CA$29=P$24),$BS$30:$CA$38)),0)</f>
        <v>0</v>
      </c>
      <c r="T56" s="4">
        <f t="array" aca="1" ref="T56" ca="1">IF(P21=C21,SUM(IF(($BR$30:$BR$38=C21)*($BS$29:$CA$29=P$25),$BS$30:$CA$38)),0)</f>
        <v>0</v>
      </c>
      <c r="U56" s="6">
        <f t="array" aca="1" ref="U56" ca="1">IF(Q21=C21,SUM(IF(($BR$30:$BR$38=C21)*($BS$29:$CA$29=Q17),$BS$30:$CA$38)),0)</f>
        <v>0</v>
      </c>
      <c r="V56" s="4">
        <f t="array" aca="1" ref="V56" ca="1">IF(Q21=C21,SUM(IF(($BR$30:$BR$38=C21)*($BS$29:$CA$29=Q18),$BS$30:$CA$38)),0)</f>
        <v>0</v>
      </c>
      <c r="W56" s="4">
        <f t="array" aca="1" ref="W56" ca="1">IF(Q21=C21,SUM(IF(($BR$30:$BR$38=C21)*($BS$29:$CA$29=Q19),$BS$30:$CA$38)),0)</f>
        <v>0</v>
      </c>
      <c r="X56" s="4">
        <f t="array" aca="1" ref="X56" ca="1">IF(Q21=C21,SUM(IF(($BR$30:$BR$38=C21)*($BS$29:$CA$29=Q20),$BS$30:$CA$38)),0)</f>
        <v>0</v>
      </c>
      <c r="Y56" s="4">
        <f t="array" aca="1" ref="Y56" ca="1">IF(Q21=C21,SUM(IF(($BR$30:$BR$38=C21)*($BS$29:$CA$29=Q22),$BS$30:$CA$38)),0)</f>
        <v>0</v>
      </c>
      <c r="Z56" s="4">
        <f t="array" aca="1" ref="Z56" ca="1">IF(Q21=C21,SUM(IF(($BR$30:$BR$38=C21)*($BS$29:$CA$29=Q23),$BS$30:$CA$38)),0)</f>
        <v>0</v>
      </c>
      <c r="AA56" s="4">
        <f t="array" aca="1" ref="AA56" ca="1">IF(Q21=C21,SUM(IF(($BR$30:$BR$38=C21)*($BS$29:$CA$29=Q$24),$BS$30:$CA$38)),0)</f>
        <v>0</v>
      </c>
      <c r="AB56" s="4">
        <f t="array" aca="1" ref="AB56" ca="1">IF(Q21=C21,SUM(IF(($BR$30:$BR$38=C21)*($BS$29:$CA$29=Q$25),$BS$30:$CA$38)),0)</f>
        <v>0</v>
      </c>
      <c r="AC56" s="6">
        <f t="array" aca="1" ref="AC56" ca="1">IF(R21=C21,SUM(IF(($BR$30:$BR$38=C21)*($BS$29:$CA$29=R17),$BS$30:$CA$38)),0)</f>
        <v>0</v>
      </c>
      <c r="AD56" s="4">
        <f t="array" aca="1" ref="AD56" ca="1">IF(R21=C21,SUM(IF(($BR$30:$BR$38=C21)*($BS$29:$CA$29=R18),$BS$30:$CA$38)),0)</f>
        <v>0</v>
      </c>
      <c r="AE56" s="4">
        <f t="array" aca="1" ref="AE56" ca="1">IF(R21=C21,SUM(IF(($BR$30:$BR$38=C21)*($BS$29:$CA$29=R19),$BS$30:$CA$38)),0)</f>
        <v>0</v>
      </c>
      <c r="AF56" s="4">
        <f t="array" aca="1" ref="AF56" ca="1">IF(R21=C21,SUM(IF(($BR$30:$BR$38=C21)*($BS$29:$CA$29=R20),$BS$30:$CA$38)),0)</f>
        <v>0</v>
      </c>
      <c r="AG56" s="4">
        <f t="array" aca="1" ref="AG56" ca="1">IF(R21=C21,SUM(IF(($BR$30:$BR$38=C21)*($BS$29:$CA$29=R22),$BS$30:$CA$38)),0)</f>
        <v>0</v>
      </c>
      <c r="AH56" s="4">
        <f t="array" aca="1" ref="AH56" ca="1">IF(R21=C21,SUM(IF(($BR$30:$BR$38=C21)*($BS$29:$CA$29=R23),$BS$30:$CA$38)),0)</f>
        <v>0</v>
      </c>
      <c r="AI56" s="4">
        <f t="array" aca="1" ref="AI56" ca="1">IF(R21=C21,SUM(IF(($BR$30:$BR$38=C21)*($BS$29:$CA$29=R$24),$BS$30:$CA$38)),0)</f>
        <v>0</v>
      </c>
      <c r="AJ56" s="4">
        <f t="array" aca="1" ref="AJ56" ca="1">IF(R21=C21,SUM(IF(($BR$30:$BR$38=C21)*($BS$29:$CA$29=R$25),$BS$30:$CA$38)),0)</f>
        <v>0</v>
      </c>
      <c r="AK56" s="6">
        <f t="array" aca="1" ref="AK56" ca="1">IF(S21=C21,SUM(IF(($BR$30:$BR$38=C21)*($BS$29:$CA$29=S17),$BS$30:$CA$38)),0)</f>
        <v>0</v>
      </c>
      <c r="AL56" s="4">
        <f t="array" aca="1" ref="AL56" ca="1">IF(S21=C21,SUM(IF(($BR$30:$BR$38=C21)*($BS$29:$CA$29=S18),$BS$30:$CA$38)),0)</f>
        <v>0</v>
      </c>
      <c r="AM56" s="4">
        <f t="array" aca="1" ref="AM56" ca="1">IF(S21=C21,SUM(IF(($BR$30:$BR$38=C21)*($BS$29:$CA$29=S19),$BS$30:$CA$38)),0)</f>
        <v>0</v>
      </c>
      <c r="AN56" s="4">
        <f t="array" aca="1" ref="AN56" ca="1">IF(S21=C21,SUM(IF(($BR$30:$BR$38=C21)*($BS$29:$CA$29=S20),$BS$30:$CA$38)),0)</f>
        <v>0</v>
      </c>
      <c r="AO56" s="4">
        <f t="array" aca="1" ref="AO56" ca="1">IF(S21=C21,SUM(IF(($BR$30:$BR$38=C21)*($BS$29:$CA$29=S22),$BS$30:$CA$38)),0)</f>
        <v>0</v>
      </c>
      <c r="AP56" s="4">
        <f t="array" aca="1" ref="AP56" ca="1">IF(S21=C21,SUM(IF(($BR$30:$BR$38=C21)*($BS$29:$CA$29=S23),$BS$30:$CA$38)),0)</f>
        <v>0</v>
      </c>
      <c r="AQ56" s="4">
        <f t="array" aca="1" ref="AQ56" ca="1">IF(S21=C21,SUM(IF(($BR$30:$BR$38=C21)*($BS$29:$CA$29=S$24),$BS$30:$CA$38)),0)</f>
        <v>0</v>
      </c>
      <c r="AR56" s="4">
        <f t="array" aca="1" ref="AR56" ca="1">IF(S21=C21,SUM(IF(($BR$30:$BR$38=C21)*($BS$29:$CA$29=S$25),$BS$30:$CA$38)),0)</f>
        <v>0</v>
      </c>
      <c r="AS56" s="6">
        <f t="array" aca="1" ref="AS56" ca="1">IF(T21=C21,SUM(IF(($BR$30:$BR$38=C21)*($BS$29:$CA$29=T17),$BS$30:$CA$38)),0)</f>
        <v>0</v>
      </c>
      <c r="AT56" s="4">
        <f t="array" aca="1" ref="AT56" ca="1">IF(T21=C21,SUM(IF(($BR$30:$BR$38=C21)*($BS$29:$CA$29=T18),$BS$30:$CA$38)),0)</f>
        <v>0</v>
      </c>
      <c r="AU56" s="4">
        <f t="array" aca="1" ref="AU56" ca="1">IF(T21=C21,SUM(IF(($BR$30:$BR$38=C21)*($BS$29:$CA$29=T19),$BS$30:$CA$38)),0)</f>
        <v>0</v>
      </c>
      <c r="AV56" s="4">
        <f t="array" aca="1" ref="AV56" ca="1">IF(T21=C21,SUM(IF(($BR$30:$BR$38=C21)*($BS$29:$CA$29=T20),$BS$30:$CA$38)),0)</f>
        <v>0</v>
      </c>
      <c r="AW56" s="4">
        <f t="array" aca="1" ref="AW56" ca="1">IF(T21=C21,SUM(IF(($BR$30:$BR$38=C21)*($BS$29:$CA$29=T22),$BS$30:$CA$38)),0)</f>
        <v>0</v>
      </c>
      <c r="AX56" s="4">
        <f t="array" aca="1" ref="AX56" ca="1">IF(T21=C21,SUM(IF(($BR$30:$BR$38=C21)*($BS$29:$CA$29=T23),$BS$30:$CA$38)),0)</f>
        <v>0</v>
      </c>
      <c r="AY56" s="4">
        <f t="array" aca="1" ref="AY56" ca="1">IF(T21=C21,SUM(IF(($BR$30:$BR$38=C21)*($BS$29:$CA$29=T$24),$BS$30:$CA$38)),0)</f>
        <v>0</v>
      </c>
      <c r="AZ56" s="4">
        <f t="array" aca="1" ref="AZ56" ca="1">IF(T21=C21,SUM(IF(($BR$30:$BR$38=C21)*($BS$29:$CA$29=T$25),$BS$30:$CA$38)),0)</f>
        <v>0</v>
      </c>
      <c r="BA56" s="6">
        <f t="array" aca="1" ref="BA56" ca="1">IF(U21=C21,SUM(IF(($BR$30:$BR$38=C21)*($BS$29:$CA$29=U$17),$BS$30:$CA$38)),0)</f>
        <v>0</v>
      </c>
      <c r="BB56" s="4">
        <f t="array" aca="1" ref="BB56" ca="1">IF(U21=C21,SUM(IF(($BR$30:$BR$38=C21)*($BS$29:$CA$29=U$18),$BS$30:$CA$38)),0)</f>
        <v>0</v>
      </c>
      <c r="BC56" s="4">
        <f t="array" aca="1" ref="BC56" ca="1">IF(U21=C21,SUM(IF(($BR$30:$BR$38=C21)*($BS$29:$CA$29=U$19),$BS$30:$CA$38)),0)</f>
        <v>0</v>
      </c>
      <c r="BD56" s="4">
        <f t="array" aca="1" ref="BD56" ca="1">IF(U21=C21,SUM(IF(($BR$30:$BR$38=C21)*($BS$29:$CA$29=U$20),$BS$30:$CA$38)),0)</f>
        <v>0</v>
      </c>
      <c r="BE56" s="4">
        <f t="array" aca="1" ref="BE56" ca="1">IF(U21=C21,SUM(IF(($BR$30:$BR$38=C21)*($BS$29:$CA$29=U$22),$BS$30:$CA$38)),0)</f>
        <v>0</v>
      </c>
      <c r="BF56" s="4">
        <f t="array" aca="1" ref="BF56" ca="1">IF(U21=C21,SUM(IF(($BR$30:$BR$38=C21)*($BS$29:$CA$29=U$23),$BS$30:$CA$38)),0)</f>
        <v>0</v>
      </c>
      <c r="BG56" s="4">
        <f t="array" aca="1" ref="BG56" ca="1">IF(U21=C21,SUM(IF(($BR$30:$BR$38=C21)*($BS$29:$CA$29=U$24),$BS$30:$CA$38)),0)</f>
        <v>0</v>
      </c>
      <c r="BH56" s="4">
        <f t="array" aca="1" ref="BH56" ca="1">IF(U21=C21,SUM(IF(($BR$30:$BR$38=C21)*($BS$29:$CA$29=U$25),$BS$30:$CA$38)),0)</f>
        <v>0</v>
      </c>
      <c r="BI56" s="6">
        <f t="array" aca="1" ref="BI56" ca="1">IF(V21=C21,SUM(IF(($BR$30:$BR$38=C21)*($BS$29:$CA$29=V$17),$BS$30:$CA$38)),0)</f>
        <v>0</v>
      </c>
      <c r="BJ56" s="4">
        <f t="array" aca="1" ref="BJ56" ca="1">IF(V21=C21,SUM(IF(($BR$30:$BR$38=C21)*($BS$29:$CA$29=V$18),$BS$30:$CA$38)),0)</f>
        <v>0</v>
      </c>
      <c r="BK56" s="4">
        <f t="array" aca="1" ref="BK56" ca="1">IF(V21=C21,SUM(IF(($BR$30:$BR$38=C21)*($BS$29:$CA$29=V$19),$BS$30:$CA$38)),0)</f>
        <v>0</v>
      </c>
      <c r="BL56" s="4">
        <f t="array" aca="1" ref="BL56" ca="1">IF(V21=C21,SUM(IF(($BR$30:$BR$38=C21)*($BS$29:$CA$29=V$20),$BS$30:$CA$38)),0)</f>
        <v>0</v>
      </c>
      <c r="BM56" s="4">
        <f t="array" aca="1" ref="BM56" ca="1">IF(V21=C21,SUM(IF(($BR$30:$BR$38=C21)*($BS$29:$CA$29=V$22),$BS$30:$CA$38)),0)</f>
        <v>0</v>
      </c>
      <c r="BN56" s="4">
        <f t="array" aca="1" ref="BN56" ca="1">IF(V21=C21,SUM(IF(($BR$30:$BR$38=C21)*($BS$29:$CA$29=V$23),$BS$30:$CA$38)),0)</f>
        <v>0</v>
      </c>
      <c r="BO56" s="4">
        <f t="array" aca="1" ref="BO56" ca="1">IF(V21=C21,SUM(IF(($BR$30:$BR$38=C21)*($BS$29:$CA$29=V$24),$BS$30:$CA$38)),0)</f>
        <v>0</v>
      </c>
      <c r="BP56" s="16">
        <f t="array" aca="1" ref="BP56" ca="1">IF(V21=C21,SUM(IF(($BR$30:$BR$38=C21)*($BS$29:$CA$29=V$25),$BS$30:$CA$38)),0)</f>
        <v>0</v>
      </c>
      <c r="BQ56" s="4"/>
      <c r="BR56" s="2" t="str">
        <f t="shared" si="72"/>
        <v>VFB Essenheim</v>
      </c>
      <c r="BS56" s="9">
        <f t="shared" ca="1" si="75"/>
        <v>0</v>
      </c>
      <c r="BT56" s="9">
        <f t="shared" ca="1" si="76"/>
        <v>1</v>
      </c>
      <c r="BU56" s="9">
        <f t="shared" ca="1" si="77"/>
        <v>0</v>
      </c>
      <c r="BV56" s="9">
        <f ca="1">SUMIFS($AE$64:$AE$135,$V$64:$V$135,$BR56,$W$64:$W$135,BV$51)+SUMIFS($AF$64:$AF$135,$W$64:$W$135,$BR56,$V$64:$V$135,BV$51)</f>
        <v>1</v>
      </c>
      <c r="BW56" s="7"/>
      <c r="BX56" s="8">
        <f ca="1">SUMIFS($AE$64:$AE$135,$V$64:$V$135,$BR56,$W$64:$W$135,BX$51)+SUMIFS($AF$64:$AF$135,$W$64:$W$135,$BR56,$V$64:$V$135,BX$51)</f>
        <v>0</v>
      </c>
      <c r="BY56" s="8">
        <f ca="1">SUMIFS($AE$64:$AE$135,$V$64:$V$135,$BR56,$W$64:$W$135,BY$51)+SUMIFS($AF$64:$AF$135,$W$64:$W$135,$BR56,$V$64:$V$135,BY$51)</f>
        <v>0</v>
      </c>
      <c r="BZ56" s="8">
        <f t="shared" ca="1" si="74"/>
        <v>0</v>
      </c>
      <c r="CA56" s="8">
        <f t="shared" ca="1" si="74"/>
        <v>0</v>
      </c>
      <c r="CB56" s="4"/>
    </row>
    <row r="57" spans="2:80" s="2" customFormat="1" x14ac:dyDescent="0.2">
      <c r="E57" s="15">
        <f t="array" aca="1" ref="E57" ca="1">IF(O22=C22,SUM(IF(($BR$30:$BR$38=C22)*($BS$29:$CA$29=O17),$BS$30:$CA$38)),0)</f>
        <v>0</v>
      </c>
      <c r="F57" s="4">
        <f t="array" aca="1" ref="F57" ca="1">IF(O22=C22,SUM(IF(($BR$30:$BR$38=C22)*($BS$29:$CA$29=O18),$BS$30:$CA$38)),0)</f>
        <v>0</v>
      </c>
      <c r="G57" s="4">
        <f t="array" aca="1" ref="G57" ca="1">IF(O22=C22,SUM(IF(($BR$30:$BR$38=C22)*($BS$29:$CA$29=O19),$BS$30:$CA$38)),0)</f>
        <v>0</v>
      </c>
      <c r="H57" s="4">
        <f t="array" aca="1" ref="H57" ca="1">IF(O22=C22,SUM(IF(($BR$30:$BR$38=C22)*($BS$29:$CA$29=O20),$BS$30:$CA$38)),0)</f>
        <v>0</v>
      </c>
      <c r="I57" s="4">
        <f t="array" aca="1" ref="I57" ca="1">IF(O22=C22,SUM(IF(($BR$30:$BR$38=C22)*($BS$29:$CA$29=O21),$BS$30:$CA$38)),0)</f>
        <v>0</v>
      </c>
      <c r="J57" s="4">
        <f t="array" aca="1" ref="J57" ca="1">IF(O22=C22,SUM(IF(($BR$30:$BR$38=C22)*($BS$29:$CA$29=O23),$BS$30:$CA$38)),0)</f>
        <v>0</v>
      </c>
      <c r="K57" s="4">
        <f t="array" aca="1" ref="K57" ca="1">IF(O22=C22,SUM(IF(($BR$30:$BR$38=C22)*($BS$29:$CA$29=O$24),$BS$30:$CA$38)),0)</f>
        <v>0</v>
      </c>
      <c r="L57" s="4">
        <f t="array" aca="1" ref="L57" ca="1">IF(O22=C22,SUM(IF(($BR$30:$BR$38=C22)*($BS$29:$CA$29=O$25),$BS$30:$CA$38)),0)</f>
        <v>0</v>
      </c>
      <c r="M57" s="6">
        <f t="array" aca="1" ref="M57" ca="1">IF(P22=C22,SUM(IF(($BR$30:$BR$38=C22)*($BS$29:$CA$29=P17),$BS$30:$CA$38)),0)</f>
        <v>0</v>
      </c>
      <c r="N57" s="4">
        <f t="array" aca="1" ref="N57" ca="1">IF(P22=C22,SUM(IF(($BR$30:$BR$38=C22)*($BS$29:$CA$29=P18),$BS$30:$CA$38)),0)</f>
        <v>0</v>
      </c>
      <c r="O57" s="4">
        <f t="array" aca="1" ref="O57" ca="1">IF(P22=C22,SUM(IF(($BR$30:$BR$38=C22)*($BS$29:$CA$29=P19),$BS$30:$CA$38)),0)</f>
        <v>0</v>
      </c>
      <c r="P57" s="4">
        <f t="array" aca="1" ref="P57" ca="1">IF(P22=C22,SUM(IF(($BR$30:$BR$38=C22)*($BS$29:$CA$29=P20),$BS$30:$CA$38)),0)</f>
        <v>0</v>
      </c>
      <c r="Q57" s="4">
        <f t="array" aca="1" ref="Q57" ca="1">IF(P22=C22,SUM(IF(($BR$30:$BR$38=C22)*($BS$29:$CA$29=P21),$BS$30:$CA$38)),0)</f>
        <v>0</v>
      </c>
      <c r="R57" s="4">
        <f t="array" aca="1" ref="R57" ca="1">IF(P22=C22,SUM(IF(($BR$30:$BR$38=C22)*($BS$29:$CA$29=P23),$BS$30:$CA$38)),0)</f>
        <v>0</v>
      </c>
      <c r="S57" s="4">
        <f t="array" aca="1" ref="S57" ca="1">IF(P22=C22,SUM(IF(($BR$30:$BR$38=C22)*($BS$29:$CA$29=P$24),$BS$30:$CA$38)),0)</f>
        <v>0</v>
      </c>
      <c r="T57" s="4">
        <f t="array" aca="1" ref="T57" ca="1">IF(P22=C22,SUM(IF(($BR$30:$BR$38=C22)*($BS$29:$CA$29=P$25),$BS$30:$CA$38)),0)</f>
        <v>0</v>
      </c>
      <c r="U57" s="6">
        <f t="array" aca="1" ref="U57" ca="1">IF(Q22=C22,SUM(IF(($BR$30:$BR$38=C22)*($BS$29:$CA$29=Q17),$BS$30:$CA$38)),0)</f>
        <v>0</v>
      </c>
      <c r="V57" s="4">
        <f t="array" aca="1" ref="V57" ca="1">IF(Q22=C22,SUM(IF(($BR$30:$BR$38=C22)*($BS$29:$CA$29=Q18),$BS$30:$CA$38)),0)</f>
        <v>0</v>
      </c>
      <c r="W57" s="4">
        <f t="array" aca="1" ref="W57" ca="1">IF(Q22=C22,SUM(IF(($BR$30:$BR$38=C22)*($BS$29:$CA$29=Q19),$BS$30:$CA$38)),0)</f>
        <v>0</v>
      </c>
      <c r="X57" s="4">
        <f t="array" aca="1" ref="X57" ca="1">IF(Q22=C22,SUM(IF(($BR$30:$BR$38=C22)*($BS$29:$CA$29=Q20),$BS$30:$CA$38)),0)</f>
        <v>0</v>
      </c>
      <c r="Y57" s="4">
        <f t="array" aca="1" ref="Y57" ca="1">IF(Q22=C22,SUM(IF(($BR$30:$BR$38=C22)*($BS$29:$CA$29=Q21),$BS$30:$CA$38)),0)</f>
        <v>0</v>
      </c>
      <c r="Z57" s="4">
        <f t="array" aca="1" ref="Z57" ca="1">IF(Q22=C22,SUM(IF(($BR$30:$BR$38=C22)*($BS$29:$CA$29=Q23),$BS$30:$CA$38)),0)</f>
        <v>0</v>
      </c>
      <c r="AA57" s="4">
        <f t="array" aca="1" ref="AA57" ca="1">IF(Q22=C22,SUM(IF(($BR$30:$BR$38=C22)*($BS$29:$CA$29=Q$24),$BS$30:$CA$38)),0)</f>
        <v>0</v>
      </c>
      <c r="AB57" s="4">
        <f t="array" aca="1" ref="AB57" ca="1">IF(Q22=C22,SUM(IF(($BR$30:$BR$38=C22)*($BS$29:$CA$29=Q$25),$BS$30:$CA$38)),0)</f>
        <v>0</v>
      </c>
      <c r="AC57" s="6">
        <f t="array" aca="1" ref="AC57" ca="1">IF(R22=C22,SUM(IF(($BR$30:$BR$38=C22)*($BS$29:$CA$29=R17),$BS$30:$CA$38)),0)</f>
        <v>0</v>
      </c>
      <c r="AD57" s="4">
        <f t="array" aca="1" ref="AD57" ca="1">IF(R22=C22,SUM(IF(($BR$30:$BR$38=C22)*($BS$29:$CA$29=R18),$BS$30:$CA$38)),0)</f>
        <v>0</v>
      </c>
      <c r="AE57" s="4">
        <f t="array" aca="1" ref="AE57" ca="1">IF(R22=C22,SUM(IF(($BR$30:$BR$38=C22)*($BS$29:$CA$29=R19),$BS$30:$CA$38)),0)</f>
        <v>0</v>
      </c>
      <c r="AF57" s="4">
        <f t="array" aca="1" ref="AF57" ca="1">IF(R22=C22,SUM(IF(($BR$30:$BR$38=C22)*($BS$29:$CA$29=R20),$BS$30:$CA$38)),0)</f>
        <v>0</v>
      </c>
      <c r="AG57" s="4">
        <f t="array" aca="1" ref="AG57" ca="1">IF(R22=C22,SUM(IF(($BR$30:$BR$38=C22)*($BS$29:$CA$29=R21),$BS$30:$CA$38)),0)</f>
        <v>0</v>
      </c>
      <c r="AH57" s="4">
        <f t="array" aca="1" ref="AH57" ca="1">IF(R22=C22,SUM(IF(($BR$30:$BR$38=C22)*($BS$29:$CA$29=R23),$BS$30:$CA$38)),0)</f>
        <v>0</v>
      </c>
      <c r="AI57" s="4">
        <f t="array" aca="1" ref="AI57" ca="1">IF(R22=C22,SUM(IF(($BR$30:$BR$38=C22)*($BS$29:$CA$29=R$24),$BS$30:$CA$38)),0)</f>
        <v>0</v>
      </c>
      <c r="AJ57" s="4">
        <f t="array" aca="1" ref="AJ57" ca="1">IF(R22=C22,SUM(IF(($BR$30:$BR$38=C22)*($BS$29:$CA$29=R$25),$BS$30:$CA$38)),0)</f>
        <v>0</v>
      </c>
      <c r="AK57" s="6">
        <f t="array" aca="1" ref="AK57" ca="1">IF(S22=C22,SUM(IF(($BR$30:$BR$38=C22)*($BS$29:$CA$29=S17),$BS$30:$CA$38)),0)</f>
        <v>1</v>
      </c>
      <c r="AL57" s="4">
        <f t="array" aca="1" ref="AL57" ca="1">IF(S22=C22,SUM(IF(($BR$30:$BR$38=C22)*($BS$29:$CA$29=S18),$BS$30:$CA$38)),0)</f>
        <v>0</v>
      </c>
      <c r="AM57" s="4">
        <f t="array" aca="1" ref="AM57" ca="1">IF(S22=C22,SUM(IF(($BR$30:$BR$38=C22)*($BS$29:$CA$29=S19),$BS$30:$CA$38)),0)</f>
        <v>0</v>
      </c>
      <c r="AN57" s="4">
        <f t="array" aca="1" ref="AN57" ca="1">IF(S22=C22,SUM(IF(($BR$30:$BR$38=C22)*($BS$29:$CA$29=S20),$BS$30:$CA$38)),0)</f>
        <v>0</v>
      </c>
      <c r="AO57" s="4">
        <f t="array" aca="1" ref="AO57" ca="1">IF(S22=C22,SUM(IF(($BR$30:$BR$38=C22)*($BS$29:$CA$29=S21),$BS$30:$CA$38)),0)</f>
        <v>0</v>
      </c>
      <c r="AP57" s="4">
        <f t="array" aca="1" ref="AP57" ca="1">IF(S22=C22,SUM(IF(($BR$30:$BR$38=C22)*($BS$29:$CA$29=S23),$BS$30:$CA$38)),0)</f>
        <v>0</v>
      </c>
      <c r="AQ57" s="4">
        <f t="array" aca="1" ref="AQ57" ca="1">IF(S22=C22,SUM(IF(($BR$30:$BR$38=C22)*($BS$29:$CA$29=S$24),$BS$30:$CA$38)),0)</f>
        <v>0</v>
      </c>
      <c r="AR57" s="4">
        <f t="array" aca="1" ref="AR57" ca="1">IF(S22=C22,SUM(IF(($BR$30:$BR$38=C22)*($BS$29:$CA$29=S$25),$BS$30:$CA$38)),0)</f>
        <v>0</v>
      </c>
      <c r="AS57" s="6">
        <f t="array" aca="1" ref="AS57" ca="1">IF(T22=C22,SUM(IF(($BR$30:$BR$38=C22)*($BS$29:$CA$29=T17),$BS$30:$CA$38)),0)</f>
        <v>0</v>
      </c>
      <c r="AT57" s="4">
        <f t="array" aca="1" ref="AT57" ca="1">IF(T22=C22,SUM(IF(($BR$30:$BR$38=C22)*($BS$29:$CA$29=T18),$BS$30:$CA$38)),0)</f>
        <v>0</v>
      </c>
      <c r="AU57" s="4">
        <f t="array" aca="1" ref="AU57" ca="1">IF(T22=C22,SUM(IF(($BR$30:$BR$38=C22)*($BS$29:$CA$29=T19),$BS$30:$CA$38)),0)</f>
        <v>0</v>
      </c>
      <c r="AV57" s="4">
        <f t="array" aca="1" ref="AV57" ca="1">IF(T22=C22,SUM(IF(($BR$30:$BR$38=C22)*($BS$29:$CA$29=T20),$BS$30:$CA$38)),0)</f>
        <v>0</v>
      </c>
      <c r="AW57" s="4">
        <f t="array" aca="1" ref="AW57" ca="1">IF(T22=C22,SUM(IF(($BR$30:$BR$38=C22)*($BS$29:$CA$29=T21),$BS$30:$CA$38)),0)</f>
        <v>0</v>
      </c>
      <c r="AX57" s="4">
        <f t="array" aca="1" ref="AX57" ca="1">IF(T22=C22,SUM(IF(($BR$30:$BR$38=C22)*($BS$29:$CA$29=T23),$BS$30:$CA$38)),0)</f>
        <v>0</v>
      </c>
      <c r="AY57" s="4">
        <f t="array" aca="1" ref="AY57" ca="1">IF(T22=C22,SUM(IF(($BR$30:$BR$38=C22)*($BS$29:$CA$29=T$24),$BS$30:$CA$38)),0)</f>
        <v>0</v>
      </c>
      <c r="AZ57" s="4">
        <f t="array" aca="1" ref="AZ57" ca="1">IF(T22=C22,SUM(IF(($BR$30:$BR$38=C22)*($BS$29:$CA$29=T$25),$BS$30:$CA$38)),0)</f>
        <v>0</v>
      </c>
      <c r="BA57" s="6">
        <f t="array" aca="1" ref="BA57" ca="1">IF(U22=C22,SUM(IF(($BR$30:$BR$38=C22)*($BS$29:$CA$29=U$17),$BS$30:$CA$38)),0)</f>
        <v>0</v>
      </c>
      <c r="BB57" s="4">
        <f t="array" aca="1" ref="BB57" ca="1">IF(U22=C22,SUM(IF(($BR$30:$BR$38=C22)*($BS$29:$CA$29=U$18),$BS$30:$CA$38)),0)</f>
        <v>0</v>
      </c>
      <c r="BC57" s="4">
        <f t="array" aca="1" ref="BC57" ca="1">IF(U22=C22,SUM(IF(($BR$30:$BR$38=C22)*($BS$29:$CA$29=U$19),$BS$30:$CA$38)),0)</f>
        <v>0</v>
      </c>
      <c r="BD57" s="4">
        <f t="array" aca="1" ref="BD57" ca="1">IF(U22=C22,SUM(IF(($BR$30:$BR$38=C22)*($BS$29:$CA$29=U$20),$BS$30:$CA$38)),0)</f>
        <v>0</v>
      </c>
      <c r="BE57" s="4">
        <f t="array" aca="1" ref="BE57" ca="1">IF(U22=C22,SUM(IF(($BR$30:$BR$38=C22)*($BS$29:$CA$29=U$21),$BS$30:$CA$38)),0)</f>
        <v>0</v>
      </c>
      <c r="BF57" s="4">
        <f t="array" aca="1" ref="BF57" ca="1">IF(U22=C22,SUM(IF(($BR$30:$BR$38=C22)*($BS$29:$CA$29=U$23),$BS$30:$CA$38)),0)</f>
        <v>0</v>
      </c>
      <c r="BG57" s="4">
        <f t="array" aca="1" ref="BG57" ca="1">IF(U22=C22,SUM(IF(($BR$30:$BR$38=C22)*($BS$29:$CA$29=U$24),$BS$30:$CA$38)),0)</f>
        <v>0</v>
      </c>
      <c r="BH57" s="4">
        <f t="array" aca="1" ref="BH57" ca="1">IF(U22=C22,SUM(IF(($BR$30:$BR$38=C22)*($BS$29:$CA$29=U$25),$BS$30:$CA$38)),0)</f>
        <v>0</v>
      </c>
      <c r="BI57" s="6">
        <f t="array" aca="1" ref="BI57" ca="1">IF(V22=C22,SUM(IF(($BR$30:$BR$38=C22)*($BS$29:$CA$29=V$17),$BS$30:$CA$38)),0)</f>
        <v>0</v>
      </c>
      <c r="BJ57" s="4">
        <f t="array" aca="1" ref="BJ57" ca="1">IF(V22=C22,SUM(IF(($BR$30:$BR$38=C22)*($BS$29:$CA$29=V$18),$BS$30:$CA$38)),0)</f>
        <v>0</v>
      </c>
      <c r="BK57" s="4">
        <f t="array" aca="1" ref="BK57" ca="1">IF(V22=C22,SUM(IF(($BR$30:$BR$38=C22)*($BS$29:$CA$29=V$19),$BS$30:$CA$38)),0)</f>
        <v>0</v>
      </c>
      <c r="BL57" s="4">
        <f t="array" aca="1" ref="BL57" ca="1">IF(V22=C22,SUM(IF(($BR$30:$BR$38=C22)*($BS$29:$CA$29=V$20),$BS$30:$CA$38)),0)</f>
        <v>0</v>
      </c>
      <c r="BM57" s="4">
        <f t="array" aca="1" ref="BM57" ca="1">IF(V22=C22,SUM(IF(($BR$30:$BR$38=C22)*($BS$29:$CA$29=V$21),$BS$30:$CA$38)),0)</f>
        <v>0</v>
      </c>
      <c r="BN57" s="4">
        <f t="array" aca="1" ref="BN57" ca="1">IF(V22=C22,SUM(IF(($BR$30:$BR$38=C22)*($BS$29:$CA$29=V$23),$BS$30:$CA$38)),0)</f>
        <v>0</v>
      </c>
      <c r="BO57" s="4">
        <f t="array" aca="1" ref="BO57" ca="1">IF(V22=C22,SUM(IF(($BR$30:$BR$38=C22)*($BS$29:$CA$29=V$24),$BS$30:$CA$38)),0)</f>
        <v>0</v>
      </c>
      <c r="BP57" s="16">
        <f t="array" aca="1" ref="BP57" ca="1">IF(V22=C22,SUM(IF(($BR$30:$BR$38=C22)*($BS$29:$CA$29=V$25),$BS$30:$CA$38)),0)</f>
        <v>0</v>
      </c>
      <c r="BQ57" s="4"/>
      <c r="BR57" s="2" t="str">
        <f t="shared" si="72"/>
        <v>Inter Mailand</v>
      </c>
      <c r="BS57" s="9">
        <f t="shared" ca="1" si="75"/>
        <v>1</v>
      </c>
      <c r="BT57" s="9">
        <f t="shared" ca="1" si="76"/>
        <v>0</v>
      </c>
      <c r="BU57" s="9">
        <f t="shared" ca="1" si="77"/>
        <v>0</v>
      </c>
      <c r="BV57" s="9">
        <f ca="1">SUMIFS($AE$64:$AE$135,$V$64:$V$135,$BR57,$W$64:$W$135,BV$51)+SUMIFS($AF$64:$AF$135,$W$64:$W$135,$BR57,$V$64:$V$135,BV$51)</f>
        <v>0</v>
      </c>
      <c r="BW57" s="9">
        <f ca="1">SUMIFS($AE$64:$AE$135,$V$64:$V$135,$BR57,$W$64:$W$135,BW$51)+SUMIFS($AF$64:$AF$135,$W$64:$W$135,$BR57,$V$64:$V$135,BW$51)</f>
        <v>0</v>
      </c>
      <c r="BX57" s="7"/>
      <c r="BY57" s="8">
        <f ca="1">SUMIFS($AE$64:$AE$135,$V$64:$V$135,$BR57,$W$64:$W$135,BY$51)+SUMIFS($AF$64:$AF$135,$W$64:$W$135,$BR57,$V$64:$V$135,BY$51)</f>
        <v>0</v>
      </c>
      <c r="BZ57" s="8">
        <f t="shared" ca="1" si="74"/>
        <v>0</v>
      </c>
      <c r="CA57" s="8">
        <f t="shared" ca="1" si="74"/>
        <v>0</v>
      </c>
      <c r="CB57" s="4"/>
    </row>
    <row r="58" spans="2:80" s="2" customFormat="1" x14ac:dyDescent="0.2">
      <c r="E58" s="15">
        <f t="array" aca="1" ref="E58" ca="1">IF(O23=C23,SUM(IF(($BR$30:$BR$38=C23)*($BS$29:$CA$29=O$17),$BS$30:$CA$38)),0)</f>
        <v>0</v>
      </c>
      <c r="F58" s="4">
        <f t="array" aca="1" ref="F58" ca="1">IF(O23=C23,SUM(IF(($BR$30:$BR$38=C23)*($BS$29:$CA$29=O$18),$BS$30:$CA$38)),0)</f>
        <v>0</v>
      </c>
      <c r="G58" s="4">
        <f t="array" aca="1" ref="G58" ca="1">IF(O23=C23,SUM(IF(($BR$30:$BR$38=C23)*($BS$29:$CA$29=O$19),$BS$30:$CA$38)),0)</f>
        <v>0</v>
      </c>
      <c r="H58" s="4">
        <f t="array" aca="1" ref="H58" ca="1">IF(O23=C23,SUM(IF(($BR$30:$BR$38=C23)*($BS$29:$CA$29=O$20),$BS$30:$CA$38)),0)</f>
        <v>0</v>
      </c>
      <c r="I58" s="4">
        <f t="array" aca="1" ref="I58" ca="1">IF(O23=C23,SUM(IF(($BR$30:$BR$38=C23)*($BS$29:$CA$29=O$21),$BS$30:$CA$38)),0)</f>
        <v>0</v>
      </c>
      <c r="J58" s="4">
        <f t="array" aca="1" ref="J58" ca="1">IF(O23=C23,SUM(IF(($BR$30:$BR$38=C23)*($BS$29:$CA$29=O$22),$BS$30:$CA$38)),0)</f>
        <v>0</v>
      </c>
      <c r="K58" s="4">
        <f t="array" aca="1" ref="K58" ca="1">IF(O23=C23,SUM(IF(($BR$30:$BR$38=C23)*($BS$29:$CA$29=O$24),$BS$30:$CA$38)),0)</f>
        <v>0</v>
      </c>
      <c r="L58" s="4">
        <f t="array" aca="1" ref="L58" ca="1">IF(O23=C23,SUM(IF(($BR$30:$BR$38=C23)*($BS$29:$CA$29=O$25),$BS$30:$CA$38)),0)</f>
        <v>0</v>
      </c>
      <c r="M58" s="6">
        <f t="array" aca="1" ref="M58" ca="1">IF(P23=C23,SUM(IF(($BR$30:$BR$38=C23)*($BS$29:$CA$29=P$17),$BS$30:$CA$38)),0)</f>
        <v>0</v>
      </c>
      <c r="N58" s="4">
        <f t="array" aca="1" ref="N58" ca="1">IF(P23=C23,SUM(IF(($BR$30:$BR$38=C23)*($BS$29:$CA$29=P$18),$BS$30:$CA$38)),0)</f>
        <v>0</v>
      </c>
      <c r="O58" s="4">
        <f t="array" aca="1" ref="O58" ca="1">IF(P23=C23,SUM(IF(($BR$30:$BR$38=C23)*($BS$29:$CA$29=P$19),$BS$30:$CA$38)),0)</f>
        <v>0</v>
      </c>
      <c r="P58" s="4">
        <f t="array" aca="1" ref="P58" ca="1">IF(P23=C23,SUM(IF(($BR$30:$BR$38=C23)*($BS$29:$CA$29=P$20),$BS$30:$CA$38)),0)</f>
        <v>0</v>
      </c>
      <c r="Q58" s="4">
        <f t="array" aca="1" ref="Q58" ca="1">IF(P23=C23,SUM(IF(($BR$30:$BR$38=C23)*($BS$29:$CA$29=P$21),$BS$30:$CA$38)),0)</f>
        <v>0</v>
      </c>
      <c r="R58" s="4">
        <f t="array" aca="1" ref="R58" ca="1">IF(P23=C23,SUM(IF(($BR$30:$BR$38=C23)*($BS$29:$CA$29=P$22),$BS$30:$CA$38)),0)</f>
        <v>0</v>
      </c>
      <c r="S58" s="4">
        <f t="array" aca="1" ref="S58" ca="1">IF(P23=C23,SUM(IF(($BR$30:$BR$38=C23)*($BS$29:$CA$29=P$24),$BS$30:$CA$38)),0)</f>
        <v>0</v>
      </c>
      <c r="T58" s="4">
        <f t="array" aca="1" ref="T58" ca="1">IF(P23=C23,SUM(IF(($BR$30:$BR$38=C23)*($BS$29:$CA$29=P$25),$BS$30:$CA$38)),0)</f>
        <v>0</v>
      </c>
      <c r="U58" s="6">
        <f t="array" aca="1" ref="U58" ca="1">IF(Q23=C23,SUM(IF(($BR$30:$BR$38=C23)*($BS$29:$CA$29=Q$17),$BS$30:$CA$38)),0)</f>
        <v>0</v>
      </c>
      <c r="V58" s="4">
        <f t="array" aca="1" ref="V58" ca="1">IF(Q23=C23,SUM(IF(($BR$30:$BR$38=C23)*($BS$29:$CA$29=Q$18),$BS$30:$CA$38)),0)</f>
        <v>0</v>
      </c>
      <c r="W58" s="4">
        <f t="array" aca="1" ref="W58" ca="1">IF(Q23=C23,SUM(IF(($BR$30:$BR$38=C23)*($BS$29:$CA$29=Q$19),$BS$30:$CA$38)),0)</f>
        <v>0</v>
      </c>
      <c r="X58" s="4">
        <f t="array" aca="1" ref="X58" ca="1">IF(Q23=C23,SUM(IF(($BR$30:$BR$38=C23)*($BS$29:$CA$29=Q$20),$BS$30:$CA$38)),0)</f>
        <v>0</v>
      </c>
      <c r="Y58" s="4">
        <f t="array" aca="1" ref="Y58" ca="1">IF(Q23=C23,SUM(IF(($BR$30:$BR$38=C23)*($BS$29:$CA$29=Q$21),$BS$30:$CA$38)),0)</f>
        <v>0</v>
      </c>
      <c r="Z58" s="4">
        <f t="array" aca="1" ref="Z58" ca="1">IF(Q23=C23,SUM(IF(($BR$30:$BR$38=C23)*($BS$29:$CA$29=Q$22),$BS$30:$CA$38)),0)</f>
        <v>0</v>
      </c>
      <c r="AA58" s="4">
        <f t="array" aca="1" ref="AA58" ca="1">IF(Q23=C23,SUM(IF(($BR$30:$BR$38=C23)*($BS$29:$CA$29=Q$24),$BS$30:$CA$38)),0)</f>
        <v>0</v>
      </c>
      <c r="AB58" s="4">
        <f t="array" aca="1" ref="AB58" ca="1">IF(Q23=C23,SUM(IF(($BR$30:$BR$38=C23)*($BS$29:$CA$29=Q$25),$BS$30:$CA$38)),0)</f>
        <v>0</v>
      </c>
      <c r="AC58" s="6">
        <f t="array" aca="1" ref="AC58" ca="1">IF(R23=C23,SUM(IF(($BR$30:$BR$38=C23)*($BS$29:$CA$29=R$17),$BS$30:$CA$38)),0)</f>
        <v>0</v>
      </c>
      <c r="AD58" s="4">
        <f t="array" aca="1" ref="AD58" ca="1">IF(R23=C23,SUM(IF(($BR$30:$BR$38=C23)*($BS$29:$CA$29=R$18),$BS$30:$CA$38)),0)</f>
        <v>0</v>
      </c>
      <c r="AE58" s="4">
        <f t="array" aca="1" ref="AE58" ca="1">IF(R23=C23,SUM(IF(($BR$30:$BR$38=C23)*($BS$29:$CA$29=R$19),$BS$30:$CA$38)),0)</f>
        <v>0</v>
      </c>
      <c r="AF58" s="4">
        <f t="array" aca="1" ref="AF58" ca="1">IF(R23=C23,SUM(IF(($BR$30:$BR$38=C23)*($BS$29:$CA$29=R$20),$BS$30:$CA$38)),0)</f>
        <v>0</v>
      </c>
      <c r="AG58" s="4">
        <f t="array" aca="1" ref="AG58" ca="1">IF(R23=C23,SUM(IF(($BR$30:$BR$38=C23)*($BS$29:$CA$29=R$21),$BS$30:$CA$38)),0)</f>
        <v>0</v>
      </c>
      <c r="AH58" s="4">
        <f t="array" aca="1" ref="AH58" ca="1">IF(R23=C23,SUM(IF(($BR$30:$BR$38=C23)*($BS$29:$CA$29=R$22),$BS$30:$CA$38)),0)</f>
        <v>0</v>
      </c>
      <c r="AI58" s="4">
        <f t="array" aca="1" ref="AI58" ca="1">IF(R23=C23,SUM(IF(($BR$30:$BR$38=C23)*($BS$29:$CA$29=R$24),$BS$30:$CA$38)),0)</f>
        <v>0</v>
      </c>
      <c r="AJ58" s="4">
        <f t="array" aca="1" ref="AJ58" ca="1">IF(R23=C23,SUM(IF(($BR$30:$BR$38=C23)*($BS$29:$CA$29=R$25),$BS$30:$CA$38)),0)</f>
        <v>0</v>
      </c>
      <c r="AK58" s="6">
        <f t="array" aca="1" ref="AK58" ca="1">IF(S23=C23,SUM(IF(($BR$30:$BR$38=C23)*($BS$29:$CA$29=S$17),$BS$30:$CA$38)),0)</f>
        <v>0</v>
      </c>
      <c r="AL58" s="4">
        <f t="array" aca="1" ref="AL58" ca="1">IF(S23=C23,SUM(IF(($BR$30:$BR$38=C23)*($BS$29:$CA$29=S$18),$BS$30:$CA$38)),0)</f>
        <v>0</v>
      </c>
      <c r="AM58" s="4">
        <f t="array" aca="1" ref="AM58" ca="1">IF(S23=C23,SUM(IF(($BR$30:$BR$38=C23)*($BS$29:$CA$29=S$19),$BS$30:$CA$38)),0)</f>
        <v>0</v>
      </c>
      <c r="AN58" s="4">
        <f t="array" aca="1" ref="AN58" ca="1">IF(S23=C23,SUM(IF(($BR$30:$BR$38=C23)*($BS$29:$CA$29=S$20),$BS$30:$CA$38)),0)</f>
        <v>0</v>
      </c>
      <c r="AO58" s="4">
        <f t="array" aca="1" ref="AO58" ca="1">IF(S23=C23,SUM(IF(($BR$30:$BR$38=C23)*($BS$29:$CA$29=S$21),$BS$30:$CA$38)),0)</f>
        <v>0</v>
      </c>
      <c r="AP58" s="4">
        <f t="array" aca="1" ref="AP58" ca="1">IF(S23=C23,SUM(IF(($BR$30:$BR$38=C23)*($BS$29:$CA$29=S$22),$BS$30:$CA$38)),0)</f>
        <v>0</v>
      </c>
      <c r="AQ58" s="4">
        <f t="array" aca="1" ref="AQ58" ca="1">IF(S23=C23,SUM(IF(($BR$30:$BR$38=C23)*($BS$29:$CA$29=S$24),$BS$30:$CA$38)),0)</f>
        <v>0</v>
      </c>
      <c r="AR58" s="4">
        <f t="array" aca="1" ref="AR58" ca="1">IF(S23=C23,SUM(IF(($BR$30:$BR$38=C23)*($BS$29:$CA$29=S$25),$BS$30:$CA$38)),0)</f>
        <v>0</v>
      </c>
      <c r="AS58" s="6">
        <f t="array" aca="1" ref="AS58" ca="1">IF(T23=C23,SUM(IF(($BR$30:$BR$38=C23)*($BS$29:$CA$29=T$17),$BS$30:$CA$38)),0)</f>
        <v>0</v>
      </c>
      <c r="AT58" s="4">
        <f t="array" aca="1" ref="AT58" ca="1">IF(T23=C23,SUM(IF(($BR$30:$BR$38=C23)*($BS$29:$CA$29=T$18),$BS$30:$CA$38)),0)</f>
        <v>0</v>
      </c>
      <c r="AU58" s="4">
        <f t="array" aca="1" ref="AU58" ca="1">IF(T23=C23,SUM(IF(($BR$30:$BR$38=C23)*($BS$29:$CA$29=T$19),$BS$30:$CA$38)),0)</f>
        <v>0</v>
      </c>
      <c r="AV58" s="4">
        <f t="array" aca="1" ref="AV58" ca="1">IF(T23=C23,SUM(IF(($BR$30:$BR$38=C23)*($BS$29:$CA$29=T$20),$BS$30:$CA$38)),0)</f>
        <v>0</v>
      </c>
      <c r="AW58" s="4">
        <f t="array" aca="1" ref="AW58" ca="1">IF(T23=C23,SUM(IF(($BR$30:$BR$38=C23)*($BS$29:$CA$29=T$21),$BS$30:$CA$38)),0)</f>
        <v>0</v>
      </c>
      <c r="AX58" s="4">
        <f t="array" aca="1" ref="AX58" ca="1">IF(T23=C23,SUM(IF(($BR$30:$BR$38=C23)*($BS$29:$CA$29=T$22),$BS$30:$CA$38)),0)</f>
        <v>0</v>
      </c>
      <c r="AY58" s="4">
        <f t="array" aca="1" ref="AY58" ca="1">IF(T23=C23,SUM(IF(($BR$30:$BR$38=C23)*($BS$29:$CA$29=T$24),$BS$30:$CA$38)),0)</f>
        <v>0</v>
      </c>
      <c r="AZ58" s="4">
        <f t="array" aca="1" ref="AZ58" ca="1">IF(T23=C23,SUM(IF(($BR$30:$BR$38=C23)*($BS$29:$CA$29=T$25),$BS$30:$CA$38)),0)</f>
        <v>0</v>
      </c>
      <c r="BA58" s="6">
        <f t="array" aca="1" ref="BA58" ca="1">IF(U23=C23,SUM(IF(($BR$30:$BR$38=C23)*($BS$29:$CA$29=U$17),$BS$30:$CA$38)),0)</f>
        <v>0</v>
      </c>
      <c r="BB58" s="4">
        <f t="array" aca="1" ref="BB58" ca="1">IF(U23=C23,SUM(IF(($BR$30:$BR$38=C23)*($BS$29:$CA$29=U$18),$BS$30:$CA$38)),0)</f>
        <v>0</v>
      </c>
      <c r="BC58" s="4">
        <f t="array" aca="1" ref="BC58" ca="1">IF(U23=C23,SUM(IF(($BR$30:$BR$38=C23)*($BS$29:$CA$29=U$19),$BS$30:$CA$38)),0)</f>
        <v>0</v>
      </c>
      <c r="BD58" s="4">
        <f t="array" aca="1" ref="BD58" ca="1">IF(U23=C23,SUM(IF(($BR$30:$BR$38=C23)*($BS$29:$CA$29=U$20),$BS$30:$CA$38)),0)</f>
        <v>0</v>
      </c>
      <c r="BE58" s="4">
        <f t="array" aca="1" ref="BE58" ca="1">IF(U23=C23,SUM(IF(($BR$30:$BR$38=C23)*($BS$29:$CA$29=U$21),$BS$30:$CA$38)),0)</f>
        <v>0</v>
      </c>
      <c r="BF58" s="4">
        <f t="array" aca="1" ref="BF58" ca="1">IF(U23=C23,SUM(IF(($BR$30:$BR$38=C23)*($BS$29:$CA$29=U$22),$BS$30:$CA$38)),0)</f>
        <v>0</v>
      </c>
      <c r="BG58" s="4">
        <f t="array" aca="1" ref="BG58" ca="1">IF(U23=C23,SUM(IF(($BR$30:$BR$38=C23)*($BS$29:$CA$29=U$24),$BS$30:$CA$38)),0)</f>
        <v>0</v>
      </c>
      <c r="BH58" s="4">
        <f t="array" aca="1" ref="BH58" ca="1">IF(U23=C23,SUM(IF(($BR$30:$BR$38=C23)*($BS$29:$CA$29=U$25),$BS$30:$CA$38)),0)</f>
        <v>0</v>
      </c>
      <c r="BI58" s="6">
        <f t="array" aca="1" ref="BI58" ca="1">IF(V23=C23,SUM(IF(($BR$30:$BR$38=C23)*($BS$29:$CA$29=V$17),$BS$30:$CA$38)),0)</f>
        <v>0</v>
      </c>
      <c r="BJ58" s="4">
        <f t="array" aca="1" ref="BJ58" ca="1">IF(V23=C23,SUM(IF(($BR$30:$BR$38=C23)*($BS$29:$CA$29=V$18),$BS$30:$CA$38)),0)</f>
        <v>0</v>
      </c>
      <c r="BK58" s="4">
        <f t="array" aca="1" ref="BK58" ca="1">IF(V23=C23,SUM(IF(($BR$30:$BR$38=C23)*($BS$29:$CA$29=V$19),$BS$30:$CA$38)),0)</f>
        <v>0</v>
      </c>
      <c r="BL58" s="4">
        <f t="array" aca="1" ref="BL58" ca="1">IF(V23=C23,SUM(IF(($BR$30:$BR$38=C23)*($BS$29:$CA$29=V$20),$BS$30:$CA$38)),0)</f>
        <v>0</v>
      </c>
      <c r="BM58" s="4">
        <f t="array" aca="1" ref="BM58" ca="1">IF(V23=C23,SUM(IF(($BR$30:$BR$38=C23)*($BS$29:$CA$29=V$21),$BS$30:$CA$38)),0)</f>
        <v>0</v>
      </c>
      <c r="BN58" s="4">
        <f t="array" aca="1" ref="BN58" ca="1">IF(V23=C23,SUM(IF(($BR$30:$BR$38=C23)*($BS$29:$CA$29=V$22),$BS$30:$CA$38)),0)</f>
        <v>0</v>
      </c>
      <c r="BO58" s="4">
        <f t="array" aca="1" ref="BO58" ca="1">IF(V23=C23,SUM(IF(($BR$30:$BR$38=C23)*($BS$29:$CA$29=V$24),$BS$30:$CA$38)),0)</f>
        <v>0</v>
      </c>
      <c r="BP58" s="16">
        <f t="array" aca="1" ref="BP58" ca="1">IF(V23=C23,SUM(IF(($BR$30:$BR$38=C23)*($BS$29:$CA$29=V$25),$BS$30:$CA$38)),0)</f>
        <v>0</v>
      </c>
      <c r="BQ58" s="4"/>
      <c r="BR58" s="2" t="str">
        <f t="shared" si="72"/>
        <v>SSV Wildbach</v>
      </c>
      <c r="BS58" s="9">
        <f t="shared" ca="1" si="75"/>
        <v>3</v>
      </c>
      <c r="BT58" s="9">
        <f t="shared" ca="1" si="76"/>
        <v>3</v>
      </c>
      <c r="BU58" s="9">
        <f t="shared" ca="1" si="77"/>
        <v>0</v>
      </c>
      <c r="BV58" s="9">
        <f ca="1">SUMIFS($AE$64:$AE$135,$V$64:$V$135,$BR58,$W$64:$W$135,BV$51)+SUMIFS($AF$64:$AF$135,$W$64:$W$135,$BR58,$V$64:$V$135,BV$51)</f>
        <v>0</v>
      </c>
      <c r="BW58" s="9">
        <f ca="1">SUMIFS($AE$64:$AE$135,$V$64:$V$135,$BR58,$W$64:$W$135,BW$51)+SUMIFS($AF$64:$AF$135,$W$64:$W$135,$BR58,$V$64:$V$135,BW$51)</f>
        <v>0</v>
      </c>
      <c r="BX58" s="9">
        <f ca="1">SUMIFS($AE$64:$AE$135,$V$64:$V$135,$BR58,$W$64:$W$135,BX$51)+SUMIFS($AF$64:$AF$135,$W$64:$W$135,$BR58,$V$64:$V$135,BX$51)</f>
        <v>0</v>
      </c>
      <c r="BY58" s="7"/>
      <c r="BZ58" s="8">
        <f t="shared" ca="1" si="74"/>
        <v>0</v>
      </c>
      <c r="CA58" s="8">
        <f t="shared" ca="1" si="74"/>
        <v>0</v>
      </c>
      <c r="CB58" s="4"/>
    </row>
    <row r="59" spans="2:80" s="2" customFormat="1" x14ac:dyDescent="0.2">
      <c r="E59" s="15">
        <f t="array" aca="1" ref="E59" ca="1">IF(O24=C24,SUM(IF(($BR$30:$BR$38=C24)*($BS$29:$CA$29=O$17),$BS$30:$CA$38)),0)</f>
        <v>0</v>
      </c>
      <c r="F59" s="4">
        <f t="array" aca="1" ref="F59" ca="1">IF(O24=C24,SUM(IF(($BR$30:$BR$38=C24)*($BS$29:$CA$29=O$18),$BS$30:$CA$38)),0)</f>
        <v>0</v>
      </c>
      <c r="G59" s="4">
        <f t="array" aca="1" ref="G59" ca="1">IF(O24=C24,SUM(IF(($BR$30:$BR$38=C24)*($BS$29:$CA$29=O$19),$BS$30:$CA$38)),0)</f>
        <v>0</v>
      </c>
      <c r="H59" s="4">
        <f t="array" aca="1" ref="H59" ca="1">IF(O24=C24,SUM(IF(($BR$30:$BR$38=C24)*($BS$29:$CA$29=O$20),$BS$30:$CA$38)),0)</f>
        <v>0</v>
      </c>
      <c r="I59" s="4">
        <f t="array" aca="1" ref="I59" ca="1">IF(O24=C24,SUM(IF(($BR$30:$BR$38=C24)*($BS$29:$CA$29=O$21),$BS$30:$CA$38)),0)</f>
        <v>0</v>
      </c>
      <c r="J59" s="4">
        <f t="array" aca="1" ref="J59" ca="1">IF(O24=C24,SUM(IF(($BR$30:$BR$38=C24)*($BS$29:$CA$29=O$22),$BS$30:$CA$38)),0)</f>
        <v>0</v>
      </c>
      <c r="K59" s="4">
        <f t="array" aca="1" ref="K59" ca="1">IF(O24=C24,SUM(IF(($BR$30:$BR$38=C24)*($BS$29:$CA$29=O$23),$BS$30:$CA$38)),0)</f>
        <v>0</v>
      </c>
      <c r="L59" s="4">
        <f t="array" aca="1" ref="L59" ca="1">IF(O24=C24,SUM(IF(($BR$30:$BR$38=C24)*($BS$29:$CA$29=O$25),$BS$30:$CA$38)),0)</f>
        <v>0</v>
      </c>
      <c r="M59" s="6">
        <f t="array" aca="1" ref="M59" ca="1">IF(P24=C24,SUM(IF(($BR$30:$BR$38=C24)*($BS$29:$CA$29=P$17),$BS$30:$CA$38)),0)</f>
        <v>0</v>
      </c>
      <c r="N59" s="4">
        <f t="array" aca="1" ref="N59" ca="1">IF(P24=C24,SUM(IF(($BR$30:$BR$38=C24)*($BS$29:$CA$29=P$18),$BS$30:$CA$38)),0)</f>
        <v>0</v>
      </c>
      <c r="O59" s="4">
        <f t="array" aca="1" ref="O59" ca="1">IF(P24=C24,SUM(IF(($BR$30:$BR$38=C24)*($BS$29:$CA$29=P$19),$BS$30:$CA$38)),0)</f>
        <v>0</v>
      </c>
      <c r="P59" s="4">
        <f t="array" aca="1" ref="P59" ca="1">IF(P24=C24,SUM(IF(($BR$30:$BR$38=C24)*($BS$29:$CA$29=P$20),$BS$30:$CA$38)),0)</f>
        <v>0</v>
      </c>
      <c r="Q59" s="4">
        <f t="array" aca="1" ref="Q59" ca="1">IF(P24=C24,SUM(IF(($BR$30:$BR$38=C24)*($BS$29:$CA$29=P$21),$BS$30:$CA$38)),0)</f>
        <v>0</v>
      </c>
      <c r="R59" s="4">
        <f t="array" aca="1" ref="R59" ca="1">IF(P24=C24,SUM(IF(($BR$30:$BR$38=C24)*($BS$29:$CA$29=P$22),$BS$30:$CA$38)),0)</f>
        <v>0</v>
      </c>
      <c r="S59" s="4">
        <f t="array" aca="1" ref="S59" ca="1">IF(P24=C24,SUM(IF(($BR$30:$BR$38=C24)*($BS$29:$CA$29=P$23),$BS$30:$CA$38)),0)</f>
        <v>0</v>
      </c>
      <c r="T59" s="4">
        <f t="array" aca="1" ref="T59" ca="1">IF(P24=C24,SUM(IF(($BR$30:$BR$38=C24)*($BS$29:$CA$29=P$25),$BS$30:$CA$38)),0)</f>
        <v>0</v>
      </c>
      <c r="U59" s="6">
        <f t="array" aca="1" ref="U59" ca="1">IF(Q24=C24,SUM(IF(($BR$30:$BR$38=C24)*($BS$29:$CA$29=Q$17),$BS$30:$CA$38)),0)</f>
        <v>0</v>
      </c>
      <c r="V59" s="4">
        <f t="array" aca="1" ref="V59" ca="1">IF(Q24=C24,SUM(IF(($BR$30:$BR$38=C24)*($BS$29:$CA$29=Q$18),$BS$30:$CA$38)),0)</f>
        <v>0</v>
      </c>
      <c r="W59" s="4">
        <f t="array" aca="1" ref="W59" ca="1">IF(Q24=C24,SUM(IF(($BR$30:$BR$38=C24)*($BS$29:$CA$29=Q$19),$BS$30:$CA$38)),0)</f>
        <v>0</v>
      </c>
      <c r="X59" s="4">
        <f t="array" aca="1" ref="X59" ca="1">IF(Q24=C24,SUM(IF(($BR$30:$BR$38=C24)*($BS$29:$CA$29=Q$20),$BS$30:$CA$38)),0)</f>
        <v>0</v>
      </c>
      <c r="Y59" s="4">
        <f t="array" aca="1" ref="Y59" ca="1">IF(Q24=C24,SUM(IF(($BR$30:$BR$38=C24)*($BS$29:$CA$29=Q$21),$BS$30:$CA$38)),0)</f>
        <v>0</v>
      </c>
      <c r="Z59" s="4">
        <f t="array" aca="1" ref="Z59" ca="1">IF(Q24=C24,SUM(IF(($BR$30:$BR$38=C24)*($BS$29:$CA$29=Q$22),$BS$30:$CA$38)),0)</f>
        <v>0</v>
      </c>
      <c r="AA59" s="4">
        <f t="array" aca="1" ref="AA59" ca="1">IF(Q24=C24,SUM(IF(($BR$30:$BR$38=C24)*($BS$29:$CA$29=Q$23),$BS$30:$CA$38)),0)</f>
        <v>0</v>
      </c>
      <c r="AB59" s="4">
        <f t="array" aca="1" ref="AB59" ca="1">IF(Q24=C24,SUM(IF(($BR$30:$BR$38=C24)*($BS$29:$CA$29=Q$25),$BS$30:$CA$38)),0)</f>
        <v>0</v>
      </c>
      <c r="AC59" s="6">
        <f t="array" aca="1" ref="AC59" ca="1">IF(R24=C24,SUM(IF(($BR$30:$BR$38=C24)*($BS$29:$CA$29=R$17),$BS$30:$CA$38)),0)</f>
        <v>0</v>
      </c>
      <c r="AD59" s="4">
        <f t="array" aca="1" ref="AD59" ca="1">IF(R24=C24,SUM(IF(($BR$30:$BR$38=C24)*($BS$29:$CA$29=R$18),$BS$30:$CA$38)),0)</f>
        <v>0</v>
      </c>
      <c r="AE59" s="4">
        <f t="array" aca="1" ref="AE59" ca="1">IF(R24=C24,SUM(IF(($BR$30:$BR$38=C24)*($BS$29:$CA$29=R$19),$BS$30:$CA$38)),0)</f>
        <v>0</v>
      </c>
      <c r="AF59" s="4">
        <f t="array" aca="1" ref="AF59" ca="1">IF(R24=C24,SUM(IF(($BR$30:$BR$38=C24)*($BS$29:$CA$29=R$20),$BS$30:$CA$38)),0)</f>
        <v>0</v>
      </c>
      <c r="AG59" s="4">
        <f t="array" aca="1" ref="AG59" ca="1">IF(R24=C24,SUM(IF(($BR$30:$BR$38=C24)*($BS$29:$CA$29=R$21),$BS$30:$CA$38)),0)</f>
        <v>0</v>
      </c>
      <c r="AH59" s="4">
        <f t="array" aca="1" ref="AH59" ca="1">IF(R24=C24,SUM(IF(($BR$30:$BR$38=C24)*($BS$29:$CA$29=R$22),$BS$30:$CA$38)),0)</f>
        <v>0</v>
      </c>
      <c r="AI59" s="4">
        <f t="array" aca="1" ref="AI59" ca="1">IF(R24=C24,SUM(IF(($BR$30:$BR$38=C24)*($BS$29:$CA$29=R$23),$BS$30:$CA$38)),0)</f>
        <v>0</v>
      </c>
      <c r="AJ59" s="4">
        <f t="array" aca="1" ref="AJ59" ca="1">IF(R24=C24,SUM(IF(($BR$30:$BR$38=C24)*($BS$29:$CA$29=R$25),$BS$30:$CA$38)),0)</f>
        <v>0</v>
      </c>
      <c r="AK59" s="6">
        <f t="array" aca="1" ref="AK59" ca="1">IF(S24=C24,SUM(IF(($BR$30:$BR$38=C24)*($BS$29:$CA$29=S$17),$BS$30:$CA$38)),0)</f>
        <v>0</v>
      </c>
      <c r="AL59" s="4">
        <f t="array" aca="1" ref="AL59" ca="1">IF(S24=C24,SUM(IF(($BR$30:$BR$38=C24)*($BS$29:$CA$29=S$18),$BS$30:$CA$38)),0)</f>
        <v>0</v>
      </c>
      <c r="AM59" s="4">
        <f t="array" aca="1" ref="AM59" ca="1">IF(S24=C24,SUM(IF(($BR$30:$BR$38=C24)*($BS$29:$CA$29=S$19),$BS$30:$CA$38)),0)</f>
        <v>0</v>
      </c>
      <c r="AN59" s="4">
        <f t="array" aca="1" ref="AN59" ca="1">IF(S24=C24,SUM(IF(($BR$30:$BR$38=C24)*($BS$29:$CA$29=S$20),$BS$30:$CA$38)),0)</f>
        <v>0</v>
      </c>
      <c r="AO59" s="4">
        <f t="array" aca="1" ref="AO59" ca="1">IF(S24=C24,SUM(IF(($BR$30:$BR$38=C24)*($BS$29:$CA$29=S$21),$BS$30:$CA$38)),0)</f>
        <v>0</v>
      </c>
      <c r="AP59" s="4">
        <f t="array" aca="1" ref="AP59" ca="1">IF(S24=C24,SUM(IF(($BR$30:$BR$38=C24)*($BS$29:$CA$29=S$22),$BS$30:$CA$38)),0)</f>
        <v>0</v>
      </c>
      <c r="AQ59" s="4">
        <f t="array" aca="1" ref="AQ59" ca="1">IF(S24=C24,SUM(IF(($BR$30:$BR$38=C24)*($BS$29:$CA$29=S$23),$BS$30:$CA$38)),0)</f>
        <v>0</v>
      </c>
      <c r="AR59" s="4">
        <f t="array" aca="1" ref="AR59" ca="1">IF(S24=C24,SUM(IF(($BR$30:$BR$38=C24)*($BS$29:$CA$29=S$25),$BS$30:$CA$38)),0)</f>
        <v>0</v>
      </c>
      <c r="AS59" s="6">
        <f t="array" aca="1" ref="AS59" ca="1">IF(T24=C24,SUM(IF(($BR$30:$BR$38=C24)*($BS$29:$CA$29=T$17),$BS$30:$CA$38)),0)</f>
        <v>0</v>
      </c>
      <c r="AT59" s="4">
        <f t="array" aca="1" ref="AT59" ca="1">IF(T24=C24,SUM(IF(($BR$30:$BR$38=C24)*($BS$29:$CA$29=T$18),$BS$30:$CA$38)),0)</f>
        <v>0</v>
      </c>
      <c r="AU59" s="4">
        <f t="array" aca="1" ref="AU59" ca="1">IF(T24=C24,SUM(IF(($BR$30:$BR$38=C24)*($BS$29:$CA$29=T$19),$BS$30:$CA$38)),0)</f>
        <v>0</v>
      </c>
      <c r="AV59" s="4">
        <f t="array" aca="1" ref="AV59" ca="1">IF(T24=C24,SUM(IF(($BR$30:$BR$38=C24)*($BS$29:$CA$29=T$20),$BS$30:$CA$38)),0)</f>
        <v>0</v>
      </c>
      <c r="AW59" s="4">
        <f t="array" aca="1" ref="AW59" ca="1">IF(T24=C24,SUM(IF(($BR$30:$BR$38=C24)*($BS$29:$CA$29=T$21),$BS$30:$CA$38)),0)</f>
        <v>0</v>
      </c>
      <c r="AX59" s="4">
        <f t="array" aca="1" ref="AX59" ca="1">IF(T24=C24,SUM(IF(($BR$30:$BR$38=C24)*($BS$29:$CA$29=T$22),$BS$30:$CA$38)),0)</f>
        <v>0</v>
      </c>
      <c r="AY59" s="4">
        <f t="array" aca="1" ref="AY59" ca="1">IF(T24=C24,SUM(IF(($BR$30:$BR$38=C24)*($BS$29:$CA$29=T$23),$BS$30:$CA$38)),0)</f>
        <v>0</v>
      </c>
      <c r="AZ59" s="4">
        <f t="array" aca="1" ref="AZ59" ca="1">IF(T24=C24,SUM(IF(($BR$30:$BR$38=C24)*($BS$29:$CA$29=T$25),$BS$30:$CA$38)),0)</f>
        <v>0</v>
      </c>
      <c r="BA59" s="6">
        <f t="array" aca="1" ref="BA59" ca="1">IF(U24=C24,SUM(IF(($BR$30:$BR$38=C24)*($BS$29:$CA$29=U$17),$BS$30:$CA$38)),0)</f>
        <v>0</v>
      </c>
      <c r="BB59" s="4">
        <f t="array" aca="1" ref="BB59" ca="1">IF(U24=C24,SUM(IF(($BR$30:$BR$38=C24)*($BS$29:$CA$29=U$18),$BS$30:$CA$38)),0)</f>
        <v>0</v>
      </c>
      <c r="BC59" s="4">
        <f t="array" aca="1" ref="BC59" ca="1">IF(U24=C24,SUM(IF(($BR$30:$BR$38=C24)*($BS$29:$CA$29=U$19),$BS$30:$CA$38)),0)</f>
        <v>0</v>
      </c>
      <c r="BD59" s="4">
        <f t="array" aca="1" ref="BD59" ca="1">IF(U24=C24,SUM(IF(($BR$30:$BR$38=C24)*($BS$29:$CA$29=U$20),$BS$30:$CA$38)),0)</f>
        <v>0</v>
      </c>
      <c r="BE59" s="4">
        <f t="array" aca="1" ref="BE59" ca="1">IF(U24=C24,SUM(IF(($BR$30:$BR$38=C24)*($BS$29:$CA$29=U$21),$BS$30:$CA$38)),0)</f>
        <v>0</v>
      </c>
      <c r="BF59" s="4">
        <f t="array" aca="1" ref="BF59" ca="1">IF(U24=C24,SUM(IF(($BR$30:$BR$38=C24)*($BS$29:$CA$29=U$22),$BS$30:$CA$38)),0)</f>
        <v>0</v>
      </c>
      <c r="BG59" s="4">
        <f t="array" aca="1" ref="BG59" ca="1">IF(U24=C24,SUM(IF(($BR$30:$BR$38=C24)*($BS$29:$CA$29=U$23),$BS$30:$CA$38)),0)</f>
        <v>0</v>
      </c>
      <c r="BH59" s="4">
        <f t="array" aca="1" ref="BH59" ca="1">IF(U24=C24,SUM(IF(($BR$30:$BR$38=C24)*($BS$29:$CA$29=U$25),$BS$30:$CA$38)),0)</f>
        <v>0</v>
      </c>
      <c r="BI59" s="6">
        <f t="array" aca="1" ref="BI59" ca="1">IF(V24=C24,SUM(IF(($BR$30:$BR$38=C24)*($BS$29:$CA$29=V$17),$BS$30:$CA$38)),0)</f>
        <v>0</v>
      </c>
      <c r="BJ59" s="4">
        <f t="array" aca="1" ref="BJ59" ca="1">IF(V24=C24,SUM(IF(($BR$30:$BR$38=C24)*($BS$29:$CA$29=V$18),$BS$30:$CA$38)),0)</f>
        <v>0</v>
      </c>
      <c r="BK59" s="4">
        <f t="array" aca="1" ref="BK59" ca="1">IF(V24=C24,SUM(IF(($BR$30:$BR$38=C24)*($BS$29:$CA$29=V$19),$BS$30:$CA$38)),0)</f>
        <v>0</v>
      </c>
      <c r="BL59" s="4">
        <f t="array" aca="1" ref="BL59" ca="1">IF(V24=C24,SUM(IF(($BR$30:$BR$38=C24)*($BS$29:$CA$29=V$20),$BS$30:$CA$38)),0)</f>
        <v>0</v>
      </c>
      <c r="BM59" s="4">
        <f t="array" aca="1" ref="BM59" ca="1">IF(V24=C24,SUM(IF(($BR$30:$BR$38=C24)*($BS$29:$CA$29=V$21),$BS$30:$CA$38)),0)</f>
        <v>0</v>
      </c>
      <c r="BN59" s="4">
        <f t="array" aca="1" ref="BN59" ca="1">IF(V24=C24,SUM(IF(($BR$30:$BR$38=C24)*($BS$29:$CA$29=V$22),$BS$30:$CA$38)),0)</f>
        <v>0</v>
      </c>
      <c r="BO59" s="4">
        <f t="array" aca="1" ref="BO59" ca="1">IF(V24=C24,SUM(IF(($BR$30:$BR$38=C24)*($BS$29:$CA$29=V$23),$BS$30:$CA$38)),0)</f>
        <v>0</v>
      </c>
      <c r="BP59" s="16">
        <f t="array" aca="1" ref="BP59" ca="1">IF(V24=C24,SUM(IF(($BR$30:$BR$38=C24)*($BS$29:$CA$29=V$25),$BS$30:$CA$38)),0)</f>
        <v>0</v>
      </c>
      <c r="BQ59" s="4"/>
      <c r="BR59" s="2" t="str">
        <f t="shared" si="72"/>
        <v/>
      </c>
      <c r="BS59" s="9">
        <f t="shared" ca="1" si="75"/>
        <v>0</v>
      </c>
      <c r="BT59" s="9">
        <f t="shared" ca="1" si="76"/>
        <v>0</v>
      </c>
      <c r="BU59" s="9">
        <f t="shared" ca="1" si="77"/>
        <v>0</v>
      </c>
      <c r="BV59" s="9">
        <f ca="1">SUMIFS($AE$64:$AE$135,$V$64:$V$135,$BR59,$W$64:$W$135,BV$51)+SUMIFS($AF$64:$AF$135,$W$64:$W$135,$BR59,$V$64:$V$135,BV$51)</f>
        <v>0</v>
      </c>
      <c r="BW59" s="9">
        <f ca="1">SUMIFS($AE$64:$AE$135,$V$64:$V$135,$BR59,$W$64:$W$135,BW$51)+SUMIFS($AF$64:$AF$135,$W$64:$W$135,$BR59,$V$64:$V$135,BW$51)</f>
        <v>0</v>
      </c>
      <c r="BX59" s="9">
        <f ca="1">SUMIFS($AE$64:$AE$135,$V$64:$V$135,$BR59,$W$64:$W$135,BX$51)+SUMIFS($AF$64:$AF$135,$W$64:$W$135,$BR59,$V$64:$V$135,BX$51)</f>
        <v>0</v>
      </c>
      <c r="BY59" s="9">
        <f ca="1">SUMIFS($AE$64:$AE$135,$V$64:$V$135,$BR59,$W$64:$W$135,BY$51)+SUMIFS($AF$64:$AF$135,$W$64:$W$135,$BR59,$V$64:$V$135,BY$51)</f>
        <v>0</v>
      </c>
      <c r="BZ59" s="7"/>
      <c r="CA59" s="8">
        <f ca="1">SUMIFS($AE$64:$AE$135,$V$64:$V$135,$BR59,$W$64:$W$135,CA$51)+SUMIFS($AF$64:$AF$135,$W$64:$W$135,$BR59,$V$64:$V$135,CA$51)</f>
        <v>0</v>
      </c>
      <c r="CB59" s="4"/>
    </row>
    <row r="60" spans="2:80" s="2" customFormat="1" ht="12.75" thickBot="1" x14ac:dyDescent="0.25">
      <c r="E60" s="17">
        <f t="array" aca="1" ref="E60" ca="1">IF(O25=C25,SUM(IF(($BR$30:$BR$38=C25)*($BS$29:$CA$29=O$17),$BS$30:$CA$38)),0)</f>
        <v>0</v>
      </c>
      <c r="F60" s="18">
        <f t="array" aca="1" ref="F60" ca="1">IF(O25=C25,SUM(IF(($BR$30:$BR$38=C25)*($BS$29:$CA$29=O$18),$BS$30:$CA$38)),0)</f>
        <v>0</v>
      </c>
      <c r="G60" s="18">
        <f t="array" aca="1" ref="G60" ca="1">IF(O25=C25,SUM(IF(($BR$30:$BR$38=C25)*($BS$29:$CA$29=O$19),$BS$30:$CA$38)),0)</f>
        <v>0</v>
      </c>
      <c r="H60" s="18">
        <f t="array" aca="1" ref="H60" ca="1">IF(O25=C25,SUM(IF(($BR$30:$BR$38=C25)*($BS$29:$CA$29=O$20),$BS$30:$CA$38)),0)</f>
        <v>0</v>
      </c>
      <c r="I60" s="18">
        <f t="array" aca="1" ref="I60" ca="1">IF(O25=C25,SUM(IF(($BR$30:$BR$38=C25)*($BS$29:$CA$29=O$21),$BS$30:$CA$38)),0)</f>
        <v>0</v>
      </c>
      <c r="J60" s="18">
        <f t="array" aca="1" ref="J60" ca="1">IF(O25=C25,SUM(IF(($BR$30:$BR$38=C25)*($BS$29:$CA$29=O$22),$BS$30:$CA$38)),0)</f>
        <v>0</v>
      </c>
      <c r="K60" s="18">
        <f t="array" aca="1" ref="K60" ca="1">IF(O25=C25,SUM(IF(($BR$30:$BR$38=C25)*($BS$29:$CA$29=O$23),$BS$30:$CA$38)),0)</f>
        <v>0</v>
      </c>
      <c r="L60" s="18">
        <f t="array" aca="1" ref="L60" ca="1">IF(O25=C25,SUM(IF(($BR$30:$BR$38=C25)*($BS$29:$CA$29=O$24),$BS$30:$CA$38)),0)</f>
        <v>0</v>
      </c>
      <c r="M60" s="19">
        <f t="array" aca="1" ref="M60" ca="1">IF(P25=C25,SUM(IF(($BR$30:$BR$38=C25)*($BS$29:$CA$29=P$17),$BS$30:$CA$38)),0)</f>
        <v>0</v>
      </c>
      <c r="N60" s="18">
        <f t="array" aca="1" ref="N60" ca="1">IF(P25=C25,SUM(IF(($BR$30:$BR$38=C25)*($BS$29:$CA$29=P$18),$BS$30:$CA$38)),0)</f>
        <v>0</v>
      </c>
      <c r="O60" s="18">
        <f t="array" aca="1" ref="O60" ca="1">IF(P25=C25,SUM(IF(($BR$30:$BR$38=C25)*($BS$29:$CA$29=P$19),$BS$30:$CA$38)),0)</f>
        <v>0</v>
      </c>
      <c r="P60" s="18">
        <f t="array" aca="1" ref="P60" ca="1">IF(P25=C25,SUM(IF(($BR$30:$BR$38=C25)*($BS$29:$CA$29=P$20),$BS$30:$CA$38)),0)</f>
        <v>0</v>
      </c>
      <c r="Q60" s="18">
        <f t="array" aca="1" ref="Q60" ca="1">IF(P25=C25,SUM(IF(($BR$30:$BR$38=C25)*($BS$29:$CA$29=P$21),$BS$30:$CA$38)),0)</f>
        <v>0</v>
      </c>
      <c r="R60" s="18">
        <f t="array" aca="1" ref="R60" ca="1">IF(P25=C25,SUM(IF(($BR$30:$BR$38=C25)*($BS$29:$CA$29=P$22),$BS$30:$CA$38)),0)</f>
        <v>0</v>
      </c>
      <c r="S60" s="18">
        <f t="array" aca="1" ref="S60" ca="1">IF(P25=C25,SUM(IF(($BR$30:$BR$38=C25)*($BS$29:$CA$29=P$23),$BS$30:$CA$38)),0)</f>
        <v>0</v>
      </c>
      <c r="T60" s="18">
        <f t="array" aca="1" ref="T60" ca="1">IF(P25=C25,SUM(IF(($BR$30:$BR$38=C25)*($BS$29:$CA$29=P$24),$BS$30:$CA$38)),0)</f>
        <v>0</v>
      </c>
      <c r="U60" s="19">
        <f t="array" aca="1" ref="U60" ca="1">IF(Q25=C25,SUM(IF(($BR$30:$BR$38=C25)*($BS$29:$CA$29=Q$17),$BS$30:$CA$38)),0)</f>
        <v>0</v>
      </c>
      <c r="V60" s="18">
        <f t="array" aca="1" ref="V60" ca="1">IF(Q25=C25,SUM(IF(($BR$30:$BR$38=C25)*($BS$29:$CA$29=Q$18),$BS$30:$CA$38)),0)</f>
        <v>0</v>
      </c>
      <c r="W60" s="18">
        <f t="array" aca="1" ref="W60" ca="1">IF(Q25=C25,SUM(IF(($BR$30:$BR$38=C25)*($BS$29:$CA$29=Q$19),$BS$30:$CA$38)),0)</f>
        <v>0</v>
      </c>
      <c r="X60" s="18">
        <f t="array" aca="1" ref="X60" ca="1">IF(Q25=C25,SUM(IF(($BR$30:$BR$38=C25)*($BS$29:$CA$29=Q$20),$BS$30:$CA$38)),0)</f>
        <v>0</v>
      </c>
      <c r="Y60" s="18">
        <f t="array" aca="1" ref="Y60" ca="1">IF(Q25=C25,SUM(IF(($BR$30:$BR$38=C25)*($BS$29:$CA$29=Q$21),$BS$30:$CA$38)),0)</f>
        <v>0</v>
      </c>
      <c r="Z60" s="18">
        <f t="array" aca="1" ref="Z60" ca="1">IF(Q25=C25,SUM(IF(($BR$30:$BR$38=C25)*($BS$29:$CA$29=Q$22),$BS$30:$CA$38)),0)</f>
        <v>0</v>
      </c>
      <c r="AA60" s="18">
        <f t="array" aca="1" ref="AA60" ca="1">IF(Q25=C25,SUM(IF(($BR$30:$BR$38=C25)*($BS$29:$CA$29=Q$23),$BS$30:$CA$38)),0)</f>
        <v>0</v>
      </c>
      <c r="AB60" s="18">
        <f t="array" aca="1" ref="AB60" ca="1">IF(Q25=C25,SUM(IF(($BR$30:$BR$38=C25)*($BS$29:$CA$29=Q$24),$BS$30:$CA$38)),0)</f>
        <v>0</v>
      </c>
      <c r="AC60" s="19">
        <f t="array" aca="1" ref="AC60" ca="1">IF(R25=C25,SUM(IF(($BR$30:$BR$38=C25)*($BS$29:$CA$29=R$17),$BS$30:$CA$38)),0)</f>
        <v>0</v>
      </c>
      <c r="AD60" s="18">
        <f t="array" aca="1" ref="AD60" ca="1">IF(R25=C25,SUM(IF(($BR$30:$BR$38=C25)*($BS$29:$CA$29=R$18),$BS$30:$CA$38)),0)</f>
        <v>0</v>
      </c>
      <c r="AE60" s="18">
        <f t="array" aca="1" ref="AE60" ca="1">IF(R25=C25,SUM(IF(($BR$30:$BR$38=C25)*($BS$29:$CA$29=R$19),$BS$30:$CA$38)),0)</f>
        <v>0</v>
      </c>
      <c r="AF60" s="18">
        <f t="array" aca="1" ref="AF60" ca="1">IF(R25=C25,SUM(IF(($BR$30:$BR$38=C25)*($BS$29:$CA$29=R$20),$BS$30:$CA$38)),0)</f>
        <v>0</v>
      </c>
      <c r="AG60" s="18">
        <f t="array" aca="1" ref="AG60" ca="1">IF(R25=C25,SUM(IF(($BR$30:$BR$38=C25)*($BS$29:$CA$29=R$21),$BS$30:$CA$38)),0)</f>
        <v>0</v>
      </c>
      <c r="AH60" s="18">
        <f t="array" aca="1" ref="AH60" ca="1">IF(R25=C25,SUM(IF(($BR$30:$BR$38=C25)*($BS$29:$CA$29=R$22),$BS$30:$CA$38)),0)</f>
        <v>0</v>
      </c>
      <c r="AI60" s="18">
        <f t="array" aca="1" ref="AI60" ca="1">IF(R25=C25,SUM(IF(($BR$30:$BR$38=C25)*($BS$29:$CA$29=R$23),$BS$30:$CA$38)),0)</f>
        <v>0</v>
      </c>
      <c r="AJ60" s="18">
        <f t="array" aca="1" ref="AJ60" ca="1">IF(R25=C25,SUM(IF(($BR$30:$BR$38=C25)*($BS$29:$CA$29=R$24),$BS$30:$CA$38)),0)</f>
        <v>0</v>
      </c>
      <c r="AK60" s="19">
        <f t="array" aca="1" ref="AK60" ca="1">IF(S25=C25,SUM(IF(($BR$30:$BR$38=C25)*($BS$29:$CA$29=S$17),$BS$30:$CA$38)),0)</f>
        <v>0</v>
      </c>
      <c r="AL60" s="18">
        <f t="array" aca="1" ref="AL60" ca="1">IF(S25=C25,SUM(IF(($BR$30:$BR$38=C25)*($BS$29:$CA$29=S$18),$BS$30:$CA$38)),0)</f>
        <v>0</v>
      </c>
      <c r="AM60" s="18">
        <f t="array" aca="1" ref="AM60" ca="1">IF(S25=C25,SUM(IF(($BR$30:$BR$38=C25)*($BS$29:$CA$29=S$19),$BS$30:$CA$38)),0)</f>
        <v>0</v>
      </c>
      <c r="AN60" s="18">
        <f t="array" aca="1" ref="AN60" ca="1">IF(S25=C25,SUM(IF(($BR$30:$BR$38=C25)*($BS$29:$CA$29=S$20),$BS$30:$CA$38)),0)</f>
        <v>0</v>
      </c>
      <c r="AO60" s="18">
        <f t="array" aca="1" ref="AO60" ca="1">IF(S25=C25,SUM(IF(($BR$30:$BR$38=C25)*($BS$29:$CA$29=S$21),$BS$30:$CA$38)),0)</f>
        <v>0</v>
      </c>
      <c r="AP60" s="18">
        <f t="array" aca="1" ref="AP60" ca="1">IF(S25=C25,SUM(IF(($BR$30:$BR$38=C25)*($BS$29:$CA$29=S$22),$BS$30:$CA$38)),0)</f>
        <v>0</v>
      </c>
      <c r="AQ60" s="18">
        <f t="array" aca="1" ref="AQ60" ca="1">IF(S25=C25,SUM(IF(($BR$30:$BR$38=C25)*($BS$29:$CA$29=S$23),$BS$30:$CA$38)),0)</f>
        <v>0</v>
      </c>
      <c r="AR60" s="18">
        <f t="array" aca="1" ref="AR60" ca="1">IF(S25=C25,SUM(IF(($BR$30:$BR$38=C25)*($BS$29:$CA$29=S$24),$BS$30:$CA$38)),0)</f>
        <v>0</v>
      </c>
      <c r="AS60" s="19">
        <f t="array" aca="1" ref="AS60" ca="1">IF(T25=C25,SUM(IF(($BR$30:$BR$38=C25)*($BS$29:$CA$29=T$17),$BS$30:$CA$38)),0)</f>
        <v>0</v>
      </c>
      <c r="AT60" s="18">
        <f t="array" aca="1" ref="AT60" ca="1">IF(T25=C25,SUM(IF(($BR$30:$BR$38=C25)*($BS$29:$CA$29=T$18),$BS$30:$CA$38)),0)</f>
        <v>0</v>
      </c>
      <c r="AU60" s="18">
        <f t="array" aca="1" ref="AU60" ca="1">IF(T25=C25,SUM(IF(($BR$30:$BR$38=C25)*($BS$29:$CA$29=T$19),$BS$30:$CA$38)),0)</f>
        <v>0</v>
      </c>
      <c r="AV60" s="18">
        <f t="array" aca="1" ref="AV60" ca="1">IF(T25=C25,SUM(IF(($BR$30:$BR$38=C25)*($BS$29:$CA$29=T$20),$BS$30:$CA$38)),0)</f>
        <v>0</v>
      </c>
      <c r="AW60" s="18">
        <f t="array" aca="1" ref="AW60" ca="1">IF(T25=C25,SUM(IF(($BR$30:$BR$38=C25)*($BS$29:$CA$29=T$21),$BS$30:$CA$38)),0)</f>
        <v>0</v>
      </c>
      <c r="AX60" s="18">
        <f t="array" aca="1" ref="AX60" ca="1">IF(T25=C25,SUM(IF(($BR$30:$BR$38=C25)*($BS$29:$CA$29=T$22),$BS$30:$CA$38)),0)</f>
        <v>0</v>
      </c>
      <c r="AY60" s="18">
        <f t="array" aca="1" ref="AY60" ca="1">IF(T25=C25,SUM(IF(($BR$30:$BR$38=C25)*($BS$29:$CA$29=T$23),$BS$30:$CA$38)),0)</f>
        <v>0</v>
      </c>
      <c r="AZ60" s="18">
        <f t="array" aca="1" ref="AZ60" ca="1">IF(T25=C25,SUM(IF(($BR$30:$BR$38=C25)*($BS$29:$CA$29=T$24),$BS$30:$CA$38)),0)</f>
        <v>0</v>
      </c>
      <c r="BA60" s="19">
        <f t="array" aca="1" ref="BA60" ca="1">IF(U25=C25,SUM(IF(($BR$30:$BR$38=C25)*($BS$29:$CA$29=U$17),$BS$30:$CA$38)),0)</f>
        <v>0</v>
      </c>
      <c r="BB60" s="18">
        <f t="array" aca="1" ref="BB60" ca="1">IF(U25=C25,SUM(IF(($BR$30:$BR$38=C25)*($BS$29:$CA$29=U$18),$BS$30:$CA$38)),0)</f>
        <v>0</v>
      </c>
      <c r="BC60" s="18">
        <f t="array" aca="1" ref="BC60" ca="1">IF(U25=C25,SUM(IF(($BR$30:$BR$38=C25)*($BS$29:$CA$29=U$19),$BS$30:$CA$38)),0)</f>
        <v>0</v>
      </c>
      <c r="BD60" s="18">
        <f t="array" aca="1" ref="BD60" ca="1">IF(U25=C25,SUM(IF(($BR$30:$BR$38=C25)*($BS$29:$CA$29=U$20),$BS$30:$CA$38)),0)</f>
        <v>0</v>
      </c>
      <c r="BE60" s="18">
        <f t="array" aca="1" ref="BE60" ca="1">IF(U25=C25,SUM(IF(($BR$30:$BR$38=C25)*($BS$29:$CA$29=U$21),$BS$30:$CA$38)),0)</f>
        <v>0</v>
      </c>
      <c r="BF60" s="18">
        <f t="array" aca="1" ref="BF60" ca="1">IF(U25=C25,SUM(IF(($BR$30:$BR$38=C25)*($BS$29:$CA$29=U$22),$BS$30:$CA$38)),0)</f>
        <v>0</v>
      </c>
      <c r="BG60" s="18">
        <f t="array" aca="1" ref="BG60" ca="1">IF(U25=C25,SUM(IF(($BR$30:$BR$38=C25)*($BS$29:$CA$29=U$23),$BS$30:$CA$38)),0)</f>
        <v>0</v>
      </c>
      <c r="BH60" s="18">
        <f t="array" aca="1" ref="BH60" ca="1">IF(U25=C25,SUM(IF(($BR$30:$BR$38=C25)*($BS$29:$CA$29=U$24),$BS$30:$CA$38)),0)</f>
        <v>0</v>
      </c>
      <c r="BI60" s="19">
        <f t="array" aca="1" ref="BI60" ca="1">IF(V25=C25,SUM(IF(($BR$30:$BR$38=C25)*($BS$29:$CA$29=V$17),$BS$30:$CA$38)),0)</f>
        <v>0</v>
      </c>
      <c r="BJ60" s="18">
        <f t="array" aca="1" ref="BJ60" ca="1">IF(V25=C25,SUM(IF(($BR$30:$BR$38=C25)*($BS$29:$CA$29=V$18),$BS$30:$CA$38)),0)</f>
        <v>0</v>
      </c>
      <c r="BK60" s="18">
        <f t="array" aca="1" ref="BK60" ca="1">IF(V25=C25,SUM(IF(($BR$30:$BR$38=C25)*($BS$29:$CA$29=V$19),$BS$30:$CA$38)),0)</f>
        <v>0</v>
      </c>
      <c r="BL60" s="18">
        <f t="array" aca="1" ref="BL60" ca="1">IF(V25=C25,SUM(IF(($BR$30:$BR$38=C25)*($BS$29:$CA$29=V$20),$BS$30:$CA$38)),0)</f>
        <v>0</v>
      </c>
      <c r="BM60" s="18">
        <f t="array" aca="1" ref="BM60" ca="1">IF(V25=C25,SUM(IF(($BR$30:$BR$38=C25)*($BS$29:$CA$29=V$21),$BS$30:$CA$38)),0)</f>
        <v>0</v>
      </c>
      <c r="BN60" s="18">
        <f t="array" aca="1" ref="BN60" ca="1">IF(V25=C25,SUM(IF(($BR$30:$BR$38=C25)*($BS$29:$CA$29=V$22),$BS$30:$CA$38)),0)</f>
        <v>0</v>
      </c>
      <c r="BO60" s="18">
        <f t="array" aca="1" ref="BO60" ca="1">IF(V25=C25,SUM(IF(($BR$30:$BR$38=C25)*($BS$29:$CA$29=V$23),$BS$30:$CA$38)),0)</f>
        <v>0</v>
      </c>
      <c r="BP60" s="20">
        <f t="array" aca="1" ref="BP60" ca="1">IF(V25=C25,SUM(IF(($BR$30:$BR$38=C25)*($BS$29:$CA$29=V$24),$BS$30:$CA$38)),0)</f>
        <v>0</v>
      </c>
      <c r="BQ60" s="4"/>
      <c r="BR60" s="2" t="str">
        <f t="shared" si="72"/>
        <v/>
      </c>
      <c r="BS60" s="9">
        <f t="shared" ca="1" si="75"/>
        <v>0</v>
      </c>
      <c r="BT60" s="9">
        <f t="shared" ca="1" si="76"/>
        <v>0</v>
      </c>
      <c r="BU60" s="9">
        <f t="shared" ca="1" si="77"/>
        <v>0</v>
      </c>
      <c r="BV60" s="9">
        <f ca="1">SUMIFS($AE$64:$AE$135,$V$64:$V$135,$BR60,$W$64:$W$135,BV$51)+SUMIFS($AF$64:$AF$135,$W$64:$W$135,$BR60,$V$64:$V$135,BV$51)</f>
        <v>0</v>
      </c>
      <c r="BW60" s="9">
        <f ca="1">SUMIFS($AE$64:$AE$135,$V$64:$V$135,$BR60,$W$64:$W$135,BW$51)+SUMIFS($AF$64:$AF$135,$W$64:$W$135,$BR60,$V$64:$V$135,BW$51)</f>
        <v>0</v>
      </c>
      <c r="BX60" s="9">
        <f ca="1">SUMIFS($AE$64:$AE$135,$V$64:$V$135,$BR60,$W$64:$W$135,BX$51)+SUMIFS($AF$64:$AF$135,$W$64:$W$135,$BR60,$V$64:$V$135,BX$51)</f>
        <v>0</v>
      </c>
      <c r="BY60" s="9">
        <f ca="1">SUMIFS($AE$64:$AE$135,$V$64:$V$135,$BR60,$W$64:$W$135,BY$51)+SUMIFS($AF$64:$AF$135,$W$64:$W$135,$BR60,$V$64:$V$135,BY$51)</f>
        <v>0</v>
      </c>
      <c r="BZ60" s="9">
        <f ca="1">SUMIFS($AE$64:$AE$135,$V$64:$V$135,$BR60,$W$64:$W$135,BZ$51)+SUMIFS($AF$64:$AF$135,$W$64:$W$135,$BR60,$V$64:$V$135,BZ$51)</f>
        <v>0</v>
      </c>
      <c r="CA60" s="7"/>
      <c r="CB60" s="4"/>
    </row>
    <row r="61" spans="2:80" s="2" customFormat="1" ht="12.75" thickTop="1" x14ac:dyDescent="0.2"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2:80" s="2" customFormat="1" x14ac:dyDescent="0.2"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2:80" s="2" customFormat="1" ht="12.75" thickBot="1" x14ac:dyDescent="0.25">
      <c r="F63" s="256" t="s">
        <v>205</v>
      </c>
      <c r="Z63" s="184" t="s">
        <v>181</v>
      </c>
      <c r="AA63" s="184" t="s">
        <v>16</v>
      </c>
      <c r="AB63" s="184" t="s">
        <v>175</v>
      </c>
      <c r="AC63" s="185" t="s">
        <v>182</v>
      </c>
      <c r="AD63" s="184" t="s">
        <v>176</v>
      </c>
      <c r="AE63" s="564" t="s">
        <v>115</v>
      </c>
      <c r="AF63" s="56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2:80" s="2" customFormat="1" ht="14.25" thickTop="1" thickBot="1" x14ac:dyDescent="0.25">
      <c r="F64" s="257">
        <v>1000000</v>
      </c>
      <c r="G64" s="258" t="s">
        <v>115</v>
      </c>
      <c r="P64" s="46" t="s">
        <v>7</v>
      </c>
      <c r="Q64" s="66" t="str">
        <f>IF(Planning!$C$8="","",Planning!$C$8)</f>
        <v>1. FC Riedwald</v>
      </c>
      <c r="U64" s="73" t="s">
        <v>7</v>
      </c>
      <c r="V64" s="40" t="str">
        <f ca="1">Planning!$N7</f>
        <v>SSV Wildbach</v>
      </c>
      <c r="W64" s="33" t="str">
        <f ca="1">Planning!$P7</f>
        <v>FC Barcelona</v>
      </c>
      <c r="X64" s="33">
        <f ca="1">IF(AND(Results!$H10&lt;&gt;"",Results!$J10&lt;&gt;"",Results!$E10&lt;&gt;Results!$G10,$V64&lt;&gt;"",$W64&lt;&gt;""),Results!$H10,"")</f>
        <v>2</v>
      </c>
      <c r="Y64" s="34">
        <f ca="1">IF(AND(Results!$H10&lt;&gt;"",Results!$J10&lt;&gt;"",Results!$E10&lt;&gt;Results!$G10,$V64&lt;&gt;"",$W64&lt;&gt;""),Results!$J10,"")</f>
        <v>0</v>
      </c>
      <c r="Z64" s="32" t="str">
        <f ca="1">IF(Planning!$F7=0,V64&amp;W64,"")</f>
        <v>SSV WildbachFC Barcelona</v>
      </c>
      <c r="AA64" s="33">
        <f ca="1">IF(AND(V64&lt;&gt;"",W64&lt;&gt;"",V64&lt;&gt;W64,X64&lt;&gt;"",Y64&lt;&gt;""),1,0)</f>
        <v>1</v>
      </c>
      <c r="AB64" s="163" t="str">
        <f ca="1">IF(AND(AA64&gt;0,Planning!$F7=0),X64&amp;Language!$E$66&amp;Y64,"")</f>
        <v>2 - 0</v>
      </c>
      <c r="AC64" s="2" t="str">
        <f ca="1">IF(Planning!$F7=1,V64&amp;W64,"")</f>
        <v/>
      </c>
      <c r="AD64" s="164" t="str">
        <f ca="1">IF(AND(AA64&gt;0,Planning!$F7=1),X64&amp;Language!$E$66&amp;Y64,"")</f>
        <v/>
      </c>
      <c r="AE64" s="169">
        <f ca="1">IF($AA64=0,"",IF($X64&gt;$Y64,Settings!$C$4,IF($X64=$Y64,1,0)))</f>
        <v>3</v>
      </c>
      <c r="AF64" s="164">
        <f ca="1">IF($AA64=0,"",IF($X64&lt;$Y64,Settings!$C$4,IF($X64=$Y64,1,0)))</f>
        <v>0</v>
      </c>
      <c r="AG64" s="4"/>
      <c r="AH64" s="43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2:43" s="2" customFormat="1" ht="13.5" thickBot="1" x14ac:dyDescent="0.25">
      <c r="F65" s="259">
        <v>1000</v>
      </c>
      <c r="G65" s="260" t="s">
        <v>114</v>
      </c>
      <c r="H65" s="264">
        <v>500</v>
      </c>
      <c r="I65" s="263" t="s">
        <v>276</v>
      </c>
      <c r="P65" s="47" t="s">
        <v>8</v>
      </c>
      <c r="Q65" s="67" t="str">
        <f>IF(Planning!$C$10="","",Planning!$C$10)</f>
        <v>FC Barcelona</v>
      </c>
      <c r="U65" s="74" t="s">
        <v>8</v>
      </c>
      <c r="V65" s="41" t="str">
        <f ca="1">Planning!$N8</f>
        <v>Eintracht Frankfurt</v>
      </c>
      <c r="W65" s="13" t="str">
        <f ca="1">Planning!$P8</f>
        <v>Inter Mailand</v>
      </c>
      <c r="X65" s="13">
        <f ca="1">IF(AND(Results!$H11&lt;&gt;"",Results!$J11&lt;&gt;"",Results!$E11&lt;&gt;Results!$G11,$V65&lt;&gt;"",$W65&lt;&gt;""),Results!$H11,"")</f>
        <v>3</v>
      </c>
      <c r="Y65" s="36">
        <f ca="1">IF(AND(Results!$H11&lt;&gt;"",Results!$J11&lt;&gt;"",Results!$E11&lt;&gt;Results!$G11,$V65&lt;&gt;"",$W65&lt;&gt;""),Results!$J11,"")</f>
        <v>2</v>
      </c>
      <c r="Z65" s="35" t="str">
        <f ca="1">IF(Planning!$F8=0,V65&amp;W65,"")</f>
        <v>Eintracht FrankfurtInter Mailand</v>
      </c>
      <c r="AA65" s="13">
        <f t="shared" ref="AA65:AA99" ca="1" si="78">IF(AND(V65&lt;&gt;"",W65&lt;&gt;"",V65&lt;&gt;W65,X65&lt;&gt;"",Y65&lt;&gt;""),1,0)</f>
        <v>1</v>
      </c>
      <c r="AB65" s="13" t="str">
        <f ca="1">IF(AND(AA65&gt;0,Planning!$F8=0),X65&amp;Language!$E$66&amp;Y65,"")</f>
        <v>3 - 2</v>
      </c>
      <c r="AC65" s="2" t="str">
        <f ca="1">IF(Planning!$F8=1,V65&amp;W65,"")</f>
        <v/>
      </c>
      <c r="AD65" s="165" t="str">
        <f ca="1">IF(AND(AA65&gt;0,Planning!$F8=1),X65&amp;Language!$E$66&amp;Y65,"")</f>
        <v/>
      </c>
      <c r="AE65" s="170">
        <f ca="1">IF($AA65=0,"",IF($X65&gt;$Y65,Settings!$C$4,IF($X65=$Y65,1,0)))</f>
        <v>3</v>
      </c>
      <c r="AF65" s="165">
        <f ca="1">IF($AA65=0,"",IF($X65&lt;$Y65,Settings!$C$4,IF($X65=$Y65,1,0)))</f>
        <v>0</v>
      </c>
      <c r="AH65" s="4"/>
      <c r="AI65" s="13"/>
      <c r="AJ65" s="13"/>
      <c r="AK65" s="13"/>
      <c r="AL65" s="13"/>
      <c r="AM65" s="13"/>
      <c r="AN65" s="13"/>
      <c r="AO65" s="13"/>
      <c r="AP65" s="13"/>
      <c r="AQ65" s="13"/>
    </row>
    <row r="66" spans="2:43" s="2" customFormat="1" ht="13.5" thickBot="1" x14ac:dyDescent="0.25">
      <c r="F66" s="261">
        <v>1</v>
      </c>
      <c r="G66" s="262" t="s">
        <v>112</v>
      </c>
      <c r="P66" s="47" t="s">
        <v>9</v>
      </c>
      <c r="Q66" s="67" t="str">
        <f>IF(Planning!$C$12="","",Planning!$C$12)</f>
        <v>Eintracht Frankfurt</v>
      </c>
      <c r="U66" s="74" t="s">
        <v>9</v>
      </c>
      <c r="V66" s="41" t="str">
        <f ca="1">Planning!$N9</f>
        <v>VFB Essenheim</v>
      </c>
      <c r="W66" s="13" t="str">
        <f ca="1">Planning!$P9</f>
        <v>Maibach 1822 eV</v>
      </c>
      <c r="X66" s="13">
        <f ca="1">IF(AND(Results!$H12&lt;&gt;"",Results!$J12&lt;&gt;"",Results!$E12&lt;&gt;Results!$G12,$V66&lt;&gt;"",$W66&lt;&gt;""),Results!$H12,"")</f>
        <v>0</v>
      </c>
      <c r="Y66" s="36">
        <f ca="1">IF(AND(Results!$H12&lt;&gt;"",Results!$J12&lt;&gt;"",Results!$E12&lt;&gt;Results!$G12,$V66&lt;&gt;"",$W66&lt;&gt;""),Results!$J12,"")</f>
        <v>0</v>
      </c>
      <c r="Z66" s="35" t="str">
        <f ca="1">IF(Planning!$F9=0,V66&amp;W66,"")</f>
        <v>VFB EssenheimMaibach 1822 eV</v>
      </c>
      <c r="AA66" s="13">
        <f t="shared" ca="1" si="78"/>
        <v>1</v>
      </c>
      <c r="AB66" s="13" t="str">
        <f ca="1">IF(AND(AA66&gt;0,Planning!$F9=0),X66&amp;Language!$E$66&amp;Y66,"")</f>
        <v>0 - 0</v>
      </c>
      <c r="AC66" s="2" t="str">
        <f ca="1">IF(Planning!$F9=1,V66&amp;W66,"")</f>
        <v/>
      </c>
      <c r="AD66" s="165" t="str">
        <f ca="1">IF(AND(AA66&gt;0,Planning!$F9=1),X66&amp;Language!$E$66&amp;Y66,"")</f>
        <v/>
      </c>
      <c r="AE66" s="170">
        <f ca="1">IF($AA66=0,"",IF($X66&gt;$Y66,Settings!$C$4,IF($X66=$Y66,1,0)))</f>
        <v>1</v>
      </c>
      <c r="AF66" s="165">
        <f ca="1">IF($AA66=0,"",IF($X66&lt;$Y66,Settings!$C$4,IF($X66=$Y66,1,0)))</f>
        <v>1</v>
      </c>
      <c r="AH66" s="4"/>
      <c r="AI66" s="13"/>
      <c r="AJ66" s="4"/>
      <c r="AK66" s="13"/>
      <c r="AL66" s="13"/>
      <c r="AM66" s="13"/>
      <c r="AN66" s="13"/>
      <c r="AO66" s="13"/>
      <c r="AP66" s="13"/>
      <c r="AQ66" s="13"/>
    </row>
    <row r="67" spans="2:43" s="2" customFormat="1" x14ac:dyDescent="0.2">
      <c r="P67" s="47" t="s">
        <v>10</v>
      </c>
      <c r="Q67" s="67" t="str">
        <f>IF(Planning!$C$14="","",Planning!$C$14)</f>
        <v>Maibach 1822 eV</v>
      </c>
      <c r="U67" s="74" t="s">
        <v>10</v>
      </c>
      <c r="V67" s="41" t="str">
        <f ca="1">Planning!$N10</f>
        <v>SSV Wildbach</v>
      </c>
      <c r="W67" s="13" t="str">
        <f ca="1">Planning!$P10</f>
        <v>1. FC Riedwald</v>
      </c>
      <c r="X67" s="13">
        <f ca="1">IF(AND(Results!$H13&lt;&gt;"",Results!$J13&lt;&gt;"",Results!$E13&lt;&gt;Results!$G13,$V67&lt;&gt;"",$W67&lt;&gt;""),Results!$H13,"")</f>
        <v>3</v>
      </c>
      <c r="Y67" s="36">
        <f ca="1">IF(AND(Results!$H13&lt;&gt;"",Results!$J13&lt;&gt;"",Results!$E13&lt;&gt;Results!$G13,$V67&lt;&gt;"",$W67&lt;&gt;""),Results!$J13,"")</f>
        <v>2</v>
      </c>
      <c r="Z67" s="35" t="str">
        <f ca="1">IF(Planning!$F10=0,V67&amp;W67,"")</f>
        <v>SSV Wildbach1. FC Riedwald</v>
      </c>
      <c r="AA67" s="13">
        <f t="shared" ca="1" si="78"/>
        <v>1</v>
      </c>
      <c r="AB67" s="13" t="str">
        <f ca="1">IF(AND(AA67&gt;0,Planning!$F10=0),X67&amp;Language!$E$66&amp;Y67,"")</f>
        <v>3 - 2</v>
      </c>
      <c r="AC67" s="2" t="str">
        <f ca="1">IF(Planning!$F10=1,V67&amp;W67,"")</f>
        <v/>
      </c>
      <c r="AD67" s="165" t="str">
        <f ca="1">IF(AND(AA67&gt;0,Planning!$F10=1),X67&amp;Language!$E$66&amp;Y67,"")</f>
        <v/>
      </c>
      <c r="AE67" s="170">
        <f ca="1">IF($AA67=0,"",IF($X67&gt;$Y67,Settings!$C$4,IF($X67=$Y67,1,0)))</f>
        <v>3</v>
      </c>
      <c r="AF67" s="165">
        <f ca="1">IF($AA67=0,"",IF($X67&lt;$Y67,Settings!$C$4,IF($X67=$Y67,1,0)))</f>
        <v>0</v>
      </c>
      <c r="AH67" s="4"/>
      <c r="AI67" s="13"/>
      <c r="AJ67" s="13"/>
      <c r="AK67" s="4"/>
      <c r="AL67" s="13"/>
      <c r="AM67" s="13"/>
      <c r="AN67" s="13"/>
      <c r="AO67" s="13"/>
      <c r="AP67" s="13"/>
      <c r="AQ67" s="13"/>
    </row>
    <row r="68" spans="2:43" s="2" customFormat="1" x14ac:dyDescent="0.2">
      <c r="P68" s="47" t="s">
        <v>11</v>
      </c>
      <c r="Q68" s="67" t="str">
        <f>IF(Planning!$C$16="","",Planning!$C$16)</f>
        <v>VFB Essenheim</v>
      </c>
      <c r="U68" s="74" t="s">
        <v>11</v>
      </c>
      <c r="V68" s="41" t="str">
        <f ca="1">Planning!$N11</f>
        <v>FC Barcelona</v>
      </c>
      <c r="W68" s="13" t="str">
        <f ca="1">Planning!$P11</f>
        <v>VFB Essenheim</v>
      </c>
      <c r="X68" s="13">
        <f ca="1">IF(AND(Results!$H14&lt;&gt;"",Results!$J14&lt;&gt;"",Results!$E14&lt;&gt;Results!$G14,$V68&lt;&gt;"",$W68&lt;&gt;""),Results!$H14,"")</f>
        <v>2</v>
      </c>
      <c r="Y68" s="36">
        <f ca="1">IF(AND(Results!$H14&lt;&gt;"",Results!$J14&lt;&gt;"",Results!$E14&lt;&gt;Results!$G14,$V68&lt;&gt;"",$W68&lt;&gt;""),Results!$J14,"")</f>
        <v>2</v>
      </c>
      <c r="Z68" s="35" t="str">
        <f ca="1">IF(Planning!$F11=0,V68&amp;W68,"")</f>
        <v>FC BarcelonaVFB Essenheim</v>
      </c>
      <c r="AA68" s="13">
        <f t="shared" ca="1" si="78"/>
        <v>1</v>
      </c>
      <c r="AB68" s="13" t="str">
        <f ca="1">IF(AND(AA68&gt;0,Planning!$F11=0),X68&amp;Language!$E$66&amp;Y68,"")</f>
        <v>2 - 2</v>
      </c>
      <c r="AC68" s="2" t="str">
        <f ca="1">IF(Planning!$F11=1,V68&amp;W68,"")</f>
        <v/>
      </c>
      <c r="AD68" s="165" t="str">
        <f ca="1">IF(AND(AA68&gt;0,Planning!$F11=1),X68&amp;Language!$E$66&amp;Y68,"")</f>
        <v/>
      </c>
      <c r="AE68" s="170">
        <f ca="1">IF($AA68=0,"",IF($X68&gt;$Y68,Settings!$C$4,IF($X68=$Y68,1,0)))</f>
        <v>1</v>
      </c>
      <c r="AF68" s="165">
        <f ca="1">IF($AA68=0,"",IF($X68&lt;$Y68,Settings!$C$4,IF($X68=$Y68,1,0)))</f>
        <v>1</v>
      </c>
      <c r="AH68" s="4"/>
      <c r="AI68" s="13"/>
      <c r="AJ68" s="13"/>
      <c r="AK68" s="13"/>
      <c r="AL68" s="4"/>
      <c r="AM68" s="13"/>
      <c r="AN68" s="13"/>
      <c r="AO68" s="13"/>
      <c r="AP68" s="13"/>
      <c r="AQ68" s="13"/>
    </row>
    <row r="69" spans="2:43" s="2" customFormat="1" x14ac:dyDescent="0.2">
      <c r="P69" s="47" t="s">
        <v>12</v>
      </c>
      <c r="Q69" s="67" t="str">
        <f>IF(Planning!$C$18="","",Planning!$C$18)</f>
        <v>Inter Mailand</v>
      </c>
      <c r="U69" s="74" t="s">
        <v>12</v>
      </c>
      <c r="V69" s="41" t="str">
        <f ca="1">Planning!$N12</f>
        <v>Maibach 1822 eV</v>
      </c>
      <c r="W69" s="13" t="str">
        <f ca="1">Planning!$P12</f>
        <v>Eintracht Frankfurt</v>
      </c>
      <c r="X69" s="13">
        <f ca="1">IF(AND(Results!$H15&lt;&gt;"",Results!$J15&lt;&gt;"",Results!$E15&lt;&gt;Results!$G15,$V69&lt;&gt;"",$W69&lt;&gt;""),Results!$H15,"")</f>
        <v>2</v>
      </c>
      <c r="Y69" s="36">
        <f ca="1">IF(AND(Results!$H15&lt;&gt;"",Results!$J15&lt;&gt;"",Results!$E15&lt;&gt;Results!$G15,$V69&lt;&gt;"",$W69&lt;&gt;""),Results!$J15,"")</f>
        <v>1</v>
      </c>
      <c r="Z69" s="35" t="str">
        <f ca="1">IF(Planning!$F12=0,V69&amp;W69,"")</f>
        <v>Maibach 1822 eVEintracht Frankfurt</v>
      </c>
      <c r="AA69" s="13">
        <f t="shared" ca="1" si="78"/>
        <v>1</v>
      </c>
      <c r="AB69" s="13" t="str">
        <f ca="1">IF(AND(AA69&gt;0,Planning!$F12=0),X69&amp;Language!$E$66&amp;Y69,"")</f>
        <v>2 - 1</v>
      </c>
      <c r="AC69" s="2" t="str">
        <f ca="1">IF(Planning!$F12=1,V69&amp;W69,"")</f>
        <v/>
      </c>
      <c r="AD69" s="165" t="str">
        <f ca="1">IF(AND(AA69&gt;0,Planning!$F12=1),X69&amp;Language!$E$66&amp;Y69,"")</f>
        <v/>
      </c>
      <c r="AE69" s="170">
        <f ca="1">IF($AA69=0,"",IF($X69&gt;$Y69,Settings!$C$4,IF($X69=$Y69,1,0)))</f>
        <v>3</v>
      </c>
      <c r="AF69" s="165">
        <f ca="1">IF($AA69=0,"",IF($X69&lt;$Y69,Settings!$C$4,IF($X69=$Y69,1,0)))</f>
        <v>0</v>
      </c>
      <c r="AH69" s="4"/>
      <c r="AI69" s="13"/>
      <c r="AJ69" s="13"/>
      <c r="AK69" s="13"/>
      <c r="AL69" s="13"/>
      <c r="AM69" s="4"/>
      <c r="AN69" s="13"/>
      <c r="AO69" s="13"/>
      <c r="AP69" s="13"/>
      <c r="AQ69" s="13"/>
    </row>
    <row r="70" spans="2:43" s="2" customFormat="1" x14ac:dyDescent="0.2">
      <c r="P70" s="47" t="s">
        <v>17</v>
      </c>
      <c r="Q70" s="67" t="str">
        <f>IF(Planning!$C$20="","",Planning!$C$20)</f>
        <v>SSV Wildbach</v>
      </c>
      <c r="U70" s="74" t="s">
        <v>17</v>
      </c>
      <c r="V70" s="41" t="str">
        <f ca="1">Planning!$N13</f>
        <v>1. FC Riedwald</v>
      </c>
      <c r="W70" s="13" t="str">
        <f ca="1">Planning!$P13</f>
        <v>Inter Mailand</v>
      </c>
      <c r="X70" s="13">
        <f ca="1">IF(AND(Results!$H16&lt;&gt;"",Results!$J16&lt;&gt;"",Results!$E16&lt;&gt;Results!$G16,$V70&lt;&gt;"",$W70&lt;&gt;""),Results!$H16,"")</f>
        <v>1</v>
      </c>
      <c r="Y70" s="36">
        <f ca="1">IF(AND(Results!$H16&lt;&gt;"",Results!$J16&lt;&gt;"",Results!$E16&lt;&gt;Results!$G16,$V70&lt;&gt;"",$W70&lt;&gt;""),Results!$J16,"")</f>
        <v>1</v>
      </c>
      <c r="Z70" s="35" t="str">
        <f ca="1">IF(Planning!$F13=0,V70&amp;W70,"")</f>
        <v>1. FC RiedwaldInter Mailand</v>
      </c>
      <c r="AA70" s="13">
        <f t="shared" ca="1" si="78"/>
        <v>1</v>
      </c>
      <c r="AB70" s="13" t="str">
        <f ca="1">IF(AND(AA70&gt;0,Planning!$F13=0),X70&amp;Language!$E$66&amp;Y70,"")</f>
        <v>1 - 1</v>
      </c>
      <c r="AC70" s="2" t="str">
        <f ca="1">IF(Planning!$F13=1,V70&amp;W70,"")</f>
        <v/>
      </c>
      <c r="AD70" s="165" t="str">
        <f ca="1">IF(AND(AA70&gt;0,Planning!$F13=1),X70&amp;Language!$E$66&amp;Y70,"")</f>
        <v/>
      </c>
      <c r="AE70" s="170">
        <f ca="1">IF($AA70=0,"",IF($X70&gt;$Y70,Settings!$C$4,IF($X70=$Y70,1,0)))</f>
        <v>1</v>
      </c>
      <c r="AF70" s="165">
        <f ca="1">IF($AA70=0,"",IF($X70&lt;$Y70,Settings!$C$4,IF($X70=$Y70,1,0)))</f>
        <v>1</v>
      </c>
      <c r="AH70" s="4"/>
      <c r="AI70" s="13"/>
      <c r="AJ70" s="13"/>
      <c r="AK70" s="13"/>
      <c r="AL70" s="13"/>
      <c r="AM70" s="13"/>
      <c r="AN70" s="4"/>
      <c r="AO70" s="13"/>
      <c r="AP70" s="13"/>
      <c r="AQ70" s="13"/>
    </row>
    <row r="71" spans="2:43" s="2" customFormat="1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P71" s="47" t="s">
        <v>18</v>
      </c>
      <c r="Q71" s="67" t="str">
        <f>IF(Planning!$C$22="","",Planning!$C$22)</f>
        <v/>
      </c>
      <c r="U71" s="74" t="s">
        <v>18</v>
      </c>
      <c r="V71" s="41" t="str">
        <f ca="1">Planning!$N14</f>
        <v>VFB Essenheim</v>
      </c>
      <c r="W71" s="13" t="str">
        <f ca="1">Planning!$P14</f>
        <v>SSV Wildbach</v>
      </c>
      <c r="X71" s="13" t="str">
        <f ca="1">IF(AND(Results!$H17&lt;&gt;"",Results!$J17&lt;&gt;"",Results!$E17&lt;&gt;Results!$G17,$V71&lt;&gt;"",$W71&lt;&gt;""),Results!$H17,"")</f>
        <v/>
      </c>
      <c r="Y71" s="36" t="str">
        <f ca="1">IF(AND(Results!$H17&lt;&gt;"",Results!$J17&lt;&gt;"",Results!$E17&lt;&gt;Results!$G17,$V71&lt;&gt;"",$W71&lt;&gt;""),Results!$J17,"")</f>
        <v/>
      </c>
      <c r="Z71" s="35" t="str">
        <f ca="1">IF(Planning!$F14=0,V71&amp;W71,"")</f>
        <v>VFB EssenheimSSV Wildbach</v>
      </c>
      <c r="AA71" s="13">
        <f t="shared" ca="1" si="78"/>
        <v>0</v>
      </c>
      <c r="AB71" s="13" t="str">
        <f ca="1">IF(AND(AA71&gt;0,Planning!$F14=0),X71&amp;Language!$E$66&amp;Y71,"")</f>
        <v/>
      </c>
      <c r="AC71" s="2" t="str">
        <f ca="1">IF(Planning!$F14=1,V71&amp;W71,"")</f>
        <v/>
      </c>
      <c r="AD71" s="165" t="str">
        <f ca="1">IF(AND(AA71&gt;0,Planning!$F14=1),X71&amp;Language!$E$66&amp;Y71,"")</f>
        <v/>
      </c>
      <c r="AE71" s="170" t="str">
        <f ca="1">IF($AA71=0,"",IF($X71&gt;$Y71,Settings!$C$4,IF($X71=$Y71,1,0)))</f>
        <v/>
      </c>
      <c r="AF71" s="165" t="str">
        <f ca="1">IF($AA71=0,"",IF($X71&lt;$Y71,Settings!$C$4,IF($X71=$Y71,1,0)))</f>
        <v/>
      </c>
      <c r="AH71" s="4"/>
      <c r="AI71" s="13"/>
      <c r="AJ71" s="13"/>
      <c r="AK71" s="13"/>
      <c r="AL71" s="13"/>
      <c r="AM71" s="13"/>
      <c r="AN71" s="13"/>
      <c r="AO71" s="4"/>
      <c r="AP71" s="13"/>
      <c r="AQ71" s="13"/>
    </row>
    <row r="72" spans="2:43" s="2" customFormat="1" ht="12.75" thickBot="1" x14ac:dyDescent="0.25">
      <c r="B72" s="4"/>
      <c r="C72" s="4"/>
      <c r="D72" s="4"/>
      <c r="E72" s="4"/>
      <c r="F72" s="13"/>
      <c r="G72" s="13"/>
      <c r="H72" s="13"/>
      <c r="I72" s="13"/>
      <c r="J72" s="13"/>
      <c r="K72" s="13"/>
      <c r="L72" s="13"/>
      <c r="M72" s="13"/>
      <c r="P72" s="48" t="s">
        <v>19</v>
      </c>
      <c r="Q72" s="68" t="str">
        <f>IF(Planning!$C$24="","",Planning!$C$24)</f>
        <v/>
      </c>
      <c r="U72" s="74" t="s">
        <v>19</v>
      </c>
      <c r="V72" s="41" t="str">
        <f ca="1">Planning!$N15</f>
        <v>Eintracht Frankfurt</v>
      </c>
      <c r="W72" s="13" t="str">
        <f ca="1">Planning!$P15</f>
        <v>FC Barcelona</v>
      </c>
      <c r="X72" s="13" t="str">
        <f ca="1">IF(AND(Results!$H18&lt;&gt;"",Results!$J18&lt;&gt;"",Results!$E18&lt;&gt;Results!$G18,$V72&lt;&gt;"",$W72&lt;&gt;""),Results!$H18,"")</f>
        <v/>
      </c>
      <c r="Y72" s="36" t="str">
        <f ca="1">IF(AND(Results!$H18&lt;&gt;"",Results!$J18&lt;&gt;"",Results!$E18&lt;&gt;Results!$G18,$V72&lt;&gt;"",$W72&lt;&gt;""),Results!$J18,"")</f>
        <v/>
      </c>
      <c r="Z72" s="35" t="str">
        <f ca="1">IF(Planning!$F15=0,V72&amp;W72,"")</f>
        <v>Eintracht FrankfurtFC Barcelona</v>
      </c>
      <c r="AA72" s="13">
        <f t="shared" ca="1" si="78"/>
        <v>0</v>
      </c>
      <c r="AB72" s="13" t="str">
        <f ca="1">IF(AND(AA72&gt;0,Planning!$F15=0),X72&amp;Language!$E$66&amp;Y72,"")</f>
        <v/>
      </c>
      <c r="AC72" s="2" t="str">
        <f ca="1">IF(Planning!$F15=1,V72&amp;W72,"")</f>
        <v/>
      </c>
      <c r="AD72" s="165" t="str">
        <f ca="1">IF(AND(AA72&gt;0,Planning!$F15=1),X72&amp;Language!$E$66&amp;Y72,"")</f>
        <v/>
      </c>
      <c r="AE72" s="170" t="str">
        <f ca="1">IF($AA72=0,"",IF($X72&gt;$Y72,Settings!$C$4,IF($X72=$Y72,1,0)))</f>
        <v/>
      </c>
      <c r="AF72" s="165" t="str">
        <f ca="1">IF($AA72=0,"",IF($X72&lt;$Y72,Settings!$C$4,IF($X72=$Y72,1,0)))</f>
        <v/>
      </c>
      <c r="AH72" s="4"/>
      <c r="AI72" s="13"/>
      <c r="AJ72" s="13"/>
      <c r="AK72" s="13"/>
      <c r="AL72" s="13"/>
      <c r="AM72" s="13"/>
      <c r="AN72" s="13"/>
      <c r="AO72" s="13"/>
      <c r="AP72" s="4"/>
      <c r="AQ72" s="13"/>
    </row>
    <row r="73" spans="2:43" s="2" customFormat="1" ht="12.75" thickTop="1" x14ac:dyDescent="0.2">
      <c r="B73" s="4"/>
      <c r="C73" s="4"/>
      <c r="D73" s="4"/>
      <c r="E73" s="4"/>
      <c r="F73" s="13"/>
      <c r="G73" s="13"/>
      <c r="H73" s="13"/>
      <c r="I73" s="13"/>
      <c r="J73" s="13"/>
      <c r="K73" s="13"/>
      <c r="L73" s="13"/>
      <c r="M73" s="13"/>
      <c r="U73" s="74" t="s">
        <v>25</v>
      </c>
      <c r="V73" s="41" t="str">
        <f ca="1">Planning!$N16</f>
        <v>VFB Essenheim</v>
      </c>
      <c r="W73" s="13" t="str">
        <f ca="1">Planning!$P16</f>
        <v>1. FC Riedwald</v>
      </c>
      <c r="X73" s="13" t="str">
        <f ca="1">IF(AND(Results!$H19&lt;&gt;"",Results!$J19&lt;&gt;"",Results!$E19&lt;&gt;Results!$G19,$V73&lt;&gt;"",$W73&lt;&gt;""),Results!$H19,"")</f>
        <v/>
      </c>
      <c r="Y73" s="36" t="str">
        <f ca="1">IF(AND(Results!$H19&lt;&gt;"",Results!$J19&lt;&gt;"",Results!$E19&lt;&gt;Results!$G19,$V73&lt;&gt;"",$W73&lt;&gt;""),Results!$J19,"")</f>
        <v/>
      </c>
      <c r="Z73" s="35" t="str">
        <f ca="1">IF(Planning!$F16=0,V73&amp;W73,"")</f>
        <v>VFB Essenheim1. FC Riedwald</v>
      </c>
      <c r="AA73" s="13">
        <f t="shared" ca="1" si="78"/>
        <v>0</v>
      </c>
      <c r="AB73" s="13" t="str">
        <f ca="1">IF(AND(AA73&gt;0,Planning!$F16=0),X73&amp;Language!$E$66&amp;Y73,"")</f>
        <v/>
      </c>
      <c r="AC73" s="2" t="str">
        <f ca="1">IF(Planning!$F16=1,V73&amp;W73,"")</f>
        <v/>
      </c>
      <c r="AD73" s="165" t="str">
        <f ca="1">IF(AND(AA73&gt;0,Planning!$F16=1),X73&amp;Language!$E$66&amp;Y73,"")</f>
        <v/>
      </c>
      <c r="AE73" s="170" t="str">
        <f ca="1">IF($AA73=0,"",IF($X73&gt;$Y73,Settings!$C$4,IF($X73=$Y73,1,0)))</f>
        <v/>
      </c>
      <c r="AF73" s="165" t="str">
        <f ca="1">IF($AA73=0,"",IF($X73&lt;$Y73,Settings!$C$4,IF($X73=$Y73,1,0)))</f>
        <v/>
      </c>
      <c r="AH73" s="4"/>
      <c r="AI73" s="13"/>
      <c r="AJ73" s="13"/>
      <c r="AK73" s="13"/>
      <c r="AL73" s="13"/>
      <c r="AM73" s="13"/>
      <c r="AN73" s="13"/>
      <c r="AO73" s="13"/>
      <c r="AP73" s="13"/>
      <c r="AQ73" s="4"/>
    </row>
    <row r="74" spans="2:43" s="2" customFormat="1" x14ac:dyDescent="0.2">
      <c r="B74" s="4"/>
      <c r="C74" s="4"/>
      <c r="D74" s="4"/>
      <c r="E74" s="4"/>
      <c r="F74" s="13"/>
      <c r="G74" s="13"/>
      <c r="H74" s="13"/>
      <c r="I74" s="13"/>
      <c r="J74" s="13"/>
      <c r="K74" s="13"/>
      <c r="L74" s="13"/>
      <c r="M74" s="13"/>
      <c r="U74" s="74" t="s">
        <v>26</v>
      </c>
      <c r="V74" s="41" t="str">
        <f ca="1">Planning!$N17</f>
        <v>Maibach 1822 eV</v>
      </c>
      <c r="W74" s="13" t="str">
        <f ca="1">Planning!$P17</f>
        <v>Inter Mailand</v>
      </c>
      <c r="X74" s="13" t="str">
        <f ca="1">IF(AND(Results!$H20&lt;&gt;"",Results!$J20&lt;&gt;"",Results!$E20&lt;&gt;Results!$G20,$V74&lt;&gt;"",$W74&lt;&gt;""),Results!$H20,"")</f>
        <v/>
      </c>
      <c r="Y74" s="36" t="str">
        <f ca="1">IF(AND(Results!$H20&lt;&gt;"",Results!$J20&lt;&gt;"",Results!$E20&lt;&gt;Results!$G20,$V74&lt;&gt;"",$W74&lt;&gt;""),Results!$J20,"")</f>
        <v/>
      </c>
      <c r="Z74" s="35" t="str">
        <f ca="1">IF(Planning!$F17=0,V74&amp;W74,"")</f>
        <v>Maibach 1822 eVInter Mailand</v>
      </c>
      <c r="AA74" s="13">
        <f t="shared" ca="1" si="78"/>
        <v>0</v>
      </c>
      <c r="AB74" s="13" t="str">
        <f ca="1">IF(AND(AA74&gt;0,Planning!$F17=0),X74&amp;Language!$E$66&amp;Y74,"")</f>
        <v/>
      </c>
      <c r="AC74" s="2" t="str">
        <f ca="1">IF(Planning!$F17=1,V74&amp;W74,"")</f>
        <v/>
      </c>
      <c r="AD74" s="165" t="str">
        <f ca="1">IF(AND(AA74&gt;0,Planning!$F17=1),X74&amp;Language!$E$66&amp;Y74,"")</f>
        <v/>
      </c>
      <c r="AE74" s="170" t="str">
        <f ca="1">IF($AA74=0,"",IF($X74&gt;$Y74,Settings!$C$4,IF($X74=$Y74,1,0)))</f>
        <v/>
      </c>
      <c r="AF74" s="165" t="str">
        <f ca="1">IF($AA74=0,"",IF($X74&lt;$Y74,Settings!$C$4,IF($X74=$Y74,1,0)))</f>
        <v/>
      </c>
    </row>
    <row r="75" spans="2:43" s="2" customFormat="1" x14ac:dyDescent="0.2">
      <c r="B75" s="4"/>
      <c r="C75" s="4"/>
      <c r="D75" s="4"/>
      <c r="E75" s="4"/>
      <c r="F75" s="13"/>
      <c r="G75" s="13"/>
      <c r="H75" s="13"/>
      <c r="I75" s="13"/>
      <c r="J75" s="13"/>
      <c r="K75" s="13"/>
      <c r="L75" s="13"/>
      <c r="M75" s="13"/>
      <c r="U75" s="74" t="s">
        <v>27</v>
      </c>
      <c r="V75" s="41" t="str">
        <f ca="1">Planning!$N18</f>
        <v>SSV Wildbach</v>
      </c>
      <c r="W75" s="13" t="str">
        <f ca="1">Planning!$P18</f>
        <v>Eintracht Frankfurt</v>
      </c>
      <c r="X75" s="13" t="str">
        <f ca="1">IF(AND(Results!$H21&lt;&gt;"",Results!$J21&lt;&gt;"",Results!$E21&lt;&gt;Results!$G21,$V75&lt;&gt;"",$W75&lt;&gt;""),Results!$H21,"")</f>
        <v/>
      </c>
      <c r="Y75" s="36" t="str">
        <f ca="1">IF(AND(Results!$H21&lt;&gt;"",Results!$J21&lt;&gt;"",Results!$E21&lt;&gt;Results!$G21,$V75&lt;&gt;"",$W75&lt;&gt;""),Results!$J21,"")</f>
        <v/>
      </c>
      <c r="Z75" s="35" t="str">
        <f ca="1">IF(Planning!$F18=0,V75&amp;W75,"")</f>
        <v>SSV WildbachEintracht Frankfurt</v>
      </c>
      <c r="AA75" s="13">
        <f t="shared" ca="1" si="78"/>
        <v>0</v>
      </c>
      <c r="AB75" s="13" t="str">
        <f ca="1">IF(AND(AA75&gt;0,Planning!$F18=0),X75&amp;Language!$E$66&amp;Y75,"")</f>
        <v/>
      </c>
      <c r="AC75" s="2" t="str">
        <f ca="1">IF(Planning!$F18=1,V75&amp;W75,"")</f>
        <v/>
      </c>
      <c r="AD75" s="165" t="str">
        <f ca="1">IF(AND(AA75&gt;0,Planning!$F18=1),X75&amp;Language!$E$66&amp;Y75,"")</f>
        <v/>
      </c>
      <c r="AE75" s="170" t="str">
        <f ca="1">IF($AA75=0,"",IF($X75&gt;$Y75,Settings!$C$4,IF($X75=$Y75,1,0)))</f>
        <v/>
      </c>
      <c r="AF75" s="165" t="str">
        <f ca="1">IF($AA75=0,"",IF($X75&lt;$Y75,Settings!$C$4,IF($X75=$Y75,1,0)))</f>
        <v/>
      </c>
    </row>
    <row r="76" spans="2:43" s="2" customFormat="1" x14ac:dyDescent="0.2">
      <c r="B76" s="4"/>
      <c r="C76" s="4"/>
      <c r="D76" s="4"/>
      <c r="E76" s="4"/>
      <c r="F76" s="13"/>
      <c r="G76" s="13"/>
      <c r="H76" s="13"/>
      <c r="I76" s="13"/>
      <c r="J76" s="13"/>
      <c r="K76" s="13"/>
      <c r="L76" s="13"/>
      <c r="M76" s="13"/>
      <c r="U76" s="74" t="s">
        <v>28</v>
      </c>
      <c r="V76" s="41" t="str">
        <f ca="1">Planning!$N19</f>
        <v>1. FC Riedwald</v>
      </c>
      <c r="W76" s="13" t="str">
        <f ca="1">Planning!$P19</f>
        <v>Maibach 1822 eV</v>
      </c>
      <c r="X76" s="13" t="str">
        <f ca="1">IF(AND(Results!$H22&lt;&gt;"",Results!$J22&lt;&gt;"",Results!$E22&lt;&gt;Results!$G22,$V76&lt;&gt;"",$W76&lt;&gt;""),Results!$H22,"")</f>
        <v/>
      </c>
      <c r="Y76" s="36" t="str">
        <f ca="1">IF(AND(Results!$H22&lt;&gt;"",Results!$J22&lt;&gt;"",Results!$E22&lt;&gt;Results!$G22,$V76&lt;&gt;"",$W76&lt;&gt;""),Results!$J22,"")</f>
        <v/>
      </c>
      <c r="Z76" s="35" t="str">
        <f ca="1">IF(Planning!$F19=0,V76&amp;W76,"")</f>
        <v>1. FC RiedwaldMaibach 1822 eV</v>
      </c>
      <c r="AA76" s="13">
        <f t="shared" ca="1" si="78"/>
        <v>0</v>
      </c>
      <c r="AB76" s="13" t="str">
        <f ca="1">IF(AND(AA76&gt;0,Planning!$F19=0),X76&amp;Language!$E$66&amp;Y76,"")</f>
        <v/>
      </c>
      <c r="AC76" s="2" t="str">
        <f ca="1">IF(Planning!$F19=1,V76&amp;W76,"")</f>
        <v/>
      </c>
      <c r="AD76" s="165" t="str">
        <f ca="1">IF(AND(AA76&gt;0,Planning!$F19=1),X76&amp;Language!$E$66&amp;Y76,"")</f>
        <v/>
      </c>
      <c r="AE76" s="170" t="str">
        <f ca="1">IF($AA76=0,"",IF($X76&gt;$Y76,Settings!$C$4,IF($X76=$Y76,1,0)))</f>
        <v/>
      </c>
      <c r="AF76" s="165" t="str">
        <f ca="1">IF($AA76=0,"",IF($X76&lt;$Y76,Settings!$C$4,IF($X76=$Y76,1,0)))</f>
        <v/>
      </c>
    </row>
    <row r="77" spans="2:43" s="2" customFormat="1" x14ac:dyDescent="0.2">
      <c r="B77" s="4"/>
      <c r="C77" s="4"/>
      <c r="D77" s="4"/>
      <c r="E77" s="4"/>
      <c r="F77" s="13"/>
      <c r="G77" s="13"/>
      <c r="H77" s="13"/>
      <c r="I77" s="13"/>
      <c r="J77" s="13"/>
      <c r="K77" s="13"/>
      <c r="L77" s="13"/>
      <c r="M77" s="13"/>
      <c r="U77" s="74" t="s">
        <v>29</v>
      </c>
      <c r="V77" s="41" t="str">
        <f ca="1">Planning!$N20</f>
        <v>Eintracht Frankfurt</v>
      </c>
      <c r="W77" s="13" t="str">
        <f ca="1">Planning!$P20</f>
        <v>VFB Essenheim</v>
      </c>
      <c r="X77" s="13" t="str">
        <f ca="1">IF(AND(Results!$H23&lt;&gt;"",Results!$J23&lt;&gt;"",Results!$E23&lt;&gt;Results!$G23,$V77&lt;&gt;"",$W77&lt;&gt;""),Results!$H23,"")</f>
        <v/>
      </c>
      <c r="Y77" s="36" t="str">
        <f ca="1">IF(AND(Results!$H23&lt;&gt;"",Results!$J23&lt;&gt;"",Results!$E23&lt;&gt;Results!$G23,$V77&lt;&gt;"",$W77&lt;&gt;""),Results!$J23,"")</f>
        <v/>
      </c>
      <c r="Z77" s="35" t="str">
        <f ca="1">IF(Planning!$F20=0,V77&amp;W77,"")</f>
        <v>Eintracht FrankfurtVFB Essenheim</v>
      </c>
      <c r="AA77" s="13">
        <f t="shared" ca="1" si="78"/>
        <v>0</v>
      </c>
      <c r="AB77" s="13" t="str">
        <f ca="1">IF(AND(AA77&gt;0,Planning!$F20=0),X77&amp;Language!$E$66&amp;Y77,"")</f>
        <v/>
      </c>
      <c r="AC77" s="2" t="str">
        <f ca="1">IF(Planning!$F20=1,V77&amp;W77,"")</f>
        <v/>
      </c>
      <c r="AD77" s="165" t="str">
        <f ca="1">IF(AND(AA77&gt;0,Planning!$F20=1),X77&amp;Language!$E$66&amp;Y77,"")</f>
        <v/>
      </c>
      <c r="AE77" s="170" t="str">
        <f ca="1">IF($AA77=0,"",IF($X77&gt;$Y77,Settings!$C$4,IF($X77=$Y77,1,0)))</f>
        <v/>
      </c>
      <c r="AF77" s="165" t="str">
        <f ca="1">IF($AA77=0,"",IF($X77&lt;$Y77,Settings!$C$4,IF($X77=$Y77,1,0)))</f>
        <v/>
      </c>
    </row>
    <row r="78" spans="2:43" s="2" customFormat="1" x14ac:dyDescent="0.2">
      <c r="B78" s="4"/>
      <c r="C78" s="4"/>
      <c r="D78" s="4"/>
      <c r="E78" s="4"/>
      <c r="F78" s="13"/>
      <c r="G78" s="13"/>
      <c r="H78" s="13"/>
      <c r="I78" s="13"/>
      <c r="J78" s="13"/>
      <c r="K78" s="13"/>
      <c r="L78" s="13"/>
      <c r="M78" s="13"/>
      <c r="U78" s="74" t="s">
        <v>30</v>
      </c>
      <c r="V78" s="41" t="str">
        <f ca="1">Planning!$N21</f>
        <v>Inter Mailand</v>
      </c>
      <c r="W78" s="13" t="str">
        <f ca="1">Planning!$P21</f>
        <v>FC Barcelona</v>
      </c>
      <c r="X78" s="13" t="str">
        <f ca="1">IF(AND(Results!$H24&lt;&gt;"",Results!$J24&lt;&gt;"",Results!$E24&lt;&gt;Results!$G24,$V78&lt;&gt;"",$W78&lt;&gt;""),Results!$H24,"")</f>
        <v/>
      </c>
      <c r="Y78" s="36" t="str">
        <f ca="1">IF(AND(Results!$H24&lt;&gt;"",Results!$J24&lt;&gt;"",Results!$E24&lt;&gt;Results!$G24,$V78&lt;&gt;"",$W78&lt;&gt;""),Results!$J24,"")</f>
        <v/>
      </c>
      <c r="Z78" s="35" t="str">
        <f ca="1">IF(Planning!$F21=0,V78&amp;W78,"")</f>
        <v>Inter MailandFC Barcelona</v>
      </c>
      <c r="AA78" s="13">
        <f t="shared" ca="1" si="78"/>
        <v>0</v>
      </c>
      <c r="AB78" s="13" t="str">
        <f ca="1">IF(AND(AA78&gt;0,Planning!$F21=0),X78&amp;Language!$E$66&amp;Y78,"")</f>
        <v/>
      </c>
      <c r="AC78" s="2" t="str">
        <f ca="1">IF(Planning!$F21=1,V78&amp;W78,"")</f>
        <v/>
      </c>
      <c r="AD78" s="165" t="str">
        <f ca="1">IF(AND(AA78&gt;0,Planning!$F21=1),X78&amp;Language!$E$66&amp;Y78,"")</f>
        <v/>
      </c>
      <c r="AE78" s="170" t="str">
        <f ca="1">IF($AA78=0,"",IF($X78&gt;$Y78,Settings!$C$4,IF($X78=$Y78,1,0)))</f>
        <v/>
      </c>
      <c r="AF78" s="165" t="str">
        <f ca="1">IF($AA78=0,"",IF($X78&lt;$Y78,Settings!$C$4,IF($X78=$Y78,1,0)))</f>
        <v/>
      </c>
    </row>
    <row r="79" spans="2:43" s="2" customFormat="1" x14ac:dyDescent="0.2">
      <c r="B79" s="4"/>
      <c r="C79" s="4"/>
      <c r="D79" s="4"/>
      <c r="E79" s="4"/>
      <c r="F79" s="13"/>
      <c r="G79" s="13"/>
      <c r="H79" s="13"/>
      <c r="I79" s="13"/>
      <c r="J79" s="13"/>
      <c r="K79" s="13"/>
      <c r="L79" s="13"/>
      <c r="M79" s="13"/>
      <c r="U79" s="74" t="s">
        <v>31</v>
      </c>
      <c r="V79" s="41" t="str">
        <f ca="1">Planning!$N22</f>
        <v>Eintracht Frankfurt</v>
      </c>
      <c r="W79" s="13" t="str">
        <f ca="1">Planning!$P22</f>
        <v>1. FC Riedwald</v>
      </c>
      <c r="X79" s="13" t="str">
        <f ca="1">IF(AND(Results!$H25&lt;&gt;"",Results!$J25&lt;&gt;"",Results!$E25&lt;&gt;Results!$G25,$V79&lt;&gt;"",$W79&lt;&gt;""),Results!$H25,"")</f>
        <v/>
      </c>
      <c r="Y79" s="36" t="str">
        <f ca="1">IF(AND(Results!$H25&lt;&gt;"",Results!$J25&lt;&gt;"",Results!$E25&lt;&gt;Results!$G25,$V79&lt;&gt;"",$W79&lt;&gt;""),Results!$J25,"")</f>
        <v/>
      </c>
      <c r="Z79" s="35" t="str">
        <f ca="1">IF(Planning!$F22=0,V79&amp;W79,"")</f>
        <v>Eintracht Frankfurt1. FC Riedwald</v>
      </c>
      <c r="AA79" s="13">
        <f t="shared" ca="1" si="78"/>
        <v>0</v>
      </c>
      <c r="AB79" s="13" t="str">
        <f ca="1">IF(AND(AA79&gt;0,Planning!$F22=0),X79&amp;Language!$E$66&amp;Y79,"")</f>
        <v/>
      </c>
      <c r="AC79" s="2" t="str">
        <f ca="1">IF(Planning!$F22=1,V79&amp;W79,"")</f>
        <v/>
      </c>
      <c r="AD79" s="165" t="str">
        <f ca="1">IF(AND(AA79&gt;0,Planning!$F22=1),X79&amp;Language!$E$66&amp;Y79,"")</f>
        <v/>
      </c>
      <c r="AE79" s="170" t="str">
        <f ca="1">IF($AA79=0,"",IF($X79&gt;$Y79,Settings!$C$4,IF($X79=$Y79,1,0)))</f>
        <v/>
      </c>
      <c r="AF79" s="165" t="str">
        <f ca="1">IF($AA79=0,"",IF($X79&lt;$Y79,Settings!$C$4,IF($X79=$Y79,1,0)))</f>
        <v/>
      </c>
    </row>
    <row r="80" spans="2:43" s="2" customFormat="1" x14ac:dyDescent="0.2">
      <c r="B80" s="4"/>
      <c r="C80" s="4"/>
      <c r="D80" s="4"/>
      <c r="E80" s="4"/>
      <c r="F80" s="13"/>
      <c r="G80" s="13"/>
      <c r="H80" s="13"/>
      <c r="I80" s="13"/>
      <c r="J80" s="13"/>
      <c r="K80" s="13"/>
      <c r="L80" s="13"/>
      <c r="M80" s="13"/>
      <c r="U80" s="74" t="s">
        <v>32</v>
      </c>
      <c r="V80" s="41" t="str">
        <f ca="1">Planning!$N23</f>
        <v>FC Barcelona</v>
      </c>
      <c r="W80" s="13" t="str">
        <f ca="1">Planning!$P23</f>
        <v>Maibach 1822 eV</v>
      </c>
      <c r="X80" s="13" t="str">
        <f ca="1">IF(AND(Results!$H26&lt;&gt;"",Results!$J26&lt;&gt;"",Results!$E26&lt;&gt;Results!$G26,$V80&lt;&gt;"",$W80&lt;&gt;""),Results!$H26,"")</f>
        <v/>
      </c>
      <c r="Y80" s="36" t="str">
        <f ca="1">IF(AND(Results!$H26&lt;&gt;"",Results!$J26&lt;&gt;"",Results!$E26&lt;&gt;Results!$G26,$V80&lt;&gt;"",$W80&lt;&gt;""),Results!$J26,"")</f>
        <v/>
      </c>
      <c r="Z80" s="35" t="str">
        <f ca="1">IF(Planning!$F23=0,V80&amp;W80,"")</f>
        <v>FC BarcelonaMaibach 1822 eV</v>
      </c>
      <c r="AA80" s="13">
        <f t="shared" ca="1" si="78"/>
        <v>0</v>
      </c>
      <c r="AB80" s="13" t="str">
        <f ca="1">IF(AND(AA80&gt;0,Planning!$F23=0),X80&amp;Language!$E$66&amp;Y80,"")</f>
        <v/>
      </c>
      <c r="AC80" s="2" t="str">
        <f ca="1">IF(Planning!$F23=1,V80&amp;W80,"")</f>
        <v/>
      </c>
      <c r="AD80" s="165" t="str">
        <f ca="1">IF(AND(AA80&gt;0,Planning!$F23=1),X80&amp;Language!$E$66&amp;Y80,"")</f>
        <v/>
      </c>
      <c r="AE80" s="170" t="str">
        <f ca="1">IF($AA80=0,"",IF($X80&gt;$Y80,Settings!$C$4,IF($X80=$Y80,1,0)))</f>
        <v/>
      </c>
      <c r="AF80" s="165" t="str">
        <f ca="1">IF($AA80=0,"",IF($X80&lt;$Y80,Settings!$C$4,IF($X80=$Y80,1,0)))</f>
        <v/>
      </c>
    </row>
    <row r="81" spans="2:32" s="2" customFormat="1" x14ac:dyDescent="0.2">
      <c r="B81" s="4"/>
      <c r="C81" s="4"/>
      <c r="D81" s="4"/>
      <c r="E81" s="4"/>
      <c r="F81" s="13"/>
      <c r="G81" s="13"/>
      <c r="H81" s="13"/>
      <c r="I81" s="13"/>
      <c r="J81" s="13"/>
      <c r="K81" s="13"/>
      <c r="L81" s="13"/>
      <c r="M81" s="13"/>
      <c r="U81" s="74" t="s">
        <v>33</v>
      </c>
      <c r="V81" s="41" t="str">
        <f ca="1">Planning!$N24</f>
        <v>SSV Wildbach</v>
      </c>
      <c r="W81" s="13" t="str">
        <f ca="1">Planning!$P24</f>
        <v>Inter Mailand</v>
      </c>
      <c r="X81" s="13" t="str">
        <f ca="1">IF(AND(Results!$H27&lt;&gt;"",Results!$J27&lt;&gt;"",Results!$E27&lt;&gt;Results!$G27,$V81&lt;&gt;"",$W81&lt;&gt;""),Results!$H27,"")</f>
        <v/>
      </c>
      <c r="Y81" s="36" t="str">
        <f ca="1">IF(AND(Results!$H27&lt;&gt;"",Results!$J27&lt;&gt;"",Results!$E27&lt;&gt;Results!$G27,$V81&lt;&gt;"",$W81&lt;&gt;""),Results!$J27,"")</f>
        <v/>
      </c>
      <c r="Z81" s="35" t="str">
        <f ca="1">IF(Planning!$F24=0,V81&amp;W81,"")</f>
        <v>SSV WildbachInter Mailand</v>
      </c>
      <c r="AA81" s="13">
        <f t="shared" ca="1" si="78"/>
        <v>0</v>
      </c>
      <c r="AB81" s="13" t="str">
        <f ca="1">IF(AND(AA81&gt;0,Planning!$F24=0),X81&amp;Language!$E$66&amp;Y81,"")</f>
        <v/>
      </c>
      <c r="AC81" s="2" t="str">
        <f ca="1">IF(Planning!$F24=1,V81&amp;W81,"")</f>
        <v/>
      </c>
      <c r="AD81" s="165" t="str">
        <f ca="1">IF(AND(AA81&gt;0,Planning!$F24=1),X81&amp;Language!$E$66&amp;Y81,"")</f>
        <v/>
      </c>
      <c r="AE81" s="170" t="str">
        <f ca="1">IF($AA81=0,"",IF($X81&gt;$Y81,Settings!$C$4,IF($X81=$Y81,1,0)))</f>
        <v/>
      </c>
      <c r="AF81" s="165" t="str">
        <f ca="1">IF($AA81=0,"",IF($X81&lt;$Y81,Settings!$C$4,IF($X81=$Y81,1,0)))</f>
        <v/>
      </c>
    </row>
    <row r="82" spans="2:32" s="2" customFormat="1" x14ac:dyDescent="0.2">
      <c r="B82" s="4"/>
      <c r="C82" s="4"/>
      <c r="D82" s="4"/>
      <c r="E82" s="4"/>
      <c r="F82" s="13"/>
      <c r="G82" s="13"/>
      <c r="H82" s="13"/>
      <c r="I82" s="13"/>
      <c r="J82" s="13"/>
      <c r="K82" s="13"/>
      <c r="L82" s="13"/>
      <c r="M82" s="13"/>
      <c r="U82" s="74" t="s">
        <v>34</v>
      </c>
      <c r="V82" s="41" t="str">
        <f ca="1">Planning!$N25</f>
        <v>1. FC Riedwald</v>
      </c>
      <c r="W82" s="13" t="str">
        <f ca="1">Planning!$P25</f>
        <v>FC Barcelona</v>
      </c>
      <c r="X82" s="13" t="str">
        <f ca="1">IF(AND(Results!$H28&lt;&gt;"",Results!$J28&lt;&gt;"",Results!$E28&lt;&gt;Results!$G28,$V82&lt;&gt;"",$W82&lt;&gt;""),Results!$H28,"")</f>
        <v/>
      </c>
      <c r="Y82" s="36" t="str">
        <f ca="1">IF(AND(Results!$H28&lt;&gt;"",Results!$J28&lt;&gt;"",Results!$E28&lt;&gt;Results!$G28,$V82&lt;&gt;"",$W82&lt;&gt;""),Results!$J28,"")</f>
        <v/>
      </c>
      <c r="Z82" s="35" t="str">
        <f ca="1">IF(Planning!$F25=0,V82&amp;W82,"")</f>
        <v>1. FC RiedwaldFC Barcelona</v>
      </c>
      <c r="AA82" s="13">
        <f t="shared" ca="1" si="78"/>
        <v>0</v>
      </c>
      <c r="AB82" s="13" t="str">
        <f ca="1">IF(AND(AA82&gt;0,Planning!$F25=0),X82&amp;Language!$E$66&amp;Y82,"")</f>
        <v/>
      </c>
      <c r="AC82" s="2" t="str">
        <f ca="1">IF(Planning!$F25=1,V82&amp;W82,"")</f>
        <v/>
      </c>
      <c r="AD82" s="165" t="str">
        <f ca="1">IF(AND(AA82&gt;0,Planning!$F25=1),X82&amp;Language!$E$66&amp;Y82,"")</f>
        <v/>
      </c>
      <c r="AE82" s="170" t="str">
        <f ca="1">IF($AA82=0,"",IF($X82&gt;$Y82,Settings!$C$4,IF($X82=$Y82,1,0)))</f>
        <v/>
      </c>
      <c r="AF82" s="165" t="str">
        <f ca="1">IF($AA82=0,"",IF($X82&lt;$Y82,Settings!$C$4,IF($X82=$Y82,1,0)))</f>
        <v/>
      </c>
    </row>
    <row r="83" spans="2:32" s="2" customFormat="1" x14ac:dyDescent="0.2">
      <c r="B83" s="4"/>
      <c r="C83" s="4"/>
      <c r="D83" s="4"/>
      <c r="E83" s="4"/>
      <c r="F83" s="13"/>
      <c r="G83" s="13"/>
      <c r="H83" s="13"/>
      <c r="I83" s="13"/>
      <c r="J83" s="13"/>
      <c r="K83" s="13"/>
      <c r="L83" s="13"/>
      <c r="M83" s="13"/>
      <c r="U83" s="74" t="s">
        <v>35</v>
      </c>
      <c r="V83" s="41" t="str">
        <f ca="1">Planning!$N26</f>
        <v>Maibach 1822 eV</v>
      </c>
      <c r="W83" s="13" t="str">
        <f ca="1">Planning!$P26</f>
        <v>SSV Wildbach</v>
      </c>
      <c r="X83" s="13" t="str">
        <f ca="1">IF(AND(Results!$H29&lt;&gt;"",Results!$J29&lt;&gt;"",Results!$E29&lt;&gt;Results!$G29,$V83&lt;&gt;"",$W83&lt;&gt;""),Results!$H29,"")</f>
        <v/>
      </c>
      <c r="Y83" s="36" t="str">
        <f ca="1">IF(AND(Results!$H29&lt;&gt;"",Results!$J29&lt;&gt;"",Results!$E29&lt;&gt;Results!$G29,$V83&lt;&gt;"",$W83&lt;&gt;""),Results!$J29,"")</f>
        <v/>
      </c>
      <c r="Z83" s="35" t="str">
        <f ca="1">IF(Planning!$F26=0,V83&amp;W83,"")</f>
        <v>Maibach 1822 eVSSV Wildbach</v>
      </c>
      <c r="AA83" s="13">
        <f t="shared" ca="1" si="78"/>
        <v>0</v>
      </c>
      <c r="AB83" s="13" t="str">
        <f ca="1">IF(AND(AA83&gt;0,Planning!$F26=0),X83&amp;Language!$E$66&amp;Y83,"")</f>
        <v/>
      </c>
      <c r="AC83" s="2" t="str">
        <f ca="1">IF(Planning!$F26=1,V83&amp;W83,"")</f>
        <v/>
      </c>
      <c r="AD83" s="165" t="str">
        <f ca="1">IF(AND(AA83&gt;0,Planning!$F26=1),X83&amp;Language!$E$66&amp;Y83,"")</f>
        <v/>
      </c>
      <c r="AE83" s="170" t="str">
        <f ca="1">IF($AA83=0,"",IF($X83&gt;$Y83,Settings!$C$4,IF($X83=$Y83,1,0)))</f>
        <v/>
      </c>
      <c r="AF83" s="165" t="str">
        <f ca="1">IF($AA83=0,"",IF($X83&lt;$Y83,Settings!$C$4,IF($X83=$Y83,1,0)))</f>
        <v/>
      </c>
    </row>
    <row r="84" spans="2:32" s="2" customFormat="1" x14ac:dyDescent="0.2">
      <c r="B84" s="4"/>
      <c r="C84" s="4"/>
      <c r="D84" s="4"/>
      <c r="E84" s="4"/>
      <c r="F84" s="13"/>
      <c r="G84" s="13"/>
      <c r="H84" s="13"/>
      <c r="I84" s="13"/>
      <c r="J84" s="13"/>
      <c r="K84" s="13"/>
      <c r="L84" s="13"/>
      <c r="M84" s="13"/>
      <c r="U84" s="74" t="s">
        <v>36</v>
      </c>
      <c r="V84" s="41" t="str">
        <f ca="1">Planning!$N27</f>
        <v>Inter Mailand</v>
      </c>
      <c r="W84" s="13" t="str">
        <f ca="1">Planning!$P27</f>
        <v>VFB Essenheim</v>
      </c>
      <c r="X84" s="13" t="str">
        <f ca="1">IF(AND(Results!$H30&lt;&gt;"",Results!$J30&lt;&gt;"",Results!$E30&lt;&gt;Results!$G30,$V84&lt;&gt;"",$W84&lt;&gt;""),Results!$H30,"")</f>
        <v/>
      </c>
      <c r="Y84" s="36" t="str">
        <f ca="1">IF(AND(Results!$H30&lt;&gt;"",Results!$J30&lt;&gt;"",Results!$E30&lt;&gt;Results!$G30,$V84&lt;&gt;"",$W84&lt;&gt;""),Results!$J30,"")</f>
        <v/>
      </c>
      <c r="Z84" s="35" t="str">
        <f ca="1">IF(Planning!$F27=0,V84&amp;W84,"")</f>
        <v>Inter MailandVFB Essenheim</v>
      </c>
      <c r="AA84" s="13">
        <f t="shared" ca="1" si="78"/>
        <v>0</v>
      </c>
      <c r="AB84" s="13" t="str">
        <f ca="1">IF(AND(AA84&gt;0,Planning!$F27=0),X84&amp;Language!$E$66&amp;Y84,"")</f>
        <v/>
      </c>
      <c r="AC84" s="2" t="str">
        <f ca="1">IF(Planning!$F27=1,V84&amp;W84,"")</f>
        <v/>
      </c>
      <c r="AD84" s="165" t="str">
        <f ca="1">IF(AND(AA84&gt;0,Planning!$F27=1),X84&amp;Language!$E$66&amp;Y84,"")</f>
        <v/>
      </c>
      <c r="AE84" s="170" t="str">
        <f ca="1">IF($AA84=0,"",IF($X84&gt;$Y84,Settings!$C$4,IF($X84=$Y84,1,0)))</f>
        <v/>
      </c>
      <c r="AF84" s="165" t="str">
        <f ca="1">IF($AA84=0,"",IF($X84&lt;$Y84,Settings!$C$4,IF($X84=$Y84,1,0)))</f>
        <v/>
      </c>
    </row>
    <row r="85" spans="2:32" s="2" customFormat="1" x14ac:dyDescent="0.2">
      <c r="B85" s="4"/>
      <c r="C85" s="4"/>
      <c r="D85" s="4"/>
      <c r="E85" s="4"/>
      <c r="F85" s="13"/>
      <c r="G85" s="13"/>
      <c r="H85" s="13"/>
      <c r="I85" s="13"/>
      <c r="J85" s="13"/>
      <c r="K85" s="13"/>
      <c r="L85" s="13"/>
      <c r="M85" s="13"/>
      <c r="U85" s="74" t="s">
        <v>37</v>
      </c>
      <c r="V85" s="41" t="str">
        <f ca="1">Planning!$N28</f>
        <v>FC Barcelona</v>
      </c>
      <c r="W85" s="13" t="str">
        <f ca="1">Planning!$P28</f>
        <v>SSV Wildbach</v>
      </c>
      <c r="X85" s="13" t="str">
        <f ca="1">IF(AND(Results!$H31&lt;&gt;"",Results!$J31&lt;&gt;"",Results!$E31&lt;&gt;Results!$G31,$V85&lt;&gt;"",$W85&lt;&gt;""),Results!$H31,"")</f>
        <v/>
      </c>
      <c r="Y85" s="36" t="str">
        <f ca="1">IF(AND(Results!$H31&lt;&gt;"",Results!$J31&lt;&gt;"",Results!$E31&lt;&gt;Results!$G31,$V85&lt;&gt;"",$W85&lt;&gt;""),Results!$J31,"")</f>
        <v/>
      </c>
      <c r="Z85" s="35" t="str">
        <f ca="1">IF(Planning!$F28=0,V85&amp;W85,"")</f>
        <v/>
      </c>
      <c r="AA85" s="13">
        <f t="shared" ca="1" si="78"/>
        <v>0</v>
      </c>
      <c r="AB85" s="13" t="str">
        <f ca="1">IF(AND(AA85&gt;0,Planning!$F28=0),X85&amp;Language!$E$66&amp;Y85,"")</f>
        <v/>
      </c>
      <c r="AC85" s="2" t="str">
        <f ca="1">IF(Planning!$F28=1,V85&amp;W85,"")</f>
        <v>FC BarcelonaSSV Wildbach</v>
      </c>
      <c r="AD85" s="165" t="str">
        <f ca="1">IF(AND(AA85&gt;0,Planning!$F28=1),X85&amp;Language!$E$66&amp;Y85,"")</f>
        <v/>
      </c>
      <c r="AE85" s="170" t="str">
        <f ca="1">IF($AA85=0,"",IF($X85&gt;$Y85,Settings!$C$4,IF($X85=$Y85,1,0)))</f>
        <v/>
      </c>
      <c r="AF85" s="165" t="str">
        <f ca="1">IF($AA85=0,"",IF($X85&lt;$Y85,Settings!$C$4,IF($X85=$Y85,1,0)))</f>
        <v/>
      </c>
    </row>
    <row r="86" spans="2:32" s="2" customFormat="1" x14ac:dyDescent="0.2">
      <c r="B86" s="4"/>
      <c r="C86" s="4"/>
      <c r="D86" s="4"/>
      <c r="E86" s="4"/>
      <c r="F86" s="13"/>
      <c r="G86" s="13"/>
      <c r="H86" s="13"/>
      <c r="I86" s="13"/>
      <c r="J86" s="13"/>
      <c r="K86" s="13"/>
      <c r="L86" s="13"/>
      <c r="M86" s="13"/>
      <c r="U86" s="74" t="s">
        <v>38</v>
      </c>
      <c r="V86" s="41" t="str">
        <f ca="1">Planning!$N29</f>
        <v>Inter Mailand</v>
      </c>
      <c r="W86" s="13" t="str">
        <f ca="1">Planning!$P29</f>
        <v>Eintracht Frankfurt</v>
      </c>
      <c r="X86" s="13" t="str">
        <f ca="1">IF(AND(Results!$H32&lt;&gt;"",Results!$J32&lt;&gt;"",Results!$E32&lt;&gt;Results!$G32,$V86&lt;&gt;"",$W86&lt;&gt;""),Results!$H32,"")</f>
        <v/>
      </c>
      <c r="Y86" s="36" t="str">
        <f ca="1">IF(AND(Results!$H32&lt;&gt;"",Results!$J32&lt;&gt;"",Results!$E32&lt;&gt;Results!$G32,$V86&lt;&gt;"",$W86&lt;&gt;""),Results!$J32,"")</f>
        <v/>
      </c>
      <c r="Z86" s="35" t="str">
        <f ca="1">IF(Planning!$F29=0,V86&amp;W86,"")</f>
        <v/>
      </c>
      <c r="AA86" s="13">
        <f t="shared" ca="1" si="78"/>
        <v>0</v>
      </c>
      <c r="AB86" s="13" t="str">
        <f ca="1">IF(AND(AA86&gt;0,Planning!$F29=0),X86&amp;Language!$E$66&amp;Y86,"")</f>
        <v/>
      </c>
      <c r="AC86" s="2" t="str">
        <f ca="1">IF(Planning!$F29=1,V86&amp;W86,"")</f>
        <v>Inter MailandEintracht Frankfurt</v>
      </c>
      <c r="AD86" s="165" t="str">
        <f ca="1">IF(AND(AA86&gt;0,Planning!$F29=1),X86&amp;Language!$E$66&amp;Y86,"")</f>
        <v/>
      </c>
      <c r="AE86" s="170" t="str">
        <f ca="1">IF($AA86=0,"",IF($X86&gt;$Y86,Settings!$C$4,IF($X86=$Y86,1,0)))</f>
        <v/>
      </c>
      <c r="AF86" s="165" t="str">
        <f ca="1">IF($AA86=0,"",IF($X86&lt;$Y86,Settings!$C$4,IF($X86=$Y86,1,0)))</f>
        <v/>
      </c>
    </row>
    <row r="87" spans="2:32" s="2" customFormat="1" x14ac:dyDescent="0.2">
      <c r="B87" s="4"/>
      <c r="C87" s="4"/>
      <c r="D87" s="4"/>
      <c r="E87" s="4"/>
      <c r="F87" s="13"/>
      <c r="G87" s="13"/>
      <c r="H87" s="13"/>
      <c r="I87" s="13"/>
      <c r="J87" s="13"/>
      <c r="K87" s="13"/>
      <c r="L87" s="13"/>
      <c r="M87" s="13"/>
      <c r="U87" s="74" t="s">
        <v>39</v>
      </c>
      <c r="V87" s="41" t="str">
        <f ca="1">Planning!$N30</f>
        <v>Maibach 1822 eV</v>
      </c>
      <c r="W87" s="13" t="str">
        <f ca="1">Planning!$P30</f>
        <v>VFB Essenheim</v>
      </c>
      <c r="X87" s="13" t="str">
        <f ca="1">IF(AND(Results!$H33&lt;&gt;"",Results!$J33&lt;&gt;"",Results!$E33&lt;&gt;Results!$G33,$V87&lt;&gt;"",$W87&lt;&gt;""),Results!$H33,"")</f>
        <v/>
      </c>
      <c r="Y87" s="36" t="str">
        <f ca="1">IF(AND(Results!$H33&lt;&gt;"",Results!$J33&lt;&gt;"",Results!$E33&lt;&gt;Results!$G33,$V87&lt;&gt;"",$W87&lt;&gt;""),Results!$J33,"")</f>
        <v/>
      </c>
      <c r="Z87" s="35" t="str">
        <f ca="1">IF(Planning!$F30=0,V87&amp;W87,"")</f>
        <v/>
      </c>
      <c r="AA87" s="13">
        <f t="shared" ca="1" si="78"/>
        <v>0</v>
      </c>
      <c r="AB87" s="13" t="str">
        <f ca="1">IF(AND(AA87&gt;0,Planning!$F30=0),X87&amp;Language!$E$66&amp;Y87,"")</f>
        <v/>
      </c>
      <c r="AC87" s="2" t="str">
        <f ca="1">IF(Planning!$F30=1,V87&amp;W87,"")</f>
        <v>Maibach 1822 eVVFB Essenheim</v>
      </c>
      <c r="AD87" s="165" t="str">
        <f ca="1">IF(AND(AA87&gt;0,Planning!$F30=1),X87&amp;Language!$E$66&amp;Y87,"")</f>
        <v/>
      </c>
      <c r="AE87" s="170" t="str">
        <f ca="1">IF($AA87=0,"",IF($X87&gt;$Y87,Settings!$C$4,IF($X87=$Y87,1,0)))</f>
        <v/>
      </c>
      <c r="AF87" s="165" t="str">
        <f ca="1">IF($AA87=0,"",IF($X87&lt;$Y87,Settings!$C$4,IF($X87=$Y87,1,0)))</f>
        <v/>
      </c>
    </row>
    <row r="88" spans="2:32" s="2" customFormat="1" x14ac:dyDescent="0.2">
      <c r="B88" s="4"/>
      <c r="C88" s="4"/>
      <c r="D88" s="4"/>
      <c r="E88" s="4"/>
      <c r="F88" s="13"/>
      <c r="G88" s="13"/>
      <c r="H88" s="13"/>
      <c r="I88" s="13"/>
      <c r="J88" s="13"/>
      <c r="K88" s="13"/>
      <c r="L88" s="13"/>
      <c r="M88" s="13"/>
      <c r="U88" s="74" t="s">
        <v>40</v>
      </c>
      <c r="V88" s="41" t="str">
        <f ca="1">Planning!$N31</f>
        <v>1. FC Riedwald</v>
      </c>
      <c r="W88" s="13" t="str">
        <f ca="1">Planning!$P31</f>
        <v>SSV Wildbach</v>
      </c>
      <c r="X88" s="13" t="str">
        <f ca="1">IF(AND(Results!$H34&lt;&gt;"",Results!$J34&lt;&gt;"",Results!$E34&lt;&gt;Results!$G34,$V88&lt;&gt;"",$W88&lt;&gt;""),Results!$H34,"")</f>
        <v/>
      </c>
      <c r="Y88" s="36" t="str">
        <f ca="1">IF(AND(Results!$H34&lt;&gt;"",Results!$J34&lt;&gt;"",Results!$E34&lt;&gt;Results!$G34,$V88&lt;&gt;"",$W88&lt;&gt;""),Results!$J34,"")</f>
        <v/>
      </c>
      <c r="Z88" s="35" t="str">
        <f ca="1">IF(Planning!$F31=0,V88&amp;W88,"")</f>
        <v/>
      </c>
      <c r="AA88" s="13">
        <f t="shared" ca="1" si="78"/>
        <v>0</v>
      </c>
      <c r="AB88" s="13" t="str">
        <f ca="1">IF(AND(AA88&gt;0,Planning!$F31=0),X88&amp;Language!$E$66&amp;Y88,"")</f>
        <v/>
      </c>
      <c r="AC88" s="2" t="str">
        <f ca="1">IF(Planning!$F31=1,V88&amp;W88,"")</f>
        <v>1. FC RiedwaldSSV Wildbach</v>
      </c>
      <c r="AD88" s="165" t="str">
        <f ca="1">IF(AND(AA88&gt;0,Planning!$F31=1),X88&amp;Language!$E$66&amp;Y88,"")</f>
        <v/>
      </c>
      <c r="AE88" s="170" t="str">
        <f ca="1">IF($AA88=0,"",IF($X88&gt;$Y88,Settings!$C$4,IF($X88=$Y88,1,0)))</f>
        <v/>
      </c>
      <c r="AF88" s="165" t="str">
        <f ca="1">IF($AA88=0,"",IF($X88&lt;$Y88,Settings!$C$4,IF($X88=$Y88,1,0)))</f>
        <v/>
      </c>
    </row>
    <row r="89" spans="2:32" s="2" customFormat="1" x14ac:dyDescent="0.2">
      <c r="B89" s="4"/>
      <c r="C89" s="4"/>
      <c r="D89" s="4"/>
      <c r="E89" s="4"/>
      <c r="F89" s="13"/>
      <c r="G89" s="13"/>
      <c r="H89" s="13"/>
      <c r="I89" s="13"/>
      <c r="J89" s="13"/>
      <c r="K89" s="13"/>
      <c r="L89" s="13"/>
      <c r="M89" s="13"/>
      <c r="U89" s="74" t="s">
        <v>41</v>
      </c>
      <c r="V89" s="41" t="str">
        <f ca="1">Planning!$N32</f>
        <v>VFB Essenheim</v>
      </c>
      <c r="W89" s="13" t="str">
        <f ca="1">Planning!$P32</f>
        <v>FC Barcelona</v>
      </c>
      <c r="X89" s="13" t="str">
        <f ca="1">IF(AND(Results!$H35&lt;&gt;"",Results!$J35&lt;&gt;"",Results!$E35&lt;&gt;Results!$G35,$V89&lt;&gt;"",$W89&lt;&gt;""),Results!$H35,"")</f>
        <v/>
      </c>
      <c r="Y89" s="36" t="str">
        <f ca="1">IF(AND(Results!$H35&lt;&gt;"",Results!$J35&lt;&gt;"",Results!$E35&lt;&gt;Results!$G35,$V89&lt;&gt;"",$W89&lt;&gt;""),Results!$J35,"")</f>
        <v/>
      </c>
      <c r="Z89" s="35" t="str">
        <f ca="1">IF(Planning!$F32=0,V89&amp;W89,"")</f>
        <v/>
      </c>
      <c r="AA89" s="13">
        <f t="shared" ca="1" si="78"/>
        <v>0</v>
      </c>
      <c r="AB89" s="13" t="str">
        <f ca="1">IF(AND(AA89&gt;0,Planning!$F32=0),X89&amp;Language!$E$66&amp;Y89,"")</f>
        <v/>
      </c>
      <c r="AC89" s="2" t="str">
        <f ca="1">IF(Planning!$F32=1,V89&amp;W89,"")</f>
        <v>VFB EssenheimFC Barcelona</v>
      </c>
      <c r="AD89" s="165" t="str">
        <f ca="1">IF(AND(AA89&gt;0,Planning!$F32=1),X89&amp;Language!$E$66&amp;Y89,"")</f>
        <v/>
      </c>
      <c r="AE89" s="170" t="str">
        <f ca="1">IF($AA89=0,"",IF($X89&gt;$Y89,Settings!$C$4,IF($X89=$Y89,1,0)))</f>
        <v/>
      </c>
      <c r="AF89" s="165" t="str">
        <f ca="1">IF($AA89=0,"",IF($X89&lt;$Y89,Settings!$C$4,IF($X89=$Y89,1,0)))</f>
        <v/>
      </c>
    </row>
    <row r="90" spans="2:32" s="2" customFormat="1" x14ac:dyDescent="0.2">
      <c r="B90" s="4"/>
      <c r="C90" s="4"/>
      <c r="D90" s="4"/>
      <c r="E90" s="4"/>
      <c r="F90" s="13"/>
      <c r="G90" s="13"/>
      <c r="H90" s="13"/>
      <c r="I90" s="13"/>
      <c r="J90" s="13"/>
      <c r="K90" s="13"/>
      <c r="L90" s="13"/>
      <c r="M90" s="13"/>
      <c r="U90" s="74" t="s">
        <v>42</v>
      </c>
      <c r="V90" s="41" t="str">
        <f ca="1">Planning!$N33</f>
        <v>Eintracht Frankfurt</v>
      </c>
      <c r="W90" s="13" t="str">
        <f ca="1">Planning!$P33</f>
        <v>Maibach 1822 eV</v>
      </c>
      <c r="X90" s="13" t="str">
        <f ca="1">IF(AND(Results!$H36&lt;&gt;"",Results!$J36&lt;&gt;"",Results!$E36&lt;&gt;Results!$G36,$V90&lt;&gt;"",$W90&lt;&gt;""),Results!$H36,"")</f>
        <v/>
      </c>
      <c r="Y90" s="36" t="str">
        <f ca="1">IF(AND(Results!$H36&lt;&gt;"",Results!$J36&lt;&gt;"",Results!$E36&lt;&gt;Results!$G36,$V90&lt;&gt;"",$W90&lt;&gt;""),Results!$J36,"")</f>
        <v/>
      </c>
      <c r="Z90" s="35" t="str">
        <f ca="1">IF(Planning!$F33=0,V90&amp;W90,"")</f>
        <v/>
      </c>
      <c r="AA90" s="13">
        <f t="shared" ca="1" si="78"/>
        <v>0</v>
      </c>
      <c r="AB90" s="13" t="str">
        <f ca="1">IF(AND(AA90&gt;0,Planning!$F33=0),X90&amp;Language!$E$66&amp;Y90,"")</f>
        <v/>
      </c>
      <c r="AC90" s="2" t="str">
        <f ca="1">IF(Planning!$F33=1,V90&amp;W90,"")</f>
        <v>Eintracht FrankfurtMaibach 1822 eV</v>
      </c>
      <c r="AD90" s="165" t="str">
        <f ca="1">IF(AND(AA90&gt;0,Planning!$F33=1),X90&amp;Language!$E$66&amp;Y90,"")</f>
        <v/>
      </c>
      <c r="AE90" s="170" t="str">
        <f ca="1">IF($AA90=0,"",IF($X90&gt;$Y90,Settings!$C$4,IF($X90=$Y90,1,0)))</f>
        <v/>
      </c>
      <c r="AF90" s="165" t="str">
        <f ca="1">IF($AA90=0,"",IF($X90&lt;$Y90,Settings!$C$4,IF($X90=$Y90,1,0)))</f>
        <v/>
      </c>
    </row>
    <row r="91" spans="2:32" s="2" customFormat="1" x14ac:dyDescent="0.2">
      <c r="B91" s="4"/>
      <c r="C91" s="4"/>
      <c r="D91" s="4"/>
      <c r="E91" s="4"/>
      <c r="F91" s="13"/>
      <c r="G91" s="13"/>
      <c r="H91" s="13"/>
      <c r="I91" s="13"/>
      <c r="J91" s="13"/>
      <c r="K91" s="13"/>
      <c r="L91" s="13"/>
      <c r="M91" s="13"/>
      <c r="U91" s="74" t="s">
        <v>43</v>
      </c>
      <c r="V91" s="41" t="str">
        <f ca="1">Planning!$N34</f>
        <v>Inter Mailand</v>
      </c>
      <c r="W91" s="13" t="str">
        <f ca="1">Planning!$P34</f>
        <v>1. FC Riedwald</v>
      </c>
      <c r="X91" s="13" t="str">
        <f ca="1">IF(AND(Results!$H37&lt;&gt;"",Results!$J37&lt;&gt;"",Results!$E37&lt;&gt;Results!$G37,$V91&lt;&gt;"",$W91&lt;&gt;""),Results!$H37,"")</f>
        <v/>
      </c>
      <c r="Y91" s="36" t="str">
        <f ca="1">IF(AND(Results!$H37&lt;&gt;"",Results!$J37&lt;&gt;"",Results!$E37&lt;&gt;Results!$G37,$V91&lt;&gt;"",$W91&lt;&gt;""),Results!$J37,"")</f>
        <v/>
      </c>
      <c r="Z91" s="35" t="str">
        <f ca="1">IF(Planning!$F34=0,V91&amp;W91,"")</f>
        <v/>
      </c>
      <c r="AA91" s="13">
        <f t="shared" ca="1" si="78"/>
        <v>0</v>
      </c>
      <c r="AB91" s="13" t="str">
        <f ca="1">IF(AND(AA91&gt;0,Planning!$F34=0),X91&amp;Language!$E$66&amp;Y91,"")</f>
        <v/>
      </c>
      <c r="AC91" s="2" t="str">
        <f ca="1">IF(Planning!$F34=1,V91&amp;W91,"")</f>
        <v>Inter Mailand1. FC Riedwald</v>
      </c>
      <c r="AD91" s="165" t="str">
        <f ca="1">IF(AND(AA91&gt;0,Planning!$F34=1),X91&amp;Language!$E$66&amp;Y91,"")</f>
        <v/>
      </c>
      <c r="AE91" s="170" t="str">
        <f ca="1">IF($AA91=0,"",IF($X91&gt;$Y91,Settings!$C$4,IF($X91=$Y91,1,0)))</f>
        <v/>
      </c>
      <c r="AF91" s="165" t="str">
        <f ca="1">IF($AA91=0,"",IF($X91&lt;$Y91,Settings!$C$4,IF($X91=$Y91,1,0)))</f>
        <v/>
      </c>
    </row>
    <row r="92" spans="2:32" s="2" customFormat="1" x14ac:dyDescent="0.2">
      <c r="B92" s="4"/>
      <c r="C92" s="4"/>
      <c r="D92" s="4"/>
      <c r="E92" s="4"/>
      <c r="F92" s="13"/>
      <c r="G92" s="13"/>
      <c r="H92" s="13"/>
      <c r="I92" s="13"/>
      <c r="J92" s="13"/>
      <c r="K92" s="13"/>
      <c r="L92" s="13"/>
      <c r="M92" s="13"/>
      <c r="U92" s="74" t="s">
        <v>44</v>
      </c>
      <c r="V92" s="41" t="str">
        <f ca="1">Planning!$N35</f>
        <v>SSV Wildbach</v>
      </c>
      <c r="W92" s="13" t="str">
        <f ca="1">Planning!$P35</f>
        <v>VFB Essenheim</v>
      </c>
      <c r="X92" s="13" t="str">
        <f ca="1">IF(AND(Results!$H38&lt;&gt;"",Results!$J38&lt;&gt;"",Results!$E38&lt;&gt;Results!$G38,$V92&lt;&gt;"",$W92&lt;&gt;""),Results!$H38,"")</f>
        <v/>
      </c>
      <c r="Y92" s="36" t="str">
        <f ca="1">IF(AND(Results!$H38&lt;&gt;"",Results!$J38&lt;&gt;"",Results!$E38&lt;&gt;Results!$G38,$V92&lt;&gt;"",$W92&lt;&gt;""),Results!$J38,"")</f>
        <v/>
      </c>
      <c r="Z92" s="35" t="str">
        <f ca="1">IF(Planning!$F35=0,V92&amp;W92,"")</f>
        <v/>
      </c>
      <c r="AA92" s="13">
        <f t="shared" ca="1" si="78"/>
        <v>0</v>
      </c>
      <c r="AB92" s="13" t="str">
        <f ca="1">IF(AND(AA92&gt;0,Planning!$F35=0),X92&amp;Language!$E$66&amp;Y92,"")</f>
        <v/>
      </c>
      <c r="AC92" s="2" t="str">
        <f ca="1">IF(Planning!$F35=1,V92&amp;W92,"")</f>
        <v>SSV WildbachVFB Essenheim</v>
      </c>
      <c r="AD92" s="165" t="str">
        <f ca="1">IF(AND(AA92&gt;0,Planning!$F35=1),X92&amp;Language!$E$66&amp;Y92,"")</f>
        <v/>
      </c>
      <c r="AE92" s="170" t="str">
        <f ca="1">IF($AA92=0,"",IF($X92&gt;$Y92,Settings!$C$4,IF($X92=$Y92,1,0)))</f>
        <v/>
      </c>
      <c r="AF92" s="165" t="str">
        <f ca="1">IF($AA92=0,"",IF($X92&lt;$Y92,Settings!$C$4,IF($X92=$Y92,1,0)))</f>
        <v/>
      </c>
    </row>
    <row r="93" spans="2:32" s="2" customFormat="1" x14ac:dyDescent="0.2">
      <c r="B93" s="4"/>
      <c r="C93" s="4"/>
      <c r="D93" s="4"/>
      <c r="E93" s="4"/>
      <c r="F93" s="13"/>
      <c r="G93" s="13"/>
      <c r="H93" s="13"/>
      <c r="I93" s="13"/>
      <c r="J93" s="13"/>
      <c r="K93" s="13"/>
      <c r="L93" s="13"/>
      <c r="M93" s="13"/>
      <c r="U93" s="74" t="s">
        <v>45</v>
      </c>
      <c r="V93" s="41" t="str">
        <f ca="1">Planning!$N36</f>
        <v>FC Barcelona</v>
      </c>
      <c r="W93" s="13" t="str">
        <f ca="1">Planning!$P36</f>
        <v>Eintracht Frankfurt</v>
      </c>
      <c r="X93" s="13" t="str">
        <f ca="1">IF(AND(Results!$H39&lt;&gt;"",Results!$J39&lt;&gt;"",Results!$E39&lt;&gt;Results!$G39,$V93&lt;&gt;"",$W93&lt;&gt;""),Results!$H39,"")</f>
        <v/>
      </c>
      <c r="Y93" s="36" t="str">
        <f ca="1">IF(AND(Results!$H39&lt;&gt;"",Results!$J39&lt;&gt;"",Results!$E39&lt;&gt;Results!$G39,$V93&lt;&gt;"",$W93&lt;&gt;""),Results!$J39,"")</f>
        <v/>
      </c>
      <c r="Z93" s="35" t="str">
        <f ca="1">IF(Planning!$F36=0,V93&amp;W93,"")</f>
        <v/>
      </c>
      <c r="AA93" s="13">
        <f t="shared" ca="1" si="78"/>
        <v>0</v>
      </c>
      <c r="AB93" s="13" t="str">
        <f ca="1">IF(AND(AA93&gt;0,Planning!$F36=0),X93&amp;Language!$E$66&amp;Y93,"")</f>
        <v/>
      </c>
      <c r="AC93" s="2" t="str">
        <f ca="1">IF(Planning!$F36=1,V93&amp;W93,"")</f>
        <v>FC BarcelonaEintracht Frankfurt</v>
      </c>
      <c r="AD93" s="165" t="str">
        <f ca="1">IF(AND(AA93&gt;0,Planning!$F36=1),X93&amp;Language!$E$66&amp;Y93,"")</f>
        <v/>
      </c>
      <c r="AE93" s="170" t="str">
        <f ca="1">IF($AA93=0,"",IF($X93&gt;$Y93,Settings!$C$4,IF($X93=$Y93,1,0)))</f>
        <v/>
      </c>
      <c r="AF93" s="165" t="str">
        <f ca="1">IF($AA93=0,"",IF($X93&lt;$Y93,Settings!$C$4,IF($X93=$Y93,1,0)))</f>
        <v/>
      </c>
    </row>
    <row r="94" spans="2:32" s="2" customFormat="1" x14ac:dyDescent="0.2">
      <c r="B94" s="4"/>
      <c r="C94" s="4"/>
      <c r="D94" s="4"/>
      <c r="E94" s="4"/>
      <c r="F94" s="13"/>
      <c r="G94" s="13"/>
      <c r="H94" s="13"/>
      <c r="I94" s="13"/>
      <c r="J94" s="13"/>
      <c r="K94" s="13"/>
      <c r="L94" s="13"/>
      <c r="M94" s="13"/>
      <c r="U94" s="74" t="s">
        <v>46</v>
      </c>
      <c r="V94" s="41" t="str">
        <f ca="1">Planning!$N37</f>
        <v>1. FC Riedwald</v>
      </c>
      <c r="W94" s="13" t="str">
        <f ca="1">Planning!$P37</f>
        <v>VFB Essenheim</v>
      </c>
      <c r="X94" s="13" t="str">
        <f ca="1">IF(AND(Results!$H40&lt;&gt;"",Results!$J40&lt;&gt;"",Results!$E40&lt;&gt;Results!$G40,$V94&lt;&gt;"",$W94&lt;&gt;""),Results!$H40,"")</f>
        <v/>
      </c>
      <c r="Y94" s="36" t="str">
        <f ca="1">IF(AND(Results!$H40&lt;&gt;"",Results!$J40&lt;&gt;"",Results!$E40&lt;&gt;Results!$G40,$V94&lt;&gt;"",$W94&lt;&gt;""),Results!$J40,"")</f>
        <v/>
      </c>
      <c r="Z94" s="35" t="str">
        <f ca="1">IF(Planning!$F37=0,V94&amp;W94,"")</f>
        <v/>
      </c>
      <c r="AA94" s="13">
        <f t="shared" ca="1" si="78"/>
        <v>0</v>
      </c>
      <c r="AB94" s="13" t="str">
        <f ca="1">IF(AND(AA94&gt;0,Planning!$F37=0),X94&amp;Language!$E$66&amp;Y94,"")</f>
        <v/>
      </c>
      <c r="AC94" s="2" t="str">
        <f ca="1">IF(Planning!$F37=1,V94&amp;W94,"")</f>
        <v>1. FC RiedwaldVFB Essenheim</v>
      </c>
      <c r="AD94" s="165" t="str">
        <f ca="1">IF(AND(AA94&gt;0,Planning!$F37=1),X94&amp;Language!$E$66&amp;Y94,"")</f>
        <v/>
      </c>
      <c r="AE94" s="170" t="str">
        <f ca="1">IF($AA94=0,"",IF($X94&gt;$Y94,Settings!$C$4,IF($X94=$Y94,1,0)))</f>
        <v/>
      </c>
      <c r="AF94" s="165" t="str">
        <f ca="1">IF($AA94=0,"",IF($X94&lt;$Y94,Settings!$C$4,IF($X94=$Y94,1,0)))</f>
        <v/>
      </c>
    </row>
    <row r="95" spans="2:32" s="2" customFormat="1" x14ac:dyDescent="0.2">
      <c r="B95" s="4"/>
      <c r="C95" s="4"/>
      <c r="D95" s="4"/>
      <c r="E95" s="4"/>
      <c r="F95" s="13"/>
      <c r="G95" s="13"/>
      <c r="H95" s="13"/>
      <c r="I95" s="13"/>
      <c r="J95" s="13"/>
      <c r="K95" s="13"/>
      <c r="L95" s="13"/>
      <c r="M95" s="13"/>
      <c r="U95" s="74" t="s">
        <v>47</v>
      </c>
      <c r="V95" s="41" t="str">
        <f ca="1">Planning!$N38</f>
        <v>Inter Mailand</v>
      </c>
      <c r="W95" s="13" t="str">
        <f ca="1">Planning!$P38</f>
        <v>Maibach 1822 eV</v>
      </c>
      <c r="X95" s="13" t="str">
        <f ca="1">IF(AND(Results!$H41&lt;&gt;"",Results!$J41&lt;&gt;"",Results!$E41&lt;&gt;Results!$G41,$V95&lt;&gt;"",$W95&lt;&gt;""),Results!$H41,"")</f>
        <v/>
      </c>
      <c r="Y95" s="36" t="str">
        <f ca="1">IF(AND(Results!$H41&lt;&gt;"",Results!$J41&lt;&gt;"",Results!$E41&lt;&gt;Results!$G41,$V95&lt;&gt;"",$W95&lt;&gt;""),Results!$J41,"")</f>
        <v/>
      </c>
      <c r="Z95" s="35" t="str">
        <f ca="1">IF(Planning!$F38=0,V95&amp;W95,"")</f>
        <v/>
      </c>
      <c r="AA95" s="13">
        <f t="shared" ca="1" si="78"/>
        <v>0</v>
      </c>
      <c r="AB95" s="13" t="str">
        <f ca="1">IF(AND(AA95&gt;0,Planning!$F38=0),X95&amp;Language!$E$66&amp;Y95,"")</f>
        <v/>
      </c>
      <c r="AC95" s="2" t="str">
        <f ca="1">IF(Planning!$F38=1,V95&amp;W95,"")</f>
        <v>Inter MailandMaibach 1822 eV</v>
      </c>
      <c r="AD95" s="165" t="str">
        <f ca="1">IF(AND(AA95&gt;0,Planning!$F38=1),X95&amp;Language!$E$66&amp;Y95,"")</f>
        <v/>
      </c>
      <c r="AE95" s="170" t="str">
        <f ca="1">IF($AA95=0,"",IF($X95&gt;$Y95,Settings!$C$4,IF($X95=$Y95,1,0)))</f>
        <v/>
      </c>
      <c r="AF95" s="165" t="str">
        <f ca="1">IF($AA95=0,"",IF($X95&lt;$Y95,Settings!$C$4,IF($X95=$Y95,1,0)))</f>
        <v/>
      </c>
    </row>
    <row r="96" spans="2:32" s="2" customFormat="1" x14ac:dyDescent="0.2">
      <c r="B96" s="4"/>
      <c r="C96" s="4"/>
      <c r="D96" s="4"/>
      <c r="E96" s="4"/>
      <c r="F96" s="13"/>
      <c r="G96" s="13"/>
      <c r="H96" s="13"/>
      <c r="I96" s="13"/>
      <c r="J96" s="13"/>
      <c r="K96" s="13"/>
      <c r="L96" s="13"/>
      <c r="M96" s="13"/>
      <c r="U96" s="74" t="s">
        <v>48</v>
      </c>
      <c r="V96" s="41" t="str">
        <f ca="1">Planning!$N39</f>
        <v>Eintracht Frankfurt</v>
      </c>
      <c r="W96" s="13" t="str">
        <f ca="1">Planning!$P39</f>
        <v>SSV Wildbach</v>
      </c>
      <c r="X96" s="13" t="str">
        <f ca="1">IF(AND(Results!$H42&lt;&gt;"",Results!$J42&lt;&gt;"",Results!$E42&lt;&gt;Results!$G42,$V96&lt;&gt;"",$W96&lt;&gt;""),Results!$H42,"")</f>
        <v/>
      </c>
      <c r="Y96" s="36" t="str">
        <f ca="1">IF(AND(Results!$H42&lt;&gt;"",Results!$J42&lt;&gt;"",Results!$E42&lt;&gt;Results!$G42,$V96&lt;&gt;"",$W96&lt;&gt;""),Results!$J42,"")</f>
        <v/>
      </c>
      <c r="Z96" s="35" t="str">
        <f ca="1">IF(Planning!$F39=0,V96&amp;W96,"")</f>
        <v/>
      </c>
      <c r="AA96" s="13">
        <f t="shared" ca="1" si="78"/>
        <v>0</v>
      </c>
      <c r="AB96" s="13" t="str">
        <f ca="1">IF(AND(AA96&gt;0,Planning!$F39=0),X96&amp;Language!$E$66&amp;Y96,"")</f>
        <v/>
      </c>
      <c r="AC96" s="2" t="str">
        <f ca="1">IF(Planning!$F39=1,V96&amp;W96,"")</f>
        <v>Eintracht FrankfurtSSV Wildbach</v>
      </c>
      <c r="AD96" s="165" t="str">
        <f ca="1">IF(AND(AA96&gt;0,Planning!$F39=1),X96&amp;Language!$E$66&amp;Y96,"")</f>
        <v/>
      </c>
      <c r="AE96" s="170" t="str">
        <f ca="1">IF($AA96=0,"",IF($X96&gt;$Y96,Settings!$C$4,IF($X96=$Y96,1,0)))</f>
        <v/>
      </c>
      <c r="AF96" s="165" t="str">
        <f ca="1">IF($AA96=0,"",IF($X96&lt;$Y96,Settings!$C$4,IF($X96=$Y96,1,0)))</f>
        <v/>
      </c>
    </row>
    <row r="97" spans="2:32" s="2" customFormat="1" x14ac:dyDescent="0.2">
      <c r="B97" s="4"/>
      <c r="C97" s="4"/>
      <c r="D97" s="4"/>
      <c r="E97" s="4"/>
      <c r="F97" s="13"/>
      <c r="G97" s="13"/>
      <c r="H97" s="13"/>
      <c r="I97" s="13"/>
      <c r="J97" s="13"/>
      <c r="K97" s="13"/>
      <c r="L97" s="13"/>
      <c r="M97" s="13"/>
      <c r="U97" s="74" t="s">
        <v>49</v>
      </c>
      <c r="V97" s="41" t="str">
        <f ca="1">Planning!$N40</f>
        <v>Maibach 1822 eV</v>
      </c>
      <c r="W97" s="13" t="str">
        <f ca="1">Planning!$P40</f>
        <v>1. FC Riedwald</v>
      </c>
      <c r="X97" s="13" t="str">
        <f ca="1">IF(AND(Results!$H43&lt;&gt;"",Results!$J43&lt;&gt;"",Results!$E43&lt;&gt;Results!$G43,$V97&lt;&gt;"",$W97&lt;&gt;""),Results!$H43,"")</f>
        <v/>
      </c>
      <c r="Y97" s="36" t="str">
        <f ca="1">IF(AND(Results!$H43&lt;&gt;"",Results!$J43&lt;&gt;"",Results!$E43&lt;&gt;Results!$G43,$V97&lt;&gt;"",$W97&lt;&gt;""),Results!$J43,"")</f>
        <v/>
      </c>
      <c r="Z97" s="35" t="str">
        <f ca="1">IF(Planning!$F40=0,V97&amp;W97,"")</f>
        <v/>
      </c>
      <c r="AA97" s="13">
        <f t="shared" ca="1" si="78"/>
        <v>0</v>
      </c>
      <c r="AB97" s="13" t="str">
        <f ca="1">IF(AND(AA97&gt;0,Planning!$F40=0),X97&amp;Language!$E$66&amp;Y97,"")</f>
        <v/>
      </c>
      <c r="AC97" s="2" t="str">
        <f ca="1">IF(Planning!$F40=1,V97&amp;W97,"")</f>
        <v>Maibach 1822 eV1. FC Riedwald</v>
      </c>
      <c r="AD97" s="165" t="str">
        <f ca="1">IF(AND(AA97&gt;0,Planning!$F40=1),X97&amp;Language!$E$66&amp;Y97,"")</f>
        <v/>
      </c>
      <c r="AE97" s="170" t="str">
        <f ca="1">IF($AA97=0,"",IF($X97&gt;$Y97,Settings!$C$4,IF($X97=$Y97,1,0)))</f>
        <v/>
      </c>
      <c r="AF97" s="165" t="str">
        <f ca="1">IF($AA97=0,"",IF($X97&lt;$Y97,Settings!$C$4,IF($X97=$Y97,1,0)))</f>
        <v/>
      </c>
    </row>
    <row r="98" spans="2:32" s="2" customFormat="1" x14ac:dyDescent="0.2">
      <c r="B98" s="4"/>
      <c r="C98" s="4"/>
      <c r="D98" s="4"/>
      <c r="E98" s="4"/>
      <c r="F98" s="13"/>
      <c r="G98" s="13"/>
      <c r="H98" s="13"/>
      <c r="I98" s="13"/>
      <c r="J98" s="13"/>
      <c r="K98" s="13"/>
      <c r="L98" s="13"/>
      <c r="M98" s="13"/>
      <c r="U98" s="74" t="s">
        <v>50</v>
      </c>
      <c r="V98" s="41" t="str">
        <f ca="1">Planning!$N41</f>
        <v>VFB Essenheim</v>
      </c>
      <c r="W98" s="13" t="str">
        <f ca="1">Planning!$P41</f>
        <v>Eintracht Frankfurt</v>
      </c>
      <c r="X98" s="13" t="str">
        <f ca="1">IF(AND(Results!$H44&lt;&gt;"",Results!$J44&lt;&gt;"",Results!$E44&lt;&gt;Results!$G44,$V98&lt;&gt;"",$W98&lt;&gt;""),Results!$H44,"")</f>
        <v/>
      </c>
      <c r="Y98" s="36" t="str">
        <f ca="1">IF(AND(Results!$H44&lt;&gt;"",Results!$J44&lt;&gt;"",Results!$E44&lt;&gt;Results!$G44,$V98&lt;&gt;"",$W98&lt;&gt;""),Results!$J44,"")</f>
        <v/>
      </c>
      <c r="Z98" s="35" t="str">
        <f ca="1">IF(Planning!$F41=0,V98&amp;W98,"")</f>
        <v/>
      </c>
      <c r="AA98" s="13">
        <f t="shared" ca="1" si="78"/>
        <v>0</v>
      </c>
      <c r="AB98" s="13" t="str">
        <f ca="1">IF(AND(AA98&gt;0,Planning!$F41=0),X98&amp;Language!$E$66&amp;Y98,"")</f>
        <v/>
      </c>
      <c r="AC98" s="2" t="str">
        <f ca="1">IF(Planning!$F41=1,V98&amp;W98,"")</f>
        <v>VFB EssenheimEintracht Frankfurt</v>
      </c>
      <c r="AD98" s="165" t="str">
        <f ca="1">IF(AND(AA98&gt;0,Planning!$F41=1),X98&amp;Language!$E$66&amp;Y98,"")</f>
        <v/>
      </c>
      <c r="AE98" s="170" t="str">
        <f ca="1">IF($AA98=0,"",IF($X98&gt;$Y98,Settings!$C$4,IF($X98=$Y98,1,0)))</f>
        <v/>
      </c>
      <c r="AF98" s="165" t="str">
        <f ca="1">IF($AA98=0,"",IF($X98&lt;$Y98,Settings!$C$4,IF($X98=$Y98,1,0)))</f>
        <v/>
      </c>
    </row>
    <row r="99" spans="2:32" s="2" customFormat="1" x14ac:dyDescent="0.2">
      <c r="B99" s="4"/>
      <c r="C99" s="4"/>
      <c r="D99" s="4"/>
      <c r="E99" s="4"/>
      <c r="F99" s="13"/>
      <c r="G99" s="13"/>
      <c r="H99" s="13"/>
      <c r="I99" s="13"/>
      <c r="J99" s="13"/>
      <c r="K99" s="13"/>
      <c r="L99" s="13"/>
      <c r="M99" s="13"/>
      <c r="U99" s="74" t="s">
        <v>51</v>
      </c>
      <c r="V99" s="41" t="str">
        <f ca="1">Planning!$N42</f>
        <v>FC Barcelona</v>
      </c>
      <c r="W99" s="13" t="str">
        <f ca="1">Planning!$P42</f>
        <v>Inter Mailand</v>
      </c>
      <c r="X99" s="13" t="str">
        <f ca="1">IF(AND(Results!$H45&lt;&gt;"",Results!$J45&lt;&gt;"",Results!$E45&lt;&gt;Results!$G45,$V99&lt;&gt;"",$W99&lt;&gt;""),Results!$H45,"")</f>
        <v/>
      </c>
      <c r="Y99" s="36" t="str">
        <f ca="1">IF(AND(Results!$H45&lt;&gt;"",Results!$J45&lt;&gt;"",Results!$E45&lt;&gt;Results!$G45,$V99&lt;&gt;"",$W99&lt;&gt;""),Results!$J45,"")</f>
        <v/>
      </c>
      <c r="Z99" s="35" t="str">
        <f ca="1">IF(Planning!$F42=0,V99&amp;W99,"")</f>
        <v/>
      </c>
      <c r="AA99" s="13">
        <f t="shared" ca="1" si="78"/>
        <v>0</v>
      </c>
      <c r="AB99" s="13" t="str">
        <f ca="1">IF(AND(AA99&gt;0,Planning!$F42=0),X99&amp;Language!$E$66&amp;Y99,"")</f>
        <v/>
      </c>
      <c r="AC99" s="2" t="str">
        <f ca="1">IF(Planning!$F42=1,V99&amp;W99,"")</f>
        <v>FC BarcelonaInter Mailand</v>
      </c>
      <c r="AD99" s="165" t="str">
        <f ca="1">IF(AND(AA99&gt;0,Planning!$F42=1),X99&amp;Language!$E$66&amp;Y99,"")</f>
        <v/>
      </c>
      <c r="AE99" s="170" t="str">
        <f ca="1">IF($AA99=0,"",IF($X99&gt;$Y99,Settings!$C$4,IF($X99=$Y99,1,0)))</f>
        <v/>
      </c>
      <c r="AF99" s="165" t="str">
        <f ca="1">IF($AA99=0,"",IF($X99&lt;$Y99,Settings!$C$4,IF($X99=$Y99,1,0)))</f>
        <v/>
      </c>
    </row>
    <row r="100" spans="2:32" s="2" customFormat="1" x14ac:dyDescent="0.2">
      <c r="B100" s="4"/>
      <c r="C100" s="4"/>
      <c r="D100" s="4"/>
      <c r="E100" s="4"/>
      <c r="F100" s="13"/>
      <c r="G100" s="13"/>
      <c r="H100" s="13"/>
      <c r="I100" s="13"/>
      <c r="J100" s="13"/>
      <c r="K100" s="13"/>
      <c r="L100" s="13"/>
      <c r="M100" s="13"/>
      <c r="U100" s="74" t="s">
        <v>62</v>
      </c>
      <c r="V100" s="41" t="str">
        <f ca="1">Planning!$N43</f>
        <v>1. FC Riedwald</v>
      </c>
      <c r="W100" s="13" t="str">
        <f ca="1">Planning!$P43</f>
        <v>Eintracht Frankfurt</v>
      </c>
      <c r="X100" s="13" t="str">
        <f ca="1">IF(AND(Results!$H46&lt;&gt;"",Results!$J46&lt;&gt;"",Results!$E46&lt;&gt;Results!$G46,$V100&lt;&gt;"",$W100&lt;&gt;""),Results!$H46,"")</f>
        <v/>
      </c>
      <c r="Y100" s="36" t="str">
        <f ca="1">IF(AND(Results!$H46&lt;&gt;"",Results!$J46&lt;&gt;"",Results!$E46&lt;&gt;Results!$G46,$V100&lt;&gt;"",$W100&lt;&gt;""),Results!$J46,"")</f>
        <v/>
      </c>
      <c r="Z100" s="35" t="str">
        <f ca="1">IF(Planning!$F43=0,V100&amp;W100,"")</f>
        <v/>
      </c>
      <c r="AA100" s="13">
        <f t="shared" ref="AA100:AA135" ca="1" si="79">IF(AND(V100&lt;&gt;"",W100&lt;&gt;"",V100&lt;&gt;W100,X100&lt;&gt;"",Y100&lt;&gt;""),1,0)</f>
        <v>0</v>
      </c>
      <c r="AB100" s="13" t="str">
        <f ca="1">IF(AND(AA100&gt;0,Planning!$F43=0),X100&amp;Language!$E$66&amp;Y100,"")</f>
        <v/>
      </c>
      <c r="AC100" s="2" t="str">
        <f ca="1">IF(Planning!$F43=1,V100&amp;W100,"")</f>
        <v>1. FC RiedwaldEintracht Frankfurt</v>
      </c>
      <c r="AD100" s="165" t="str">
        <f ca="1">IF(AND(AA100&gt;0,Planning!$F43=1),X100&amp;Language!$E$66&amp;Y100,"")</f>
        <v/>
      </c>
      <c r="AE100" s="170" t="str">
        <f ca="1">IF($AA100=0,"",IF($X100&gt;$Y100,Settings!$C$4,IF($X100=$Y100,1,0)))</f>
        <v/>
      </c>
      <c r="AF100" s="165" t="str">
        <f ca="1">IF($AA100=0,"",IF($X100&lt;$Y100,Settings!$C$4,IF($X100=$Y100,1,0)))</f>
        <v/>
      </c>
    </row>
    <row r="101" spans="2:32" s="2" customFormat="1" x14ac:dyDescent="0.2">
      <c r="B101" s="4"/>
      <c r="C101" s="4"/>
      <c r="D101" s="4"/>
      <c r="E101" s="4"/>
      <c r="F101" s="13"/>
      <c r="G101" s="13"/>
      <c r="H101" s="13"/>
      <c r="I101" s="13"/>
      <c r="J101" s="13"/>
      <c r="K101" s="13"/>
      <c r="L101" s="13"/>
      <c r="M101" s="13"/>
      <c r="U101" s="74" t="s">
        <v>63</v>
      </c>
      <c r="V101" s="41" t="str">
        <f ca="1">Planning!$N44</f>
        <v>Maibach 1822 eV</v>
      </c>
      <c r="W101" s="13" t="str">
        <f ca="1">Planning!$P44</f>
        <v>FC Barcelona</v>
      </c>
      <c r="X101" s="13" t="str">
        <f ca="1">IF(AND(Results!$H47&lt;&gt;"",Results!$J47&lt;&gt;"",Results!$E47&lt;&gt;Results!$G47,$V101&lt;&gt;"",$W101&lt;&gt;""),Results!$H47,"")</f>
        <v/>
      </c>
      <c r="Y101" s="36" t="str">
        <f ca="1">IF(AND(Results!$H47&lt;&gt;"",Results!$J47&lt;&gt;"",Results!$E47&lt;&gt;Results!$G47,$V101&lt;&gt;"",$W101&lt;&gt;""),Results!$J47,"")</f>
        <v/>
      </c>
      <c r="Z101" s="35" t="str">
        <f ca="1">IF(Planning!$F44=0,V101&amp;W101,"")</f>
        <v/>
      </c>
      <c r="AA101" s="13">
        <f t="shared" ca="1" si="79"/>
        <v>0</v>
      </c>
      <c r="AB101" s="13" t="str">
        <f ca="1">IF(AND(AA101&gt;0,Planning!$F44=0),X101&amp;Language!$E$66&amp;Y101,"")</f>
        <v/>
      </c>
      <c r="AC101" s="2" t="str">
        <f ca="1">IF(Planning!$F44=1,V101&amp;W101,"")</f>
        <v>Maibach 1822 eVFC Barcelona</v>
      </c>
      <c r="AD101" s="165" t="str">
        <f ca="1">IF(AND(AA101&gt;0,Planning!$F44=1),X101&amp;Language!$E$66&amp;Y101,"")</f>
        <v/>
      </c>
      <c r="AE101" s="170" t="str">
        <f ca="1">IF($AA101=0,"",IF($X101&gt;$Y101,Settings!$C$4,IF($X101=$Y101,1,0)))</f>
        <v/>
      </c>
      <c r="AF101" s="165" t="str">
        <f ca="1">IF($AA101=0,"",IF($X101&lt;$Y101,Settings!$C$4,IF($X101=$Y101,1,0)))</f>
        <v/>
      </c>
    </row>
    <row r="102" spans="2:32" s="2" customFormat="1" x14ac:dyDescent="0.2">
      <c r="B102" s="4"/>
      <c r="C102" s="4"/>
      <c r="D102" s="4"/>
      <c r="E102" s="4"/>
      <c r="F102" s="13"/>
      <c r="G102" s="13"/>
      <c r="H102" s="13"/>
      <c r="I102" s="13"/>
      <c r="J102" s="13"/>
      <c r="K102" s="13"/>
      <c r="L102" s="13"/>
      <c r="M102" s="13"/>
      <c r="U102" s="74" t="s">
        <v>64</v>
      </c>
      <c r="V102" s="41" t="str">
        <f ca="1">Planning!$N45</f>
        <v>Inter Mailand</v>
      </c>
      <c r="W102" s="13" t="str">
        <f ca="1">Planning!$P45</f>
        <v>SSV Wildbach</v>
      </c>
      <c r="X102" s="13" t="str">
        <f ca="1">IF(AND(Results!$H48&lt;&gt;"",Results!$J48&lt;&gt;"",Results!$E48&lt;&gt;Results!$G48,$V102&lt;&gt;"",$W102&lt;&gt;""),Results!$H48,"")</f>
        <v/>
      </c>
      <c r="Y102" s="36" t="str">
        <f ca="1">IF(AND(Results!$H48&lt;&gt;"",Results!$J48&lt;&gt;"",Results!$E48&lt;&gt;Results!$G48,$V102&lt;&gt;"",$W102&lt;&gt;""),Results!$J48,"")</f>
        <v/>
      </c>
      <c r="Z102" s="35" t="str">
        <f ca="1">IF(Planning!$F45=0,V102&amp;W102,"")</f>
        <v/>
      </c>
      <c r="AA102" s="13">
        <f t="shared" ca="1" si="79"/>
        <v>0</v>
      </c>
      <c r="AB102" s="13" t="str">
        <f ca="1">IF(AND(AA102&gt;0,Planning!$F45=0),X102&amp;Language!$E$66&amp;Y102,"")</f>
        <v/>
      </c>
      <c r="AC102" s="2" t="str">
        <f ca="1">IF(Planning!$F45=1,V102&amp;W102,"")</f>
        <v>Inter MailandSSV Wildbach</v>
      </c>
      <c r="AD102" s="165" t="str">
        <f ca="1">IF(AND(AA102&gt;0,Planning!$F45=1),X102&amp;Language!$E$66&amp;Y102,"")</f>
        <v/>
      </c>
      <c r="AE102" s="170" t="str">
        <f ca="1">IF($AA102=0,"",IF($X102&gt;$Y102,Settings!$C$4,IF($X102=$Y102,1,0)))</f>
        <v/>
      </c>
      <c r="AF102" s="165" t="str">
        <f ca="1">IF($AA102=0,"",IF($X102&lt;$Y102,Settings!$C$4,IF($X102=$Y102,1,0)))</f>
        <v/>
      </c>
    </row>
    <row r="103" spans="2:32" s="2" customFormat="1" x14ac:dyDescent="0.2">
      <c r="B103" s="4"/>
      <c r="C103" s="4"/>
      <c r="D103" s="4"/>
      <c r="E103" s="4"/>
      <c r="F103" s="13"/>
      <c r="G103" s="13"/>
      <c r="H103" s="13"/>
      <c r="I103" s="13"/>
      <c r="J103" s="13"/>
      <c r="K103" s="13"/>
      <c r="L103" s="13"/>
      <c r="M103" s="13"/>
      <c r="U103" s="74" t="s">
        <v>65</v>
      </c>
      <c r="V103" s="41" t="str">
        <f ca="1">Planning!$N46</f>
        <v>FC Barcelona</v>
      </c>
      <c r="W103" s="13" t="str">
        <f ca="1">Planning!$P46</f>
        <v>1. FC Riedwald</v>
      </c>
      <c r="X103" s="13" t="str">
        <f ca="1">IF(AND(Results!$H49&lt;&gt;"",Results!$J49&lt;&gt;"",Results!$E49&lt;&gt;Results!$G49,$V103&lt;&gt;"",$W103&lt;&gt;""),Results!$H49,"")</f>
        <v/>
      </c>
      <c r="Y103" s="36" t="str">
        <f ca="1">IF(AND(Results!$H49&lt;&gt;"",Results!$J49&lt;&gt;"",Results!$E49&lt;&gt;Results!$G49,$V103&lt;&gt;"",$W103&lt;&gt;""),Results!$J49,"")</f>
        <v/>
      </c>
      <c r="Z103" s="35" t="str">
        <f ca="1">IF(Planning!$F46=0,V103&amp;W103,"")</f>
        <v/>
      </c>
      <c r="AA103" s="13">
        <f t="shared" ca="1" si="79"/>
        <v>0</v>
      </c>
      <c r="AB103" s="13" t="str">
        <f ca="1">IF(AND(AA103&gt;0,Planning!$F46=0),X103&amp;Language!$E$66&amp;Y103,"")</f>
        <v/>
      </c>
      <c r="AC103" s="2" t="str">
        <f ca="1">IF(Planning!$F46=1,V103&amp;W103,"")</f>
        <v>FC Barcelona1. FC Riedwald</v>
      </c>
      <c r="AD103" s="165" t="str">
        <f ca="1">IF(AND(AA103&gt;0,Planning!$F46=1),X103&amp;Language!$E$66&amp;Y103,"")</f>
        <v/>
      </c>
      <c r="AE103" s="170" t="str">
        <f ca="1">IF($AA103=0,"",IF($X103&gt;$Y103,Settings!$C$4,IF($X103=$Y103,1,0)))</f>
        <v/>
      </c>
      <c r="AF103" s="165" t="str">
        <f ca="1">IF($AA103=0,"",IF($X103&lt;$Y103,Settings!$C$4,IF($X103=$Y103,1,0)))</f>
        <v/>
      </c>
    </row>
    <row r="104" spans="2:32" s="2" customFormat="1" x14ac:dyDescent="0.2">
      <c r="B104" s="4"/>
      <c r="C104" s="4"/>
      <c r="D104" s="4"/>
      <c r="E104" s="4"/>
      <c r="F104" s="13"/>
      <c r="G104" s="13"/>
      <c r="H104" s="13"/>
      <c r="I104" s="13"/>
      <c r="J104" s="13"/>
      <c r="K104" s="13"/>
      <c r="L104" s="13"/>
      <c r="M104" s="13"/>
      <c r="U104" s="74" t="s">
        <v>66</v>
      </c>
      <c r="V104" s="41" t="str">
        <f ca="1">Planning!$N47</f>
        <v>SSV Wildbach</v>
      </c>
      <c r="W104" s="13" t="str">
        <f ca="1">Planning!$P47</f>
        <v>Maibach 1822 eV</v>
      </c>
      <c r="X104" s="13" t="str">
        <f ca="1">IF(AND(Results!$H50&lt;&gt;"",Results!$J50&lt;&gt;"",Results!$E50&lt;&gt;Results!$G50,$V104&lt;&gt;"",$W104&lt;&gt;""),Results!$H50,"")</f>
        <v/>
      </c>
      <c r="Y104" s="36" t="str">
        <f ca="1">IF(AND(Results!$H50&lt;&gt;"",Results!$J50&lt;&gt;"",Results!$E50&lt;&gt;Results!$G50,$V104&lt;&gt;"",$W104&lt;&gt;""),Results!$J50,"")</f>
        <v/>
      </c>
      <c r="Z104" s="35" t="str">
        <f ca="1">IF(Planning!$F47=0,V104&amp;W104,"")</f>
        <v/>
      </c>
      <c r="AA104" s="13">
        <f t="shared" ca="1" si="79"/>
        <v>0</v>
      </c>
      <c r="AB104" s="13" t="str">
        <f ca="1">IF(AND(AA104&gt;0,Planning!$F47=0),X104&amp;Language!$E$66&amp;Y104,"")</f>
        <v/>
      </c>
      <c r="AC104" s="2" t="str">
        <f ca="1">IF(Planning!$F47=1,V104&amp;W104,"")</f>
        <v>SSV WildbachMaibach 1822 eV</v>
      </c>
      <c r="AD104" s="165" t="str">
        <f ca="1">IF(AND(AA104&gt;0,Planning!$F47=1),X104&amp;Language!$E$66&amp;Y104,"")</f>
        <v/>
      </c>
      <c r="AE104" s="170" t="str">
        <f ca="1">IF($AA104=0,"",IF($X104&gt;$Y104,Settings!$C$4,IF($X104=$Y104,1,0)))</f>
        <v/>
      </c>
      <c r="AF104" s="165" t="str">
        <f ca="1">IF($AA104=0,"",IF($X104&lt;$Y104,Settings!$C$4,IF($X104=$Y104,1,0)))</f>
        <v/>
      </c>
    </row>
    <row r="105" spans="2:32" s="2" customFormat="1" x14ac:dyDescent="0.2">
      <c r="B105" s="4"/>
      <c r="C105" s="4"/>
      <c r="D105" s="4"/>
      <c r="E105" s="4"/>
      <c r="F105" s="13"/>
      <c r="G105" s="13"/>
      <c r="H105" s="13"/>
      <c r="I105" s="13"/>
      <c r="J105" s="13"/>
      <c r="K105" s="13"/>
      <c r="L105" s="13"/>
      <c r="M105" s="13"/>
      <c r="U105" s="74" t="s">
        <v>67</v>
      </c>
      <c r="V105" s="41" t="str">
        <f ca="1">Planning!$N48</f>
        <v>VFB Essenheim</v>
      </c>
      <c r="W105" s="13" t="str">
        <f ca="1">Planning!$P48</f>
        <v>Inter Mailand</v>
      </c>
      <c r="X105" s="13" t="str">
        <f ca="1">IF(AND(Results!$H51&lt;&gt;"",Results!$J51&lt;&gt;"",Results!$E51&lt;&gt;Results!$G51,$V105&lt;&gt;"",$W105&lt;&gt;""),Results!$H51,"")</f>
        <v/>
      </c>
      <c r="Y105" s="36" t="str">
        <f ca="1">IF(AND(Results!$H51&lt;&gt;"",Results!$J51&lt;&gt;"",Results!$E51&lt;&gt;Results!$G51,$V105&lt;&gt;"",$W105&lt;&gt;""),Results!$J51,"")</f>
        <v/>
      </c>
      <c r="Z105" s="35" t="str">
        <f ca="1">IF(Planning!$F48=0,V105&amp;W105,"")</f>
        <v/>
      </c>
      <c r="AA105" s="13">
        <f t="shared" ca="1" si="79"/>
        <v>0</v>
      </c>
      <c r="AB105" s="13" t="str">
        <f ca="1">IF(AND(AA105&gt;0,Planning!$F48=0),X105&amp;Language!$E$66&amp;Y105,"")</f>
        <v/>
      </c>
      <c r="AC105" s="2" t="str">
        <f ca="1">IF(Planning!$F48=1,V105&amp;W105,"")</f>
        <v>VFB EssenheimInter Mailand</v>
      </c>
      <c r="AD105" s="165" t="str">
        <f ca="1">IF(AND(AA105&gt;0,Planning!$F48=1),X105&amp;Language!$E$66&amp;Y105,"")</f>
        <v/>
      </c>
      <c r="AE105" s="170" t="str">
        <f ca="1">IF($AA105=0,"",IF($X105&gt;$Y105,Settings!$C$4,IF($X105=$Y105,1,0)))</f>
        <v/>
      </c>
      <c r="AF105" s="165" t="str">
        <f ca="1">IF($AA105=0,"",IF($X105&lt;$Y105,Settings!$C$4,IF($X105=$Y105,1,0)))</f>
        <v/>
      </c>
    </row>
    <row r="106" spans="2:32" s="2" customFormat="1" x14ac:dyDescent="0.2">
      <c r="B106" s="4"/>
      <c r="C106" s="4"/>
      <c r="D106" s="4"/>
      <c r="E106" s="4"/>
      <c r="F106" s="13"/>
      <c r="G106" s="13"/>
      <c r="H106" s="13"/>
      <c r="I106" s="13"/>
      <c r="J106" s="13"/>
      <c r="K106" s="13"/>
      <c r="L106" s="13"/>
      <c r="M106" s="13"/>
      <c r="U106" s="74" t="s">
        <v>68</v>
      </c>
      <c r="V106" s="41" t="str">
        <f ca="1">Planning!$N49</f>
        <v/>
      </c>
      <c r="W106" s="13" t="str">
        <f ca="1">Planning!$P49</f>
        <v/>
      </c>
      <c r="X106" s="13" t="str">
        <f ca="1">IF(AND(Results!$H52&lt;&gt;"",Results!$J52&lt;&gt;"",Results!$E52&lt;&gt;Results!$G52,$V106&lt;&gt;"",$W106&lt;&gt;""),Results!$H52,"")</f>
        <v/>
      </c>
      <c r="Y106" s="36" t="str">
        <f ca="1">IF(AND(Results!$H52&lt;&gt;"",Results!$J52&lt;&gt;"",Results!$E52&lt;&gt;Results!$G52,$V106&lt;&gt;"",$W106&lt;&gt;""),Results!$J52,"")</f>
        <v/>
      </c>
      <c r="Z106" s="35" t="str">
        <f ca="1">IF(Planning!$F49=0,V106&amp;W106,"")</f>
        <v/>
      </c>
      <c r="AA106" s="13">
        <f t="shared" ca="1" si="79"/>
        <v>0</v>
      </c>
      <c r="AB106" s="13" t="str">
        <f ca="1">IF(AND(AA106&gt;0,Planning!$F49=0),X106&amp;Language!$E$66&amp;Y106,"")</f>
        <v/>
      </c>
      <c r="AC106" s="2" t="str">
        <f ca="1">IF(Planning!$F49=1,V106&amp;W106,"")</f>
        <v/>
      </c>
      <c r="AD106" s="165" t="str">
        <f ca="1">IF(AND(AA106&gt;0,Planning!$F49=1),X106&amp;Language!$E$66&amp;Y106,"")</f>
        <v/>
      </c>
      <c r="AE106" s="170" t="str">
        <f ca="1">IF($AA106=0,"",IF($X106&gt;$Y106,Settings!$C$4,IF($X106=$Y106,1,0)))</f>
        <v/>
      </c>
      <c r="AF106" s="165" t="str">
        <f ca="1">IF($AA106=0,"",IF($X106&lt;$Y106,Settings!$C$4,IF($X106=$Y106,1,0)))</f>
        <v/>
      </c>
    </row>
    <row r="107" spans="2:32" s="2" customFormat="1" x14ac:dyDescent="0.2">
      <c r="B107" s="4"/>
      <c r="C107" s="4"/>
      <c r="D107" s="4"/>
      <c r="E107" s="4"/>
      <c r="F107" s="13"/>
      <c r="G107" s="13"/>
      <c r="H107" s="13"/>
      <c r="I107" s="13"/>
      <c r="J107" s="13"/>
      <c r="K107" s="13"/>
      <c r="L107" s="13"/>
      <c r="M107" s="13"/>
      <c r="U107" s="74" t="s">
        <v>69</v>
      </c>
      <c r="V107" s="41" t="str">
        <f ca="1">Planning!$N50</f>
        <v/>
      </c>
      <c r="W107" s="13" t="str">
        <f ca="1">Planning!$P50</f>
        <v/>
      </c>
      <c r="X107" s="13" t="str">
        <f ca="1">IF(AND(Results!$H53&lt;&gt;"",Results!$J53&lt;&gt;"",Results!$E53&lt;&gt;Results!$G53,$V107&lt;&gt;"",$W107&lt;&gt;""),Results!$H53,"")</f>
        <v/>
      </c>
      <c r="Y107" s="36" t="str">
        <f ca="1">IF(AND(Results!$H53&lt;&gt;"",Results!$J53&lt;&gt;"",Results!$E53&lt;&gt;Results!$G53,$V107&lt;&gt;"",$W107&lt;&gt;""),Results!$J53,"")</f>
        <v/>
      </c>
      <c r="Z107" s="35" t="str">
        <f ca="1">IF(Planning!$F50=0,V107&amp;W107,"")</f>
        <v/>
      </c>
      <c r="AA107" s="13">
        <f t="shared" ca="1" si="79"/>
        <v>0</v>
      </c>
      <c r="AB107" s="13" t="str">
        <f ca="1">IF(AND(AA107&gt;0,Planning!$F50=0),X107&amp;Language!$E$66&amp;Y107,"")</f>
        <v/>
      </c>
      <c r="AC107" s="2" t="str">
        <f ca="1">IF(Planning!$F50=1,V107&amp;W107,"")</f>
        <v/>
      </c>
      <c r="AD107" s="165" t="str">
        <f ca="1">IF(AND(AA107&gt;0,Planning!$F50=1),X107&amp;Language!$E$66&amp;Y107,"")</f>
        <v/>
      </c>
      <c r="AE107" s="170" t="str">
        <f ca="1">IF($AA107=0,"",IF($X107&gt;$Y107,Settings!$C$4,IF($X107=$Y107,1,0)))</f>
        <v/>
      </c>
      <c r="AF107" s="165" t="str">
        <f ca="1">IF($AA107=0,"",IF($X107&lt;$Y107,Settings!$C$4,IF($X107=$Y107,1,0)))</f>
        <v/>
      </c>
    </row>
    <row r="108" spans="2:32" s="2" customFormat="1" x14ac:dyDescent="0.2">
      <c r="B108" s="4"/>
      <c r="C108" s="4"/>
      <c r="D108" s="4"/>
      <c r="E108" s="4"/>
      <c r="F108" s="13"/>
      <c r="G108" s="13"/>
      <c r="H108" s="13"/>
      <c r="I108" s="13"/>
      <c r="J108" s="13"/>
      <c r="K108" s="13"/>
      <c r="L108" s="13"/>
      <c r="M108" s="13"/>
      <c r="U108" s="74" t="s">
        <v>70</v>
      </c>
      <c r="V108" s="41" t="str">
        <f ca="1">Planning!$N51</f>
        <v/>
      </c>
      <c r="W108" s="13" t="str">
        <f ca="1">Planning!$P51</f>
        <v/>
      </c>
      <c r="X108" s="13" t="str">
        <f ca="1">IF(AND(Results!$H54&lt;&gt;"",Results!$J54&lt;&gt;"",Results!$E54&lt;&gt;Results!$G54,$V108&lt;&gt;"",$W108&lt;&gt;""),Results!$H54,"")</f>
        <v/>
      </c>
      <c r="Y108" s="36" t="str">
        <f ca="1">IF(AND(Results!$H54&lt;&gt;"",Results!$J54&lt;&gt;"",Results!$E54&lt;&gt;Results!$G54,$V108&lt;&gt;"",$W108&lt;&gt;""),Results!$J54,"")</f>
        <v/>
      </c>
      <c r="Z108" s="35" t="str">
        <f ca="1">IF(Planning!$F51=0,V108&amp;W108,"")</f>
        <v/>
      </c>
      <c r="AA108" s="13">
        <f t="shared" ca="1" si="79"/>
        <v>0</v>
      </c>
      <c r="AB108" s="13" t="str">
        <f ca="1">IF(AND(AA108&gt;0,Planning!$F51=0),X108&amp;Language!$E$66&amp;Y108,"")</f>
        <v/>
      </c>
      <c r="AC108" s="2" t="str">
        <f ca="1">IF(Planning!$F51=1,V108&amp;W108,"")</f>
        <v/>
      </c>
      <c r="AD108" s="165" t="str">
        <f ca="1">IF(AND(AA108&gt;0,Planning!$F51=1),X108&amp;Language!$E$66&amp;Y108,"")</f>
        <v/>
      </c>
      <c r="AE108" s="170" t="str">
        <f ca="1">IF($AA108=0,"",IF($X108&gt;$Y108,Settings!$C$4,IF($X108=$Y108,1,0)))</f>
        <v/>
      </c>
      <c r="AF108" s="165" t="str">
        <f ca="1">IF($AA108=0,"",IF($X108&lt;$Y108,Settings!$C$4,IF($X108=$Y108,1,0)))</f>
        <v/>
      </c>
    </row>
    <row r="109" spans="2:32" s="2" customFormat="1" x14ac:dyDescent="0.2">
      <c r="B109" s="4"/>
      <c r="C109" s="4"/>
      <c r="D109" s="4"/>
      <c r="E109" s="4"/>
      <c r="F109" s="13"/>
      <c r="G109" s="13"/>
      <c r="H109" s="13"/>
      <c r="I109" s="13"/>
      <c r="J109" s="13"/>
      <c r="K109" s="13"/>
      <c r="L109" s="13"/>
      <c r="M109" s="13"/>
      <c r="U109" s="74" t="s">
        <v>71</v>
      </c>
      <c r="V109" s="41" t="str">
        <f ca="1">Planning!$N52</f>
        <v/>
      </c>
      <c r="W109" s="13" t="str">
        <f ca="1">Planning!$P52</f>
        <v/>
      </c>
      <c r="X109" s="13" t="str">
        <f ca="1">IF(AND(Results!$H55&lt;&gt;"",Results!$J55&lt;&gt;"",Results!$E55&lt;&gt;Results!$G55,$V109&lt;&gt;"",$W109&lt;&gt;""),Results!$H55,"")</f>
        <v/>
      </c>
      <c r="Y109" s="36" t="str">
        <f ca="1">IF(AND(Results!$H55&lt;&gt;"",Results!$J55&lt;&gt;"",Results!$E55&lt;&gt;Results!$G55,$V109&lt;&gt;"",$W109&lt;&gt;""),Results!$J55,"")</f>
        <v/>
      </c>
      <c r="Z109" s="35" t="str">
        <f ca="1">IF(Planning!$F52=0,V109&amp;W109,"")</f>
        <v/>
      </c>
      <c r="AA109" s="13">
        <f t="shared" ca="1" si="79"/>
        <v>0</v>
      </c>
      <c r="AB109" s="13" t="str">
        <f ca="1">IF(AND(AA109&gt;0,Planning!$F52=0),X109&amp;Language!$E$66&amp;Y109,"")</f>
        <v/>
      </c>
      <c r="AC109" s="2" t="str">
        <f ca="1">IF(Planning!$F52=1,V109&amp;W109,"")</f>
        <v/>
      </c>
      <c r="AD109" s="165" t="str">
        <f ca="1">IF(AND(AA109&gt;0,Planning!$F52=1),X109&amp;Language!$E$66&amp;Y109,"")</f>
        <v/>
      </c>
      <c r="AE109" s="170" t="str">
        <f ca="1">IF($AA109=0,"",IF($X109&gt;$Y109,Settings!$C$4,IF($X109=$Y109,1,0)))</f>
        <v/>
      </c>
      <c r="AF109" s="165" t="str">
        <f ca="1">IF($AA109=0,"",IF($X109&lt;$Y109,Settings!$C$4,IF($X109=$Y109,1,0)))</f>
        <v/>
      </c>
    </row>
    <row r="110" spans="2:32" s="2" customFormat="1" x14ac:dyDescent="0.2">
      <c r="B110" s="4"/>
      <c r="C110" s="4"/>
      <c r="D110" s="4"/>
      <c r="E110" s="4"/>
      <c r="F110" s="13"/>
      <c r="G110" s="13"/>
      <c r="H110" s="13"/>
      <c r="I110" s="13"/>
      <c r="J110" s="13"/>
      <c r="K110" s="13"/>
      <c r="L110" s="13"/>
      <c r="M110" s="13"/>
      <c r="U110" s="74" t="s">
        <v>72</v>
      </c>
      <c r="V110" s="41" t="str">
        <f ca="1">Planning!$N53</f>
        <v/>
      </c>
      <c r="W110" s="13" t="str">
        <f ca="1">Planning!$P53</f>
        <v/>
      </c>
      <c r="X110" s="13" t="str">
        <f ca="1">IF(AND(Results!$H56&lt;&gt;"",Results!$J56&lt;&gt;"",Results!$E56&lt;&gt;Results!$G56,$V110&lt;&gt;"",$W110&lt;&gt;""),Results!$H56,"")</f>
        <v/>
      </c>
      <c r="Y110" s="36" t="str">
        <f ca="1">IF(AND(Results!$H56&lt;&gt;"",Results!$J56&lt;&gt;"",Results!$E56&lt;&gt;Results!$G56,$V110&lt;&gt;"",$W110&lt;&gt;""),Results!$J56,"")</f>
        <v/>
      </c>
      <c r="Z110" s="35" t="str">
        <f ca="1">IF(Planning!$F53=0,V110&amp;W110,"")</f>
        <v/>
      </c>
      <c r="AA110" s="13">
        <f t="shared" ca="1" si="79"/>
        <v>0</v>
      </c>
      <c r="AB110" s="13" t="str">
        <f ca="1">IF(AND(AA110&gt;0,Planning!$F53=0),X110&amp;Language!$E$66&amp;Y110,"")</f>
        <v/>
      </c>
      <c r="AC110" s="2" t="str">
        <f ca="1">IF(Planning!$F53=1,V110&amp;W110,"")</f>
        <v/>
      </c>
      <c r="AD110" s="165" t="str">
        <f ca="1">IF(AND(AA110&gt;0,Planning!$F53=1),X110&amp;Language!$E$66&amp;Y110,"")</f>
        <v/>
      </c>
      <c r="AE110" s="170" t="str">
        <f ca="1">IF($AA110=0,"",IF($X110&gt;$Y110,Settings!$C$4,IF($X110=$Y110,1,0)))</f>
        <v/>
      </c>
      <c r="AF110" s="165" t="str">
        <f ca="1">IF($AA110=0,"",IF($X110&lt;$Y110,Settings!$C$4,IF($X110=$Y110,1,0)))</f>
        <v/>
      </c>
    </row>
    <row r="111" spans="2:32" s="2" customFormat="1" x14ac:dyDescent="0.2">
      <c r="B111" s="4"/>
      <c r="C111" s="4"/>
      <c r="D111" s="4"/>
      <c r="E111" s="4"/>
      <c r="F111" s="13"/>
      <c r="G111" s="13"/>
      <c r="H111" s="13"/>
      <c r="I111" s="13"/>
      <c r="J111" s="13"/>
      <c r="K111" s="13"/>
      <c r="L111" s="13"/>
      <c r="M111" s="13"/>
      <c r="U111" s="74" t="s">
        <v>73</v>
      </c>
      <c r="V111" s="41" t="str">
        <f ca="1">Planning!$N54</f>
        <v/>
      </c>
      <c r="W111" s="13" t="str">
        <f ca="1">Planning!$P54</f>
        <v/>
      </c>
      <c r="X111" s="13" t="str">
        <f ca="1">IF(AND(Results!$H57&lt;&gt;"",Results!$J57&lt;&gt;"",Results!$E57&lt;&gt;Results!$G57,$V111&lt;&gt;"",$W111&lt;&gt;""),Results!$H57,"")</f>
        <v/>
      </c>
      <c r="Y111" s="36" t="str">
        <f ca="1">IF(AND(Results!$H57&lt;&gt;"",Results!$J57&lt;&gt;"",Results!$E57&lt;&gt;Results!$G57,$V111&lt;&gt;"",$W111&lt;&gt;""),Results!$J57,"")</f>
        <v/>
      </c>
      <c r="Z111" s="35" t="str">
        <f ca="1">IF(Planning!$F54=0,V111&amp;W111,"")</f>
        <v/>
      </c>
      <c r="AA111" s="13">
        <f t="shared" ca="1" si="79"/>
        <v>0</v>
      </c>
      <c r="AB111" s="13" t="str">
        <f ca="1">IF(AND(AA111&gt;0,Planning!$F54=0),X111&amp;Language!$E$66&amp;Y111,"")</f>
        <v/>
      </c>
      <c r="AC111" s="2" t="str">
        <f ca="1">IF(Planning!$F54=1,V111&amp;W111,"")</f>
        <v/>
      </c>
      <c r="AD111" s="165" t="str">
        <f ca="1">IF(AND(AA111&gt;0,Planning!$F54=1),X111&amp;Language!$E$66&amp;Y111,"")</f>
        <v/>
      </c>
      <c r="AE111" s="170" t="str">
        <f ca="1">IF($AA111=0,"",IF($X111&gt;$Y111,Settings!$C$4,IF($X111=$Y111,1,0)))</f>
        <v/>
      </c>
      <c r="AF111" s="165" t="str">
        <f ca="1">IF($AA111=0,"",IF($X111&lt;$Y111,Settings!$C$4,IF($X111=$Y111,1,0)))</f>
        <v/>
      </c>
    </row>
    <row r="112" spans="2:32" s="2" customFormat="1" x14ac:dyDescent="0.2">
      <c r="B112" s="4"/>
      <c r="C112" s="4"/>
      <c r="D112" s="4"/>
      <c r="E112" s="4"/>
      <c r="F112" s="13"/>
      <c r="G112" s="13"/>
      <c r="H112" s="13"/>
      <c r="I112" s="13"/>
      <c r="J112" s="13"/>
      <c r="K112" s="13"/>
      <c r="L112" s="13"/>
      <c r="M112" s="13"/>
      <c r="U112" s="74" t="s">
        <v>74</v>
      </c>
      <c r="V112" s="41" t="str">
        <f ca="1">Planning!$N55</f>
        <v/>
      </c>
      <c r="W112" s="13" t="str">
        <f ca="1">Planning!$P55</f>
        <v/>
      </c>
      <c r="X112" s="13" t="str">
        <f ca="1">IF(AND(Results!$H58&lt;&gt;"",Results!$J58&lt;&gt;"",Results!$E58&lt;&gt;Results!$G58,$V112&lt;&gt;"",$W112&lt;&gt;""),Results!$H58,"")</f>
        <v/>
      </c>
      <c r="Y112" s="36" t="str">
        <f ca="1">IF(AND(Results!$H58&lt;&gt;"",Results!$J58&lt;&gt;"",Results!$E58&lt;&gt;Results!$G58,$V112&lt;&gt;"",$W112&lt;&gt;""),Results!$J58,"")</f>
        <v/>
      </c>
      <c r="Z112" s="35" t="str">
        <f ca="1">IF(Planning!$F55=0,V112&amp;W112,"")</f>
        <v/>
      </c>
      <c r="AA112" s="13">
        <f t="shared" ca="1" si="79"/>
        <v>0</v>
      </c>
      <c r="AB112" s="13" t="str">
        <f ca="1">IF(AND(AA112&gt;0,Planning!$F55=0),X112&amp;Language!$E$66&amp;Y112,"")</f>
        <v/>
      </c>
      <c r="AC112" s="2" t="str">
        <f ca="1">IF(Planning!$F55=1,V112&amp;W112,"")</f>
        <v/>
      </c>
      <c r="AD112" s="165" t="str">
        <f ca="1">IF(AND(AA112&gt;0,Planning!$F55=1),X112&amp;Language!$E$66&amp;Y112,"")</f>
        <v/>
      </c>
      <c r="AE112" s="170" t="str">
        <f ca="1">IF($AA112=0,"",IF($X112&gt;$Y112,Settings!$C$4,IF($X112=$Y112,1,0)))</f>
        <v/>
      </c>
      <c r="AF112" s="165" t="str">
        <f ca="1">IF($AA112=0,"",IF($X112&lt;$Y112,Settings!$C$4,IF($X112=$Y112,1,0)))</f>
        <v/>
      </c>
    </row>
    <row r="113" spans="2:32" s="2" customFormat="1" x14ac:dyDescent="0.2">
      <c r="B113" s="4"/>
      <c r="C113" s="4"/>
      <c r="D113" s="4"/>
      <c r="E113" s="4"/>
      <c r="F113" s="13"/>
      <c r="G113" s="13"/>
      <c r="H113" s="13"/>
      <c r="I113" s="13"/>
      <c r="J113" s="13"/>
      <c r="K113" s="13"/>
      <c r="L113" s="13"/>
      <c r="M113" s="13"/>
      <c r="U113" s="74" t="s">
        <v>75</v>
      </c>
      <c r="V113" s="41" t="str">
        <f ca="1">Planning!$N56</f>
        <v/>
      </c>
      <c r="W113" s="13" t="str">
        <f ca="1">Planning!$P56</f>
        <v/>
      </c>
      <c r="X113" s="13" t="str">
        <f ca="1">IF(AND(Results!$H59&lt;&gt;"",Results!$J59&lt;&gt;"",Results!$E59&lt;&gt;Results!$G59,$V113&lt;&gt;"",$W113&lt;&gt;""),Results!$H59,"")</f>
        <v/>
      </c>
      <c r="Y113" s="36" t="str">
        <f ca="1">IF(AND(Results!$H59&lt;&gt;"",Results!$J59&lt;&gt;"",Results!$E59&lt;&gt;Results!$G59,$V113&lt;&gt;"",$W113&lt;&gt;""),Results!$J59,"")</f>
        <v/>
      </c>
      <c r="Z113" s="35" t="str">
        <f ca="1">IF(Planning!$F56=0,V113&amp;W113,"")</f>
        <v/>
      </c>
      <c r="AA113" s="13">
        <f t="shared" ca="1" si="79"/>
        <v>0</v>
      </c>
      <c r="AB113" s="13" t="str">
        <f ca="1">IF(AND(AA113&gt;0,Planning!$F56=0),X113&amp;Language!$E$66&amp;Y113,"")</f>
        <v/>
      </c>
      <c r="AC113" s="2" t="str">
        <f ca="1">IF(Planning!$F56=1,V113&amp;W113,"")</f>
        <v/>
      </c>
      <c r="AD113" s="165" t="str">
        <f ca="1">IF(AND(AA113&gt;0,Planning!$F56=1),X113&amp;Language!$E$66&amp;Y113,"")</f>
        <v/>
      </c>
      <c r="AE113" s="170" t="str">
        <f ca="1">IF($AA113=0,"",IF($X113&gt;$Y113,Settings!$C$4,IF($X113=$Y113,1,0)))</f>
        <v/>
      </c>
      <c r="AF113" s="165" t="str">
        <f ca="1">IF($AA113=0,"",IF($X113&lt;$Y113,Settings!$C$4,IF($X113=$Y113,1,0)))</f>
        <v/>
      </c>
    </row>
    <row r="114" spans="2:32" s="2" customFormat="1" x14ac:dyDescent="0.2">
      <c r="B114" s="4"/>
      <c r="C114" s="4"/>
      <c r="D114" s="4"/>
      <c r="E114" s="4"/>
      <c r="F114" s="13"/>
      <c r="G114" s="13"/>
      <c r="H114" s="13"/>
      <c r="I114" s="13"/>
      <c r="J114" s="13"/>
      <c r="K114" s="13"/>
      <c r="L114" s="13"/>
      <c r="M114" s="13"/>
      <c r="U114" s="74" t="s">
        <v>76</v>
      </c>
      <c r="V114" s="41" t="str">
        <f ca="1">Planning!$N57</f>
        <v/>
      </c>
      <c r="W114" s="13" t="str">
        <f ca="1">Planning!$P57</f>
        <v/>
      </c>
      <c r="X114" s="13" t="str">
        <f ca="1">IF(AND(Results!$H60&lt;&gt;"",Results!$J60&lt;&gt;"",Results!$E60&lt;&gt;Results!$G60,$V114&lt;&gt;"",$W114&lt;&gt;""),Results!$H60,"")</f>
        <v/>
      </c>
      <c r="Y114" s="36" t="str">
        <f ca="1">IF(AND(Results!$H60&lt;&gt;"",Results!$J60&lt;&gt;"",Results!$E60&lt;&gt;Results!$G60,$V114&lt;&gt;"",$W114&lt;&gt;""),Results!$J60,"")</f>
        <v/>
      </c>
      <c r="Z114" s="35" t="str">
        <f ca="1">IF(Planning!$F57=0,V114&amp;W114,"")</f>
        <v/>
      </c>
      <c r="AA114" s="13">
        <f t="shared" ca="1" si="79"/>
        <v>0</v>
      </c>
      <c r="AB114" s="13" t="str">
        <f ca="1">IF(AND(AA114&gt;0,Planning!$F57=0),X114&amp;Language!$E$66&amp;Y114,"")</f>
        <v/>
      </c>
      <c r="AC114" s="2" t="str">
        <f ca="1">IF(Planning!$F57=1,V114&amp;W114,"")</f>
        <v/>
      </c>
      <c r="AD114" s="165" t="str">
        <f ca="1">IF(AND(AA114&gt;0,Planning!$F57=1),X114&amp;Language!$E$66&amp;Y114,"")</f>
        <v/>
      </c>
      <c r="AE114" s="170" t="str">
        <f ca="1">IF($AA114=0,"",IF($X114&gt;$Y114,Settings!$C$4,IF($X114=$Y114,1,0)))</f>
        <v/>
      </c>
      <c r="AF114" s="165" t="str">
        <f ca="1">IF($AA114=0,"",IF($X114&lt;$Y114,Settings!$C$4,IF($X114=$Y114,1,0)))</f>
        <v/>
      </c>
    </row>
    <row r="115" spans="2:32" s="2" customFormat="1" x14ac:dyDescent="0.2">
      <c r="B115" s="4"/>
      <c r="C115" s="4"/>
      <c r="D115" s="4"/>
      <c r="E115" s="4"/>
      <c r="F115" s="13"/>
      <c r="G115" s="13"/>
      <c r="H115" s="13"/>
      <c r="I115" s="13"/>
      <c r="J115" s="13"/>
      <c r="K115" s="13"/>
      <c r="L115" s="13"/>
      <c r="M115" s="13"/>
      <c r="U115" s="74" t="s">
        <v>77</v>
      </c>
      <c r="V115" s="41" t="str">
        <f ca="1">Planning!$N58</f>
        <v/>
      </c>
      <c r="W115" s="13" t="str">
        <f ca="1">Planning!$P58</f>
        <v/>
      </c>
      <c r="X115" s="13" t="str">
        <f ca="1">IF(AND(Results!$H61&lt;&gt;"",Results!$J61&lt;&gt;"",Results!$E61&lt;&gt;Results!$G61,$V115&lt;&gt;"",$W115&lt;&gt;""),Results!$H61,"")</f>
        <v/>
      </c>
      <c r="Y115" s="36" t="str">
        <f ca="1">IF(AND(Results!$H61&lt;&gt;"",Results!$J61&lt;&gt;"",Results!$E61&lt;&gt;Results!$G61,$V115&lt;&gt;"",$W115&lt;&gt;""),Results!$J61,"")</f>
        <v/>
      </c>
      <c r="Z115" s="35" t="str">
        <f ca="1">IF(Planning!$F58=0,V115&amp;W115,"")</f>
        <v/>
      </c>
      <c r="AA115" s="13">
        <f t="shared" ca="1" si="79"/>
        <v>0</v>
      </c>
      <c r="AB115" s="13" t="str">
        <f ca="1">IF(AND(AA115&gt;0,Planning!$F58=0),X115&amp;Language!$E$66&amp;Y115,"")</f>
        <v/>
      </c>
      <c r="AC115" s="2" t="str">
        <f ca="1">IF(Planning!$F58=1,V115&amp;W115,"")</f>
        <v/>
      </c>
      <c r="AD115" s="165" t="str">
        <f ca="1">IF(AND(AA115&gt;0,Planning!$F58=1),X115&amp;Language!$E$66&amp;Y115,"")</f>
        <v/>
      </c>
      <c r="AE115" s="170" t="str">
        <f ca="1">IF($AA115=0,"",IF($X115&gt;$Y115,Settings!$C$4,IF($X115=$Y115,1,0)))</f>
        <v/>
      </c>
      <c r="AF115" s="165" t="str">
        <f ca="1">IF($AA115=0,"",IF($X115&lt;$Y115,Settings!$C$4,IF($X115=$Y115,1,0)))</f>
        <v/>
      </c>
    </row>
    <row r="116" spans="2:32" s="2" customFormat="1" x14ac:dyDescent="0.2">
      <c r="B116" s="4"/>
      <c r="C116" s="4"/>
      <c r="D116" s="4"/>
      <c r="E116" s="4"/>
      <c r="F116" s="13"/>
      <c r="G116" s="13"/>
      <c r="H116" s="13"/>
      <c r="I116" s="13"/>
      <c r="J116" s="13"/>
      <c r="K116" s="13"/>
      <c r="L116" s="13"/>
      <c r="M116" s="13"/>
      <c r="U116" s="74" t="s">
        <v>78</v>
      </c>
      <c r="V116" s="41" t="str">
        <f ca="1">Planning!$N59</f>
        <v/>
      </c>
      <c r="W116" s="13" t="str">
        <f ca="1">Planning!$P59</f>
        <v/>
      </c>
      <c r="X116" s="13" t="str">
        <f ca="1">IF(AND(Results!$H62&lt;&gt;"",Results!$J62&lt;&gt;"",Results!$E62&lt;&gt;Results!$G62,$V116&lt;&gt;"",$W116&lt;&gt;""),Results!$H62,"")</f>
        <v/>
      </c>
      <c r="Y116" s="36" t="str">
        <f ca="1">IF(AND(Results!$H62&lt;&gt;"",Results!$J62&lt;&gt;"",Results!$E62&lt;&gt;Results!$G62,$V116&lt;&gt;"",$W116&lt;&gt;""),Results!$J62,"")</f>
        <v/>
      </c>
      <c r="Z116" s="35" t="str">
        <f ca="1">IF(Planning!$F59=0,V116&amp;W116,"")</f>
        <v/>
      </c>
      <c r="AA116" s="13">
        <f t="shared" ca="1" si="79"/>
        <v>0</v>
      </c>
      <c r="AB116" s="13" t="str">
        <f ca="1">IF(AND(AA116&gt;0,Planning!$F59=0),X116&amp;Language!$E$66&amp;Y116,"")</f>
        <v/>
      </c>
      <c r="AC116" s="2" t="str">
        <f ca="1">IF(Planning!$F59=1,V116&amp;W116,"")</f>
        <v/>
      </c>
      <c r="AD116" s="165" t="str">
        <f ca="1">IF(AND(AA116&gt;0,Planning!$F59=1),X116&amp;Language!$E$66&amp;Y116,"")</f>
        <v/>
      </c>
      <c r="AE116" s="170" t="str">
        <f ca="1">IF($AA116=0,"",IF($X116&gt;$Y116,Settings!$C$4,IF($X116=$Y116,1,0)))</f>
        <v/>
      </c>
      <c r="AF116" s="165" t="str">
        <f ca="1">IF($AA116=0,"",IF($X116&lt;$Y116,Settings!$C$4,IF($X116=$Y116,1,0)))</f>
        <v/>
      </c>
    </row>
    <row r="117" spans="2:32" s="2" customFormat="1" x14ac:dyDescent="0.2">
      <c r="B117" s="4"/>
      <c r="C117" s="4"/>
      <c r="D117" s="4"/>
      <c r="E117" s="4"/>
      <c r="F117" s="13"/>
      <c r="G117" s="13"/>
      <c r="H117" s="13"/>
      <c r="I117" s="13"/>
      <c r="J117" s="13"/>
      <c r="K117" s="13"/>
      <c r="L117" s="13"/>
      <c r="M117" s="13"/>
      <c r="U117" s="74" t="s">
        <v>79</v>
      </c>
      <c r="V117" s="41" t="str">
        <f ca="1">Planning!$N60</f>
        <v/>
      </c>
      <c r="W117" s="13" t="str">
        <f ca="1">Planning!$P60</f>
        <v/>
      </c>
      <c r="X117" s="13" t="str">
        <f ca="1">IF(AND(Results!$H63&lt;&gt;"",Results!$J63&lt;&gt;"",Results!$E63&lt;&gt;Results!$G63,$V117&lt;&gt;"",$W117&lt;&gt;""),Results!$H63,"")</f>
        <v/>
      </c>
      <c r="Y117" s="36" t="str">
        <f ca="1">IF(AND(Results!$H63&lt;&gt;"",Results!$J63&lt;&gt;"",Results!$E63&lt;&gt;Results!$G63,$V117&lt;&gt;"",$W117&lt;&gt;""),Results!$J63,"")</f>
        <v/>
      </c>
      <c r="Z117" s="35" t="str">
        <f ca="1">IF(Planning!$F60=0,V117&amp;W117,"")</f>
        <v/>
      </c>
      <c r="AA117" s="13">
        <f t="shared" ca="1" si="79"/>
        <v>0</v>
      </c>
      <c r="AB117" s="13" t="str">
        <f ca="1">IF(AND(AA117&gt;0,Planning!$F60=0),X117&amp;Language!$E$66&amp;Y117,"")</f>
        <v/>
      </c>
      <c r="AC117" s="2" t="str">
        <f ca="1">IF(Planning!$F60=1,V117&amp;W117,"")</f>
        <v/>
      </c>
      <c r="AD117" s="165" t="str">
        <f ca="1">IF(AND(AA117&gt;0,Planning!$F60=1),X117&amp;Language!$E$66&amp;Y117,"")</f>
        <v/>
      </c>
      <c r="AE117" s="170" t="str">
        <f ca="1">IF($AA117=0,"",IF($X117&gt;$Y117,Settings!$C$4,IF($X117=$Y117,1,0)))</f>
        <v/>
      </c>
      <c r="AF117" s="165" t="str">
        <f ca="1">IF($AA117=0,"",IF($X117&lt;$Y117,Settings!$C$4,IF($X117=$Y117,1,0)))</f>
        <v/>
      </c>
    </row>
    <row r="118" spans="2:32" s="2" customFormat="1" x14ac:dyDescent="0.2">
      <c r="B118" s="4"/>
      <c r="C118" s="4"/>
      <c r="D118" s="4"/>
      <c r="E118" s="4"/>
      <c r="F118" s="13"/>
      <c r="G118" s="13"/>
      <c r="H118" s="13"/>
      <c r="I118" s="13"/>
      <c r="J118" s="13"/>
      <c r="K118" s="13"/>
      <c r="L118" s="13"/>
      <c r="M118" s="13"/>
      <c r="U118" s="74" t="s">
        <v>80</v>
      </c>
      <c r="V118" s="41" t="str">
        <f ca="1">Planning!$N61</f>
        <v/>
      </c>
      <c r="W118" s="13" t="str">
        <f ca="1">Planning!$P61</f>
        <v/>
      </c>
      <c r="X118" s="13" t="str">
        <f ca="1">IF(AND(Results!$H64&lt;&gt;"",Results!$J64&lt;&gt;"",Results!$E64&lt;&gt;Results!$G64,$V118&lt;&gt;"",$W118&lt;&gt;""),Results!$H64,"")</f>
        <v/>
      </c>
      <c r="Y118" s="36" t="str">
        <f ca="1">IF(AND(Results!$H64&lt;&gt;"",Results!$J64&lt;&gt;"",Results!$E64&lt;&gt;Results!$G64,$V118&lt;&gt;"",$W118&lt;&gt;""),Results!$J64,"")</f>
        <v/>
      </c>
      <c r="Z118" s="35" t="str">
        <f ca="1">IF(Planning!$F61=0,V118&amp;W118,"")</f>
        <v/>
      </c>
      <c r="AA118" s="13">
        <f t="shared" ca="1" si="79"/>
        <v>0</v>
      </c>
      <c r="AB118" s="13" t="str">
        <f ca="1">IF(AND(AA118&gt;0,Planning!$F61=0),X118&amp;Language!$E$66&amp;Y118,"")</f>
        <v/>
      </c>
      <c r="AC118" s="2" t="str">
        <f ca="1">IF(Planning!$F61=1,V118&amp;W118,"")</f>
        <v/>
      </c>
      <c r="AD118" s="165" t="str">
        <f ca="1">IF(AND(AA118&gt;0,Planning!$F61=1),X118&amp;Language!$E$66&amp;Y118,"")</f>
        <v/>
      </c>
      <c r="AE118" s="170" t="str">
        <f ca="1">IF($AA118=0,"",IF($X118&gt;$Y118,Settings!$C$4,IF($X118=$Y118,1,0)))</f>
        <v/>
      </c>
      <c r="AF118" s="165" t="str">
        <f ca="1">IF($AA118=0,"",IF($X118&lt;$Y118,Settings!$C$4,IF($X118=$Y118,1,0)))</f>
        <v/>
      </c>
    </row>
    <row r="119" spans="2:32" s="2" customFormat="1" x14ac:dyDescent="0.2">
      <c r="B119" s="4"/>
      <c r="C119" s="4"/>
      <c r="D119" s="4"/>
      <c r="E119" s="4"/>
      <c r="F119" s="13"/>
      <c r="G119" s="13"/>
      <c r="H119" s="13"/>
      <c r="I119" s="13"/>
      <c r="J119" s="13"/>
      <c r="K119" s="13"/>
      <c r="L119" s="13"/>
      <c r="M119" s="13"/>
      <c r="U119" s="74" t="s">
        <v>81</v>
      </c>
      <c r="V119" s="41" t="str">
        <f ca="1">Planning!$N62</f>
        <v/>
      </c>
      <c r="W119" s="13" t="str">
        <f ca="1">Planning!$P62</f>
        <v/>
      </c>
      <c r="X119" s="13" t="str">
        <f ca="1">IF(AND(Results!$H65&lt;&gt;"",Results!$J65&lt;&gt;"",Results!$E65&lt;&gt;Results!$G65,$V119&lt;&gt;"",$W119&lt;&gt;""),Results!$H65,"")</f>
        <v/>
      </c>
      <c r="Y119" s="36" t="str">
        <f ca="1">IF(AND(Results!$H65&lt;&gt;"",Results!$J65&lt;&gt;"",Results!$E65&lt;&gt;Results!$G65,$V119&lt;&gt;"",$W119&lt;&gt;""),Results!$J65,"")</f>
        <v/>
      </c>
      <c r="Z119" s="35" t="str">
        <f ca="1">IF(Planning!$F62=0,V119&amp;W119,"")</f>
        <v/>
      </c>
      <c r="AA119" s="13">
        <f t="shared" ca="1" si="79"/>
        <v>0</v>
      </c>
      <c r="AB119" s="13" t="str">
        <f ca="1">IF(AND(AA119&gt;0,Planning!$F62=0),X119&amp;Language!$E$66&amp;Y119,"")</f>
        <v/>
      </c>
      <c r="AC119" s="2" t="str">
        <f ca="1">IF(Planning!$F62=1,V119&amp;W119,"")</f>
        <v/>
      </c>
      <c r="AD119" s="165" t="str">
        <f ca="1">IF(AND(AA119&gt;0,Planning!$F62=1),X119&amp;Language!$E$66&amp;Y119,"")</f>
        <v/>
      </c>
      <c r="AE119" s="170" t="str">
        <f ca="1">IF($AA119=0,"",IF($X119&gt;$Y119,Settings!$C$4,IF($X119=$Y119,1,0)))</f>
        <v/>
      </c>
      <c r="AF119" s="165" t="str">
        <f ca="1">IF($AA119=0,"",IF($X119&lt;$Y119,Settings!$C$4,IF($X119=$Y119,1,0)))</f>
        <v/>
      </c>
    </row>
    <row r="120" spans="2:32" s="2" customFormat="1" x14ac:dyDescent="0.2">
      <c r="B120" s="4"/>
      <c r="C120" s="4"/>
      <c r="D120" s="4"/>
      <c r="E120" s="4"/>
      <c r="F120" s="13"/>
      <c r="G120" s="13"/>
      <c r="H120" s="13"/>
      <c r="I120" s="13"/>
      <c r="J120" s="13"/>
      <c r="K120" s="13"/>
      <c r="L120" s="13"/>
      <c r="M120" s="13"/>
      <c r="U120" s="74" t="s">
        <v>82</v>
      </c>
      <c r="V120" s="41" t="str">
        <f ca="1">Planning!$N63</f>
        <v/>
      </c>
      <c r="W120" s="13" t="str">
        <f ca="1">Planning!$P63</f>
        <v/>
      </c>
      <c r="X120" s="13" t="str">
        <f ca="1">IF(AND(Results!$H66&lt;&gt;"",Results!$J66&lt;&gt;"",Results!$E66&lt;&gt;Results!$G66,$V120&lt;&gt;"",$W120&lt;&gt;""),Results!$H66,"")</f>
        <v/>
      </c>
      <c r="Y120" s="36" t="str">
        <f ca="1">IF(AND(Results!$H66&lt;&gt;"",Results!$J66&lt;&gt;"",Results!$E66&lt;&gt;Results!$G66,$V120&lt;&gt;"",$W120&lt;&gt;""),Results!$J66,"")</f>
        <v/>
      </c>
      <c r="Z120" s="35" t="str">
        <f ca="1">IF(Planning!$F63=0,V120&amp;W120,"")</f>
        <v/>
      </c>
      <c r="AA120" s="13">
        <f t="shared" ca="1" si="79"/>
        <v>0</v>
      </c>
      <c r="AB120" s="13" t="str">
        <f ca="1">IF(AND(AA120&gt;0,Planning!$F63=0),X120&amp;Language!$E$66&amp;Y120,"")</f>
        <v/>
      </c>
      <c r="AC120" s="2" t="str">
        <f ca="1">IF(Planning!$F63=1,V120&amp;W120,"")</f>
        <v/>
      </c>
      <c r="AD120" s="165" t="str">
        <f ca="1">IF(AND(AA120&gt;0,Planning!$F63=1),X120&amp;Language!$E$66&amp;Y120,"")</f>
        <v/>
      </c>
      <c r="AE120" s="170" t="str">
        <f ca="1">IF($AA120=0,"",IF($X120&gt;$Y120,Settings!$C$4,IF($X120=$Y120,1,0)))</f>
        <v/>
      </c>
      <c r="AF120" s="165" t="str">
        <f ca="1">IF($AA120=0,"",IF($X120&lt;$Y120,Settings!$C$4,IF($X120=$Y120,1,0)))</f>
        <v/>
      </c>
    </row>
    <row r="121" spans="2:32" s="2" customFormat="1" x14ac:dyDescent="0.2">
      <c r="B121" s="4"/>
      <c r="C121" s="4"/>
      <c r="D121" s="4"/>
      <c r="E121" s="4"/>
      <c r="F121" s="13"/>
      <c r="G121" s="13"/>
      <c r="H121" s="13"/>
      <c r="I121" s="13"/>
      <c r="J121" s="13"/>
      <c r="K121" s="13"/>
      <c r="L121" s="13"/>
      <c r="M121" s="13"/>
      <c r="U121" s="74" t="s">
        <v>83</v>
      </c>
      <c r="V121" s="41" t="str">
        <f ca="1">Planning!$N64</f>
        <v/>
      </c>
      <c r="W121" s="13" t="str">
        <f ca="1">Planning!$P64</f>
        <v/>
      </c>
      <c r="X121" s="13" t="str">
        <f ca="1">IF(AND(Results!$H67&lt;&gt;"",Results!$J67&lt;&gt;"",Results!$E67&lt;&gt;Results!$G67,$V121&lt;&gt;"",$W121&lt;&gt;""),Results!$H67,"")</f>
        <v/>
      </c>
      <c r="Y121" s="36" t="str">
        <f ca="1">IF(AND(Results!$H67&lt;&gt;"",Results!$J67&lt;&gt;"",Results!$E67&lt;&gt;Results!$G67,$V121&lt;&gt;"",$W121&lt;&gt;""),Results!$J67,"")</f>
        <v/>
      </c>
      <c r="Z121" s="35" t="str">
        <f ca="1">IF(Planning!$F64=0,V121&amp;W121,"")</f>
        <v/>
      </c>
      <c r="AA121" s="13">
        <f t="shared" ca="1" si="79"/>
        <v>0</v>
      </c>
      <c r="AB121" s="13" t="str">
        <f ca="1">IF(AND(AA121&gt;0,Planning!$F64=0),X121&amp;Language!$E$66&amp;Y121,"")</f>
        <v/>
      </c>
      <c r="AC121" s="2" t="str">
        <f ca="1">IF(Planning!$F64=1,V121&amp;W121,"")</f>
        <v/>
      </c>
      <c r="AD121" s="165" t="str">
        <f ca="1">IF(AND(AA121&gt;0,Planning!$F64=1),X121&amp;Language!$E$66&amp;Y121,"")</f>
        <v/>
      </c>
      <c r="AE121" s="170" t="str">
        <f ca="1">IF($AA121=0,"",IF($X121&gt;$Y121,Settings!$C$4,IF($X121=$Y121,1,0)))</f>
        <v/>
      </c>
      <c r="AF121" s="165" t="str">
        <f ca="1">IF($AA121=0,"",IF($X121&lt;$Y121,Settings!$C$4,IF($X121=$Y121,1,0)))</f>
        <v/>
      </c>
    </row>
    <row r="122" spans="2:32" s="2" customFormat="1" x14ac:dyDescent="0.2">
      <c r="B122" s="4"/>
      <c r="C122" s="4"/>
      <c r="D122" s="4"/>
      <c r="E122" s="4"/>
      <c r="F122" s="13"/>
      <c r="G122" s="13"/>
      <c r="H122" s="13"/>
      <c r="I122" s="13"/>
      <c r="J122" s="13"/>
      <c r="K122" s="13"/>
      <c r="L122" s="13"/>
      <c r="M122" s="13"/>
      <c r="U122" s="74" t="s">
        <v>84</v>
      </c>
      <c r="V122" s="41" t="str">
        <f ca="1">Planning!$N65</f>
        <v/>
      </c>
      <c r="W122" s="13" t="str">
        <f ca="1">Planning!$P65</f>
        <v/>
      </c>
      <c r="X122" s="13" t="str">
        <f ca="1">IF(AND(Results!$H68&lt;&gt;"",Results!$J68&lt;&gt;"",Results!$E68&lt;&gt;Results!$G68,$V122&lt;&gt;"",$W122&lt;&gt;""),Results!$H68,"")</f>
        <v/>
      </c>
      <c r="Y122" s="36" t="str">
        <f ca="1">IF(AND(Results!$H68&lt;&gt;"",Results!$J68&lt;&gt;"",Results!$E68&lt;&gt;Results!$G68,$V122&lt;&gt;"",$W122&lt;&gt;""),Results!$J68,"")</f>
        <v/>
      </c>
      <c r="Z122" s="35" t="str">
        <f ca="1">IF(Planning!$F65=0,V122&amp;W122,"")</f>
        <v/>
      </c>
      <c r="AA122" s="13">
        <f t="shared" ca="1" si="79"/>
        <v>0</v>
      </c>
      <c r="AB122" s="13" t="str">
        <f ca="1">IF(AND(AA122&gt;0,Planning!$F65=0),X122&amp;Language!$E$66&amp;Y122,"")</f>
        <v/>
      </c>
      <c r="AC122" s="2" t="str">
        <f ca="1">IF(Planning!$F65=1,V122&amp;W122,"")</f>
        <v/>
      </c>
      <c r="AD122" s="165" t="str">
        <f ca="1">IF(AND(AA122&gt;0,Planning!$F65=1),X122&amp;Language!$E$66&amp;Y122,"")</f>
        <v/>
      </c>
      <c r="AE122" s="170" t="str">
        <f ca="1">IF($AA122=0,"",IF($X122&gt;$Y122,Settings!$C$4,IF($X122=$Y122,1,0)))</f>
        <v/>
      </c>
      <c r="AF122" s="165" t="str">
        <f ca="1">IF($AA122=0,"",IF($X122&lt;$Y122,Settings!$C$4,IF($X122=$Y122,1,0)))</f>
        <v/>
      </c>
    </row>
    <row r="123" spans="2:32" s="2" customFormat="1" x14ac:dyDescent="0.2">
      <c r="B123" s="4"/>
      <c r="C123" s="4"/>
      <c r="D123" s="4"/>
      <c r="E123" s="4"/>
      <c r="F123" s="13"/>
      <c r="G123" s="13"/>
      <c r="H123" s="13"/>
      <c r="I123" s="13"/>
      <c r="J123" s="13"/>
      <c r="K123" s="13"/>
      <c r="L123" s="13"/>
      <c r="M123" s="13"/>
      <c r="U123" s="74" t="s">
        <v>85</v>
      </c>
      <c r="V123" s="41" t="str">
        <f ca="1">Planning!$N66</f>
        <v/>
      </c>
      <c r="W123" s="13" t="str">
        <f ca="1">Planning!$P66</f>
        <v/>
      </c>
      <c r="X123" s="13" t="str">
        <f ca="1">IF(AND(Results!$H69&lt;&gt;"",Results!$J69&lt;&gt;"",Results!$E69&lt;&gt;Results!$G69,$V123&lt;&gt;"",$W123&lt;&gt;""),Results!$H69,"")</f>
        <v/>
      </c>
      <c r="Y123" s="36" t="str">
        <f ca="1">IF(AND(Results!$H69&lt;&gt;"",Results!$J69&lt;&gt;"",Results!$E69&lt;&gt;Results!$G69,$V123&lt;&gt;"",$W123&lt;&gt;""),Results!$J69,"")</f>
        <v/>
      </c>
      <c r="Z123" s="35" t="str">
        <f ca="1">IF(Planning!$F66=0,V123&amp;W123,"")</f>
        <v/>
      </c>
      <c r="AA123" s="13">
        <f t="shared" ca="1" si="79"/>
        <v>0</v>
      </c>
      <c r="AB123" s="13" t="str">
        <f ca="1">IF(AND(AA123&gt;0,Planning!$F66=0),X123&amp;Language!$E$66&amp;Y123,"")</f>
        <v/>
      </c>
      <c r="AC123" s="2" t="str">
        <f ca="1">IF(Planning!$F66=1,V123&amp;W123,"")</f>
        <v/>
      </c>
      <c r="AD123" s="165" t="str">
        <f ca="1">IF(AND(AA123&gt;0,Planning!$F66=1),X123&amp;Language!$E$66&amp;Y123,"")</f>
        <v/>
      </c>
      <c r="AE123" s="170" t="str">
        <f ca="1">IF($AA123=0,"",IF($X123&gt;$Y123,Settings!$C$4,IF($X123=$Y123,1,0)))</f>
        <v/>
      </c>
      <c r="AF123" s="165" t="str">
        <f ca="1">IF($AA123=0,"",IF($X123&lt;$Y123,Settings!$C$4,IF($X123=$Y123,1,0)))</f>
        <v/>
      </c>
    </row>
    <row r="124" spans="2:32" s="2" customFormat="1" x14ac:dyDescent="0.2">
      <c r="B124" s="4"/>
      <c r="C124" s="4"/>
      <c r="D124" s="4"/>
      <c r="E124" s="4"/>
      <c r="F124" s="13"/>
      <c r="G124" s="13"/>
      <c r="H124" s="13"/>
      <c r="I124" s="13"/>
      <c r="J124" s="13"/>
      <c r="K124" s="13"/>
      <c r="L124" s="13"/>
      <c r="M124" s="13"/>
      <c r="U124" s="74" t="s">
        <v>86</v>
      </c>
      <c r="V124" s="41" t="str">
        <f ca="1">Planning!$N67</f>
        <v/>
      </c>
      <c r="W124" s="13" t="str">
        <f ca="1">Planning!$P67</f>
        <v/>
      </c>
      <c r="X124" s="13" t="str">
        <f ca="1">IF(AND(Results!$H70&lt;&gt;"",Results!$J70&lt;&gt;"",Results!$E70&lt;&gt;Results!$G70,$V124&lt;&gt;"",$W124&lt;&gt;""),Results!$H70,"")</f>
        <v/>
      </c>
      <c r="Y124" s="36" t="str">
        <f ca="1">IF(AND(Results!$H70&lt;&gt;"",Results!$J70&lt;&gt;"",Results!$E70&lt;&gt;Results!$G70,$V124&lt;&gt;"",$W124&lt;&gt;""),Results!$J70,"")</f>
        <v/>
      </c>
      <c r="Z124" s="35" t="str">
        <f ca="1">IF(Planning!$F67=0,V124&amp;W124,"")</f>
        <v/>
      </c>
      <c r="AA124" s="13">
        <f t="shared" ca="1" si="79"/>
        <v>0</v>
      </c>
      <c r="AB124" s="13" t="str">
        <f ca="1">IF(AND(AA124&gt;0,Planning!$F67=0),X124&amp;Language!$E$66&amp;Y124,"")</f>
        <v/>
      </c>
      <c r="AC124" s="2" t="str">
        <f ca="1">IF(Planning!$F67=1,V124&amp;W124,"")</f>
        <v/>
      </c>
      <c r="AD124" s="165" t="str">
        <f ca="1">IF(AND(AA124&gt;0,Planning!$F67=1),X124&amp;Language!$E$66&amp;Y124,"")</f>
        <v/>
      </c>
      <c r="AE124" s="170" t="str">
        <f ca="1">IF($AA124=0,"",IF($X124&gt;$Y124,Settings!$C$4,IF($X124=$Y124,1,0)))</f>
        <v/>
      </c>
      <c r="AF124" s="165" t="str">
        <f ca="1">IF($AA124=0,"",IF($X124&lt;$Y124,Settings!$C$4,IF($X124=$Y124,1,0)))</f>
        <v/>
      </c>
    </row>
    <row r="125" spans="2:32" s="2" customFormat="1" x14ac:dyDescent="0.2">
      <c r="B125" s="4"/>
      <c r="C125" s="4"/>
      <c r="D125" s="4"/>
      <c r="E125" s="4"/>
      <c r="F125" s="13"/>
      <c r="G125" s="13"/>
      <c r="H125" s="13"/>
      <c r="I125" s="13"/>
      <c r="J125" s="13"/>
      <c r="K125" s="13"/>
      <c r="L125" s="13"/>
      <c r="M125" s="13"/>
      <c r="U125" s="74" t="s">
        <v>87</v>
      </c>
      <c r="V125" s="41" t="str">
        <f ca="1">Planning!$N68</f>
        <v/>
      </c>
      <c r="W125" s="13" t="str">
        <f ca="1">Planning!$P68</f>
        <v/>
      </c>
      <c r="X125" s="13" t="str">
        <f ca="1">IF(AND(Results!$H71&lt;&gt;"",Results!$J71&lt;&gt;"",Results!$E71&lt;&gt;Results!$G71,$V125&lt;&gt;"",$W125&lt;&gt;""),Results!$H71,"")</f>
        <v/>
      </c>
      <c r="Y125" s="36" t="str">
        <f ca="1">IF(AND(Results!$H71&lt;&gt;"",Results!$J71&lt;&gt;"",Results!$E71&lt;&gt;Results!$G71,$V125&lt;&gt;"",$W125&lt;&gt;""),Results!$J71,"")</f>
        <v/>
      </c>
      <c r="Z125" s="35" t="str">
        <f ca="1">IF(Planning!$F68=0,V125&amp;W125,"")</f>
        <v/>
      </c>
      <c r="AA125" s="13">
        <f t="shared" ca="1" si="79"/>
        <v>0</v>
      </c>
      <c r="AB125" s="13" t="str">
        <f ca="1">IF(AND(AA125&gt;0,Planning!$F68=0),X125&amp;Language!$E$66&amp;Y125,"")</f>
        <v/>
      </c>
      <c r="AC125" s="2" t="str">
        <f ca="1">IF(Planning!$F68=1,V125&amp;W125,"")</f>
        <v/>
      </c>
      <c r="AD125" s="165" t="str">
        <f ca="1">IF(AND(AA125&gt;0,Planning!$F68=1),X125&amp;Language!$E$66&amp;Y125,"")</f>
        <v/>
      </c>
      <c r="AE125" s="170" t="str">
        <f ca="1">IF($AA125=0,"",IF($X125&gt;$Y125,Settings!$C$4,IF($X125=$Y125,1,0)))</f>
        <v/>
      </c>
      <c r="AF125" s="165" t="str">
        <f ca="1">IF($AA125=0,"",IF($X125&lt;$Y125,Settings!$C$4,IF($X125=$Y125,1,0)))</f>
        <v/>
      </c>
    </row>
    <row r="126" spans="2:32" s="2" customFormat="1" x14ac:dyDescent="0.2">
      <c r="B126" s="4"/>
      <c r="C126" s="4"/>
      <c r="D126" s="4"/>
      <c r="E126" s="4"/>
      <c r="F126" s="13"/>
      <c r="G126" s="13"/>
      <c r="H126" s="13"/>
      <c r="I126" s="13"/>
      <c r="J126" s="13"/>
      <c r="K126" s="13"/>
      <c r="L126" s="13"/>
      <c r="M126" s="13"/>
      <c r="U126" s="74" t="s">
        <v>88</v>
      </c>
      <c r="V126" s="41" t="str">
        <f ca="1">Planning!$N69</f>
        <v/>
      </c>
      <c r="W126" s="13" t="str">
        <f ca="1">Planning!$P69</f>
        <v/>
      </c>
      <c r="X126" s="13" t="str">
        <f ca="1">IF(AND(Results!$H72&lt;&gt;"",Results!$J72&lt;&gt;"",Results!$E72&lt;&gt;Results!$G72,$V126&lt;&gt;"",$W126&lt;&gt;""),Results!$H72,"")</f>
        <v/>
      </c>
      <c r="Y126" s="36" t="str">
        <f ca="1">IF(AND(Results!$H72&lt;&gt;"",Results!$J72&lt;&gt;"",Results!$E72&lt;&gt;Results!$G72,$V126&lt;&gt;"",$W126&lt;&gt;""),Results!$J72,"")</f>
        <v/>
      </c>
      <c r="Z126" s="35" t="str">
        <f ca="1">IF(Planning!$F69=0,V126&amp;W126,"")</f>
        <v/>
      </c>
      <c r="AA126" s="13">
        <f t="shared" ca="1" si="79"/>
        <v>0</v>
      </c>
      <c r="AB126" s="13" t="str">
        <f ca="1">IF(AND(AA126&gt;0,Planning!$F69=0),X126&amp;Language!$E$66&amp;Y126,"")</f>
        <v/>
      </c>
      <c r="AC126" s="2" t="str">
        <f ca="1">IF(Planning!$F69=1,V126&amp;W126,"")</f>
        <v/>
      </c>
      <c r="AD126" s="165" t="str">
        <f ca="1">IF(AND(AA126&gt;0,Planning!$F69=1),X126&amp;Language!$E$66&amp;Y126,"")</f>
        <v/>
      </c>
      <c r="AE126" s="170" t="str">
        <f ca="1">IF($AA126=0,"",IF($X126&gt;$Y126,Settings!$C$4,IF($X126=$Y126,1,0)))</f>
        <v/>
      </c>
      <c r="AF126" s="165" t="str">
        <f ca="1">IF($AA126=0,"",IF($X126&lt;$Y126,Settings!$C$4,IF($X126=$Y126,1,0)))</f>
        <v/>
      </c>
    </row>
    <row r="127" spans="2:32" s="2" customFormat="1" x14ac:dyDescent="0.2">
      <c r="B127" s="4"/>
      <c r="C127" s="4"/>
      <c r="D127" s="4"/>
      <c r="E127" s="4"/>
      <c r="F127" s="13"/>
      <c r="G127" s="13"/>
      <c r="H127" s="13"/>
      <c r="I127" s="13"/>
      <c r="J127" s="13"/>
      <c r="K127" s="13"/>
      <c r="L127" s="13"/>
      <c r="M127" s="13"/>
      <c r="U127" s="74" t="s">
        <v>89</v>
      </c>
      <c r="V127" s="41" t="str">
        <f ca="1">Planning!$N70</f>
        <v/>
      </c>
      <c r="W127" s="13" t="str">
        <f ca="1">Planning!$P70</f>
        <v/>
      </c>
      <c r="X127" s="13" t="str">
        <f ca="1">IF(AND(Results!$H73&lt;&gt;"",Results!$J73&lt;&gt;"",Results!$E73&lt;&gt;Results!$G73,$V127&lt;&gt;"",$W127&lt;&gt;""),Results!$H73,"")</f>
        <v/>
      </c>
      <c r="Y127" s="36" t="str">
        <f ca="1">IF(AND(Results!$H73&lt;&gt;"",Results!$J73&lt;&gt;"",Results!$E73&lt;&gt;Results!$G73,$V127&lt;&gt;"",$W127&lt;&gt;""),Results!$J73,"")</f>
        <v/>
      </c>
      <c r="Z127" s="35" t="str">
        <f ca="1">IF(Planning!$F70=0,V127&amp;W127,"")</f>
        <v/>
      </c>
      <c r="AA127" s="13">
        <f t="shared" ca="1" si="79"/>
        <v>0</v>
      </c>
      <c r="AB127" s="13" t="str">
        <f ca="1">IF(AND(AA127&gt;0,Planning!$F70=0),X127&amp;Language!$E$66&amp;Y127,"")</f>
        <v/>
      </c>
      <c r="AC127" s="2" t="str">
        <f ca="1">IF(Planning!$F70=1,V127&amp;W127,"")</f>
        <v/>
      </c>
      <c r="AD127" s="165" t="str">
        <f ca="1">IF(AND(AA127&gt;0,Planning!$F70=1),X127&amp;Language!$E$66&amp;Y127,"")</f>
        <v/>
      </c>
      <c r="AE127" s="170" t="str">
        <f ca="1">IF($AA127=0,"",IF($X127&gt;$Y127,Settings!$C$4,IF($X127=$Y127,1,0)))</f>
        <v/>
      </c>
      <c r="AF127" s="165" t="str">
        <f ca="1">IF($AA127=0,"",IF($X127&lt;$Y127,Settings!$C$4,IF($X127=$Y127,1,0)))</f>
        <v/>
      </c>
    </row>
    <row r="128" spans="2:32" s="2" customFormat="1" x14ac:dyDescent="0.2">
      <c r="B128" s="4"/>
      <c r="C128" s="4"/>
      <c r="D128" s="4"/>
      <c r="E128" s="4"/>
      <c r="F128" s="13"/>
      <c r="G128" s="13"/>
      <c r="H128" s="13"/>
      <c r="I128" s="13"/>
      <c r="J128" s="13"/>
      <c r="K128" s="13"/>
      <c r="L128" s="13"/>
      <c r="M128" s="13"/>
      <c r="U128" s="74" t="s">
        <v>90</v>
      </c>
      <c r="V128" s="41" t="str">
        <f ca="1">Planning!$N71</f>
        <v/>
      </c>
      <c r="W128" s="13" t="str">
        <f ca="1">Planning!$P71</f>
        <v/>
      </c>
      <c r="X128" s="13" t="str">
        <f ca="1">IF(AND(Results!$H74&lt;&gt;"",Results!$J74&lt;&gt;"",Results!$E74&lt;&gt;Results!$G74,$V128&lt;&gt;"",$W128&lt;&gt;""),Results!$H74,"")</f>
        <v/>
      </c>
      <c r="Y128" s="36" t="str">
        <f ca="1">IF(AND(Results!$H74&lt;&gt;"",Results!$J74&lt;&gt;"",Results!$E74&lt;&gt;Results!$G74,$V128&lt;&gt;"",$W128&lt;&gt;""),Results!$J74,"")</f>
        <v/>
      </c>
      <c r="Z128" s="35" t="str">
        <f ca="1">IF(Planning!$F71=0,V128&amp;W128,"")</f>
        <v/>
      </c>
      <c r="AA128" s="13">
        <f t="shared" ca="1" si="79"/>
        <v>0</v>
      </c>
      <c r="AB128" s="13" t="str">
        <f ca="1">IF(AND(AA128&gt;0,Planning!$F71=0),X128&amp;Language!$E$66&amp;Y128,"")</f>
        <v/>
      </c>
      <c r="AC128" s="2" t="str">
        <f ca="1">IF(Planning!$F71=1,V128&amp;W128,"")</f>
        <v/>
      </c>
      <c r="AD128" s="165" t="str">
        <f ca="1">IF(AND(AA128&gt;0,Planning!$F71=1),X128&amp;Language!$E$66&amp;Y128,"")</f>
        <v/>
      </c>
      <c r="AE128" s="170" t="str">
        <f ca="1">IF($AA128=0,"",IF($X128&gt;$Y128,Settings!$C$4,IF($X128=$Y128,1,0)))</f>
        <v/>
      </c>
      <c r="AF128" s="165" t="str">
        <f ca="1">IF($AA128=0,"",IF($X128&lt;$Y128,Settings!$C$4,IF($X128=$Y128,1,0)))</f>
        <v/>
      </c>
    </row>
    <row r="129" spans="2:32" s="2" customFormat="1" x14ac:dyDescent="0.2">
      <c r="B129" s="4"/>
      <c r="C129" s="4"/>
      <c r="D129" s="4"/>
      <c r="E129" s="4"/>
      <c r="F129" s="13"/>
      <c r="G129" s="13"/>
      <c r="H129" s="13"/>
      <c r="I129" s="13"/>
      <c r="J129" s="13"/>
      <c r="K129" s="13"/>
      <c r="L129" s="13"/>
      <c r="M129" s="13"/>
      <c r="U129" s="74" t="s">
        <v>91</v>
      </c>
      <c r="V129" s="41" t="str">
        <f ca="1">Planning!$N72</f>
        <v/>
      </c>
      <c r="W129" s="13" t="str">
        <f ca="1">Planning!$P72</f>
        <v/>
      </c>
      <c r="X129" s="13" t="str">
        <f ca="1">IF(AND(Results!$H75&lt;&gt;"",Results!$J75&lt;&gt;"",Results!$E75&lt;&gt;Results!$G75,$V129&lt;&gt;"",$W129&lt;&gt;""),Results!$H75,"")</f>
        <v/>
      </c>
      <c r="Y129" s="36" t="str">
        <f ca="1">IF(AND(Results!$H75&lt;&gt;"",Results!$J75&lt;&gt;"",Results!$E75&lt;&gt;Results!$G75,$V129&lt;&gt;"",$W129&lt;&gt;""),Results!$J75,"")</f>
        <v/>
      </c>
      <c r="Z129" s="35" t="str">
        <f ca="1">IF(Planning!$F72=0,V129&amp;W129,"")</f>
        <v/>
      </c>
      <c r="AA129" s="13">
        <f t="shared" ca="1" si="79"/>
        <v>0</v>
      </c>
      <c r="AB129" s="13" t="str">
        <f ca="1">IF(AND(AA129&gt;0,Planning!$F72=0),X129&amp;Language!$E$66&amp;Y129,"")</f>
        <v/>
      </c>
      <c r="AC129" s="2" t="str">
        <f ca="1">IF(Planning!$F72=1,V129&amp;W129,"")</f>
        <v/>
      </c>
      <c r="AD129" s="165" t="str">
        <f ca="1">IF(AND(AA129&gt;0,Planning!$F72=1),X129&amp;Language!$E$66&amp;Y129,"")</f>
        <v/>
      </c>
      <c r="AE129" s="170" t="str">
        <f ca="1">IF($AA129=0,"",IF($X129&gt;$Y129,Settings!$C$4,IF($X129=$Y129,1,0)))</f>
        <v/>
      </c>
      <c r="AF129" s="165" t="str">
        <f ca="1">IF($AA129=0,"",IF($X129&lt;$Y129,Settings!$C$4,IF($X129=$Y129,1,0)))</f>
        <v/>
      </c>
    </row>
    <row r="130" spans="2:32" s="2" customFormat="1" x14ac:dyDescent="0.2">
      <c r="B130" s="4"/>
      <c r="C130" s="4"/>
      <c r="D130" s="4"/>
      <c r="E130" s="4"/>
      <c r="F130" s="13"/>
      <c r="G130" s="13"/>
      <c r="H130" s="13"/>
      <c r="I130" s="13"/>
      <c r="J130" s="13"/>
      <c r="K130" s="13"/>
      <c r="L130" s="13"/>
      <c r="M130" s="13"/>
      <c r="U130" s="74" t="s">
        <v>92</v>
      </c>
      <c r="V130" s="41" t="str">
        <f ca="1">Planning!$N73</f>
        <v/>
      </c>
      <c r="W130" s="13" t="str">
        <f ca="1">Planning!$P73</f>
        <v/>
      </c>
      <c r="X130" s="13" t="str">
        <f ca="1">IF(AND(Results!$H76&lt;&gt;"",Results!$J76&lt;&gt;"",Results!$E76&lt;&gt;Results!$G76,$V130&lt;&gt;"",$W130&lt;&gt;""),Results!$H76,"")</f>
        <v/>
      </c>
      <c r="Y130" s="36" t="str">
        <f ca="1">IF(AND(Results!$H76&lt;&gt;"",Results!$J76&lt;&gt;"",Results!$E76&lt;&gt;Results!$G76,$V130&lt;&gt;"",$W130&lt;&gt;""),Results!$J76,"")</f>
        <v/>
      </c>
      <c r="Z130" s="35" t="str">
        <f ca="1">IF(Planning!$F73=0,V130&amp;W130,"")</f>
        <v/>
      </c>
      <c r="AA130" s="13">
        <f t="shared" ca="1" si="79"/>
        <v>0</v>
      </c>
      <c r="AB130" s="13" t="str">
        <f ca="1">IF(AND(AA130&gt;0,Planning!$F73=0),X130&amp;Language!$E$66&amp;Y130,"")</f>
        <v/>
      </c>
      <c r="AC130" s="2" t="str">
        <f ca="1">IF(Planning!$F73=1,V130&amp;W130,"")</f>
        <v/>
      </c>
      <c r="AD130" s="165" t="str">
        <f ca="1">IF(AND(AA130&gt;0,Planning!$F73=1),X130&amp;Language!$E$66&amp;Y130,"")</f>
        <v/>
      </c>
      <c r="AE130" s="170" t="str">
        <f ca="1">IF($AA130=0,"",IF($X130&gt;$Y130,Settings!$C$4,IF($X130=$Y130,1,0)))</f>
        <v/>
      </c>
      <c r="AF130" s="165" t="str">
        <f ca="1">IF($AA130=0,"",IF($X130&lt;$Y130,Settings!$C$4,IF($X130=$Y130,1,0)))</f>
        <v/>
      </c>
    </row>
    <row r="131" spans="2:32" s="2" customFormat="1" x14ac:dyDescent="0.2">
      <c r="B131" s="4"/>
      <c r="C131" s="4"/>
      <c r="D131" s="4"/>
      <c r="E131" s="4"/>
      <c r="F131" s="13"/>
      <c r="G131" s="13"/>
      <c r="H131" s="13"/>
      <c r="I131" s="13"/>
      <c r="J131" s="13"/>
      <c r="K131" s="13"/>
      <c r="L131" s="13"/>
      <c r="M131" s="13"/>
      <c r="U131" s="74" t="s">
        <v>93</v>
      </c>
      <c r="V131" s="41" t="str">
        <f ca="1">Planning!$N74</f>
        <v/>
      </c>
      <c r="W131" s="13" t="str">
        <f ca="1">Planning!$P74</f>
        <v/>
      </c>
      <c r="X131" s="13" t="str">
        <f ca="1">IF(AND(Results!$H77&lt;&gt;"",Results!$J77&lt;&gt;"",Results!$E77&lt;&gt;Results!$G77,$V131&lt;&gt;"",$W131&lt;&gt;""),Results!$H77,"")</f>
        <v/>
      </c>
      <c r="Y131" s="36" t="str">
        <f ca="1">IF(AND(Results!$H77&lt;&gt;"",Results!$J77&lt;&gt;"",Results!$E77&lt;&gt;Results!$G77,$V131&lt;&gt;"",$W131&lt;&gt;""),Results!$J77,"")</f>
        <v/>
      </c>
      <c r="Z131" s="35" t="str">
        <f ca="1">IF(Planning!$F74=0,V131&amp;W131,"")</f>
        <v/>
      </c>
      <c r="AA131" s="13">
        <f t="shared" ca="1" si="79"/>
        <v>0</v>
      </c>
      <c r="AB131" s="13" t="str">
        <f ca="1">IF(AND(AA131&gt;0,Planning!$F74=0),X131&amp;Language!$E$66&amp;Y131,"")</f>
        <v/>
      </c>
      <c r="AC131" s="2" t="str">
        <f ca="1">IF(Planning!$F74=1,V131&amp;W131,"")</f>
        <v/>
      </c>
      <c r="AD131" s="165" t="str">
        <f ca="1">IF(AND(AA131&gt;0,Planning!$F74=1),X131&amp;Language!$E$66&amp;Y131,"")</f>
        <v/>
      </c>
      <c r="AE131" s="170" t="str">
        <f ca="1">IF($AA131=0,"",IF($X131&gt;$Y131,Settings!$C$4,IF($X131=$Y131,1,0)))</f>
        <v/>
      </c>
      <c r="AF131" s="165" t="str">
        <f ca="1">IF($AA131=0,"",IF($X131&lt;$Y131,Settings!$C$4,IF($X131=$Y131,1,0)))</f>
        <v/>
      </c>
    </row>
    <row r="132" spans="2:32" s="2" customFormat="1" x14ac:dyDescent="0.2">
      <c r="B132" s="4"/>
      <c r="C132" s="4"/>
      <c r="D132" s="4"/>
      <c r="E132" s="4"/>
      <c r="F132" s="13"/>
      <c r="G132" s="13"/>
      <c r="H132" s="13"/>
      <c r="I132" s="13"/>
      <c r="J132" s="13"/>
      <c r="K132" s="13"/>
      <c r="L132" s="13"/>
      <c r="M132" s="13"/>
      <c r="U132" s="74" t="s">
        <v>94</v>
      </c>
      <c r="V132" s="41" t="str">
        <f ca="1">Planning!$N75</f>
        <v/>
      </c>
      <c r="W132" s="13" t="str">
        <f ca="1">Planning!$P75</f>
        <v/>
      </c>
      <c r="X132" s="13" t="str">
        <f ca="1">IF(AND(Results!$H78&lt;&gt;"",Results!$J78&lt;&gt;"",Results!$E78&lt;&gt;Results!$G78,$V132&lt;&gt;"",$W132&lt;&gt;""),Results!$H78,"")</f>
        <v/>
      </c>
      <c r="Y132" s="36" t="str">
        <f ca="1">IF(AND(Results!$H78&lt;&gt;"",Results!$J78&lt;&gt;"",Results!$E78&lt;&gt;Results!$G78,$V132&lt;&gt;"",$W132&lt;&gt;""),Results!$J78,"")</f>
        <v/>
      </c>
      <c r="Z132" s="35" t="str">
        <f ca="1">IF(Planning!$F75=0,V132&amp;W132,"")</f>
        <v/>
      </c>
      <c r="AA132" s="13">
        <f t="shared" ca="1" si="79"/>
        <v>0</v>
      </c>
      <c r="AB132" s="13" t="str">
        <f ca="1">IF(AND(AA132&gt;0,Planning!$F75=0),X132&amp;Language!$E$66&amp;Y132,"")</f>
        <v/>
      </c>
      <c r="AC132" s="2" t="str">
        <f ca="1">IF(Planning!$F75=1,V132&amp;W132,"")</f>
        <v/>
      </c>
      <c r="AD132" s="165" t="str">
        <f ca="1">IF(AND(AA132&gt;0,Planning!$F75=1),X132&amp;Language!$E$66&amp;Y132,"")</f>
        <v/>
      </c>
      <c r="AE132" s="170" t="str">
        <f ca="1">IF($AA132=0,"",IF($X132&gt;$Y132,Settings!$C$4,IF($X132=$Y132,1,0)))</f>
        <v/>
      </c>
      <c r="AF132" s="165" t="str">
        <f ca="1">IF($AA132=0,"",IF($X132&lt;$Y132,Settings!$C$4,IF($X132=$Y132,1,0)))</f>
        <v/>
      </c>
    </row>
    <row r="133" spans="2:32" s="2" customFormat="1" x14ac:dyDescent="0.2">
      <c r="B133" s="4"/>
      <c r="C133" s="4"/>
      <c r="D133" s="4"/>
      <c r="E133" s="4"/>
      <c r="F133" s="13"/>
      <c r="G133" s="13"/>
      <c r="H133" s="13"/>
      <c r="I133" s="13"/>
      <c r="J133" s="13"/>
      <c r="K133" s="13"/>
      <c r="L133" s="13"/>
      <c r="M133" s="13"/>
      <c r="U133" s="74" t="s">
        <v>95</v>
      </c>
      <c r="V133" s="41" t="str">
        <f ca="1">Planning!$N76</f>
        <v/>
      </c>
      <c r="W133" s="13" t="str">
        <f ca="1">Planning!$P76</f>
        <v/>
      </c>
      <c r="X133" s="13" t="str">
        <f ca="1">IF(AND(Results!$H79&lt;&gt;"",Results!$J79&lt;&gt;"",Results!$E79&lt;&gt;Results!$G79,$V133&lt;&gt;"",$W133&lt;&gt;""),Results!$H79,"")</f>
        <v/>
      </c>
      <c r="Y133" s="36" t="str">
        <f ca="1">IF(AND(Results!$H79&lt;&gt;"",Results!$J79&lt;&gt;"",Results!$E79&lt;&gt;Results!$G79,$V133&lt;&gt;"",$W133&lt;&gt;""),Results!$J79,"")</f>
        <v/>
      </c>
      <c r="Z133" s="35" t="str">
        <f ca="1">IF(Planning!$F76=0,V133&amp;W133,"")</f>
        <v/>
      </c>
      <c r="AA133" s="13">
        <f t="shared" ca="1" si="79"/>
        <v>0</v>
      </c>
      <c r="AB133" s="13" t="str">
        <f ca="1">IF(AND(AA133&gt;0,Planning!$F76=0),X133&amp;Language!$E$66&amp;Y133,"")</f>
        <v/>
      </c>
      <c r="AC133" s="2" t="str">
        <f ca="1">IF(Planning!$F76=1,V133&amp;W133,"")</f>
        <v/>
      </c>
      <c r="AD133" s="165" t="str">
        <f ca="1">IF(AND(AA133&gt;0,Planning!$F76=1),X133&amp;Language!$E$66&amp;Y133,"")</f>
        <v/>
      </c>
      <c r="AE133" s="170" t="str">
        <f ca="1">IF($AA133=0,"",IF($X133&gt;$Y133,Settings!$C$4,IF($X133=$Y133,1,0)))</f>
        <v/>
      </c>
      <c r="AF133" s="165" t="str">
        <f ca="1">IF($AA133=0,"",IF($X133&lt;$Y133,Settings!$C$4,IF($X133=$Y133,1,0)))</f>
        <v/>
      </c>
    </row>
    <row r="134" spans="2:32" s="2" customFormat="1" x14ac:dyDescent="0.2">
      <c r="B134" s="4"/>
      <c r="C134" s="4"/>
      <c r="D134" s="4"/>
      <c r="E134" s="4"/>
      <c r="F134" s="13"/>
      <c r="G134" s="13"/>
      <c r="H134" s="13"/>
      <c r="I134" s="13"/>
      <c r="J134" s="13"/>
      <c r="K134" s="13"/>
      <c r="L134" s="13"/>
      <c r="M134" s="13"/>
      <c r="U134" s="74" t="s">
        <v>96</v>
      </c>
      <c r="V134" s="41" t="str">
        <f ca="1">Planning!$N77</f>
        <v/>
      </c>
      <c r="W134" s="13" t="str">
        <f ca="1">Planning!$P77</f>
        <v/>
      </c>
      <c r="X134" s="13" t="str">
        <f ca="1">IF(AND(Results!$H80&lt;&gt;"",Results!$J80&lt;&gt;"",Results!$E80&lt;&gt;Results!$G80,$V134&lt;&gt;"",$W134&lt;&gt;""),Results!$H80,"")</f>
        <v/>
      </c>
      <c r="Y134" s="36" t="str">
        <f ca="1">IF(AND(Results!$H80&lt;&gt;"",Results!$J80&lt;&gt;"",Results!$E80&lt;&gt;Results!$G80,$V134&lt;&gt;"",$W134&lt;&gt;""),Results!$J80,"")</f>
        <v/>
      </c>
      <c r="Z134" s="35" t="str">
        <f ca="1">IF(Planning!$F77=0,V134&amp;W134,"")</f>
        <v/>
      </c>
      <c r="AA134" s="13">
        <f t="shared" ca="1" si="79"/>
        <v>0</v>
      </c>
      <c r="AB134" s="13" t="str">
        <f ca="1">IF(AND(AA134&gt;0,Planning!$F77=0),X134&amp;Language!$E$66&amp;Y134,"")</f>
        <v/>
      </c>
      <c r="AC134" s="2" t="str">
        <f ca="1">IF(Planning!$F77=1,V134&amp;W134,"")</f>
        <v/>
      </c>
      <c r="AD134" s="165" t="str">
        <f ca="1">IF(AND(AA134&gt;0,Planning!$F77=1),X134&amp;Language!$E$66&amp;Y134,"")</f>
        <v/>
      </c>
      <c r="AE134" s="170" t="str">
        <f ca="1">IF($AA134=0,"",IF($X134&gt;$Y134,Settings!$C$4,IF($X134=$Y134,1,0)))</f>
        <v/>
      </c>
      <c r="AF134" s="165" t="str">
        <f ca="1">IF($AA134=0,"",IF($X134&lt;$Y134,Settings!$C$4,IF($X134=$Y134,1,0)))</f>
        <v/>
      </c>
    </row>
    <row r="135" spans="2:32" s="2" customFormat="1" ht="12.75" thickBot="1" x14ac:dyDescent="0.25">
      <c r="B135" s="4"/>
      <c r="C135" s="4"/>
      <c r="D135" s="4"/>
      <c r="E135" s="4"/>
      <c r="F135" s="13"/>
      <c r="G135" s="13"/>
      <c r="H135" s="13"/>
      <c r="I135" s="13"/>
      <c r="J135" s="13"/>
      <c r="K135" s="13"/>
      <c r="L135" s="13"/>
      <c r="M135" s="13"/>
      <c r="U135" s="75" t="s">
        <v>97</v>
      </c>
      <c r="V135" s="42" t="str">
        <f ca="1">Planning!$N78</f>
        <v/>
      </c>
      <c r="W135" s="38" t="str">
        <f ca="1">Planning!$P78</f>
        <v/>
      </c>
      <c r="X135" s="38" t="str">
        <f ca="1">IF(AND(Results!$H81&lt;&gt;"",Results!$J81&lt;&gt;"",Results!$E81&lt;&gt;Results!$G81,$V135&lt;&gt;"",$W135&lt;&gt;""),Results!$H81,"")</f>
        <v/>
      </c>
      <c r="Y135" s="39" t="str">
        <f ca="1">IF(AND(Results!$H81&lt;&gt;"",Results!$J81&lt;&gt;"",Results!$E81&lt;&gt;Results!$G81,$V135&lt;&gt;"",$W135&lt;&gt;""),Results!$J81,"")</f>
        <v/>
      </c>
      <c r="Z135" s="37" t="str">
        <f ca="1">IF(Planning!$F78=0,V135&amp;W135,"")</f>
        <v/>
      </c>
      <c r="AA135" s="38">
        <f t="shared" ca="1" si="79"/>
        <v>0</v>
      </c>
      <c r="AB135" s="166" t="str">
        <f ca="1">IF(AND(AA135&gt;0,Planning!$F78=0),X135&amp;Language!$E$66&amp;Y135,"")</f>
        <v/>
      </c>
      <c r="AC135" s="168" t="str">
        <f ca="1">IF(Planning!$F78=1,V135&amp;W135,"")</f>
        <v/>
      </c>
      <c r="AD135" s="167" t="str">
        <f ca="1">IF(AND(AA135&gt;0,Planning!$F78=1),X135&amp;Language!$E$66&amp;Y135,"")</f>
        <v/>
      </c>
      <c r="AE135" s="171" t="str">
        <f ca="1">IF($AA135=0,"",IF($X135&gt;$Y135,Settings!$C$4,IF($X135=$Y135,1,0)))</f>
        <v/>
      </c>
      <c r="AF135" s="167" t="str">
        <f ca="1">IF($AA135=0,"",IF($X135&lt;$Y135,Settings!$C$4,IF($X135=$Y135,1,0)))</f>
        <v/>
      </c>
    </row>
    <row r="136" spans="2:32" s="2" customFormat="1" ht="12.75" thickTop="1" x14ac:dyDescent="0.2">
      <c r="B136" s="4"/>
      <c r="C136" s="4"/>
      <c r="D136" s="4"/>
      <c r="E136" s="4"/>
      <c r="F136" s="13"/>
      <c r="G136" s="13"/>
      <c r="H136" s="13"/>
      <c r="I136" s="13"/>
      <c r="J136" s="13"/>
      <c r="K136" s="13"/>
      <c r="L136" s="13"/>
      <c r="M136" s="13"/>
      <c r="Y136" s="73" t="s">
        <v>7</v>
      </c>
      <c r="Z136" s="32" t="str">
        <f ca="1">IF(Planning!$F7=0,W64&amp;V64,"")</f>
        <v>FC BarcelonaSSV Wildbach</v>
      </c>
      <c r="AA136" s="33">
        <f ca="1">AA64</f>
        <v>1</v>
      </c>
      <c r="AB136" s="13" t="str">
        <f ca="1">IF(AND(AA136&gt;0,Planning!$F7=0),Y64&amp;Language!$E$66&amp;X64,"")</f>
        <v>0 - 2</v>
      </c>
      <c r="AC136" s="2" t="str">
        <f ca="1">IF(Planning!$F7=1,W64&amp;V64,"")</f>
        <v/>
      </c>
      <c r="AD136" s="165" t="str">
        <f ca="1">IF(AND(AA136&gt;0,Planning!$F7=1),Y64&amp;Language!$E$66&amp;X64,"")</f>
        <v/>
      </c>
    </row>
    <row r="137" spans="2:32" x14ac:dyDescent="0.2">
      <c r="Y137" s="74" t="s">
        <v>8</v>
      </c>
      <c r="Z137" s="35" t="str">
        <f ca="1">IF(Planning!$F8=0,W65&amp;V65,"")</f>
        <v>Inter MailandEintracht Frankfurt</v>
      </c>
      <c r="AA137" s="13">
        <f t="shared" ref="AA137:AA200" ca="1" si="80">AA65</f>
        <v>1</v>
      </c>
      <c r="AB137" s="13" t="str">
        <f ca="1">IF(AND(AA137&gt;0,Planning!$F8=0),Y65&amp;Language!$E$66&amp;X65,"")</f>
        <v>2 - 3</v>
      </c>
      <c r="AC137" s="2" t="str">
        <f ca="1">IF(Planning!$F8=1,W65&amp;V65,"")</f>
        <v/>
      </c>
      <c r="AD137" s="165" t="str">
        <f ca="1">IF(AND(AA137&gt;0,Planning!$F8=1),Y65&amp;Language!$E$66&amp;X65,"")</f>
        <v/>
      </c>
    </row>
    <row r="138" spans="2:32" x14ac:dyDescent="0.2">
      <c r="Y138" s="74" t="s">
        <v>9</v>
      </c>
      <c r="Z138" s="35" t="str">
        <f ca="1">IF(Planning!$F9=0,W66&amp;V66,"")</f>
        <v>Maibach 1822 eVVFB Essenheim</v>
      </c>
      <c r="AA138" s="13">
        <f t="shared" ca="1" si="80"/>
        <v>1</v>
      </c>
      <c r="AB138" s="13" t="str">
        <f ca="1">IF(AND(AA138&gt;0,Planning!$F9=0),Y66&amp;Language!$E$66&amp;X66,"")</f>
        <v>0 - 0</v>
      </c>
      <c r="AC138" s="2" t="str">
        <f ca="1">IF(Planning!$F9=1,W66&amp;V66,"")</f>
        <v/>
      </c>
      <c r="AD138" s="165" t="str">
        <f ca="1">IF(AND(AA138&gt;0,Planning!$F9=1),Y66&amp;Language!$E$66&amp;X66,"")</f>
        <v/>
      </c>
    </row>
    <row r="139" spans="2:32" x14ac:dyDescent="0.2">
      <c r="Y139" s="74" t="s">
        <v>10</v>
      </c>
      <c r="Z139" s="35" t="str">
        <f ca="1">IF(Planning!$F10=0,W67&amp;V67,"")</f>
        <v>1. FC RiedwaldSSV Wildbach</v>
      </c>
      <c r="AA139" s="13">
        <f t="shared" ca="1" si="80"/>
        <v>1</v>
      </c>
      <c r="AB139" s="13" t="str">
        <f ca="1">IF(AND(AA139&gt;0,Planning!$F10=0),Y67&amp;Language!$E$66&amp;X67,"")</f>
        <v>2 - 3</v>
      </c>
      <c r="AC139" s="2" t="str">
        <f ca="1">IF(Planning!$F10=1,W67&amp;V67,"")</f>
        <v/>
      </c>
      <c r="AD139" s="165" t="str">
        <f ca="1">IF(AND(AA139&gt;0,Planning!$F10=1),Y67&amp;Language!$E$66&amp;X67,"")</f>
        <v/>
      </c>
    </row>
    <row r="140" spans="2:32" x14ac:dyDescent="0.2">
      <c r="Y140" s="74" t="s">
        <v>11</v>
      </c>
      <c r="Z140" s="35" t="str">
        <f ca="1">IF(Planning!$F11=0,W68&amp;V68,"")</f>
        <v>VFB EssenheimFC Barcelona</v>
      </c>
      <c r="AA140" s="13">
        <f t="shared" ca="1" si="80"/>
        <v>1</v>
      </c>
      <c r="AB140" s="13" t="str">
        <f ca="1">IF(AND(AA140&gt;0,Planning!$F11=0),Y68&amp;Language!$E$66&amp;X68,"")</f>
        <v>2 - 2</v>
      </c>
      <c r="AC140" s="2" t="str">
        <f ca="1">IF(Planning!$F11=1,W68&amp;V68,"")</f>
        <v/>
      </c>
      <c r="AD140" s="165" t="str">
        <f ca="1">IF(AND(AA140&gt;0,Planning!$F11=1),Y68&amp;Language!$E$66&amp;X68,"")</f>
        <v/>
      </c>
    </row>
    <row r="141" spans="2:32" x14ac:dyDescent="0.2">
      <c r="Y141" s="74" t="s">
        <v>12</v>
      </c>
      <c r="Z141" s="35" t="str">
        <f ca="1">IF(Planning!$F12=0,W69&amp;V69,"")</f>
        <v>Eintracht FrankfurtMaibach 1822 eV</v>
      </c>
      <c r="AA141" s="13">
        <f t="shared" ca="1" si="80"/>
        <v>1</v>
      </c>
      <c r="AB141" s="13" t="str">
        <f ca="1">IF(AND(AA141&gt;0,Planning!$F12=0),Y69&amp;Language!$E$66&amp;X69,"")</f>
        <v>1 - 2</v>
      </c>
      <c r="AC141" s="2" t="str">
        <f ca="1">IF(Planning!$F12=1,W69&amp;V69,"")</f>
        <v/>
      </c>
      <c r="AD141" s="165" t="str">
        <f ca="1">IF(AND(AA141&gt;0,Planning!$F12=1),Y69&amp;Language!$E$66&amp;X69,"")</f>
        <v/>
      </c>
    </row>
    <row r="142" spans="2:32" x14ac:dyDescent="0.2">
      <c r="Y142" s="74" t="s">
        <v>17</v>
      </c>
      <c r="Z142" s="35" t="str">
        <f ca="1">IF(Planning!$F13=0,W70&amp;V70,"")</f>
        <v>Inter Mailand1. FC Riedwald</v>
      </c>
      <c r="AA142" s="13">
        <f t="shared" ca="1" si="80"/>
        <v>1</v>
      </c>
      <c r="AB142" s="13" t="str">
        <f ca="1">IF(AND(AA142&gt;0,Planning!$F13=0),Y70&amp;Language!$E$66&amp;X70,"")</f>
        <v>1 - 1</v>
      </c>
      <c r="AC142" s="2" t="str">
        <f ca="1">IF(Planning!$F13=1,W70&amp;V70,"")</f>
        <v/>
      </c>
      <c r="AD142" s="165" t="str">
        <f ca="1">IF(AND(AA142&gt;0,Planning!$F13=1),Y70&amp;Language!$E$66&amp;X70,"")</f>
        <v/>
      </c>
    </row>
    <row r="143" spans="2:32" x14ac:dyDescent="0.2">
      <c r="Y143" s="74" t="s">
        <v>18</v>
      </c>
      <c r="Z143" s="35" t="str">
        <f ca="1">IF(Planning!$F14=0,W71&amp;V71,"")</f>
        <v>SSV WildbachVFB Essenheim</v>
      </c>
      <c r="AA143" s="13">
        <f t="shared" ca="1" si="80"/>
        <v>0</v>
      </c>
      <c r="AB143" s="13" t="str">
        <f ca="1">IF(AND(AA143&gt;0,Planning!$F14=0),Y71&amp;Language!$E$66&amp;X71,"")</f>
        <v/>
      </c>
      <c r="AC143" s="2" t="str">
        <f ca="1">IF(Planning!$F14=1,W71&amp;V71,"")</f>
        <v/>
      </c>
      <c r="AD143" s="165" t="str">
        <f ca="1">IF(AND(AA143&gt;0,Planning!$F14=1),Y71&amp;Language!$E$66&amp;X71,"")</f>
        <v/>
      </c>
    </row>
    <row r="144" spans="2:32" x14ac:dyDescent="0.2">
      <c r="Y144" s="74" t="s">
        <v>19</v>
      </c>
      <c r="Z144" s="35" t="str">
        <f ca="1">IF(Planning!$F15=0,W72&amp;V72,"")</f>
        <v>FC BarcelonaEintracht Frankfurt</v>
      </c>
      <c r="AA144" s="13">
        <f t="shared" ca="1" si="80"/>
        <v>0</v>
      </c>
      <c r="AB144" s="13" t="str">
        <f ca="1">IF(AND(AA144&gt;0,Planning!$F15=0),Y72&amp;Language!$E$66&amp;X72,"")</f>
        <v/>
      </c>
      <c r="AC144" s="2" t="str">
        <f ca="1">IF(Planning!$F15=1,W72&amp;V72,"")</f>
        <v/>
      </c>
      <c r="AD144" s="165" t="str">
        <f ca="1">IF(AND(AA144&gt;0,Planning!$F15=1),Y72&amp;Language!$E$66&amp;X72,"")</f>
        <v/>
      </c>
    </row>
    <row r="145" spans="25:30" x14ac:dyDescent="0.2">
      <c r="Y145" s="74" t="s">
        <v>25</v>
      </c>
      <c r="Z145" s="35" t="str">
        <f ca="1">IF(Planning!$F16=0,W73&amp;V73,"")</f>
        <v>1. FC RiedwaldVFB Essenheim</v>
      </c>
      <c r="AA145" s="13">
        <f t="shared" ca="1" si="80"/>
        <v>0</v>
      </c>
      <c r="AB145" s="13" t="str">
        <f ca="1">IF(AND(AA145&gt;0,Planning!$F16=0),Y73&amp;Language!$E$66&amp;X73,"")</f>
        <v/>
      </c>
      <c r="AC145" s="2" t="str">
        <f ca="1">IF(Planning!$F16=1,W73&amp;V73,"")</f>
        <v/>
      </c>
      <c r="AD145" s="165" t="str">
        <f ca="1">IF(AND(AA145&gt;0,Planning!$F16=1),Y73&amp;Language!$E$66&amp;X73,"")</f>
        <v/>
      </c>
    </row>
    <row r="146" spans="25:30" x14ac:dyDescent="0.2">
      <c r="Y146" s="74" t="s">
        <v>26</v>
      </c>
      <c r="Z146" s="35" t="str">
        <f ca="1">IF(Planning!$F17=0,W74&amp;V74,"")</f>
        <v>Inter MailandMaibach 1822 eV</v>
      </c>
      <c r="AA146" s="13">
        <f t="shared" ca="1" si="80"/>
        <v>0</v>
      </c>
      <c r="AB146" s="13" t="str">
        <f ca="1">IF(AND(AA146&gt;0,Planning!$F17=0),Y74&amp;Language!$E$66&amp;X74,"")</f>
        <v/>
      </c>
      <c r="AC146" s="2" t="str">
        <f ca="1">IF(Planning!$F17=1,W74&amp;V74,"")</f>
        <v/>
      </c>
      <c r="AD146" s="165" t="str">
        <f ca="1">IF(AND(AA146&gt;0,Planning!$F17=1),Y74&amp;Language!$E$66&amp;X74,"")</f>
        <v/>
      </c>
    </row>
    <row r="147" spans="25:30" x14ac:dyDescent="0.2">
      <c r="Y147" s="74" t="s">
        <v>27</v>
      </c>
      <c r="Z147" s="35" t="str">
        <f ca="1">IF(Planning!$F18=0,W75&amp;V75,"")</f>
        <v>Eintracht FrankfurtSSV Wildbach</v>
      </c>
      <c r="AA147" s="13">
        <f t="shared" ca="1" si="80"/>
        <v>0</v>
      </c>
      <c r="AB147" s="13" t="str">
        <f ca="1">IF(AND(AA147&gt;0,Planning!$F18=0),Y75&amp;Language!$E$66&amp;X75,"")</f>
        <v/>
      </c>
      <c r="AC147" s="2" t="str">
        <f ca="1">IF(Planning!$F18=1,W75&amp;V75,"")</f>
        <v/>
      </c>
      <c r="AD147" s="165" t="str">
        <f ca="1">IF(AND(AA147&gt;0,Planning!$F18=1),Y75&amp;Language!$E$66&amp;X75,"")</f>
        <v/>
      </c>
    </row>
    <row r="148" spans="25:30" x14ac:dyDescent="0.2">
      <c r="Y148" s="74" t="s">
        <v>28</v>
      </c>
      <c r="Z148" s="35" t="str">
        <f ca="1">IF(Planning!$F19=0,W76&amp;V76,"")</f>
        <v>Maibach 1822 eV1. FC Riedwald</v>
      </c>
      <c r="AA148" s="13">
        <f t="shared" ca="1" si="80"/>
        <v>0</v>
      </c>
      <c r="AB148" s="13" t="str">
        <f ca="1">IF(AND(AA148&gt;0,Planning!$F19=0),Y76&amp;Language!$E$66&amp;X76,"")</f>
        <v/>
      </c>
      <c r="AC148" s="2" t="str">
        <f ca="1">IF(Planning!$F19=1,W76&amp;V76,"")</f>
        <v/>
      </c>
      <c r="AD148" s="165" t="str">
        <f ca="1">IF(AND(AA148&gt;0,Planning!$F19=1),Y76&amp;Language!$E$66&amp;X76,"")</f>
        <v/>
      </c>
    </row>
    <row r="149" spans="25:30" x14ac:dyDescent="0.2">
      <c r="Y149" s="74" t="s">
        <v>29</v>
      </c>
      <c r="Z149" s="35" t="str">
        <f ca="1">IF(Planning!$F20=0,W77&amp;V77,"")</f>
        <v>VFB EssenheimEintracht Frankfurt</v>
      </c>
      <c r="AA149" s="13">
        <f t="shared" ca="1" si="80"/>
        <v>0</v>
      </c>
      <c r="AB149" s="13" t="str">
        <f ca="1">IF(AND(AA149&gt;0,Planning!$F20=0),Y77&amp;Language!$E$66&amp;X77,"")</f>
        <v/>
      </c>
      <c r="AC149" s="2" t="str">
        <f ca="1">IF(Planning!$F20=1,W77&amp;V77,"")</f>
        <v/>
      </c>
      <c r="AD149" s="165" t="str">
        <f ca="1">IF(AND(AA149&gt;0,Planning!$F20=1),Y77&amp;Language!$E$66&amp;X77,"")</f>
        <v/>
      </c>
    </row>
    <row r="150" spans="25:30" x14ac:dyDescent="0.2">
      <c r="Y150" s="74" t="s">
        <v>30</v>
      </c>
      <c r="Z150" s="35" t="str">
        <f ca="1">IF(Planning!$F21=0,W78&amp;V78,"")</f>
        <v>FC BarcelonaInter Mailand</v>
      </c>
      <c r="AA150" s="13">
        <f t="shared" ca="1" si="80"/>
        <v>0</v>
      </c>
      <c r="AB150" s="13" t="str">
        <f ca="1">IF(AND(AA150&gt;0,Planning!$F21=0),Y78&amp;Language!$E$66&amp;X78,"")</f>
        <v/>
      </c>
      <c r="AC150" s="2" t="str">
        <f ca="1">IF(Planning!$F21=1,W78&amp;V78,"")</f>
        <v/>
      </c>
      <c r="AD150" s="165" t="str">
        <f ca="1">IF(AND(AA150&gt;0,Planning!$F21=1),Y78&amp;Language!$E$66&amp;X78,"")</f>
        <v/>
      </c>
    </row>
    <row r="151" spans="25:30" x14ac:dyDescent="0.2">
      <c r="Y151" s="74" t="s">
        <v>31</v>
      </c>
      <c r="Z151" s="35" t="str">
        <f ca="1">IF(Planning!$F22=0,W79&amp;V79,"")</f>
        <v>1. FC RiedwaldEintracht Frankfurt</v>
      </c>
      <c r="AA151" s="13">
        <f t="shared" ca="1" si="80"/>
        <v>0</v>
      </c>
      <c r="AB151" s="13" t="str">
        <f ca="1">IF(AND(AA151&gt;0,Planning!$F22=0),Y79&amp;Language!$E$66&amp;X79,"")</f>
        <v/>
      </c>
      <c r="AC151" s="2" t="str">
        <f ca="1">IF(Planning!$F22=1,W79&amp;V79,"")</f>
        <v/>
      </c>
      <c r="AD151" s="165" t="str">
        <f ca="1">IF(AND(AA151&gt;0,Planning!$F22=1),Y79&amp;Language!$E$66&amp;X79,"")</f>
        <v/>
      </c>
    </row>
    <row r="152" spans="25:30" x14ac:dyDescent="0.2">
      <c r="Y152" s="74" t="s">
        <v>32</v>
      </c>
      <c r="Z152" s="35" t="str">
        <f ca="1">IF(Planning!$F23=0,W80&amp;V80,"")</f>
        <v>Maibach 1822 eVFC Barcelona</v>
      </c>
      <c r="AA152" s="13">
        <f t="shared" ca="1" si="80"/>
        <v>0</v>
      </c>
      <c r="AB152" s="13" t="str">
        <f ca="1">IF(AND(AA152&gt;0,Planning!$F23=0),Y80&amp;Language!$E$66&amp;X80,"")</f>
        <v/>
      </c>
      <c r="AC152" s="2" t="str">
        <f ca="1">IF(Planning!$F23=1,W80&amp;V80,"")</f>
        <v/>
      </c>
      <c r="AD152" s="165" t="str">
        <f ca="1">IF(AND(AA152&gt;0,Planning!$F23=1),Y80&amp;Language!$E$66&amp;X80,"")</f>
        <v/>
      </c>
    </row>
    <row r="153" spans="25:30" x14ac:dyDescent="0.2">
      <c r="Y153" s="74" t="s">
        <v>33</v>
      </c>
      <c r="Z153" s="35" t="str">
        <f ca="1">IF(Planning!$F24=0,W81&amp;V81,"")</f>
        <v>Inter MailandSSV Wildbach</v>
      </c>
      <c r="AA153" s="13">
        <f t="shared" ca="1" si="80"/>
        <v>0</v>
      </c>
      <c r="AB153" s="13" t="str">
        <f ca="1">IF(AND(AA153&gt;0,Planning!$F24=0),Y81&amp;Language!$E$66&amp;X81,"")</f>
        <v/>
      </c>
      <c r="AC153" s="2" t="str">
        <f ca="1">IF(Planning!$F24=1,W81&amp;V81,"")</f>
        <v/>
      </c>
      <c r="AD153" s="165" t="str">
        <f ca="1">IF(AND(AA153&gt;0,Planning!$F24=1),Y81&amp;Language!$E$66&amp;X81,"")</f>
        <v/>
      </c>
    </row>
    <row r="154" spans="25:30" x14ac:dyDescent="0.2">
      <c r="Y154" s="74" t="s">
        <v>34</v>
      </c>
      <c r="Z154" s="35" t="str">
        <f ca="1">IF(Planning!$F25=0,W82&amp;V82,"")</f>
        <v>FC Barcelona1. FC Riedwald</v>
      </c>
      <c r="AA154" s="13">
        <f t="shared" ca="1" si="80"/>
        <v>0</v>
      </c>
      <c r="AB154" s="13" t="str">
        <f ca="1">IF(AND(AA154&gt;0,Planning!$F25=0),Y82&amp;Language!$E$66&amp;X82,"")</f>
        <v/>
      </c>
      <c r="AC154" s="2" t="str">
        <f ca="1">IF(Planning!$F25=1,W82&amp;V82,"")</f>
        <v/>
      </c>
      <c r="AD154" s="165" t="str">
        <f ca="1">IF(AND(AA154&gt;0,Planning!$F25=1),Y82&amp;Language!$E$66&amp;X82,"")</f>
        <v/>
      </c>
    </row>
    <row r="155" spans="25:30" x14ac:dyDescent="0.2">
      <c r="Y155" s="74" t="s">
        <v>35</v>
      </c>
      <c r="Z155" s="35" t="str">
        <f ca="1">IF(Planning!$F26=0,W83&amp;V83,"")</f>
        <v>SSV WildbachMaibach 1822 eV</v>
      </c>
      <c r="AA155" s="13">
        <f t="shared" ca="1" si="80"/>
        <v>0</v>
      </c>
      <c r="AB155" s="13" t="str">
        <f ca="1">IF(AND(AA155&gt;0,Planning!$F26=0),Y83&amp;Language!$E$66&amp;X83,"")</f>
        <v/>
      </c>
      <c r="AC155" s="2" t="str">
        <f ca="1">IF(Planning!$F26=1,W83&amp;V83,"")</f>
        <v/>
      </c>
      <c r="AD155" s="165" t="str">
        <f ca="1">IF(AND(AA155&gt;0,Planning!$F26=1),Y83&amp;Language!$E$66&amp;X83,"")</f>
        <v/>
      </c>
    </row>
    <row r="156" spans="25:30" x14ac:dyDescent="0.2">
      <c r="Y156" s="74" t="s">
        <v>36</v>
      </c>
      <c r="Z156" s="35" t="str">
        <f ca="1">IF(Planning!$F27=0,W84&amp;V84,"")</f>
        <v>VFB EssenheimInter Mailand</v>
      </c>
      <c r="AA156" s="13">
        <f t="shared" ca="1" si="80"/>
        <v>0</v>
      </c>
      <c r="AB156" s="13" t="str">
        <f ca="1">IF(AND(AA156&gt;0,Planning!$F27=0),Y84&amp;Language!$E$66&amp;X84,"")</f>
        <v/>
      </c>
      <c r="AC156" s="2" t="str">
        <f ca="1">IF(Planning!$F27=1,W84&amp;V84,"")</f>
        <v/>
      </c>
      <c r="AD156" s="165" t="str">
        <f ca="1">IF(AND(AA156&gt;0,Planning!$F27=1),Y84&amp;Language!$E$66&amp;X84,"")</f>
        <v/>
      </c>
    </row>
    <row r="157" spans="25:30" x14ac:dyDescent="0.2">
      <c r="Y157" s="74" t="s">
        <v>37</v>
      </c>
      <c r="Z157" s="35" t="str">
        <f ca="1">IF(Planning!$F28=0,W85&amp;V85,"")</f>
        <v/>
      </c>
      <c r="AA157" s="13">
        <f t="shared" ca="1" si="80"/>
        <v>0</v>
      </c>
      <c r="AB157" s="13" t="str">
        <f ca="1">IF(AND(AA157&gt;0,Planning!$F28=0),Y85&amp;Language!$E$66&amp;X85,"")</f>
        <v/>
      </c>
      <c r="AC157" s="2" t="str">
        <f ca="1">IF(Planning!$F28=1,W85&amp;V85,"")</f>
        <v>SSV WildbachFC Barcelona</v>
      </c>
      <c r="AD157" s="165" t="str">
        <f ca="1">IF(AND(AA157&gt;0,Planning!$F28=1),Y85&amp;Language!$E$66&amp;X85,"")</f>
        <v/>
      </c>
    </row>
    <row r="158" spans="25:30" x14ac:dyDescent="0.2">
      <c r="Y158" s="74" t="s">
        <v>38</v>
      </c>
      <c r="Z158" s="35" t="str">
        <f ca="1">IF(Planning!$F29=0,W86&amp;V86,"")</f>
        <v/>
      </c>
      <c r="AA158" s="13">
        <f t="shared" ca="1" si="80"/>
        <v>0</v>
      </c>
      <c r="AB158" s="13" t="str">
        <f ca="1">IF(AND(AA158&gt;0,Planning!$F29=0),Y86&amp;Language!$E$66&amp;X86,"")</f>
        <v/>
      </c>
      <c r="AC158" s="2" t="str">
        <f ca="1">IF(Planning!$F29=1,W86&amp;V86,"")</f>
        <v>Eintracht FrankfurtInter Mailand</v>
      </c>
      <c r="AD158" s="165" t="str">
        <f ca="1">IF(AND(AA158&gt;0,Planning!$F29=1),Y86&amp;Language!$E$66&amp;X86,"")</f>
        <v/>
      </c>
    </row>
    <row r="159" spans="25:30" x14ac:dyDescent="0.2">
      <c r="Y159" s="74" t="s">
        <v>39</v>
      </c>
      <c r="Z159" s="35" t="str">
        <f ca="1">IF(Planning!$F30=0,W87&amp;V87,"")</f>
        <v/>
      </c>
      <c r="AA159" s="13">
        <f t="shared" ca="1" si="80"/>
        <v>0</v>
      </c>
      <c r="AB159" s="13" t="str">
        <f ca="1">IF(AND(AA159&gt;0,Planning!$F30=0),Y87&amp;Language!$E$66&amp;X87,"")</f>
        <v/>
      </c>
      <c r="AC159" s="2" t="str">
        <f ca="1">IF(Planning!$F30=1,W87&amp;V87,"")</f>
        <v>VFB EssenheimMaibach 1822 eV</v>
      </c>
      <c r="AD159" s="165" t="str">
        <f ca="1">IF(AND(AA159&gt;0,Planning!$F30=1),Y87&amp;Language!$E$66&amp;X87,"")</f>
        <v/>
      </c>
    </row>
    <row r="160" spans="25:30" x14ac:dyDescent="0.2">
      <c r="Y160" s="74" t="s">
        <v>40</v>
      </c>
      <c r="Z160" s="35" t="str">
        <f ca="1">IF(Planning!$F31=0,W88&amp;V88,"")</f>
        <v/>
      </c>
      <c r="AA160" s="13">
        <f t="shared" ca="1" si="80"/>
        <v>0</v>
      </c>
      <c r="AB160" s="13" t="str">
        <f ca="1">IF(AND(AA160&gt;0,Planning!$F31=0),Y88&amp;Language!$E$66&amp;X88,"")</f>
        <v/>
      </c>
      <c r="AC160" s="2" t="str">
        <f ca="1">IF(Planning!$F31=1,W88&amp;V88,"")</f>
        <v>SSV Wildbach1. FC Riedwald</v>
      </c>
      <c r="AD160" s="165" t="str">
        <f ca="1">IF(AND(AA160&gt;0,Planning!$F31=1),Y88&amp;Language!$E$66&amp;X88,"")</f>
        <v/>
      </c>
    </row>
    <row r="161" spans="25:30" x14ac:dyDescent="0.2">
      <c r="Y161" s="74" t="s">
        <v>41</v>
      </c>
      <c r="Z161" s="35" t="str">
        <f ca="1">IF(Planning!$F32=0,W89&amp;V89,"")</f>
        <v/>
      </c>
      <c r="AA161" s="13">
        <f t="shared" ca="1" si="80"/>
        <v>0</v>
      </c>
      <c r="AB161" s="13" t="str">
        <f ca="1">IF(AND(AA161&gt;0,Planning!$F32=0),Y89&amp;Language!$E$66&amp;X89,"")</f>
        <v/>
      </c>
      <c r="AC161" s="2" t="str">
        <f ca="1">IF(Planning!$F32=1,W89&amp;V89,"")</f>
        <v>FC BarcelonaVFB Essenheim</v>
      </c>
      <c r="AD161" s="165" t="str">
        <f ca="1">IF(AND(AA161&gt;0,Planning!$F32=1),Y89&amp;Language!$E$66&amp;X89,"")</f>
        <v/>
      </c>
    </row>
    <row r="162" spans="25:30" x14ac:dyDescent="0.2">
      <c r="Y162" s="74" t="s">
        <v>42</v>
      </c>
      <c r="Z162" s="35" t="str">
        <f ca="1">IF(Planning!$F33=0,W90&amp;V90,"")</f>
        <v/>
      </c>
      <c r="AA162" s="13">
        <f t="shared" ca="1" si="80"/>
        <v>0</v>
      </c>
      <c r="AB162" s="13" t="str">
        <f ca="1">IF(AND(AA162&gt;0,Planning!$F33=0),Y90&amp;Language!$E$66&amp;X90,"")</f>
        <v/>
      </c>
      <c r="AC162" s="2" t="str">
        <f ca="1">IF(Planning!$F33=1,W90&amp;V90,"")</f>
        <v>Maibach 1822 eVEintracht Frankfurt</v>
      </c>
      <c r="AD162" s="165" t="str">
        <f ca="1">IF(AND(AA162&gt;0,Planning!$F33=1),Y90&amp;Language!$E$66&amp;X90,"")</f>
        <v/>
      </c>
    </row>
    <row r="163" spans="25:30" x14ac:dyDescent="0.2">
      <c r="Y163" s="74" t="s">
        <v>43</v>
      </c>
      <c r="Z163" s="35" t="str">
        <f ca="1">IF(Planning!$F34=0,W91&amp;V91,"")</f>
        <v/>
      </c>
      <c r="AA163" s="13">
        <f t="shared" ca="1" si="80"/>
        <v>0</v>
      </c>
      <c r="AB163" s="13" t="str">
        <f ca="1">IF(AND(AA163&gt;0,Planning!$F34=0),Y91&amp;Language!$E$66&amp;X91,"")</f>
        <v/>
      </c>
      <c r="AC163" s="2" t="str">
        <f ca="1">IF(Planning!$F34=1,W91&amp;V91,"")</f>
        <v>1. FC RiedwaldInter Mailand</v>
      </c>
      <c r="AD163" s="165" t="str">
        <f ca="1">IF(AND(AA163&gt;0,Planning!$F34=1),Y91&amp;Language!$E$66&amp;X91,"")</f>
        <v/>
      </c>
    </row>
    <row r="164" spans="25:30" x14ac:dyDescent="0.2">
      <c r="Y164" s="74" t="s">
        <v>44</v>
      </c>
      <c r="Z164" s="35" t="str">
        <f ca="1">IF(Planning!$F35=0,W92&amp;V92,"")</f>
        <v/>
      </c>
      <c r="AA164" s="13">
        <f t="shared" ca="1" si="80"/>
        <v>0</v>
      </c>
      <c r="AB164" s="13" t="str">
        <f ca="1">IF(AND(AA164&gt;0,Planning!$F35=0),Y92&amp;Language!$E$66&amp;X92,"")</f>
        <v/>
      </c>
      <c r="AC164" s="2" t="str">
        <f ca="1">IF(Planning!$F35=1,W92&amp;V92,"")</f>
        <v>VFB EssenheimSSV Wildbach</v>
      </c>
      <c r="AD164" s="165" t="str">
        <f ca="1">IF(AND(AA164&gt;0,Planning!$F35=1),Y92&amp;Language!$E$66&amp;X92,"")</f>
        <v/>
      </c>
    </row>
    <row r="165" spans="25:30" x14ac:dyDescent="0.2">
      <c r="Y165" s="74" t="s">
        <v>45</v>
      </c>
      <c r="Z165" s="35" t="str">
        <f ca="1">IF(Planning!$F36=0,W93&amp;V93,"")</f>
        <v/>
      </c>
      <c r="AA165" s="13">
        <f t="shared" ca="1" si="80"/>
        <v>0</v>
      </c>
      <c r="AB165" s="13" t="str">
        <f ca="1">IF(AND(AA165&gt;0,Planning!$F36=0),Y93&amp;Language!$E$66&amp;X93,"")</f>
        <v/>
      </c>
      <c r="AC165" s="2" t="str">
        <f ca="1">IF(Planning!$F36=1,W93&amp;V93,"")</f>
        <v>Eintracht FrankfurtFC Barcelona</v>
      </c>
      <c r="AD165" s="165" t="str">
        <f ca="1">IF(AND(AA165&gt;0,Planning!$F36=1),Y93&amp;Language!$E$66&amp;X93,"")</f>
        <v/>
      </c>
    </row>
    <row r="166" spans="25:30" x14ac:dyDescent="0.2">
      <c r="Y166" s="74" t="s">
        <v>46</v>
      </c>
      <c r="Z166" s="35" t="str">
        <f ca="1">IF(Planning!$F37=0,W94&amp;V94,"")</f>
        <v/>
      </c>
      <c r="AA166" s="13">
        <f t="shared" ca="1" si="80"/>
        <v>0</v>
      </c>
      <c r="AB166" s="13" t="str">
        <f ca="1">IF(AND(AA166&gt;0,Planning!$F37=0),Y94&amp;Language!$E$66&amp;X94,"")</f>
        <v/>
      </c>
      <c r="AC166" s="2" t="str">
        <f ca="1">IF(Planning!$F37=1,W94&amp;V94,"")</f>
        <v>VFB Essenheim1. FC Riedwald</v>
      </c>
      <c r="AD166" s="165" t="str">
        <f ca="1">IF(AND(AA166&gt;0,Planning!$F37=1),Y94&amp;Language!$E$66&amp;X94,"")</f>
        <v/>
      </c>
    </row>
    <row r="167" spans="25:30" x14ac:dyDescent="0.2">
      <c r="Y167" s="74" t="s">
        <v>47</v>
      </c>
      <c r="Z167" s="35" t="str">
        <f ca="1">IF(Planning!$F38=0,W95&amp;V95,"")</f>
        <v/>
      </c>
      <c r="AA167" s="13">
        <f t="shared" ca="1" si="80"/>
        <v>0</v>
      </c>
      <c r="AB167" s="13" t="str">
        <f ca="1">IF(AND(AA167&gt;0,Planning!$F38=0),Y95&amp;Language!$E$66&amp;X95,"")</f>
        <v/>
      </c>
      <c r="AC167" s="2" t="str">
        <f ca="1">IF(Planning!$F38=1,W95&amp;V95,"")</f>
        <v>Maibach 1822 eVInter Mailand</v>
      </c>
      <c r="AD167" s="165" t="str">
        <f ca="1">IF(AND(AA167&gt;0,Planning!$F38=1),Y95&amp;Language!$E$66&amp;X95,"")</f>
        <v/>
      </c>
    </row>
    <row r="168" spans="25:30" x14ac:dyDescent="0.2">
      <c r="Y168" s="74" t="s">
        <v>48</v>
      </c>
      <c r="Z168" s="35" t="str">
        <f ca="1">IF(Planning!$F39=0,W96&amp;V96,"")</f>
        <v/>
      </c>
      <c r="AA168" s="13">
        <f t="shared" ca="1" si="80"/>
        <v>0</v>
      </c>
      <c r="AB168" s="13" t="str">
        <f ca="1">IF(AND(AA168&gt;0,Planning!$F39=0),Y96&amp;Language!$E$66&amp;X96,"")</f>
        <v/>
      </c>
      <c r="AC168" s="2" t="str">
        <f ca="1">IF(Planning!$F39=1,W96&amp;V96,"")</f>
        <v>SSV WildbachEintracht Frankfurt</v>
      </c>
      <c r="AD168" s="165" t="str">
        <f ca="1">IF(AND(AA168&gt;0,Planning!$F39=1),Y96&amp;Language!$E$66&amp;X96,"")</f>
        <v/>
      </c>
    </row>
    <row r="169" spans="25:30" x14ac:dyDescent="0.2">
      <c r="Y169" s="74" t="s">
        <v>49</v>
      </c>
      <c r="Z169" s="35" t="str">
        <f ca="1">IF(Planning!$F40=0,W97&amp;V97,"")</f>
        <v/>
      </c>
      <c r="AA169" s="13">
        <f t="shared" ca="1" si="80"/>
        <v>0</v>
      </c>
      <c r="AB169" s="13" t="str">
        <f ca="1">IF(AND(AA169&gt;0,Planning!$F40=0),Y97&amp;Language!$E$66&amp;X97,"")</f>
        <v/>
      </c>
      <c r="AC169" s="2" t="str">
        <f ca="1">IF(Planning!$F40=1,W97&amp;V97,"")</f>
        <v>1. FC RiedwaldMaibach 1822 eV</v>
      </c>
      <c r="AD169" s="165" t="str">
        <f ca="1">IF(AND(AA169&gt;0,Planning!$F40=1),Y97&amp;Language!$E$66&amp;X97,"")</f>
        <v/>
      </c>
    </row>
    <row r="170" spans="25:30" x14ac:dyDescent="0.2">
      <c r="Y170" s="74" t="s">
        <v>50</v>
      </c>
      <c r="Z170" s="35" t="str">
        <f ca="1">IF(Planning!$F41=0,W98&amp;V98,"")</f>
        <v/>
      </c>
      <c r="AA170" s="13">
        <f t="shared" ca="1" si="80"/>
        <v>0</v>
      </c>
      <c r="AB170" s="13" t="str">
        <f ca="1">IF(AND(AA170&gt;0,Planning!$F41=0),Y98&amp;Language!$E$66&amp;X98,"")</f>
        <v/>
      </c>
      <c r="AC170" s="2" t="str">
        <f ca="1">IF(Planning!$F41=1,W98&amp;V98,"")</f>
        <v>Eintracht FrankfurtVFB Essenheim</v>
      </c>
      <c r="AD170" s="165" t="str">
        <f ca="1">IF(AND(AA170&gt;0,Planning!$F41=1),Y98&amp;Language!$E$66&amp;X98,"")</f>
        <v/>
      </c>
    </row>
    <row r="171" spans="25:30" x14ac:dyDescent="0.2">
      <c r="Y171" s="74" t="s">
        <v>51</v>
      </c>
      <c r="Z171" s="35" t="str">
        <f ca="1">IF(Planning!$F42=0,W99&amp;V99,"")</f>
        <v/>
      </c>
      <c r="AA171" s="13">
        <f t="shared" ca="1" si="80"/>
        <v>0</v>
      </c>
      <c r="AB171" s="13" t="str">
        <f ca="1">IF(AND(AA171&gt;0,Planning!$F42=0),Y99&amp;Language!$E$66&amp;X99,"")</f>
        <v/>
      </c>
      <c r="AC171" s="2" t="str">
        <f ca="1">IF(Planning!$F42=1,W99&amp;V99,"")</f>
        <v>Inter MailandFC Barcelona</v>
      </c>
      <c r="AD171" s="165" t="str">
        <f ca="1">IF(AND(AA171&gt;0,Planning!$F42=1),Y99&amp;Language!$E$66&amp;X99,"")</f>
        <v/>
      </c>
    </row>
    <row r="172" spans="25:30" x14ac:dyDescent="0.2">
      <c r="Y172" s="74" t="s">
        <v>62</v>
      </c>
      <c r="Z172" s="35" t="str">
        <f ca="1">IF(Planning!$F43=0,W100&amp;V100,"")</f>
        <v/>
      </c>
      <c r="AA172" s="13">
        <f t="shared" ca="1" si="80"/>
        <v>0</v>
      </c>
      <c r="AB172" s="13" t="str">
        <f ca="1">IF(AND(AA172&gt;0,Planning!$F43=0),Y100&amp;Language!$E$66&amp;X100,"")</f>
        <v/>
      </c>
      <c r="AC172" s="2" t="str">
        <f ca="1">IF(Planning!$F43=1,W100&amp;V100,"")</f>
        <v>Eintracht Frankfurt1. FC Riedwald</v>
      </c>
      <c r="AD172" s="165" t="str">
        <f ca="1">IF(AND(AA172&gt;0,Planning!$F43=1),Y100&amp;Language!$E$66&amp;X100,"")</f>
        <v/>
      </c>
    </row>
    <row r="173" spans="25:30" x14ac:dyDescent="0.2">
      <c r="Y173" s="74" t="s">
        <v>63</v>
      </c>
      <c r="Z173" s="35" t="str">
        <f ca="1">IF(Planning!$F44=0,W101&amp;V101,"")</f>
        <v/>
      </c>
      <c r="AA173" s="13">
        <f t="shared" ca="1" si="80"/>
        <v>0</v>
      </c>
      <c r="AB173" s="13" t="str">
        <f ca="1">IF(AND(AA173&gt;0,Planning!$F44=0),Y101&amp;Language!$E$66&amp;X101,"")</f>
        <v/>
      </c>
      <c r="AC173" s="2" t="str">
        <f ca="1">IF(Planning!$F44=1,W101&amp;V101,"")</f>
        <v>FC BarcelonaMaibach 1822 eV</v>
      </c>
      <c r="AD173" s="165" t="str">
        <f ca="1">IF(AND(AA173&gt;0,Planning!$F44=1),Y101&amp;Language!$E$66&amp;X101,"")</f>
        <v/>
      </c>
    </row>
    <row r="174" spans="25:30" x14ac:dyDescent="0.2">
      <c r="Y174" s="74" t="s">
        <v>64</v>
      </c>
      <c r="Z174" s="35" t="str">
        <f ca="1">IF(Planning!$F45=0,W102&amp;V102,"")</f>
        <v/>
      </c>
      <c r="AA174" s="13">
        <f t="shared" ca="1" si="80"/>
        <v>0</v>
      </c>
      <c r="AB174" s="13" t="str">
        <f ca="1">IF(AND(AA174&gt;0,Planning!$F45=0),Y102&amp;Language!$E$66&amp;X102,"")</f>
        <v/>
      </c>
      <c r="AC174" s="2" t="str">
        <f ca="1">IF(Planning!$F45=1,W102&amp;V102,"")</f>
        <v>SSV WildbachInter Mailand</v>
      </c>
      <c r="AD174" s="165" t="str">
        <f ca="1">IF(AND(AA174&gt;0,Planning!$F45=1),Y102&amp;Language!$E$66&amp;X102,"")</f>
        <v/>
      </c>
    </row>
    <row r="175" spans="25:30" x14ac:dyDescent="0.2">
      <c r="Y175" s="74" t="s">
        <v>65</v>
      </c>
      <c r="Z175" s="35" t="str">
        <f ca="1">IF(Planning!$F46=0,W103&amp;V103,"")</f>
        <v/>
      </c>
      <c r="AA175" s="13">
        <f t="shared" ca="1" si="80"/>
        <v>0</v>
      </c>
      <c r="AB175" s="13" t="str">
        <f ca="1">IF(AND(AA175&gt;0,Planning!$F46=0),Y103&amp;Language!$E$66&amp;X103,"")</f>
        <v/>
      </c>
      <c r="AC175" s="2" t="str">
        <f ca="1">IF(Planning!$F46=1,W103&amp;V103,"")</f>
        <v>1. FC RiedwaldFC Barcelona</v>
      </c>
      <c r="AD175" s="165" t="str">
        <f ca="1">IF(AND(AA175&gt;0,Planning!$F46=1),Y103&amp;Language!$E$66&amp;X103,"")</f>
        <v/>
      </c>
    </row>
    <row r="176" spans="25:30" x14ac:dyDescent="0.2">
      <c r="Y176" s="74" t="s">
        <v>66</v>
      </c>
      <c r="Z176" s="35" t="str">
        <f ca="1">IF(Planning!$F47=0,W104&amp;V104,"")</f>
        <v/>
      </c>
      <c r="AA176" s="13">
        <f t="shared" ca="1" si="80"/>
        <v>0</v>
      </c>
      <c r="AB176" s="13" t="str">
        <f ca="1">IF(AND(AA176&gt;0,Planning!$F47=0),Y104&amp;Language!$E$66&amp;X104,"")</f>
        <v/>
      </c>
      <c r="AC176" s="2" t="str">
        <f ca="1">IF(Planning!$F47=1,W104&amp;V104,"")</f>
        <v>Maibach 1822 eVSSV Wildbach</v>
      </c>
      <c r="AD176" s="165" t="str">
        <f ca="1">IF(AND(AA176&gt;0,Planning!$F47=1),Y104&amp;Language!$E$66&amp;X104,"")</f>
        <v/>
      </c>
    </row>
    <row r="177" spans="25:30" x14ac:dyDescent="0.2">
      <c r="Y177" s="74" t="s">
        <v>67</v>
      </c>
      <c r="Z177" s="35" t="str">
        <f ca="1">IF(Planning!$F48=0,W105&amp;V105,"")</f>
        <v/>
      </c>
      <c r="AA177" s="13">
        <f t="shared" ca="1" si="80"/>
        <v>0</v>
      </c>
      <c r="AB177" s="13" t="str">
        <f ca="1">IF(AND(AA177&gt;0,Planning!$F48=0),Y105&amp;Language!$E$66&amp;X105,"")</f>
        <v/>
      </c>
      <c r="AC177" s="2" t="str">
        <f ca="1">IF(Planning!$F48=1,W105&amp;V105,"")</f>
        <v>Inter MailandVFB Essenheim</v>
      </c>
      <c r="AD177" s="165" t="str">
        <f ca="1">IF(AND(AA177&gt;0,Planning!$F48=1),Y105&amp;Language!$E$66&amp;X105,"")</f>
        <v/>
      </c>
    </row>
    <row r="178" spans="25:30" x14ac:dyDescent="0.2">
      <c r="Y178" s="74" t="s">
        <v>68</v>
      </c>
      <c r="Z178" s="35" t="str">
        <f ca="1">IF(Planning!$F49=0,W106&amp;V106,"")</f>
        <v/>
      </c>
      <c r="AA178" s="13">
        <f t="shared" ca="1" si="80"/>
        <v>0</v>
      </c>
      <c r="AB178" s="13" t="str">
        <f ca="1">IF(AND(AA178&gt;0,Planning!$F49=0),Y106&amp;Language!$E$66&amp;X106,"")</f>
        <v/>
      </c>
      <c r="AC178" s="2" t="str">
        <f ca="1">IF(Planning!$F49=1,W106&amp;V106,"")</f>
        <v/>
      </c>
      <c r="AD178" s="165" t="str">
        <f ca="1">IF(AND(AA178&gt;0,Planning!$F49=1),Y106&amp;Language!$E$66&amp;X106,"")</f>
        <v/>
      </c>
    </row>
    <row r="179" spans="25:30" x14ac:dyDescent="0.2">
      <c r="Y179" s="74" t="s">
        <v>69</v>
      </c>
      <c r="Z179" s="35" t="str">
        <f ca="1">IF(Planning!$F50=0,W107&amp;V107,"")</f>
        <v/>
      </c>
      <c r="AA179" s="13">
        <f t="shared" ca="1" si="80"/>
        <v>0</v>
      </c>
      <c r="AB179" s="13" t="str">
        <f ca="1">IF(AND(AA179&gt;0,Planning!$F50=0),Y107&amp;Language!$E$66&amp;X107,"")</f>
        <v/>
      </c>
      <c r="AC179" s="2" t="str">
        <f ca="1">IF(Planning!$F50=1,W107&amp;V107,"")</f>
        <v/>
      </c>
      <c r="AD179" s="165" t="str">
        <f ca="1">IF(AND(AA179&gt;0,Planning!$F50=1),Y107&amp;Language!$E$66&amp;X107,"")</f>
        <v/>
      </c>
    </row>
    <row r="180" spans="25:30" x14ac:dyDescent="0.2">
      <c r="Y180" s="74" t="s">
        <v>70</v>
      </c>
      <c r="Z180" s="35" t="str">
        <f ca="1">IF(Planning!$F51=0,W108&amp;V108,"")</f>
        <v/>
      </c>
      <c r="AA180" s="13">
        <f t="shared" ca="1" si="80"/>
        <v>0</v>
      </c>
      <c r="AB180" s="13" t="str">
        <f ca="1">IF(AND(AA180&gt;0,Planning!$F51=0),Y108&amp;Language!$E$66&amp;X108,"")</f>
        <v/>
      </c>
      <c r="AC180" s="2" t="str">
        <f ca="1">IF(Planning!$F51=1,W108&amp;V108,"")</f>
        <v/>
      </c>
      <c r="AD180" s="165" t="str">
        <f ca="1">IF(AND(AA180&gt;0,Planning!$F51=1),Y108&amp;Language!$E$66&amp;X108,"")</f>
        <v/>
      </c>
    </row>
    <row r="181" spans="25:30" x14ac:dyDescent="0.2">
      <c r="Y181" s="74" t="s">
        <v>71</v>
      </c>
      <c r="Z181" s="35" t="str">
        <f ca="1">IF(Planning!$F52=0,W109&amp;V109,"")</f>
        <v/>
      </c>
      <c r="AA181" s="13">
        <f t="shared" ca="1" si="80"/>
        <v>0</v>
      </c>
      <c r="AB181" s="13" t="str">
        <f ca="1">IF(AND(AA181&gt;0,Planning!$F52=0),Y109&amp;Language!$E$66&amp;X109,"")</f>
        <v/>
      </c>
      <c r="AC181" s="2" t="str">
        <f ca="1">IF(Planning!$F52=1,W109&amp;V109,"")</f>
        <v/>
      </c>
      <c r="AD181" s="165" t="str">
        <f ca="1">IF(AND(AA181&gt;0,Planning!$F52=1),Y109&amp;Language!$E$66&amp;X109,"")</f>
        <v/>
      </c>
    </row>
    <row r="182" spans="25:30" x14ac:dyDescent="0.2">
      <c r="Y182" s="74" t="s">
        <v>72</v>
      </c>
      <c r="Z182" s="35" t="str">
        <f ca="1">IF(Planning!$F53=0,W110&amp;V110,"")</f>
        <v/>
      </c>
      <c r="AA182" s="13">
        <f t="shared" ca="1" si="80"/>
        <v>0</v>
      </c>
      <c r="AB182" s="13" t="str">
        <f ca="1">IF(AND(AA182&gt;0,Planning!$F53=0),Y110&amp;Language!$E$66&amp;X110,"")</f>
        <v/>
      </c>
      <c r="AC182" s="2" t="str">
        <f ca="1">IF(Planning!$F53=1,W110&amp;V110,"")</f>
        <v/>
      </c>
      <c r="AD182" s="165" t="str">
        <f ca="1">IF(AND(AA182&gt;0,Planning!$F53=1),Y110&amp;Language!$E$66&amp;X110,"")</f>
        <v/>
      </c>
    </row>
    <row r="183" spans="25:30" x14ac:dyDescent="0.2">
      <c r="Y183" s="74" t="s">
        <v>73</v>
      </c>
      <c r="Z183" s="35" t="str">
        <f ca="1">IF(Planning!$F54=0,W111&amp;V111,"")</f>
        <v/>
      </c>
      <c r="AA183" s="13">
        <f t="shared" ca="1" si="80"/>
        <v>0</v>
      </c>
      <c r="AB183" s="13" t="str">
        <f ca="1">IF(AND(AA183&gt;0,Planning!$F54=0),Y111&amp;Language!$E$66&amp;X111,"")</f>
        <v/>
      </c>
      <c r="AC183" s="2" t="str">
        <f ca="1">IF(Planning!$F54=1,W111&amp;V111,"")</f>
        <v/>
      </c>
      <c r="AD183" s="165" t="str">
        <f ca="1">IF(AND(AA183&gt;0,Planning!$F54=1),Y111&amp;Language!$E$66&amp;X111,"")</f>
        <v/>
      </c>
    </row>
    <row r="184" spans="25:30" x14ac:dyDescent="0.2">
      <c r="Y184" s="74" t="s">
        <v>74</v>
      </c>
      <c r="Z184" s="35" t="str">
        <f ca="1">IF(Planning!$F55=0,W112&amp;V112,"")</f>
        <v/>
      </c>
      <c r="AA184" s="13">
        <f t="shared" ca="1" si="80"/>
        <v>0</v>
      </c>
      <c r="AB184" s="13" t="str">
        <f ca="1">IF(AND(AA184&gt;0,Planning!$F55=0),Y112&amp;Language!$E$66&amp;X112,"")</f>
        <v/>
      </c>
      <c r="AC184" s="2" t="str">
        <f ca="1">IF(Planning!$F55=1,W112&amp;V112,"")</f>
        <v/>
      </c>
      <c r="AD184" s="165" t="str">
        <f ca="1">IF(AND(AA184&gt;0,Planning!$F55=1),Y112&amp;Language!$E$66&amp;X112,"")</f>
        <v/>
      </c>
    </row>
    <row r="185" spans="25:30" x14ac:dyDescent="0.2">
      <c r="Y185" s="74" t="s">
        <v>75</v>
      </c>
      <c r="Z185" s="35" t="str">
        <f ca="1">IF(Planning!$F56=0,W113&amp;V113,"")</f>
        <v/>
      </c>
      <c r="AA185" s="13">
        <f t="shared" ca="1" si="80"/>
        <v>0</v>
      </c>
      <c r="AB185" s="13" t="str">
        <f ca="1">IF(AND(AA185&gt;0,Planning!$F56=0),Y113&amp;Language!$E$66&amp;X113,"")</f>
        <v/>
      </c>
      <c r="AC185" s="2" t="str">
        <f ca="1">IF(Planning!$F56=1,W113&amp;V113,"")</f>
        <v/>
      </c>
      <c r="AD185" s="165" t="str">
        <f ca="1">IF(AND(AA185&gt;0,Planning!$F56=1),Y113&amp;Language!$E$66&amp;X113,"")</f>
        <v/>
      </c>
    </row>
    <row r="186" spans="25:30" x14ac:dyDescent="0.2">
      <c r="Y186" s="74" t="s">
        <v>76</v>
      </c>
      <c r="Z186" s="35" t="str">
        <f ca="1">IF(Planning!$F57=0,W114&amp;V114,"")</f>
        <v/>
      </c>
      <c r="AA186" s="13">
        <f t="shared" ca="1" si="80"/>
        <v>0</v>
      </c>
      <c r="AB186" s="13" t="str">
        <f ca="1">IF(AND(AA186&gt;0,Planning!$F57=0),Y114&amp;Language!$E$66&amp;X114,"")</f>
        <v/>
      </c>
      <c r="AC186" s="2" t="str">
        <f ca="1">IF(Planning!$F57=1,W114&amp;V114,"")</f>
        <v/>
      </c>
      <c r="AD186" s="165" t="str">
        <f ca="1">IF(AND(AA186&gt;0,Planning!$F57=1),Y114&amp;Language!$E$66&amp;X114,"")</f>
        <v/>
      </c>
    </row>
    <row r="187" spans="25:30" x14ac:dyDescent="0.2">
      <c r="Y187" s="74" t="s">
        <v>77</v>
      </c>
      <c r="Z187" s="35" t="str">
        <f ca="1">IF(Planning!$F58=0,W115&amp;V115,"")</f>
        <v/>
      </c>
      <c r="AA187" s="13">
        <f t="shared" ca="1" si="80"/>
        <v>0</v>
      </c>
      <c r="AB187" s="13" t="str">
        <f ca="1">IF(AND(AA187&gt;0,Planning!$F58=0),Y115&amp;Language!$E$66&amp;X115,"")</f>
        <v/>
      </c>
      <c r="AC187" s="2" t="str">
        <f ca="1">IF(Planning!$F58=1,W115&amp;V115,"")</f>
        <v/>
      </c>
      <c r="AD187" s="165" t="str">
        <f ca="1">IF(AND(AA187&gt;0,Planning!$F58=1),Y115&amp;Language!$E$66&amp;X115,"")</f>
        <v/>
      </c>
    </row>
    <row r="188" spans="25:30" x14ac:dyDescent="0.2">
      <c r="Y188" s="74" t="s">
        <v>78</v>
      </c>
      <c r="Z188" s="35" t="str">
        <f ca="1">IF(Planning!$F59=0,W116&amp;V116,"")</f>
        <v/>
      </c>
      <c r="AA188" s="13">
        <f t="shared" ca="1" si="80"/>
        <v>0</v>
      </c>
      <c r="AB188" s="13" t="str">
        <f ca="1">IF(AND(AA188&gt;0,Planning!$F59=0),Y116&amp;Language!$E$66&amp;X116,"")</f>
        <v/>
      </c>
      <c r="AC188" s="2" t="str">
        <f ca="1">IF(Planning!$F59=1,W116&amp;V116,"")</f>
        <v/>
      </c>
      <c r="AD188" s="165" t="str">
        <f ca="1">IF(AND(AA188&gt;0,Planning!$F59=1),Y116&amp;Language!$E$66&amp;X116,"")</f>
        <v/>
      </c>
    </row>
    <row r="189" spans="25:30" x14ac:dyDescent="0.2">
      <c r="Y189" s="74" t="s">
        <v>79</v>
      </c>
      <c r="Z189" s="35" t="str">
        <f ca="1">IF(Planning!$F60=0,W117&amp;V117,"")</f>
        <v/>
      </c>
      <c r="AA189" s="13">
        <f t="shared" ca="1" si="80"/>
        <v>0</v>
      </c>
      <c r="AB189" s="13" t="str">
        <f ca="1">IF(AND(AA189&gt;0,Planning!$F60=0),Y117&amp;Language!$E$66&amp;X117,"")</f>
        <v/>
      </c>
      <c r="AC189" s="2" t="str">
        <f ca="1">IF(Planning!$F60=1,W117&amp;V117,"")</f>
        <v/>
      </c>
      <c r="AD189" s="165" t="str">
        <f ca="1">IF(AND(AA189&gt;0,Planning!$F60=1),Y117&amp;Language!$E$66&amp;X117,"")</f>
        <v/>
      </c>
    </row>
    <row r="190" spans="25:30" x14ac:dyDescent="0.2">
      <c r="Y190" s="74" t="s">
        <v>80</v>
      </c>
      <c r="Z190" s="35" t="str">
        <f ca="1">IF(Planning!$F61=0,W118&amp;V118,"")</f>
        <v/>
      </c>
      <c r="AA190" s="13">
        <f t="shared" ca="1" si="80"/>
        <v>0</v>
      </c>
      <c r="AB190" s="13" t="str">
        <f ca="1">IF(AND(AA190&gt;0,Planning!$F61=0),Y118&amp;Language!$E$66&amp;X118,"")</f>
        <v/>
      </c>
      <c r="AC190" s="2" t="str">
        <f ca="1">IF(Planning!$F61=1,W118&amp;V118,"")</f>
        <v/>
      </c>
      <c r="AD190" s="165" t="str">
        <f ca="1">IF(AND(AA190&gt;0,Planning!$F61=1),Y118&amp;Language!$E$66&amp;X118,"")</f>
        <v/>
      </c>
    </row>
    <row r="191" spans="25:30" x14ac:dyDescent="0.2">
      <c r="Y191" s="74" t="s">
        <v>81</v>
      </c>
      <c r="Z191" s="35" t="str">
        <f ca="1">IF(Planning!$F62=0,W119&amp;V119,"")</f>
        <v/>
      </c>
      <c r="AA191" s="13">
        <f t="shared" ca="1" si="80"/>
        <v>0</v>
      </c>
      <c r="AB191" s="13" t="str">
        <f ca="1">IF(AND(AA191&gt;0,Planning!$F62=0),Y119&amp;Language!$E$66&amp;X119,"")</f>
        <v/>
      </c>
      <c r="AC191" s="2" t="str">
        <f ca="1">IF(Planning!$F62=1,W119&amp;V119,"")</f>
        <v/>
      </c>
      <c r="AD191" s="165" t="str">
        <f ca="1">IF(AND(AA191&gt;0,Planning!$F62=1),Y119&amp;Language!$E$66&amp;X119,"")</f>
        <v/>
      </c>
    </row>
    <row r="192" spans="25:30" x14ac:dyDescent="0.2">
      <c r="Y192" s="74" t="s">
        <v>82</v>
      </c>
      <c r="Z192" s="35" t="str">
        <f ca="1">IF(Planning!$F63=0,W120&amp;V120,"")</f>
        <v/>
      </c>
      <c r="AA192" s="13">
        <f t="shared" ca="1" si="80"/>
        <v>0</v>
      </c>
      <c r="AB192" s="13" t="str">
        <f ca="1">IF(AND(AA192&gt;0,Planning!$F63=0),Y120&amp;Language!$E$66&amp;X120,"")</f>
        <v/>
      </c>
      <c r="AC192" s="2" t="str">
        <f ca="1">IF(Planning!$F63=1,W120&amp;V120,"")</f>
        <v/>
      </c>
      <c r="AD192" s="165" t="str">
        <f ca="1">IF(AND(AA192&gt;0,Planning!$F63=1),Y120&amp;Language!$E$66&amp;X120,"")</f>
        <v/>
      </c>
    </row>
    <row r="193" spans="25:30" x14ac:dyDescent="0.2">
      <c r="Y193" s="74" t="s">
        <v>83</v>
      </c>
      <c r="Z193" s="35" t="str">
        <f ca="1">IF(Planning!$F64=0,W121&amp;V121,"")</f>
        <v/>
      </c>
      <c r="AA193" s="13">
        <f t="shared" ca="1" si="80"/>
        <v>0</v>
      </c>
      <c r="AB193" s="13" t="str">
        <f ca="1">IF(AND(AA193&gt;0,Planning!$F64=0),Y121&amp;Language!$E$66&amp;X121,"")</f>
        <v/>
      </c>
      <c r="AC193" s="2" t="str">
        <f ca="1">IF(Planning!$F64=1,W121&amp;V121,"")</f>
        <v/>
      </c>
      <c r="AD193" s="165" t="str">
        <f ca="1">IF(AND(AA193&gt;0,Planning!$F64=1),Y121&amp;Language!$E$66&amp;X121,"")</f>
        <v/>
      </c>
    </row>
    <row r="194" spans="25:30" x14ac:dyDescent="0.2">
      <c r="Y194" s="74" t="s">
        <v>84</v>
      </c>
      <c r="Z194" s="35" t="str">
        <f ca="1">IF(Planning!$F65=0,W122&amp;V122,"")</f>
        <v/>
      </c>
      <c r="AA194" s="13">
        <f t="shared" ca="1" si="80"/>
        <v>0</v>
      </c>
      <c r="AB194" s="13" t="str">
        <f ca="1">IF(AND(AA194&gt;0,Planning!$F65=0),Y122&amp;Language!$E$66&amp;X122,"")</f>
        <v/>
      </c>
      <c r="AC194" s="2" t="str">
        <f ca="1">IF(Planning!$F65=1,W122&amp;V122,"")</f>
        <v/>
      </c>
      <c r="AD194" s="165" t="str">
        <f ca="1">IF(AND(AA194&gt;0,Planning!$F65=1),Y122&amp;Language!$E$66&amp;X122,"")</f>
        <v/>
      </c>
    </row>
    <row r="195" spans="25:30" x14ac:dyDescent="0.2">
      <c r="Y195" s="74" t="s">
        <v>85</v>
      </c>
      <c r="Z195" s="35" t="str">
        <f ca="1">IF(Planning!$F66=0,W123&amp;V123,"")</f>
        <v/>
      </c>
      <c r="AA195" s="13">
        <f t="shared" ca="1" si="80"/>
        <v>0</v>
      </c>
      <c r="AB195" s="13" t="str">
        <f ca="1">IF(AND(AA195&gt;0,Planning!$F66=0),Y123&amp;Language!$E$66&amp;X123,"")</f>
        <v/>
      </c>
      <c r="AC195" s="2" t="str">
        <f ca="1">IF(Planning!$F66=1,W123&amp;V123,"")</f>
        <v/>
      </c>
      <c r="AD195" s="165" t="str">
        <f ca="1">IF(AND(AA195&gt;0,Planning!$F66=1),Y123&amp;Language!$E$66&amp;X123,"")</f>
        <v/>
      </c>
    </row>
    <row r="196" spans="25:30" x14ac:dyDescent="0.2">
      <c r="Y196" s="74" t="s">
        <v>86</v>
      </c>
      <c r="Z196" s="35" t="str">
        <f ca="1">IF(Planning!$F67=0,W124&amp;V124,"")</f>
        <v/>
      </c>
      <c r="AA196" s="13">
        <f t="shared" ca="1" si="80"/>
        <v>0</v>
      </c>
      <c r="AB196" s="13" t="str">
        <f ca="1">IF(AND(AA196&gt;0,Planning!$F67=0),Y124&amp;Language!$E$66&amp;X124,"")</f>
        <v/>
      </c>
      <c r="AC196" s="2" t="str">
        <f ca="1">IF(Planning!$F67=1,W124&amp;V124,"")</f>
        <v/>
      </c>
      <c r="AD196" s="165" t="str">
        <f ca="1">IF(AND(AA196&gt;0,Planning!$F67=1),Y124&amp;Language!$E$66&amp;X124,"")</f>
        <v/>
      </c>
    </row>
    <row r="197" spans="25:30" x14ac:dyDescent="0.2">
      <c r="Y197" s="74" t="s">
        <v>87</v>
      </c>
      <c r="Z197" s="35" t="str">
        <f ca="1">IF(Planning!$F68=0,W125&amp;V125,"")</f>
        <v/>
      </c>
      <c r="AA197" s="13">
        <f t="shared" ca="1" si="80"/>
        <v>0</v>
      </c>
      <c r="AB197" s="13" t="str">
        <f ca="1">IF(AND(AA197&gt;0,Planning!$F68=0),Y125&amp;Language!$E$66&amp;X125,"")</f>
        <v/>
      </c>
      <c r="AC197" s="2" t="str">
        <f ca="1">IF(Planning!$F68=1,W125&amp;V125,"")</f>
        <v/>
      </c>
      <c r="AD197" s="165" t="str">
        <f ca="1">IF(AND(AA197&gt;0,Planning!$F68=1),Y125&amp;Language!$E$66&amp;X125,"")</f>
        <v/>
      </c>
    </row>
    <row r="198" spans="25:30" x14ac:dyDescent="0.2">
      <c r="Y198" s="74" t="s">
        <v>88</v>
      </c>
      <c r="Z198" s="35" t="str">
        <f ca="1">IF(Planning!$F69=0,W126&amp;V126,"")</f>
        <v/>
      </c>
      <c r="AA198" s="13">
        <f t="shared" ca="1" si="80"/>
        <v>0</v>
      </c>
      <c r="AB198" s="13" t="str">
        <f ca="1">IF(AND(AA198&gt;0,Planning!$F69=0),Y126&amp;Language!$E$66&amp;X126,"")</f>
        <v/>
      </c>
      <c r="AC198" s="2" t="str">
        <f ca="1">IF(Planning!$F69=1,W126&amp;V126,"")</f>
        <v/>
      </c>
      <c r="AD198" s="165" t="str">
        <f ca="1">IF(AND(AA198&gt;0,Planning!$F69=1),Y126&amp;Language!$E$66&amp;X126,"")</f>
        <v/>
      </c>
    </row>
    <row r="199" spans="25:30" x14ac:dyDescent="0.2">
      <c r="Y199" s="74" t="s">
        <v>89</v>
      </c>
      <c r="Z199" s="35" t="str">
        <f ca="1">IF(Planning!$F70=0,W127&amp;V127,"")</f>
        <v/>
      </c>
      <c r="AA199" s="13">
        <f t="shared" ca="1" si="80"/>
        <v>0</v>
      </c>
      <c r="AB199" s="13" t="str">
        <f ca="1">IF(AND(AA199&gt;0,Planning!$F70=0),Y127&amp;Language!$E$66&amp;X127,"")</f>
        <v/>
      </c>
      <c r="AC199" s="2" t="str">
        <f ca="1">IF(Planning!$F70=1,W127&amp;V127,"")</f>
        <v/>
      </c>
      <c r="AD199" s="165" t="str">
        <f ca="1">IF(AND(AA199&gt;0,Planning!$F70=1),Y127&amp;Language!$E$66&amp;X127,"")</f>
        <v/>
      </c>
    </row>
    <row r="200" spans="25:30" x14ac:dyDescent="0.2">
      <c r="Y200" s="74" t="s">
        <v>90</v>
      </c>
      <c r="Z200" s="35" t="str">
        <f ca="1">IF(Planning!$F71=0,W128&amp;V128,"")</f>
        <v/>
      </c>
      <c r="AA200" s="13">
        <f t="shared" ca="1" si="80"/>
        <v>0</v>
      </c>
      <c r="AB200" s="13" t="str">
        <f ca="1">IF(AND(AA200&gt;0,Planning!$F71=0),Y128&amp;Language!$E$66&amp;X128,"")</f>
        <v/>
      </c>
      <c r="AC200" s="2" t="str">
        <f ca="1">IF(Planning!$F71=1,W128&amp;V128,"")</f>
        <v/>
      </c>
      <c r="AD200" s="165" t="str">
        <f ca="1">IF(AND(AA200&gt;0,Planning!$F71=1),Y128&amp;Language!$E$66&amp;X128,"")</f>
        <v/>
      </c>
    </row>
    <row r="201" spans="25:30" x14ac:dyDescent="0.2">
      <c r="Y201" s="74" t="s">
        <v>91</v>
      </c>
      <c r="Z201" s="35" t="str">
        <f ca="1">IF(Planning!$F72=0,W129&amp;V129,"")</f>
        <v/>
      </c>
      <c r="AA201" s="13">
        <f t="shared" ref="AA201:AA207" ca="1" si="81">AA129</f>
        <v>0</v>
      </c>
      <c r="AB201" s="13" t="str">
        <f ca="1">IF(AND(AA201&gt;0,Planning!$F72=0),Y129&amp;Language!$E$66&amp;X129,"")</f>
        <v/>
      </c>
      <c r="AC201" s="2" t="str">
        <f ca="1">IF(Planning!$F72=1,W129&amp;V129,"")</f>
        <v/>
      </c>
      <c r="AD201" s="165" t="str">
        <f ca="1">IF(AND(AA201&gt;0,Planning!$F72=1),Y129&amp;Language!$E$66&amp;X129,"")</f>
        <v/>
      </c>
    </row>
    <row r="202" spans="25:30" x14ac:dyDescent="0.2">
      <c r="Y202" s="74" t="s">
        <v>92</v>
      </c>
      <c r="Z202" s="35" t="str">
        <f ca="1">IF(Planning!$F73=0,W130&amp;V130,"")</f>
        <v/>
      </c>
      <c r="AA202" s="13">
        <f t="shared" ca="1" si="81"/>
        <v>0</v>
      </c>
      <c r="AB202" s="13" t="str">
        <f ca="1">IF(AND(AA202&gt;0,Planning!$F73=0),Y130&amp;Language!$E$66&amp;X130,"")</f>
        <v/>
      </c>
      <c r="AC202" s="2" t="str">
        <f ca="1">IF(Planning!$F73=1,W130&amp;V130,"")</f>
        <v/>
      </c>
      <c r="AD202" s="165" t="str">
        <f ca="1">IF(AND(AA202&gt;0,Planning!$F73=1),Y130&amp;Language!$E$66&amp;X130,"")</f>
        <v/>
      </c>
    </row>
    <row r="203" spans="25:30" x14ac:dyDescent="0.2">
      <c r="Y203" s="74" t="s">
        <v>93</v>
      </c>
      <c r="Z203" s="35" t="str">
        <f ca="1">IF(Planning!$F74=0,W131&amp;V131,"")</f>
        <v/>
      </c>
      <c r="AA203" s="13">
        <f t="shared" ca="1" si="81"/>
        <v>0</v>
      </c>
      <c r="AB203" s="13" t="str">
        <f ca="1">IF(AND(AA203&gt;0,Planning!$F74=0),Y131&amp;Language!$E$66&amp;X131,"")</f>
        <v/>
      </c>
      <c r="AC203" s="2" t="str">
        <f ca="1">IF(Planning!$F74=1,W131&amp;V131,"")</f>
        <v/>
      </c>
      <c r="AD203" s="165" t="str">
        <f ca="1">IF(AND(AA203&gt;0,Planning!$F74=1),Y131&amp;Language!$E$66&amp;X131,"")</f>
        <v/>
      </c>
    </row>
    <row r="204" spans="25:30" x14ac:dyDescent="0.2">
      <c r="Y204" s="74" t="s">
        <v>94</v>
      </c>
      <c r="Z204" s="35" t="str">
        <f ca="1">IF(Planning!$F75=0,W132&amp;V132,"")</f>
        <v/>
      </c>
      <c r="AA204" s="13">
        <f t="shared" ca="1" si="81"/>
        <v>0</v>
      </c>
      <c r="AB204" s="13" t="str">
        <f ca="1">IF(AND(AA204&gt;0,Planning!$F75=0),Y132&amp;Language!$E$66&amp;X132,"")</f>
        <v/>
      </c>
      <c r="AC204" s="2" t="str">
        <f ca="1">IF(Planning!$F75=1,W132&amp;V132,"")</f>
        <v/>
      </c>
      <c r="AD204" s="165" t="str">
        <f ca="1">IF(AND(AA204&gt;0,Planning!$F75=1),Y132&amp;Language!$E$66&amp;X132,"")</f>
        <v/>
      </c>
    </row>
    <row r="205" spans="25:30" x14ac:dyDescent="0.2">
      <c r="Y205" s="74" t="s">
        <v>95</v>
      </c>
      <c r="Z205" s="35" t="str">
        <f ca="1">IF(Planning!$F76=0,W133&amp;V133,"")</f>
        <v/>
      </c>
      <c r="AA205" s="13">
        <f t="shared" ca="1" si="81"/>
        <v>0</v>
      </c>
      <c r="AB205" s="13" t="str">
        <f ca="1">IF(AND(AA205&gt;0,Planning!$F76=0),Y133&amp;Language!$E$66&amp;X133,"")</f>
        <v/>
      </c>
      <c r="AC205" s="2" t="str">
        <f ca="1">IF(Planning!$F76=1,W133&amp;V133,"")</f>
        <v/>
      </c>
      <c r="AD205" s="165" t="str">
        <f ca="1">IF(AND(AA205&gt;0,Planning!$F76=1),Y133&amp;Language!$E$66&amp;X133,"")</f>
        <v/>
      </c>
    </row>
    <row r="206" spans="25:30" x14ac:dyDescent="0.2">
      <c r="Y206" s="74" t="s">
        <v>96</v>
      </c>
      <c r="Z206" s="35" t="str">
        <f ca="1">IF(Planning!$F77=0,W134&amp;V134,"")</f>
        <v/>
      </c>
      <c r="AA206" s="13">
        <f t="shared" ca="1" si="81"/>
        <v>0</v>
      </c>
      <c r="AB206" s="13" t="str">
        <f ca="1">IF(AND(AA206&gt;0,Planning!$F77=0),Y134&amp;Language!$E$66&amp;X134,"")</f>
        <v/>
      </c>
      <c r="AC206" s="2" t="str">
        <f ca="1">IF(Planning!$F77=1,W134&amp;V134,"")</f>
        <v/>
      </c>
      <c r="AD206" s="165" t="str">
        <f ca="1">IF(AND(AA206&gt;0,Planning!$F77=1),Y134&amp;Language!$E$66&amp;X134,"")</f>
        <v/>
      </c>
    </row>
    <row r="207" spans="25:30" ht="12.75" thickBot="1" x14ac:dyDescent="0.25">
      <c r="Y207" s="75" t="s">
        <v>97</v>
      </c>
      <c r="Z207" s="37" t="str">
        <f ca="1">IF(Planning!$F78=0,W135&amp;V135,"")</f>
        <v/>
      </c>
      <c r="AA207" s="38">
        <f t="shared" ca="1" si="81"/>
        <v>0</v>
      </c>
      <c r="AB207" s="166" t="str">
        <f ca="1">IF(AND(AA207&gt;0,Planning!$F78=0),Y135&amp;Language!$E$66&amp;X135,"")</f>
        <v/>
      </c>
      <c r="AC207" s="168" t="str">
        <f ca="1">IF(Planning!$F78=1,W135&amp;V135,"")</f>
        <v/>
      </c>
      <c r="AD207" s="167" t="str">
        <f ca="1">IF(AND(AA207&gt;0,Planning!$F78=1),Y135&amp;Language!$E$66&amp;X135,"")</f>
        <v/>
      </c>
    </row>
    <row r="208" spans="25:30" ht="12.75" thickTop="1" x14ac:dyDescent="0.2"/>
  </sheetData>
  <mergeCells count="14">
    <mergeCell ref="AE63:AF63"/>
    <mergeCell ref="W3:AA3"/>
    <mergeCell ref="AB3:AF3"/>
    <mergeCell ref="AG3:AK3"/>
    <mergeCell ref="AL3:AP3"/>
    <mergeCell ref="AD15:AH15"/>
    <mergeCell ref="BI29:BP29"/>
    <mergeCell ref="AS29:AZ29"/>
    <mergeCell ref="BA29:BH29"/>
    <mergeCell ref="E29:L29"/>
    <mergeCell ref="M29:T29"/>
    <mergeCell ref="U29:AB29"/>
    <mergeCell ref="AC29:AJ29"/>
    <mergeCell ref="AK29:AR29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dimension ref="A1:G74"/>
  <sheetViews>
    <sheetView workbookViewId="0">
      <selection activeCell="E9" sqref="E9"/>
    </sheetView>
  </sheetViews>
  <sheetFormatPr baseColWidth="10" defaultRowHeight="12.75" x14ac:dyDescent="0.2"/>
  <cols>
    <col min="1" max="2" width="11.42578125" style="366"/>
    <col min="3" max="3" width="24.42578125" style="366" customWidth="1"/>
    <col min="4" max="6" width="11.42578125" style="366"/>
    <col min="7" max="7" width="14.28515625" style="366" customWidth="1"/>
    <col min="8" max="16384" width="11.42578125" style="366"/>
  </cols>
  <sheetData>
    <row r="1" spans="2:7" ht="13.5" thickBot="1" x14ac:dyDescent="0.25"/>
    <row r="2" spans="2:7" ht="24.75" customHeight="1" thickTop="1" thickBot="1" x14ac:dyDescent="0.25">
      <c r="E2" s="367">
        <f ca="1">COUNTIF($C$3:$C$74,"")</f>
        <v>0</v>
      </c>
      <c r="F2" s="367">
        <f t="array" aca="1" ref="F2" ca="1">SUMPRODUCT(($C$3:$C$74&lt;&gt;"")/($D$3:$D$74+($C$3:$C$74="")))</f>
        <v>72</v>
      </c>
      <c r="G2" s="368" t="str">
        <f ca="1">IF(E2+F2&lt;72,"FEHLER","okay")</f>
        <v>okay</v>
      </c>
    </row>
    <row r="3" spans="2:7" ht="13.5" thickTop="1" x14ac:dyDescent="0.2">
      <c r="B3" s="369">
        <v>1</v>
      </c>
      <c r="C3" s="366" t="str">
        <f ca="1">IF(OR(Planning!$N7="",Planning!$P7=""),"Z"&amp;ROW($I7),Planning!$K7&amp;"_"&amp;Planning!$I7)</f>
        <v>7_0,375</v>
      </c>
      <c r="D3" s="369">
        <f t="array" aca="1" ref="D3:D74" ca="1">COUNTIF($C$3:$C$74,$C$3:$C$74)</f>
        <v>1</v>
      </c>
      <c r="E3" s="369" t="e">
        <f ca="1">IF($F$8&gt;36,$F$8-36,$F$8)</f>
        <v>#NUM!</v>
      </c>
      <c r="F3" s="370" t="s">
        <v>239</v>
      </c>
    </row>
    <row r="4" spans="2:7" x14ac:dyDescent="0.2">
      <c r="B4" s="369">
        <v>2</v>
      </c>
      <c r="C4" s="366" t="str">
        <f ca="1">IF(OR(Planning!$N8="",Planning!$P8=""),"Z"&amp;ROW($I8),Planning!$K8&amp;"_"&amp;Planning!$I8)</f>
        <v>3_0,375</v>
      </c>
      <c r="D4" s="369">
        <f ca="1"/>
        <v>1</v>
      </c>
      <c r="E4" s="369" t="e">
        <f ca="1">IF($F$9&gt;36,$F$9-36,$F$9)</f>
        <v>#NUM!</v>
      </c>
      <c r="F4" s="370" t="s">
        <v>240</v>
      </c>
    </row>
    <row r="5" spans="2:7" x14ac:dyDescent="0.2">
      <c r="B5" s="369">
        <v>3</v>
      </c>
      <c r="C5" s="366" t="str">
        <f ca="1">IF(OR(Planning!$N9="",Planning!$P9=""),"Z"&amp;ROW($I9),Planning!$K9&amp;"_"&amp;Planning!$I9)</f>
        <v>5_0,375</v>
      </c>
      <c r="D5" s="369">
        <f ca="1"/>
        <v>1</v>
      </c>
      <c r="E5" s="370" t="str">
        <f t="array" aca="1" ref="E5" ca="1">VLOOKUP(MATCH($E$7,$D$3:$D$74,0),$B$3:$C$74,2,0)</f>
        <v>7_0,375</v>
      </c>
      <c r="F5" s="371" t="s">
        <v>241</v>
      </c>
    </row>
    <row r="6" spans="2:7" ht="13.5" thickBot="1" x14ac:dyDescent="0.25">
      <c r="B6" s="369">
        <v>4</v>
      </c>
      <c r="C6" s="366" t="str">
        <f ca="1">IF(OR(Planning!$N10="",Planning!$P10=""),"Z"&amp;ROW($I10),Planning!$K10&amp;"_"&amp;Planning!$I10)</f>
        <v>7_0,392361111111111</v>
      </c>
      <c r="D6" s="369">
        <f ca="1"/>
        <v>1</v>
      </c>
      <c r="E6" s="369">
        <f ca="1">_xlfn.NUMBERVALUE(LEFT($E$5,1))</f>
        <v>7</v>
      </c>
      <c r="F6" s="369"/>
    </row>
    <row r="7" spans="2:7" ht="13.5" thickBot="1" x14ac:dyDescent="0.25">
      <c r="B7" s="369">
        <v>5</v>
      </c>
      <c r="C7" s="366" t="str">
        <f ca="1">IF(OR(Planning!$N11="",Planning!$P11=""),"Z"&amp;ROW($I11),Planning!$K11&amp;"_"&amp;Planning!$I11)</f>
        <v>2_0,392361111111111</v>
      </c>
      <c r="D7" s="369">
        <f ca="1"/>
        <v>1</v>
      </c>
      <c r="E7" s="372">
        <f ca="1">MAX($D$3:$D$74)</f>
        <v>1</v>
      </c>
    </row>
    <row r="8" spans="2:7" x14ac:dyDescent="0.2">
      <c r="B8" s="369">
        <v>6</v>
      </c>
      <c r="C8" s="366" t="str">
        <f ca="1">IF(OR(Planning!$N12="",Planning!$P12=""),"Z"&amp;ROW($I12),Planning!$K12&amp;"_"&amp;Planning!$I12)</f>
        <v>4_0,392361111111111</v>
      </c>
      <c r="D8" s="369">
        <f ca="1"/>
        <v>1</v>
      </c>
      <c r="E8" s="369">
        <f t="array" aca="1" ref="E8" ca="1">MATCH($E$7,$D$3:$D$74,0)</f>
        <v>1</v>
      </c>
      <c r="F8" s="369" t="e">
        <f ca="1">IF($E$8&lt;$E$9,$E$8,$E$9)</f>
        <v>#NUM!</v>
      </c>
    </row>
    <row r="9" spans="2:7" x14ac:dyDescent="0.2">
      <c r="B9" s="369">
        <v>7</v>
      </c>
      <c r="C9" s="366" t="str">
        <f ca="1">IF(OR(Planning!$N13="",Planning!$P13=""),"Z"&amp;ROW($I13),Planning!$K13&amp;"_"&amp;Planning!$I13)</f>
        <v>1_0,409722222222222</v>
      </c>
      <c r="D9" s="369">
        <f ca="1"/>
        <v>1</v>
      </c>
      <c r="E9" s="369" t="e">
        <f t="array" aca="1" ref="E9" ca="1">SMALL(IF($E$5=$C$3:$C$74,ROW($C$3:$C$74)-ROW($C$3)+1),2)</f>
        <v>#NUM!</v>
      </c>
      <c r="F9" s="369" t="e">
        <f ca="1">IF($E$8&gt;$E$9,$E$8,$E$9)</f>
        <v>#NUM!</v>
      </c>
    </row>
    <row r="10" spans="2:7" x14ac:dyDescent="0.2">
      <c r="B10" s="369">
        <v>8</v>
      </c>
      <c r="C10" s="366" t="str">
        <f ca="1">IF(OR(Planning!$N14="",Planning!$P14=""),"Z"&amp;ROW($I14),Planning!$K14&amp;"_"&amp;Planning!$I14)</f>
        <v>5_0,409722222222222</v>
      </c>
      <c r="D10" s="369">
        <f ca="1"/>
        <v>1</v>
      </c>
    </row>
    <row r="11" spans="2:7" x14ac:dyDescent="0.2">
      <c r="B11" s="369">
        <v>9</v>
      </c>
      <c r="C11" s="366" t="str">
        <f ca="1">IF(OR(Planning!$N15="",Planning!$P15=""),"Z"&amp;ROW($I15),Planning!$K15&amp;"_"&amp;Planning!$I15)</f>
        <v>3_0,409722222222222</v>
      </c>
      <c r="D11" s="369">
        <f ca="1"/>
        <v>1</v>
      </c>
    </row>
    <row r="12" spans="2:7" x14ac:dyDescent="0.2">
      <c r="B12" s="369">
        <v>10</v>
      </c>
      <c r="C12" s="366" t="str">
        <f ca="1">IF(OR(Planning!$N16="",Planning!$P16=""),"Z"&amp;ROW($I16),Planning!$K16&amp;"_"&amp;Planning!$I16)</f>
        <v>5_0,427083333333333</v>
      </c>
      <c r="D12" s="369">
        <f ca="1"/>
        <v>1</v>
      </c>
    </row>
    <row r="13" spans="2:7" x14ac:dyDescent="0.2">
      <c r="B13" s="369">
        <v>11</v>
      </c>
      <c r="C13" s="366" t="str">
        <f ca="1">IF(OR(Planning!$N17="",Planning!$P17=""),"Z"&amp;ROW($I17),Planning!$K17&amp;"_"&amp;Planning!$I17)</f>
        <v>4_0,427083333333333</v>
      </c>
      <c r="D13" s="369">
        <f ca="1"/>
        <v>1</v>
      </c>
    </row>
    <row r="14" spans="2:7" x14ac:dyDescent="0.2">
      <c r="B14" s="369">
        <v>12</v>
      </c>
      <c r="C14" s="366" t="str">
        <f ca="1">IF(OR(Planning!$N18="",Planning!$P18=""),"Z"&amp;ROW($I18),Planning!$K18&amp;"_"&amp;Planning!$I18)</f>
        <v>7_0,427083333333333</v>
      </c>
      <c r="D14" s="369">
        <f ca="1"/>
        <v>1</v>
      </c>
    </row>
    <row r="15" spans="2:7" x14ac:dyDescent="0.2">
      <c r="B15" s="369">
        <v>13</v>
      </c>
      <c r="C15" s="366" t="str">
        <f ca="1">IF(OR(Planning!$N19="",Planning!$P19=""),"Z"&amp;ROW($I19),Planning!$K19&amp;"_"&amp;Planning!$I19)</f>
        <v>1_0,444444444444444</v>
      </c>
      <c r="D15" s="369">
        <f ca="1"/>
        <v>1</v>
      </c>
    </row>
    <row r="16" spans="2:7" x14ac:dyDescent="0.2">
      <c r="B16" s="369">
        <v>14</v>
      </c>
      <c r="C16" s="366" t="str">
        <f ca="1">IF(OR(Planning!$N20="",Planning!$P20=""),"Z"&amp;ROW($I20),Planning!$K20&amp;"_"&amp;Planning!$I20)</f>
        <v>3_0,444444444444444</v>
      </c>
      <c r="D16" s="369">
        <f ca="1"/>
        <v>1</v>
      </c>
    </row>
    <row r="17" spans="1:4" x14ac:dyDescent="0.2">
      <c r="B17" s="369">
        <v>15</v>
      </c>
      <c r="C17" s="366" t="str">
        <f ca="1">IF(OR(Planning!$N21="",Planning!$P21=""),"Z"&amp;ROW($I21),Planning!$K21&amp;"_"&amp;Planning!$I21)</f>
        <v>6_0,444444444444444</v>
      </c>
      <c r="D17" s="369">
        <f ca="1"/>
        <v>1</v>
      </c>
    </row>
    <row r="18" spans="1:4" x14ac:dyDescent="0.2">
      <c r="B18" s="369">
        <v>16</v>
      </c>
      <c r="C18" s="366" t="str">
        <f ca="1">IF(OR(Planning!$N22="",Planning!$P22=""),"Z"&amp;ROW($I22),Planning!$K22&amp;"_"&amp;Planning!$I22)</f>
        <v>3_0,461805555555556</v>
      </c>
      <c r="D18" s="369">
        <f ca="1"/>
        <v>1</v>
      </c>
    </row>
    <row r="19" spans="1:4" x14ac:dyDescent="0.2">
      <c r="B19" s="369">
        <v>17</v>
      </c>
      <c r="C19" s="366" t="str">
        <f ca="1">IF(OR(Planning!$N23="",Planning!$P23=""),"Z"&amp;ROW($I23),Planning!$K23&amp;"_"&amp;Planning!$I23)</f>
        <v>2_0,461805555555556</v>
      </c>
      <c r="D19" s="369">
        <f ca="1"/>
        <v>1</v>
      </c>
    </row>
    <row r="20" spans="1:4" x14ac:dyDescent="0.2">
      <c r="B20" s="369">
        <v>18</v>
      </c>
      <c r="C20" s="366" t="str">
        <f ca="1">IF(OR(Planning!$N24="",Planning!$P24=""),"Z"&amp;ROW($I24),Planning!$K24&amp;"_"&amp;Planning!$I24)</f>
        <v>7_0,461805555555556</v>
      </c>
      <c r="D20" s="369">
        <f ca="1"/>
        <v>1</v>
      </c>
    </row>
    <row r="21" spans="1:4" x14ac:dyDescent="0.2">
      <c r="B21" s="369">
        <v>19</v>
      </c>
      <c r="C21" s="366" t="str">
        <f ca="1">IF(OR(Planning!$N25="",Planning!$P25=""),"Z"&amp;ROW($I25),Planning!$K25&amp;"_"&amp;Planning!$I25)</f>
        <v>1_0,479166666666667</v>
      </c>
      <c r="D21" s="369">
        <f ca="1"/>
        <v>1</v>
      </c>
    </row>
    <row r="22" spans="1:4" x14ac:dyDescent="0.2">
      <c r="B22" s="369">
        <v>20</v>
      </c>
      <c r="C22" s="366" t="str">
        <f ca="1">IF(OR(Planning!$N26="",Planning!$P26=""),"Z"&amp;ROW($I26),Planning!$K26&amp;"_"&amp;Planning!$I26)</f>
        <v>4_0,479166666666667</v>
      </c>
      <c r="D22" s="369">
        <f ca="1"/>
        <v>1</v>
      </c>
    </row>
    <row r="23" spans="1:4" x14ac:dyDescent="0.2">
      <c r="B23" s="369">
        <v>21</v>
      </c>
      <c r="C23" s="366" t="str">
        <f ca="1">IF(OR(Planning!$N27="",Planning!$P27=""),"Z"&amp;ROW($I27),Planning!$K27&amp;"_"&amp;Planning!$I27)</f>
        <v>6_0,479166666666667</v>
      </c>
      <c r="D23" s="369">
        <f ca="1"/>
        <v>1</v>
      </c>
    </row>
    <row r="24" spans="1:4" x14ac:dyDescent="0.2">
      <c r="B24" s="369">
        <v>22</v>
      </c>
      <c r="C24" s="366" t="str">
        <f ca="1">IF(OR(Planning!$N28="",Planning!$P28=""),"Z"&amp;ROW($I28),Planning!$K28&amp;"_"&amp;Planning!$I28)</f>
        <v>2_0,496527777777778</v>
      </c>
      <c r="D24" s="369">
        <f ca="1"/>
        <v>1</v>
      </c>
    </row>
    <row r="25" spans="1:4" x14ac:dyDescent="0.2">
      <c r="B25" s="369">
        <v>23</v>
      </c>
      <c r="C25" s="366" t="str">
        <f ca="1">IF(OR(Planning!$N29="",Planning!$P29=""),"Z"&amp;ROW($I29),Planning!$K29&amp;"_"&amp;Planning!$I29)</f>
        <v>6_0,496527777777778</v>
      </c>
      <c r="D25" s="369">
        <f ca="1"/>
        <v>1</v>
      </c>
    </row>
    <row r="26" spans="1:4" x14ac:dyDescent="0.2">
      <c r="B26" s="369">
        <v>24</v>
      </c>
      <c r="C26" s="366" t="str">
        <f ca="1">IF(OR(Planning!$N30="",Planning!$P30=""),"Z"&amp;ROW($I30),Planning!$K30&amp;"_"&amp;Planning!$I30)</f>
        <v>4_0,496527777777778</v>
      </c>
      <c r="D26" s="369">
        <f ca="1"/>
        <v>1</v>
      </c>
    </row>
    <row r="27" spans="1:4" x14ac:dyDescent="0.2">
      <c r="B27" s="369">
        <v>25</v>
      </c>
      <c r="C27" s="366" t="str">
        <f ca="1">IF(OR(Planning!$N31="",Planning!$P31=""),"Z"&amp;ROW($I31),Planning!$K31&amp;"_"&amp;Planning!$I31)</f>
        <v>1_0,513888888888889</v>
      </c>
      <c r="D27" s="369">
        <f ca="1"/>
        <v>1</v>
      </c>
    </row>
    <row r="28" spans="1:4" x14ac:dyDescent="0.2">
      <c r="B28" s="369">
        <v>26</v>
      </c>
      <c r="C28" s="366" t="str">
        <f ca="1">IF(OR(Planning!$N32="",Planning!$P32=""),"Z"&amp;ROW($I32),Planning!$K32&amp;"_"&amp;Planning!$I32)</f>
        <v>5_0,513888888888889</v>
      </c>
      <c r="D28" s="369">
        <f ca="1"/>
        <v>1</v>
      </c>
    </row>
    <row r="29" spans="1:4" x14ac:dyDescent="0.2">
      <c r="B29" s="369">
        <v>27</v>
      </c>
      <c r="C29" s="366" t="str">
        <f ca="1">IF(OR(Planning!$N33="",Planning!$P33=""),"Z"&amp;ROW($I33),Planning!$K33&amp;"_"&amp;Planning!$I33)</f>
        <v>3_0,513888888888889</v>
      </c>
      <c r="D29" s="369">
        <f ca="1"/>
        <v>1</v>
      </c>
    </row>
    <row r="30" spans="1:4" x14ac:dyDescent="0.2">
      <c r="B30" s="369">
        <v>28</v>
      </c>
      <c r="C30" s="366" t="str">
        <f ca="1">IF(OR(Planning!$N34="",Planning!$P34=""),"Z"&amp;ROW($I34),Planning!$K34&amp;"_"&amp;Planning!$I34)</f>
        <v>6_0,53125</v>
      </c>
      <c r="D30" s="369">
        <f ca="1"/>
        <v>1</v>
      </c>
    </row>
    <row r="31" spans="1:4" x14ac:dyDescent="0.2">
      <c r="B31" s="369">
        <v>29</v>
      </c>
      <c r="C31" s="366" t="str">
        <f ca="1">IF(OR(Planning!$N35="",Planning!$P35=""),"Z"&amp;ROW($I35),Planning!$K35&amp;"_"&amp;Planning!$I35)</f>
        <v>7_0,53125</v>
      </c>
      <c r="D31" s="369">
        <f ca="1"/>
        <v>1</v>
      </c>
    </row>
    <row r="32" spans="1:4" x14ac:dyDescent="0.2">
      <c r="A32" s="375"/>
      <c r="B32" s="376">
        <v>30</v>
      </c>
      <c r="C32" s="366" t="str">
        <f ca="1">IF(OR(Planning!$N36="",Planning!$P36=""),"Z"&amp;ROW($I36),Planning!$K36&amp;"_"&amp;Planning!$I36)</f>
        <v>2_0,53125</v>
      </c>
      <c r="D32" s="369">
        <f ca="1"/>
        <v>1</v>
      </c>
    </row>
    <row r="33" spans="1:4" x14ac:dyDescent="0.2">
      <c r="A33" s="369"/>
      <c r="B33" s="369">
        <v>31</v>
      </c>
      <c r="C33" s="366" t="str">
        <f ca="1">IF(OR(Planning!$N37="",Planning!$P37=""),"Z"&amp;ROW($I37),Planning!$K37&amp;"_"&amp;Planning!$I37)</f>
        <v>1_0,548611111111111</v>
      </c>
      <c r="D33" s="369">
        <f ca="1"/>
        <v>1</v>
      </c>
    </row>
    <row r="34" spans="1:4" x14ac:dyDescent="0.2">
      <c r="A34" s="369"/>
      <c r="B34" s="369">
        <v>32</v>
      </c>
      <c r="C34" s="366" t="str">
        <f ca="1">IF(OR(Planning!$N38="",Planning!$P38=""),"Z"&amp;ROW($I38),Planning!$K38&amp;"_"&amp;Planning!$I38)</f>
        <v>6_0,548611111111111</v>
      </c>
      <c r="D34" s="369">
        <f ca="1"/>
        <v>1</v>
      </c>
    </row>
    <row r="35" spans="1:4" x14ac:dyDescent="0.2">
      <c r="A35" s="369"/>
      <c r="B35" s="369">
        <v>33</v>
      </c>
      <c r="C35" s="366" t="str">
        <f ca="1">IF(OR(Planning!$N39="",Planning!$P39=""),"Z"&amp;ROW($I39),Planning!$K39&amp;"_"&amp;Planning!$I39)</f>
        <v>3_0,548611111111111</v>
      </c>
      <c r="D35" s="369">
        <f ca="1"/>
        <v>1</v>
      </c>
    </row>
    <row r="36" spans="1:4" x14ac:dyDescent="0.2">
      <c r="A36" s="369"/>
      <c r="B36" s="369">
        <v>34</v>
      </c>
      <c r="C36" s="366" t="str">
        <f ca="1">IF(OR(Planning!$N40="",Planning!$P40=""),"Z"&amp;ROW($I40),Planning!$K40&amp;"_"&amp;Planning!$I40)</f>
        <v>4_0,565972222222222</v>
      </c>
      <c r="D36" s="369">
        <f ca="1"/>
        <v>1</v>
      </c>
    </row>
    <row r="37" spans="1:4" x14ac:dyDescent="0.2">
      <c r="A37" s="369"/>
      <c r="B37" s="369">
        <v>35</v>
      </c>
      <c r="C37" s="366" t="str">
        <f ca="1">IF(OR(Planning!$N41="",Planning!$P41=""),"Z"&amp;ROW($I41),Planning!$K41&amp;"_"&amp;Planning!$I41)</f>
        <v>5_0,565972222222222</v>
      </c>
      <c r="D37" s="369">
        <f ca="1"/>
        <v>1</v>
      </c>
    </row>
    <row r="38" spans="1:4" ht="13.5" thickBot="1" x14ac:dyDescent="0.25">
      <c r="A38" s="373"/>
      <c r="B38" s="374">
        <v>36</v>
      </c>
      <c r="C38" s="373" t="str">
        <f ca="1">IF(OR(Planning!$N42="",Planning!$P42=""),"Z"&amp;ROW($I42),Planning!$K42&amp;"_"&amp;Planning!$I42)</f>
        <v>2_0,565972222222222</v>
      </c>
      <c r="D38" s="369">
        <f ca="1"/>
        <v>1</v>
      </c>
    </row>
    <row r="39" spans="1:4" x14ac:dyDescent="0.2">
      <c r="A39" s="369"/>
      <c r="B39" s="369">
        <v>37</v>
      </c>
      <c r="C39" s="366" t="str">
        <f ca="1">IF(OR(Planning!$N7="",Planning!$P7=""),"ZZ"&amp;ROW($I7)+36,Planning!$M7&amp;"_"&amp;Planning!$I7)</f>
        <v>2_0,375</v>
      </c>
      <c r="D39" s="369">
        <f ca="1"/>
        <v>1</v>
      </c>
    </row>
    <row r="40" spans="1:4" x14ac:dyDescent="0.2">
      <c r="A40" s="369"/>
      <c r="B40" s="369">
        <v>38</v>
      </c>
      <c r="C40" s="366" t="str">
        <f ca="1">IF(OR(Planning!$N8="",Planning!$P8=""),"ZZ"&amp;ROW($I8)+36,Planning!$M8&amp;"_"&amp;Planning!$I8)</f>
        <v>6_0,375</v>
      </c>
      <c r="D40" s="369">
        <f ca="1"/>
        <v>1</v>
      </c>
    </row>
    <row r="41" spans="1:4" x14ac:dyDescent="0.2">
      <c r="A41" s="369"/>
      <c r="B41" s="369">
        <v>39</v>
      </c>
      <c r="C41" s="366" t="str">
        <f ca="1">IF(OR(Planning!$N9="",Planning!$P9=""),"ZZ"&amp;ROW($I9)+36,Planning!$M9&amp;"_"&amp;Planning!$I9)</f>
        <v>4_0,375</v>
      </c>
      <c r="D41" s="369">
        <f ca="1"/>
        <v>1</v>
      </c>
    </row>
    <row r="42" spans="1:4" x14ac:dyDescent="0.2">
      <c r="A42" s="369"/>
      <c r="B42" s="369">
        <v>40</v>
      </c>
      <c r="C42" s="366" t="str">
        <f ca="1">IF(OR(Planning!$N10="",Planning!$P10=""),"ZZ"&amp;ROW($I10)+36,Planning!$M10&amp;"_"&amp;Planning!$I10)</f>
        <v>1_0,392361111111111</v>
      </c>
      <c r="D42" s="369">
        <f ca="1"/>
        <v>1</v>
      </c>
    </row>
    <row r="43" spans="1:4" x14ac:dyDescent="0.2">
      <c r="A43" s="369"/>
      <c r="B43" s="369">
        <v>41</v>
      </c>
      <c r="C43" s="366" t="str">
        <f ca="1">IF(OR(Planning!$N11="",Planning!$P11=""),"ZZ"&amp;ROW($I11)+36,Planning!$M11&amp;"_"&amp;Planning!$I11)</f>
        <v>5_0,392361111111111</v>
      </c>
      <c r="D43" s="369">
        <f ca="1"/>
        <v>1</v>
      </c>
    </row>
    <row r="44" spans="1:4" x14ac:dyDescent="0.2">
      <c r="A44" s="369"/>
      <c r="B44" s="369">
        <v>42</v>
      </c>
      <c r="C44" s="366" t="str">
        <f ca="1">IF(OR(Planning!$N12="",Planning!$P12=""),"ZZ"&amp;ROW($I12)+36,Planning!$M12&amp;"_"&amp;Planning!$I12)</f>
        <v>3_0,392361111111111</v>
      </c>
      <c r="D44" s="369">
        <f ca="1"/>
        <v>1</v>
      </c>
    </row>
    <row r="45" spans="1:4" x14ac:dyDescent="0.2">
      <c r="A45" s="369"/>
      <c r="B45" s="369">
        <v>43</v>
      </c>
      <c r="C45" s="366" t="str">
        <f ca="1">IF(OR(Planning!$N13="",Planning!$P13=""),"ZZ"&amp;ROW($I13)+36,Planning!$M13&amp;"_"&amp;Planning!$I13)</f>
        <v>6_0,409722222222222</v>
      </c>
      <c r="D45" s="369">
        <f ca="1"/>
        <v>1</v>
      </c>
    </row>
    <row r="46" spans="1:4" x14ac:dyDescent="0.2">
      <c r="A46" s="369"/>
      <c r="B46" s="369">
        <v>44</v>
      </c>
      <c r="C46" s="366" t="str">
        <f ca="1">IF(OR(Planning!$N14="",Planning!$P14=""),"ZZ"&amp;ROW($I14)+36,Planning!$M14&amp;"_"&amp;Planning!$I14)</f>
        <v>7_0,409722222222222</v>
      </c>
      <c r="D46" s="369">
        <f ca="1"/>
        <v>1</v>
      </c>
    </row>
    <row r="47" spans="1:4" x14ac:dyDescent="0.2">
      <c r="A47" s="369"/>
      <c r="B47" s="369">
        <v>45</v>
      </c>
      <c r="C47" s="366" t="str">
        <f ca="1">IF(OR(Planning!$N15="",Planning!$P15=""),"ZZ"&amp;ROW($I15)+36,Planning!$M15&amp;"_"&amp;Planning!$I15)</f>
        <v>2_0,409722222222222</v>
      </c>
      <c r="D47" s="369">
        <f ca="1"/>
        <v>1</v>
      </c>
    </row>
    <row r="48" spans="1:4" x14ac:dyDescent="0.2">
      <c r="A48" s="369"/>
      <c r="B48" s="369">
        <v>46</v>
      </c>
      <c r="C48" s="366" t="str">
        <f ca="1">IF(OR(Planning!$N16="",Planning!$P16=""),"ZZ"&amp;ROW($I16)+36,Planning!$M16&amp;"_"&amp;Planning!$I16)</f>
        <v>1_0,427083333333333</v>
      </c>
      <c r="D48" s="369">
        <f ca="1"/>
        <v>1</v>
      </c>
    </row>
    <row r="49" spans="1:4" x14ac:dyDescent="0.2">
      <c r="A49" s="369"/>
      <c r="B49" s="369">
        <v>47</v>
      </c>
      <c r="C49" s="366" t="str">
        <f ca="1">IF(OR(Planning!$N17="",Planning!$P17=""),"ZZ"&amp;ROW($I17)+36,Planning!$M17&amp;"_"&amp;Planning!$I17)</f>
        <v>6_0,427083333333333</v>
      </c>
      <c r="D49" s="369">
        <f ca="1"/>
        <v>1</v>
      </c>
    </row>
    <row r="50" spans="1:4" x14ac:dyDescent="0.2">
      <c r="A50" s="369"/>
      <c r="B50" s="369">
        <v>48</v>
      </c>
      <c r="C50" s="366" t="str">
        <f ca="1">IF(OR(Planning!$N18="",Planning!$P18=""),"ZZ"&amp;ROW($I18)+36,Planning!$M18&amp;"_"&amp;Planning!$I18)</f>
        <v>3_0,427083333333333</v>
      </c>
      <c r="D50" s="369">
        <f ca="1"/>
        <v>1</v>
      </c>
    </row>
    <row r="51" spans="1:4" x14ac:dyDescent="0.2">
      <c r="A51" s="369"/>
      <c r="B51" s="369">
        <v>49</v>
      </c>
      <c r="C51" s="366" t="str">
        <f ca="1">IF(OR(Planning!$N19="",Planning!$P19=""),"ZZ"&amp;ROW($I19)+36,Planning!$M19&amp;"_"&amp;Planning!$I19)</f>
        <v>4_0,444444444444444</v>
      </c>
      <c r="D51" s="369">
        <f ca="1"/>
        <v>1</v>
      </c>
    </row>
    <row r="52" spans="1:4" x14ac:dyDescent="0.2">
      <c r="A52" s="369"/>
      <c r="B52" s="369">
        <v>50</v>
      </c>
      <c r="C52" s="366" t="str">
        <f ca="1">IF(OR(Planning!$N20="",Planning!$P20=""),"ZZ"&amp;ROW($I20)+36,Planning!$M20&amp;"_"&amp;Planning!$I20)</f>
        <v>5_0,444444444444444</v>
      </c>
      <c r="D52" s="369">
        <f ca="1"/>
        <v>1</v>
      </c>
    </row>
    <row r="53" spans="1:4" x14ac:dyDescent="0.2">
      <c r="A53" s="369"/>
      <c r="B53" s="369">
        <v>51</v>
      </c>
      <c r="C53" s="366" t="str">
        <f ca="1">IF(OR(Planning!$N21="",Planning!$P21=""),"ZZ"&amp;ROW($I21)+36,Planning!$M21&amp;"_"&amp;Planning!$I21)</f>
        <v>2_0,444444444444444</v>
      </c>
      <c r="D53" s="369">
        <f ca="1"/>
        <v>1</v>
      </c>
    </row>
    <row r="54" spans="1:4" x14ac:dyDescent="0.2">
      <c r="A54" s="369"/>
      <c r="B54" s="369">
        <v>52</v>
      </c>
      <c r="C54" s="366" t="str">
        <f ca="1">IF(OR(Planning!$N22="",Planning!$P22=""),"ZZ"&amp;ROW($I22)+36,Planning!$M22&amp;"_"&amp;Planning!$I22)</f>
        <v>1_0,461805555555556</v>
      </c>
      <c r="D54" s="369">
        <f ca="1"/>
        <v>1</v>
      </c>
    </row>
    <row r="55" spans="1:4" x14ac:dyDescent="0.2">
      <c r="A55" s="369"/>
      <c r="B55" s="369">
        <v>53</v>
      </c>
      <c r="C55" s="366" t="str">
        <f ca="1">IF(OR(Planning!$N23="",Planning!$P23=""),"ZZ"&amp;ROW($I23)+36,Planning!$M23&amp;"_"&amp;Planning!$I23)</f>
        <v>4_0,461805555555556</v>
      </c>
      <c r="D55" s="369">
        <f ca="1"/>
        <v>1</v>
      </c>
    </row>
    <row r="56" spans="1:4" x14ac:dyDescent="0.2">
      <c r="A56" s="369"/>
      <c r="B56" s="369">
        <v>54</v>
      </c>
      <c r="C56" s="366" t="str">
        <f ca="1">IF(OR(Planning!$N24="",Planning!$P24=""),"ZZ"&amp;ROW($I24)+36,Planning!$M24&amp;"_"&amp;Planning!$I24)</f>
        <v>6_0,461805555555556</v>
      </c>
      <c r="D56" s="369">
        <f ca="1"/>
        <v>1</v>
      </c>
    </row>
    <row r="57" spans="1:4" x14ac:dyDescent="0.2">
      <c r="A57" s="369"/>
      <c r="B57" s="369">
        <v>55</v>
      </c>
      <c r="C57" s="366" t="str">
        <f ca="1">IF(OR(Planning!$N25="",Planning!$P25=""),"ZZ"&amp;ROW($I25)+36,Planning!$M25&amp;"_"&amp;Planning!$I25)</f>
        <v>2_0,479166666666667</v>
      </c>
      <c r="D57" s="369">
        <f ca="1"/>
        <v>1</v>
      </c>
    </row>
    <row r="58" spans="1:4" x14ac:dyDescent="0.2">
      <c r="A58" s="369"/>
      <c r="B58" s="369">
        <v>56</v>
      </c>
      <c r="C58" s="366" t="str">
        <f ca="1">IF(OR(Planning!$N26="",Planning!$P26=""),"ZZ"&amp;ROW($I26)+36,Planning!$M26&amp;"_"&amp;Planning!$I26)</f>
        <v>7_0,479166666666667</v>
      </c>
      <c r="D58" s="369">
        <f ca="1"/>
        <v>1</v>
      </c>
    </row>
    <row r="59" spans="1:4" x14ac:dyDescent="0.2">
      <c r="A59" s="369"/>
      <c r="B59" s="369">
        <v>57</v>
      </c>
      <c r="C59" s="366" t="str">
        <f ca="1">IF(OR(Planning!$N27="",Planning!$P27=""),"ZZ"&amp;ROW($I27)+36,Planning!$M27&amp;"_"&amp;Planning!$I27)</f>
        <v>5_0,479166666666667</v>
      </c>
      <c r="D59" s="369">
        <f ca="1"/>
        <v>1</v>
      </c>
    </row>
    <row r="60" spans="1:4" x14ac:dyDescent="0.2">
      <c r="A60" s="369"/>
      <c r="B60" s="369">
        <v>58</v>
      </c>
      <c r="C60" s="366" t="str">
        <f ca="1">IF(OR(Planning!$N28="",Planning!$P28=""),"ZZ"&amp;ROW($I28)+36,Planning!$M28&amp;"_"&amp;Planning!$I28)</f>
        <v>7_0,496527777777778</v>
      </c>
      <c r="D60" s="369">
        <f ca="1"/>
        <v>1</v>
      </c>
    </row>
    <row r="61" spans="1:4" x14ac:dyDescent="0.2">
      <c r="A61" s="369"/>
      <c r="B61" s="369">
        <v>59</v>
      </c>
      <c r="C61" s="366" t="str">
        <f ca="1">IF(OR(Planning!$N29="",Planning!$P29=""),"ZZ"&amp;ROW($I29)+36,Planning!$M29&amp;"_"&amp;Planning!$I29)</f>
        <v>3_0,496527777777778</v>
      </c>
      <c r="D61" s="369">
        <f ca="1"/>
        <v>1</v>
      </c>
    </row>
    <row r="62" spans="1:4" x14ac:dyDescent="0.2">
      <c r="A62" s="369"/>
      <c r="B62" s="369">
        <v>60</v>
      </c>
      <c r="C62" s="366" t="str">
        <f ca="1">IF(OR(Planning!$N30="",Planning!$P30=""),"ZZ"&amp;ROW($I30)+36,Planning!$M30&amp;"_"&amp;Planning!$I30)</f>
        <v>5_0,496527777777778</v>
      </c>
      <c r="D62" s="369">
        <f ca="1"/>
        <v>1</v>
      </c>
    </row>
    <row r="63" spans="1:4" x14ac:dyDescent="0.2">
      <c r="B63" s="369">
        <v>61</v>
      </c>
      <c r="C63" s="366" t="str">
        <f ca="1">IF(OR(Planning!$N31="",Planning!$P31=""),"ZZ"&amp;ROW($I31)+36,Planning!$M31&amp;"_"&amp;Planning!$I31)</f>
        <v>7_0,513888888888889</v>
      </c>
      <c r="D63" s="369">
        <f ca="1"/>
        <v>1</v>
      </c>
    </row>
    <row r="64" spans="1:4" x14ac:dyDescent="0.2">
      <c r="B64" s="369">
        <v>62</v>
      </c>
      <c r="C64" s="366" t="str">
        <f ca="1">IF(OR(Planning!$N32="",Planning!$P32=""),"ZZ"&amp;ROW($I32)+36,Planning!$M32&amp;"_"&amp;Planning!$I32)</f>
        <v>2_0,513888888888889</v>
      </c>
      <c r="D64" s="369">
        <f ca="1"/>
        <v>1</v>
      </c>
    </row>
    <row r="65" spans="2:4" x14ac:dyDescent="0.2">
      <c r="B65" s="369">
        <v>63</v>
      </c>
      <c r="C65" s="366" t="str">
        <f ca="1">IF(OR(Planning!$N33="",Planning!$P33=""),"ZZ"&amp;ROW($I33)+36,Planning!$M33&amp;"_"&amp;Planning!$I33)</f>
        <v>4_0,513888888888889</v>
      </c>
      <c r="D65" s="369">
        <f ca="1"/>
        <v>1</v>
      </c>
    </row>
    <row r="66" spans="2:4" x14ac:dyDescent="0.2">
      <c r="B66" s="369">
        <v>64</v>
      </c>
      <c r="C66" s="366" t="str">
        <f ca="1">IF(OR(Planning!$N34="",Planning!$P34=""),"ZZ"&amp;ROW($I34)+36,Planning!$M34&amp;"_"&amp;Planning!$I34)</f>
        <v>1_0,53125</v>
      </c>
      <c r="D66" s="369">
        <f ca="1"/>
        <v>1</v>
      </c>
    </row>
    <row r="67" spans="2:4" x14ac:dyDescent="0.2">
      <c r="B67" s="369">
        <v>65</v>
      </c>
      <c r="C67" s="366" t="str">
        <f ca="1">IF(OR(Planning!$N35="",Planning!$P35=""),"ZZ"&amp;ROW($I35)+36,Planning!$M35&amp;"_"&amp;Planning!$I35)</f>
        <v>5_0,53125</v>
      </c>
      <c r="D67" s="369">
        <f ca="1"/>
        <v>1</v>
      </c>
    </row>
    <row r="68" spans="2:4" x14ac:dyDescent="0.2">
      <c r="B68" s="369">
        <v>66</v>
      </c>
      <c r="C68" s="366" t="str">
        <f ca="1">IF(OR(Planning!$N36="",Planning!$P36=""),"ZZ"&amp;ROW($I36)+36,Planning!$M36&amp;"_"&amp;Planning!$I36)</f>
        <v>3_0,53125</v>
      </c>
      <c r="D68" s="369">
        <f ca="1"/>
        <v>1</v>
      </c>
    </row>
    <row r="69" spans="2:4" x14ac:dyDescent="0.2">
      <c r="B69" s="369">
        <v>67</v>
      </c>
      <c r="C69" s="366" t="str">
        <f ca="1">IF(OR(Planning!$N37="",Planning!$P37=""),"ZZ"&amp;ROW($I37)+36,Planning!$M37&amp;"_"&amp;Planning!$I37)</f>
        <v>5_0,548611111111111</v>
      </c>
      <c r="D69" s="369">
        <f ca="1"/>
        <v>1</v>
      </c>
    </row>
    <row r="70" spans="2:4" x14ac:dyDescent="0.2">
      <c r="B70" s="369">
        <v>68</v>
      </c>
      <c r="C70" s="366" t="str">
        <f ca="1">IF(OR(Planning!$N38="",Planning!$P38=""),"ZZ"&amp;ROW($I38)+36,Planning!$M38&amp;"_"&amp;Planning!$I38)</f>
        <v>4_0,548611111111111</v>
      </c>
      <c r="D70" s="369">
        <f ca="1"/>
        <v>1</v>
      </c>
    </row>
    <row r="71" spans="2:4" x14ac:dyDescent="0.2">
      <c r="B71" s="369">
        <v>69</v>
      </c>
      <c r="C71" s="366" t="str">
        <f ca="1">IF(OR(Planning!$N39="",Planning!$P39=""),"ZZ"&amp;ROW($I39)+36,Planning!$M39&amp;"_"&amp;Planning!$I39)</f>
        <v>7_0,548611111111111</v>
      </c>
      <c r="D71" s="369">
        <f ca="1"/>
        <v>1</v>
      </c>
    </row>
    <row r="72" spans="2:4" x14ac:dyDescent="0.2">
      <c r="B72" s="369">
        <v>70</v>
      </c>
      <c r="C72" s="366" t="str">
        <f ca="1">IF(OR(Planning!$N40="",Planning!$P40=""),"ZZ"&amp;ROW($I40)+36,Planning!$M40&amp;"_"&amp;Planning!$I40)</f>
        <v>1_0,565972222222222</v>
      </c>
      <c r="D72" s="369">
        <f ca="1"/>
        <v>1</v>
      </c>
    </row>
    <row r="73" spans="2:4" x14ac:dyDescent="0.2">
      <c r="B73" s="369">
        <v>71</v>
      </c>
      <c r="C73" s="366" t="str">
        <f ca="1">IF(OR(Planning!$N41="",Planning!$P41=""),"ZZ"&amp;ROW($I41)+36,Planning!$M41&amp;"_"&amp;Planning!$I41)</f>
        <v>3_0,565972222222222</v>
      </c>
      <c r="D73" s="369">
        <f ca="1"/>
        <v>1</v>
      </c>
    </row>
    <row r="74" spans="2:4" x14ac:dyDescent="0.2">
      <c r="B74" s="369">
        <v>72</v>
      </c>
      <c r="C74" s="366" t="str">
        <f ca="1">IF(OR(Planning!$N42="",Planning!$P42=""),"ZZ"&amp;ROW($I42)+36,Planning!$M42&amp;"_"&amp;Planning!$I42)</f>
        <v>6_0,565972222222222</v>
      </c>
      <c r="D74" s="369">
        <f ca="1"/>
        <v>1</v>
      </c>
    </row>
  </sheetData>
  <conditionalFormatting sqref="G2">
    <cfRule type="expression" dxfId="50" priority="6">
      <formula>G2="FEHLER"</formula>
    </cfRule>
  </conditionalFormatting>
  <conditionalFormatting sqref="C3:C74">
    <cfRule type="duplicateValues" dxfId="49" priority="5"/>
  </conditionalFormatting>
  <conditionalFormatting sqref="E3">
    <cfRule type="cellIs" dxfId="48" priority="4" operator="greaterThan">
      <formula>0</formula>
    </cfRule>
  </conditionalFormatting>
  <conditionalFormatting sqref="E4">
    <cfRule type="cellIs" dxfId="47" priority="3" operator="greaterThan">
      <formula>0</formula>
    </cfRule>
  </conditionalFormatting>
  <conditionalFormatting sqref="E7">
    <cfRule type="expression" dxfId="46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AP87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10.28515625" style="44" customWidth="1"/>
    <col min="2" max="2" width="6.7109375" style="44" customWidth="1"/>
    <col min="3" max="3" width="10" style="44" customWidth="1"/>
    <col min="4" max="4" width="6.5703125" style="44" customWidth="1"/>
    <col min="5" max="5" width="26.7109375" style="44" customWidth="1"/>
    <col min="6" max="6" width="3" style="44" customWidth="1"/>
    <col min="7" max="7" width="26.7109375" style="44" customWidth="1"/>
    <col min="8" max="8" width="6.7109375" style="44" customWidth="1"/>
    <col min="9" max="9" width="2" style="44" customWidth="1"/>
    <col min="10" max="10" width="6.7109375" style="44" customWidth="1"/>
    <col min="11" max="11" width="4.85546875" style="44" customWidth="1"/>
    <col min="12" max="12" width="4.140625" style="44" customWidth="1"/>
    <col min="13" max="13" width="26.7109375" style="44" customWidth="1"/>
    <col min="14" max="18" width="6.7109375" style="44" customWidth="1"/>
    <col min="19" max="19" width="2.140625" style="44" customWidth="1"/>
    <col min="20" max="22" width="6.7109375" style="44" customWidth="1"/>
    <col min="23" max="40" width="7.85546875" style="44" customWidth="1"/>
    <col min="41" max="41" width="26.7109375" style="44" customWidth="1"/>
    <col min="42" max="42" width="11.42578125" style="44" customWidth="1"/>
    <col min="43" max="16384" width="11.42578125" style="44" hidden="1"/>
  </cols>
  <sheetData>
    <row r="1" spans="1:41" ht="13.5" thickBot="1" x14ac:dyDescent="0.25">
      <c r="A1" s="383"/>
      <c r="B1" s="522"/>
      <c r="C1" s="522"/>
      <c r="D1" s="522"/>
      <c r="E1" s="522"/>
      <c r="F1" s="522"/>
      <c r="G1" s="522"/>
      <c r="H1" s="522"/>
      <c r="I1" s="522"/>
      <c r="J1" s="522"/>
      <c r="K1" s="384"/>
      <c r="L1" s="522"/>
      <c r="M1" s="522"/>
      <c r="N1" s="384"/>
      <c r="O1" s="384"/>
      <c r="P1" s="384"/>
      <c r="Q1" s="384"/>
      <c r="AD1" s="388"/>
      <c r="AE1" s="388"/>
    </row>
    <row r="2" spans="1:41" ht="30" customHeight="1" thickTop="1" x14ac:dyDescent="0.2">
      <c r="A2" s="386"/>
      <c r="B2" s="387"/>
      <c r="C2" s="387"/>
      <c r="D2" s="387"/>
      <c r="E2" s="387"/>
      <c r="F2" s="515" t="s">
        <v>279</v>
      </c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7"/>
      <c r="Y2" s="70"/>
      <c r="Z2" s="70"/>
      <c r="AA2" s="70"/>
      <c r="AB2" s="70"/>
      <c r="AC2" s="70"/>
      <c r="AD2" s="521" t="s">
        <v>278</v>
      </c>
      <c r="AE2" s="521"/>
      <c r="AF2" s="65"/>
      <c r="AG2" s="70"/>
      <c r="AH2" s="70"/>
      <c r="AI2" s="70"/>
      <c r="AJ2" s="70"/>
      <c r="AK2" s="70"/>
      <c r="AL2" s="70"/>
      <c r="AM2" s="70"/>
      <c r="AN2" s="70"/>
    </row>
    <row r="3" spans="1:41" ht="30" customHeight="1" x14ac:dyDescent="0.3">
      <c r="A3" s="386"/>
      <c r="B3" s="385"/>
      <c r="C3" s="385"/>
      <c r="D3" s="385"/>
      <c r="E3" s="385"/>
      <c r="F3" s="518" t="s">
        <v>280</v>
      </c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19"/>
      <c r="R3" s="519"/>
      <c r="S3" s="519"/>
      <c r="T3" s="519"/>
      <c r="U3" s="519"/>
      <c r="V3" s="519"/>
      <c r="W3" s="519"/>
      <c r="X3" s="520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</row>
    <row r="4" spans="1:41" ht="30" customHeight="1" x14ac:dyDescent="0.2">
      <c r="A4" s="386"/>
      <c r="B4" s="386"/>
      <c r="C4" s="386"/>
      <c r="D4" s="386"/>
      <c r="E4" s="386"/>
      <c r="F4" s="518" t="s">
        <v>281</v>
      </c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20"/>
    </row>
    <row r="5" spans="1:41" ht="30" customHeight="1" thickBot="1" x14ac:dyDescent="0.25">
      <c r="A5" s="386"/>
      <c r="B5" s="386"/>
      <c r="C5" s="386"/>
      <c r="D5" s="386"/>
      <c r="E5" s="386"/>
      <c r="F5" s="506" t="s">
        <v>282</v>
      </c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8"/>
    </row>
    <row r="6" spans="1:41" ht="13.5" thickTop="1" x14ac:dyDescent="0.2"/>
    <row r="7" spans="1:41" ht="29.25" customHeight="1" thickBot="1" x14ac:dyDescent="0.35">
      <c r="B7" s="45" t="str">
        <f>Language!$E$11</f>
        <v>Results</v>
      </c>
      <c r="C7" s="45"/>
      <c r="D7" s="45"/>
      <c r="H7" s="65"/>
      <c r="L7" s="45" t="str">
        <f>Language!$E$12</f>
        <v>Total table</v>
      </c>
      <c r="W7" s="502" t="str">
        <f>Language!$E$18</f>
        <v>First legs</v>
      </c>
      <c r="X7" s="502"/>
      <c r="Y7" s="502"/>
      <c r="Z7" s="502"/>
      <c r="AA7" s="502"/>
      <c r="AB7" s="502"/>
      <c r="AC7" s="502"/>
      <c r="AD7" s="502"/>
      <c r="AE7" s="502"/>
      <c r="AF7" s="502" t="str">
        <f>Language!$E$19</f>
        <v>Second legs</v>
      </c>
      <c r="AG7" s="502"/>
      <c r="AH7" s="502"/>
      <c r="AI7" s="502"/>
      <c r="AJ7" s="502"/>
      <c r="AK7" s="502"/>
      <c r="AL7" s="502"/>
      <c r="AM7" s="502"/>
      <c r="AN7" s="502"/>
    </row>
    <row r="8" spans="1:41" ht="24" customHeight="1" thickBot="1" x14ac:dyDescent="0.3">
      <c r="A8" s="186" t="str">
        <f>Language!$E$61</f>
        <v>Hint may be deleted   →</v>
      </c>
      <c r="B8" s="514" t="str">
        <f>Language!$E$60</f>
        <v>Change of the fixtures only on the sheet 'Planning'! Just enter the results here!</v>
      </c>
      <c r="C8" s="514"/>
      <c r="D8" s="514"/>
      <c r="E8" s="514"/>
      <c r="F8" s="514"/>
      <c r="G8" s="514"/>
      <c r="H8" s="514"/>
      <c r="I8" s="514"/>
      <c r="J8" s="514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7" t="str">
        <f ca="1">IF(LEN(M10)&gt;Settings!$C$17,LEFT(M10,Settings!$C$17)&amp;".",M10)</f>
        <v>SSV Wil.</v>
      </c>
      <c r="X8" s="268" t="str">
        <f ca="1">IF(LEN(M11)&gt;Settings!$C$17,LEFT(M11,Settings!$C$17)&amp;".",M11)</f>
        <v>Maibach.</v>
      </c>
      <c r="Y8" s="268" t="str">
        <f ca="1">IF(LEN(M12)&gt;Settings!$C$17,LEFT(M12,Settings!$C$17)&amp;".",M12)</f>
        <v>Eintrac.</v>
      </c>
      <c r="Z8" s="268" t="str">
        <f ca="1">IF(LEN(M13)&gt;Settings!$C$17,LEFT(M13,Settings!$C$17)&amp;".",M13)</f>
        <v>VFB Ess.</v>
      </c>
      <c r="AA8" s="268" t="str">
        <f ca="1">IF(LEN(M14)&gt;Settings!$C$17,LEFT(M14,Settings!$C$17)&amp;".",M14)</f>
        <v>1. FC R.</v>
      </c>
      <c r="AB8" s="268" t="str">
        <f ca="1">IF(LEN(M15)&gt;Settings!$C$17,LEFT(M15,Settings!$C$17)&amp;".",M15)</f>
        <v>Inter M.</v>
      </c>
      <c r="AC8" s="268" t="str">
        <f ca="1">IF(LEN(M16)&gt;Settings!$C$17,LEFT(M16,Settings!$C$17)&amp;".",M16)</f>
        <v>FC Barc.</v>
      </c>
      <c r="AD8" s="268" t="str">
        <f ca="1">IF(LEN(M17)&gt;Settings!$C$17,LEFT(M17,Settings!$C$17)&amp;".",M17)</f>
        <v/>
      </c>
      <c r="AE8" s="269" t="str">
        <f ca="1">IF(LEN(M18)&gt;Settings!$C$17,LEFT(M18,Settings!$C$17)&amp;".",M18)</f>
        <v/>
      </c>
      <c r="AF8" s="267" t="str">
        <f ca="1">W$8</f>
        <v>SSV Wil.</v>
      </c>
      <c r="AG8" s="268" t="str">
        <f t="shared" ref="AG8:AN8" ca="1" si="0">X$8</f>
        <v>Maibach.</v>
      </c>
      <c r="AH8" s="268" t="str">
        <f t="shared" ca="1" si="0"/>
        <v>Eintrac.</v>
      </c>
      <c r="AI8" s="268" t="str">
        <f t="shared" ca="1" si="0"/>
        <v>VFB Ess.</v>
      </c>
      <c r="AJ8" s="268" t="str">
        <f t="shared" ca="1" si="0"/>
        <v>1. FC R.</v>
      </c>
      <c r="AK8" s="268" t="str">
        <f t="shared" ca="1" si="0"/>
        <v>Inter M.</v>
      </c>
      <c r="AL8" s="268" t="str">
        <f t="shared" ca="1" si="0"/>
        <v>FC Barc.</v>
      </c>
      <c r="AM8" s="268" t="str">
        <f t="shared" ca="1" si="0"/>
        <v/>
      </c>
      <c r="AN8" s="270" t="str">
        <f t="shared" ca="1" si="0"/>
        <v/>
      </c>
      <c r="AO8" s="271"/>
    </row>
    <row r="9" spans="1:41" ht="24" customHeight="1" thickTop="1" thickBot="1" x14ac:dyDescent="0.25">
      <c r="B9" s="435" t="str">
        <f>Language!$E$9</f>
        <v>No.</v>
      </c>
      <c r="C9" s="436" t="str">
        <f>Language!$E$39</f>
        <v>Start</v>
      </c>
      <c r="D9" s="436" t="str">
        <f>Language!$E$48</f>
        <v>Field</v>
      </c>
      <c r="E9" s="512" t="str">
        <f>Language!$E$14</f>
        <v>Match pairing</v>
      </c>
      <c r="F9" s="512"/>
      <c r="G9" s="512"/>
      <c r="H9" s="512" t="str">
        <f>Language!$E$15</f>
        <v>Result</v>
      </c>
      <c r="I9" s="512"/>
      <c r="J9" s="513"/>
      <c r="L9" s="504" t="str">
        <f ca="1">IF(OR(Calc!$K$13=0,Planning!$D$6&gt;2,Planning!$A$6&gt;1),"",IF(OR(AND(Planning!$D$6=2,Calc!$K$13&lt;Calc!$B$13),AND(Planning!$D$6=1,Calc!$K$13*2&lt;Calc!$B$13)),Language!$E$17,Language!$E$16))</f>
        <v>Still incomplete</v>
      </c>
      <c r="M9" s="505"/>
      <c r="N9" s="272" t="str">
        <f>Language!$E$21</f>
        <v>Pld</v>
      </c>
      <c r="O9" s="273" t="str">
        <f>Language!$E$22</f>
        <v>W</v>
      </c>
      <c r="P9" s="273" t="str">
        <f>Language!$E$23</f>
        <v>D</v>
      </c>
      <c r="Q9" s="274" t="str">
        <f>Language!$E$24</f>
        <v>L</v>
      </c>
      <c r="R9" s="509" t="str">
        <f>Language!$E$25</f>
        <v>Goals</v>
      </c>
      <c r="S9" s="510"/>
      <c r="T9" s="511"/>
      <c r="U9" s="273" t="str">
        <f>Language!$E$26</f>
        <v>GD</v>
      </c>
      <c r="V9" s="275" t="str">
        <f>Language!$E$27</f>
        <v>Pts</v>
      </c>
      <c r="W9" s="276" t="str">
        <f ca="1">M10</f>
        <v>SSV Wildbach</v>
      </c>
      <c r="X9" s="277" t="str">
        <f ca="1">M11</f>
        <v>Maibach 1822 eV</v>
      </c>
      <c r="Y9" s="277" t="str">
        <f ca="1">M12</f>
        <v>Eintracht Frankfurt</v>
      </c>
      <c r="Z9" s="277" t="str">
        <f ca="1">M13</f>
        <v>VFB Essenheim</v>
      </c>
      <c r="AA9" s="277" t="str">
        <f ca="1">M14</f>
        <v>1. FC Riedwald</v>
      </c>
      <c r="AB9" s="277" t="str">
        <f ca="1">M15</f>
        <v>Inter Mailand</v>
      </c>
      <c r="AC9" s="277" t="str">
        <f ca="1">M16</f>
        <v>FC Barcelona</v>
      </c>
      <c r="AD9" s="277" t="str">
        <f ca="1">M17</f>
        <v/>
      </c>
      <c r="AE9" s="278" t="str">
        <f ca="1">M18</f>
        <v/>
      </c>
      <c r="AF9" s="276" t="str">
        <f ca="1">M10</f>
        <v>SSV Wildbach</v>
      </c>
      <c r="AG9" s="277" t="str">
        <f ca="1">M11</f>
        <v>Maibach 1822 eV</v>
      </c>
      <c r="AH9" s="277" t="str">
        <f ca="1">M12</f>
        <v>Eintracht Frankfurt</v>
      </c>
      <c r="AI9" s="277" t="str">
        <f ca="1">M13</f>
        <v>VFB Essenheim</v>
      </c>
      <c r="AJ9" s="277" t="str">
        <f ca="1">M14</f>
        <v>1. FC Riedwald</v>
      </c>
      <c r="AK9" s="277" t="str">
        <f ca="1">M15</f>
        <v>Inter Mailand</v>
      </c>
      <c r="AL9" s="277" t="str">
        <f ca="1">M16</f>
        <v>FC Barcelona</v>
      </c>
      <c r="AM9" s="277" t="str">
        <f ca="1">M17</f>
        <v/>
      </c>
      <c r="AN9" s="278" t="str">
        <f ca="1">M18</f>
        <v/>
      </c>
      <c r="AO9" s="271"/>
    </row>
    <row r="10" spans="1:41" ht="24" customHeight="1" x14ac:dyDescent="0.2">
      <c r="B10" s="437">
        <v>1</v>
      </c>
      <c r="C10" s="454">
        <f ca="1">Planning!$I7</f>
        <v>0.375</v>
      </c>
      <c r="D10" s="455">
        <f ca="1">Planning!$J7</f>
        <v>1</v>
      </c>
      <c r="E10" s="438" t="str">
        <f ca="1">Planning!$N7</f>
        <v>SSV Wildbach</v>
      </c>
      <c r="F10" s="439" t="s">
        <v>5</v>
      </c>
      <c r="G10" s="440" t="str">
        <f ca="1">Planning!$P7</f>
        <v>FC Barcelona</v>
      </c>
      <c r="H10" s="441">
        <v>2</v>
      </c>
      <c r="I10" s="442" t="str">
        <f>Language!$E$66</f>
        <v xml:space="preserve"> - </v>
      </c>
      <c r="J10" s="443">
        <v>0</v>
      </c>
      <c r="L10" s="279">
        <f ca="1">IF(Calc!$K$13=0,"",1)</f>
        <v>1</v>
      </c>
      <c r="M10" s="280" t="str">
        <f ca="1">IF(Calc!$K$13=0,Calc!$Q64,VLOOKUP(Calc!B4,Calc!$C$4:$N$12,4,0))</f>
        <v>SSV Wildbach</v>
      </c>
      <c r="N10" s="281">
        <f ca="1">IF(Calc!$K$13=0,"",VLOOKUP(Calc!B4,Calc!$C$4:$N$12,9,0))</f>
        <v>2</v>
      </c>
      <c r="O10" s="282">
        <f ca="1">IF(Calc!$K$13=0,"",VLOOKUP(Calc!B4,Calc!$C$4:$N$12,10,0))</f>
        <v>2</v>
      </c>
      <c r="P10" s="282">
        <f ca="1">IF(Calc!$K$13=0,"",VLOOKUP(Calc!B4,Calc!$C$4:$N$12,11,0))</f>
        <v>0</v>
      </c>
      <c r="Q10" s="283">
        <f ca="1">IF(Calc!$K$13=0,"",VLOOKUP(Calc!B4,Calc!$C$4:$N$12,12,0))</f>
        <v>0</v>
      </c>
      <c r="R10" s="284">
        <f ca="1">IF(Calc!$K$13=0,"",VLOOKUP(Calc!B4,Calc!$C$4:$N$12,5,0))</f>
        <v>5</v>
      </c>
      <c r="S10" s="285" t="str">
        <f>Language!$E$66</f>
        <v xml:space="preserve"> - </v>
      </c>
      <c r="T10" s="286">
        <f ca="1">IF(Calc!$K$13=0,"",VLOOKUP(Calc!B4,Calc!$C$4:$N$12,6,0))</f>
        <v>2</v>
      </c>
      <c r="U10" s="281">
        <f ca="1">IF(Calc!$K$13=0,"",VLOOKUP(Calc!B4,Calc!$C$4:$N$12,7,0))</f>
        <v>3</v>
      </c>
      <c r="V10" s="287">
        <f ca="1">IF(Calc!$K$13=0,"",VLOOKUP(Calc!B4,Calc!$C$4:$N$12,8,0))</f>
        <v>6</v>
      </c>
      <c r="W10" s="288"/>
      <c r="X10" s="282" t="str">
        <f ca="1">IFERROR(VLOOKUP($M10&amp;X$9,Calc!$Z$64:$AB$207,3,0),"")</f>
        <v/>
      </c>
      <c r="Y10" s="282" t="str">
        <f ca="1">IFERROR(VLOOKUP($M10&amp;Y$9,Calc!$Z$64:$AB$207,3,0),"")</f>
        <v/>
      </c>
      <c r="Z10" s="282" t="str">
        <f ca="1">IFERROR(VLOOKUP($M10&amp;Z$9,Calc!$Z$64:$AB$207,3,0),"")</f>
        <v/>
      </c>
      <c r="AA10" s="282" t="str">
        <f ca="1">IFERROR(VLOOKUP($M10&amp;AA$9,Calc!$Z$64:$AB$207,3,0),"")</f>
        <v>3 - 2</v>
      </c>
      <c r="AB10" s="282" t="str">
        <f ca="1">IFERROR(VLOOKUP($M10&amp;AB$9,Calc!$Z$64:$AB$207,3,0),"")</f>
        <v/>
      </c>
      <c r="AC10" s="282" t="str">
        <f ca="1">IFERROR(VLOOKUP($M10&amp;AC$9,Calc!$Z$64:$AB$207,3,0),"")</f>
        <v>2 - 0</v>
      </c>
      <c r="AD10" s="282" t="str">
        <f ca="1">IFERROR(VLOOKUP($M10&amp;AD$9,Calc!$Z$64:$AB$207,3,0),"")</f>
        <v/>
      </c>
      <c r="AE10" s="289" t="str">
        <f ca="1">IFERROR(VLOOKUP($M10&amp;AE$9,Calc!$Z$64:$AB$207,3,0),"")</f>
        <v/>
      </c>
      <c r="AF10" s="288"/>
      <c r="AG10" s="282" t="str">
        <f ca="1">IFERROR(VLOOKUP($M10&amp;AG$9,Calc!$AC$64:$AD$207,2,0),"")</f>
        <v/>
      </c>
      <c r="AH10" s="282" t="str">
        <f ca="1">IFERROR(VLOOKUP($M10&amp;AH$9,Calc!$AC$64:$AD$207,2,0),"")</f>
        <v/>
      </c>
      <c r="AI10" s="282" t="str">
        <f ca="1">IFERROR(VLOOKUP($M10&amp;AI$9,Calc!$AC$64:$AD$207,2,0),"")</f>
        <v/>
      </c>
      <c r="AJ10" s="282" t="str">
        <f ca="1">IFERROR(VLOOKUP($M10&amp;AJ$9,Calc!$AC$64:$AD$207,2,0),"")</f>
        <v/>
      </c>
      <c r="AK10" s="282" t="str">
        <f ca="1">IFERROR(VLOOKUP($M10&amp;AK$9,Calc!$AC$64:$AD$207,2,0),"")</f>
        <v/>
      </c>
      <c r="AL10" s="282" t="str">
        <f ca="1">IFERROR(VLOOKUP($M10&amp;AL$9,Calc!$AC$64:$AD$207,2,0),"")</f>
        <v/>
      </c>
      <c r="AM10" s="282" t="str">
        <f ca="1">IFERROR(VLOOKUP($M10&amp;AM$9,Calc!$AC$64:$AD$207,2,0),"")</f>
        <v/>
      </c>
      <c r="AN10" s="289" t="str">
        <f ca="1">IFERROR(VLOOKUP($M10&amp;AN$9,Calc!$AC$64:$AD$207,2,0),"")</f>
        <v/>
      </c>
      <c r="AO10" s="290" t="str">
        <f ca="1">M10</f>
        <v>SSV Wildbach</v>
      </c>
    </row>
    <row r="11" spans="1:41" ht="24" customHeight="1" x14ac:dyDescent="0.2">
      <c r="B11" s="299">
        <v>2</v>
      </c>
      <c r="C11" s="456">
        <f ca="1">Planning!$I8</f>
        <v>0.375</v>
      </c>
      <c r="D11" s="457">
        <f ca="1">Planning!$J8</f>
        <v>2</v>
      </c>
      <c r="E11" s="444" t="str">
        <f ca="1">Planning!$N8</f>
        <v>Eintracht Frankfurt</v>
      </c>
      <c r="F11" s="296" t="s">
        <v>5</v>
      </c>
      <c r="G11" s="445" t="str">
        <f ca="1">Planning!$P8</f>
        <v>Inter Mailand</v>
      </c>
      <c r="H11" s="446">
        <v>3</v>
      </c>
      <c r="I11" s="447" t="str">
        <f>Language!$E$66</f>
        <v xml:space="preserve"> - </v>
      </c>
      <c r="J11" s="448">
        <v>2</v>
      </c>
      <c r="L11" s="291">
        <f ca="1">IF(Calc!$K$13=0,"",IF(VLOOKUP(Calc!B5,Calc!$C$4:$E$12,3,0)=MAX(L$10:L10),VLOOKUP(Calc!B5,Calc!$C$4:$E$12,3,0),Calc!B5))</f>
        <v>2</v>
      </c>
      <c r="M11" s="292" t="str">
        <f ca="1">IF(Calc!$K$13=0,Calc!$Q65,VLOOKUP(Calc!B5,Calc!$C$4:$N$12,4,0))</f>
        <v>Maibach 1822 eV</v>
      </c>
      <c r="N11" s="293">
        <f ca="1">IF(Calc!$K$13=0,"",VLOOKUP(Calc!B5,Calc!$C$4:$N$12,9,0))</f>
        <v>2</v>
      </c>
      <c r="O11" s="265">
        <f ca="1">IF(Calc!$K$13=0,"",VLOOKUP(Calc!B5,Calc!$C$4:$N$12,10,0))</f>
        <v>1</v>
      </c>
      <c r="P11" s="265">
        <f ca="1">IF(Calc!$K$13=0,"",VLOOKUP(Calc!B5,Calc!$C$4:$N$12,11,0))</f>
        <v>1</v>
      </c>
      <c r="Q11" s="294">
        <f ca="1">IF(Calc!$K$13=0,"",VLOOKUP(Calc!B5,Calc!$C$4:$N$12,12,0))</f>
        <v>0</v>
      </c>
      <c r="R11" s="295">
        <f ca="1">IF(Calc!$K$13=0,"",VLOOKUP(Calc!B5,Calc!$C$4:$N$12,5,0))</f>
        <v>2</v>
      </c>
      <c r="S11" s="296" t="str">
        <f>Language!$E$66</f>
        <v xml:space="preserve"> - </v>
      </c>
      <c r="T11" s="297">
        <f ca="1">IF(Calc!$K$13=0,"",VLOOKUP(Calc!B5,Calc!$C$4:$N$12,6,0))</f>
        <v>1</v>
      </c>
      <c r="U11" s="293">
        <f ca="1">IF(Calc!$K$13=0,"",VLOOKUP(Calc!B5,Calc!$C$4:$N$12,7,0))</f>
        <v>1</v>
      </c>
      <c r="V11" s="298">
        <f ca="1">IF(Calc!$K$13=0,"",VLOOKUP(Calc!B5,Calc!$C$4:$N$12,8,0))</f>
        <v>4</v>
      </c>
      <c r="W11" s="299" t="str">
        <f ca="1">IFERROR(VLOOKUP($M11&amp;W$9,Calc!$Z$64:$AB$207,3,0),"")</f>
        <v/>
      </c>
      <c r="X11" s="300"/>
      <c r="Y11" s="265" t="str">
        <f ca="1">IFERROR(VLOOKUP($M11&amp;Y$9,Calc!$Z$64:$AB$207,3,0),"")</f>
        <v>2 - 1</v>
      </c>
      <c r="Z11" s="265" t="str">
        <f ca="1">IFERROR(VLOOKUP($M11&amp;Z$9,Calc!$Z$64:$AB$207,3,0),"")</f>
        <v>0 - 0</v>
      </c>
      <c r="AA11" s="265" t="str">
        <f ca="1">IFERROR(VLOOKUP($M11&amp;AA$9,Calc!$Z$64:$AB$207,3,0),"")</f>
        <v/>
      </c>
      <c r="AB11" s="265" t="str">
        <f ca="1">IFERROR(VLOOKUP($M11&amp;AB$9,Calc!$Z$64:$AB$207,3,0),"")</f>
        <v/>
      </c>
      <c r="AC11" s="265" t="str">
        <f ca="1">IFERROR(VLOOKUP($M11&amp;AC$9,Calc!$Z$64:$AB$207,3,0),"")</f>
        <v/>
      </c>
      <c r="AD11" s="265" t="str">
        <f ca="1">IFERROR(VLOOKUP($M11&amp;AD$9,Calc!$Z$64:$AB$207,3,0),"")</f>
        <v/>
      </c>
      <c r="AE11" s="301" t="str">
        <f ca="1">IFERROR(VLOOKUP($M11&amp;AE$9,Calc!$Z$64:$AB$207,3,0),"")</f>
        <v/>
      </c>
      <c r="AF11" s="299" t="str">
        <f ca="1">IFERROR(VLOOKUP($M11&amp;AF$9,Calc!$AC$64:$AD$207,2,0),"")</f>
        <v/>
      </c>
      <c r="AG11" s="300"/>
      <c r="AH11" s="265" t="str">
        <f ca="1">IFERROR(VLOOKUP($M11&amp;AH$9,Calc!$AC$64:$AD$207,2,0),"")</f>
        <v/>
      </c>
      <c r="AI11" s="265" t="str">
        <f ca="1">IFERROR(VLOOKUP($M11&amp;AI$9,Calc!$AC$64:$AD$207,2,0),"")</f>
        <v/>
      </c>
      <c r="AJ11" s="265" t="str">
        <f ca="1">IFERROR(VLOOKUP($M11&amp;AJ$9,Calc!$AC$64:$AD$207,2,0),"")</f>
        <v/>
      </c>
      <c r="AK11" s="265" t="str">
        <f ca="1">IFERROR(VLOOKUP($M11&amp;AK$9,Calc!$AC$64:$AD$207,2,0),"")</f>
        <v/>
      </c>
      <c r="AL11" s="265" t="str">
        <f ca="1">IFERROR(VLOOKUP($M11&amp;AL$9,Calc!$AC$64:$AD$207,2,0),"")</f>
        <v/>
      </c>
      <c r="AM11" s="265" t="str">
        <f ca="1">IFERROR(VLOOKUP($M11&amp;AM$9,Calc!$AC$64:$AD$207,2,0),"")</f>
        <v/>
      </c>
      <c r="AN11" s="301" t="str">
        <f ca="1">IFERROR(VLOOKUP($M11&amp;AN$9,Calc!$AC$64:$AD$207,2,0),"")</f>
        <v/>
      </c>
      <c r="AO11" s="302" t="str">
        <f t="shared" ref="AO11:AO18" ca="1" si="1">M11</f>
        <v>Maibach 1822 eV</v>
      </c>
    </row>
    <row r="12" spans="1:41" ht="24" customHeight="1" x14ac:dyDescent="0.2">
      <c r="B12" s="299">
        <v>3</v>
      </c>
      <c r="C12" s="456">
        <f ca="1">Planning!$I9</f>
        <v>0.375</v>
      </c>
      <c r="D12" s="457">
        <f ca="1">Planning!$J9</f>
        <v>3</v>
      </c>
      <c r="E12" s="444" t="str">
        <f ca="1">Planning!$N9</f>
        <v>VFB Essenheim</v>
      </c>
      <c r="F12" s="296" t="s">
        <v>5</v>
      </c>
      <c r="G12" s="445" t="str">
        <f ca="1">Planning!$P9</f>
        <v>Maibach 1822 eV</v>
      </c>
      <c r="H12" s="446">
        <v>0</v>
      </c>
      <c r="I12" s="447" t="str">
        <f>Language!$E$66</f>
        <v xml:space="preserve"> - </v>
      </c>
      <c r="J12" s="448">
        <v>0</v>
      </c>
      <c r="L12" s="291">
        <f ca="1">IF(Calc!$K$13=0,"",IF(VLOOKUP(Calc!B6,Calc!$C$4:$E$12,3,0)=MAX(L$10:L11),VLOOKUP(Calc!B6,Calc!$C$4:$E$12,3,0),Calc!B6))</f>
        <v>3</v>
      </c>
      <c r="M12" s="292" t="str">
        <f ca="1">IF(Calc!$K$13=0,Calc!$Q66,VLOOKUP(Calc!B6,Calc!$C$4:$N$12,4,0))</f>
        <v>Eintracht Frankfurt</v>
      </c>
      <c r="N12" s="293">
        <f ca="1">IF(Calc!$K$13=0,"",VLOOKUP(Calc!B6,Calc!$C$4:$N$12,9,0))</f>
        <v>2</v>
      </c>
      <c r="O12" s="265">
        <f ca="1">IF(Calc!$K$13=0,"",VLOOKUP(Calc!B6,Calc!$C$4:$N$12,10,0))</f>
        <v>1</v>
      </c>
      <c r="P12" s="265">
        <f ca="1">IF(Calc!$K$13=0,"",VLOOKUP(Calc!B6,Calc!$C$4:$N$12,11,0))</f>
        <v>0</v>
      </c>
      <c r="Q12" s="294">
        <f ca="1">IF(Calc!$K$13=0,"",VLOOKUP(Calc!B6,Calc!$C$4:$N$12,12,0))</f>
        <v>1</v>
      </c>
      <c r="R12" s="295">
        <f ca="1">IF(Calc!$K$13=0,"",VLOOKUP(Calc!B6,Calc!$C$4:$N$12,5,0))</f>
        <v>4</v>
      </c>
      <c r="S12" s="296" t="str">
        <f>Language!$E$66</f>
        <v xml:space="preserve"> - </v>
      </c>
      <c r="T12" s="297">
        <f ca="1">IF(Calc!$K$13=0,"",VLOOKUP(Calc!B6,Calc!$C$4:$N$12,6,0))</f>
        <v>4</v>
      </c>
      <c r="U12" s="293">
        <f ca="1">IF(Calc!$K$13=0,"",VLOOKUP(Calc!B6,Calc!$C$4:$N$12,7,0))</f>
        <v>0</v>
      </c>
      <c r="V12" s="298">
        <f ca="1">IF(Calc!$K$13=0,"",VLOOKUP(Calc!B6,Calc!$C$4:$N$12,8,0))</f>
        <v>3</v>
      </c>
      <c r="W12" s="299" t="str">
        <f ca="1">IFERROR(VLOOKUP($M12&amp;W$9,Calc!$Z$64:$AB$207,3,0),"")</f>
        <v/>
      </c>
      <c r="X12" s="265" t="str">
        <f ca="1">IFERROR(VLOOKUP($M12&amp;X$9,Calc!$Z$64:$AB$207,3,0),"")</f>
        <v>1 - 2</v>
      </c>
      <c r="Y12" s="300"/>
      <c r="Z12" s="265" t="str">
        <f ca="1">IFERROR(VLOOKUP($M12&amp;Z$9,Calc!$Z$64:$AB$207,3,0),"")</f>
        <v/>
      </c>
      <c r="AA12" s="265" t="str">
        <f ca="1">IFERROR(VLOOKUP($M12&amp;AA$9,Calc!$Z$64:$AB$207,3,0),"")</f>
        <v/>
      </c>
      <c r="AB12" s="265" t="str">
        <f ca="1">IFERROR(VLOOKUP($M12&amp;AB$9,Calc!$Z$64:$AB$207,3,0),"")</f>
        <v>3 - 2</v>
      </c>
      <c r="AC12" s="265" t="str">
        <f ca="1">IFERROR(VLOOKUP($M12&amp;AC$9,Calc!$Z$64:$AB$207,3,0),"")</f>
        <v/>
      </c>
      <c r="AD12" s="265" t="str">
        <f ca="1">IFERROR(VLOOKUP($M12&amp;AD$9,Calc!$Z$64:$AB$207,3,0),"")</f>
        <v/>
      </c>
      <c r="AE12" s="301" t="str">
        <f ca="1">IFERROR(VLOOKUP($M12&amp;AE$9,Calc!$Z$64:$AB$207,3,0),"")</f>
        <v/>
      </c>
      <c r="AF12" s="299" t="str">
        <f ca="1">IFERROR(VLOOKUP($M12&amp;AF$9,Calc!$AC$64:$AD$207,2,0),"")</f>
        <v/>
      </c>
      <c r="AG12" s="265" t="str">
        <f ca="1">IFERROR(VLOOKUP($M12&amp;AG$9,Calc!$AC$64:$AD$207,2,0),"")</f>
        <v/>
      </c>
      <c r="AH12" s="300"/>
      <c r="AI12" s="265" t="str">
        <f ca="1">IFERROR(VLOOKUP($M12&amp;AI$9,Calc!$AC$64:$AD$207,2,0),"")</f>
        <v/>
      </c>
      <c r="AJ12" s="265" t="str">
        <f ca="1">IFERROR(VLOOKUP($M12&amp;AJ$9,Calc!$AC$64:$AD$207,2,0),"")</f>
        <v/>
      </c>
      <c r="AK12" s="265" t="str">
        <f ca="1">IFERROR(VLOOKUP($M12&amp;AK$9,Calc!$AC$64:$AD$207,2,0),"")</f>
        <v/>
      </c>
      <c r="AL12" s="265" t="str">
        <f ca="1">IFERROR(VLOOKUP($M12&amp;AL$9,Calc!$AC$64:$AD$207,2,0),"")</f>
        <v/>
      </c>
      <c r="AM12" s="265" t="str">
        <f ca="1">IFERROR(VLOOKUP($M12&amp;AM$9,Calc!$AC$64:$AD$207,2,0),"")</f>
        <v/>
      </c>
      <c r="AN12" s="301" t="str">
        <f ca="1">IFERROR(VLOOKUP($M12&amp;AN$9,Calc!$AC$64:$AD$207,2,0),"")</f>
        <v/>
      </c>
      <c r="AO12" s="302" t="str">
        <f t="shared" ca="1" si="1"/>
        <v>Eintracht Frankfurt</v>
      </c>
    </row>
    <row r="13" spans="1:41" ht="24" customHeight="1" x14ac:dyDescent="0.2">
      <c r="B13" s="299">
        <v>4</v>
      </c>
      <c r="C13" s="456">
        <f ca="1">Planning!$I10</f>
        <v>0.3923611111111111</v>
      </c>
      <c r="D13" s="457">
        <f ca="1">Planning!$J10</f>
        <v>1</v>
      </c>
      <c r="E13" s="444" t="str">
        <f ca="1">Planning!$N10</f>
        <v>SSV Wildbach</v>
      </c>
      <c r="F13" s="296" t="s">
        <v>5</v>
      </c>
      <c r="G13" s="445" t="str">
        <f ca="1">Planning!$P10</f>
        <v>1. FC Riedwald</v>
      </c>
      <c r="H13" s="446">
        <v>3</v>
      </c>
      <c r="I13" s="447" t="str">
        <f>Language!$E$66</f>
        <v xml:space="preserve"> - </v>
      </c>
      <c r="J13" s="448">
        <v>2</v>
      </c>
      <c r="L13" s="291">
        <f ca="1">IF(Calc!$K$13=0,"",IF(VLOOKUP(Calc!B7,Calc!$C$4:$E$12,3,0)=MAX(L$10:L12),VLOOKUP(Calc!B7,Calc!$C$4:$E$12,3,0),Calc!B7))</f>
        <v>4</v>
      </c>
      <c r="M13" s="292" t="str">
        <f ca="1">IF(Calc!$K$13=0,Calc!$Q67,VLOOKUP(Calc!B7,Calc!$C$4:$N$12,4,0))</f>
        <v>VFB Essenheim</v>
      </c>
      <c r="N13" s="293">
        <f ca="1">IF(Calc!$K$13=0,"",VLOOKUP(Calc!B7,Calc!$C$4:$N$12,9,0))</f>
        <v>2</v>
      </c>
      <c r="O13" s="265">
        <f ca="1">IF(Calc!$K$13=0,"",VLOOKUP(Calc!B7,Calc!$C$4:$N$12,10,0))</f>
        <v>0</v>
      </c>
      <c r="P13" s="265">
        <f ca="1">IF(Calc!$K$13=0,"",VLOOKUP(Calc!B7,Calc!$C$4:$N$12,11,0))</f>
        <v>2</v>
      </c>
      <c r="Q13" s="294">
        <f ca="1">IF(Calc!$K$13=0,"",VLOOKUP(Calc!B7,Calc!$C$4:$N$12,12,0))</f>
        <v>0</v>
      </c>
      <c r="R13" s="295">
        <f ca="1">IF(Calc!$K$13=0,"",VLOOKUP(Calc!B7,Calc!$C$4:$N$12,5,0))</f>
        <v>2</v>
      </c>
      <c r="S13" s="296" t="str">
        <f>Language!$E$66</f>
        <v xml:space="preserve"> - </v>
      </c>
      <c r="T13" s="297">
        <f ca="1">IF(Calc!$K$13=0,"",VLOOKUP(Calc!B7,Calc!$C$4:$N$12,6,0))</f>
        <v>2</v>
      </c>
      <c r="U13" s="293">
        <f ca="1">IF(Calc!$K$13=0,"",VLOOKUP(Calc!B7,Calc!$C$4:$N$12,7,0))</f>
        <v>0</v>
      </c>
      <c r="V13" s="298">
        <f ca="1">IF(Calc!$K$13=0,"",VLOOKUP(Calc!B7,Calc!$C$4:$N$12,8,0))</f>
        <v>2</v>
      </c>
      <c r="W13" s="299" t="str">
        <f ca="1">IFERROR(VLOOKUP($M13&amp;W$9,Calc!$Z$64:$AB$207,3,0),"")</f>
        <v/>
      </c>
      <c r="X13" s="265" t="str">
        <f ca="1">IFERROR(VLOOKUP($M13&amp;X$9,Calc!$Z$64:$AB$207,3,0),"")</f>
        <v>0 - 0</v>
      </c>
      <c r="Y13" s="265" t="str">
        <f ca="1">IFERROR(VLOOKUP($M13&amp;Y$9,Calc!$Z$64:$AB$207,3,0),"")</f>
        <v/>
      </c>
      <c r="Z13" s="300"/>
      <c r="AA13" s="265" t="str">
        <f ca="1">IFERROR(VLOOKUP($M13&amp;AA$9,Calc!$Z$64:$AB$207,3,0),"")</f>
        <v/>
      </c>
      <c r="AB13" s="265" t="str">
        <f ca="1">IFERROR(VLOOKUP($M13&amp;AB$9,Calc!$Z$64:$AB$207,3,0),"")</f>
        <v/>
      </c>
      <c r="AC13" s="265" t="str">
        <f ca="1">IFERROR(VLOOKUP($M13&amp;AC$9,Calc!$Z$64:$AB$207,3,0),"")</f>
        <v>2 - 2</v>
      </c>
      <c r="AD13" s="265" t="str">
        <f ca="1">IFERROR(VLOOKUP($M13&amp;AD$9,Calc!$Z$64:$AB$207,3,0),"")</f>
        <v/>
      </c>
      <c r="AE13" s="301" t="str">
        <f ca="1">IFERROR(VLOOKUP($M13&amp;AE$9,Calc!$Z$64:$AB$207,3,0),"")</f>
        <v/>
      </c>
      <c r="AF13" s="299" t="str">
        <f ca="1">IFERROR(VLOOKUP($M13&amp;AF$9,Calc!$AC$64:$AD$207,2,0),"")</f>
        <v/>
      </c>
      <c r="AG13" s="265" t="str">
        <f ca="1">IFERROR(VLOOKUP($M13&amp;AG$9,Calc!$AC$64:$AD$207,2,0),"")</f>
        <v/>
      </c>
      <c r="AH13" s="265" t="str">
        <f ca="1">IFERROR(VLOOKUP($M13&amp;AH$9,Calc!$AC$64:$AD$207,2,0),"")</f>
        <v/>
      </c>
      <c r="AI13" s="300"/>
      <c r="AJ13" s="265" t="str">
        <f ca="1">IFERROR(VLOOKUP($M13&amp;AJ$9,Calc!$AC$64:$AD$207,2,0),"")</f>
        <v/>
      </c>
      <c r="AK13" s="265" t="str">
        <f ca="1">IFERROR(VLOOKUP($M13&amp;AK$9,Calc!$AC$64:$AD$207,2,0),"")</f>
        <v/>
      </c>
      <c r="AL13" s="265" t="str">
        <f ca="1">IFERROR(VLOOKUP($M13&amp;AL$9,Calc!$AC$64:$AD$207,2,0),"")</f>
        <v/>
      </c>
      <c r="AM13" s="265" t="str">
        <f ca="1">IFERROR(VLOOKUP($M13&amp;AM$9,Calc!$AC$64:$AD$207,2,0),"")</f>
        <v/>
      </c>
      <c r="AN13" s="301" t="str">
        <f ca="1">IFERROR(VLOOKUP($M13&amp;AN$9,Calc!$AC$64:$AD$207,2,0),"")</f>
        <v/>
      </c>
      <c r="AO13" s="302" t="str">
        <f t="shared" ca="1" si="1"/>
        <v>VFB Essenheim</v>
      </c>
    </row>
    <row r="14" spans="1:41" ht="24" customHeight="1" x14ac:dyDescent="0.2">
      <c r="B14" s="299">
        <v>5</v>
      </c>
      <c r="C14" s="456">
        <f ca="1">Planning!$I11</f>
        <v>0.3923611111111111</v>
      </c>
      <c r="D14" s="457">
        <f ca="1">Planning!$J11</f>
        <v>2</v>
      </c>
      <c r="E14" s="444" t="str">
        <f ca="1">Planning!$N11</f>
        <v>FC Barcelona</v>
      </c>
      <c r="F14" s="296" t="s">
        <v>5</v>
      </c>
      <c r="G14" s="445" t="str">
        <f ca="1">Planning!$P11</f>
        <v>VFB Essenheim</v>
      </c>
      <c r="H14" s="446">
        <v>2</v>
      </c>
      <c r="I14" s="447" t="str">
        <f>Language!$E$66</f>
        <v xml:space="preserve"> - </v>
      </c>
      <c r="J14" s="448">
        <v>2</v>
      </c>
      <c r="L14" s="291">
        <f ca="1">IF(Calc!$K$13=0,"",IF(VLOOKUP(Calc!B8,Calc!$C$4:$E$12,3,0)=MAX(L$10:L13),VLOOKUP(Calc!B8,Calc!$C$4:$E$12,3,0),Calc!B8))</f>
        <v>5</v>
      </c>
      <c r="M14" s="292" t="str">
        <f ca="1">IF(Calc!$K$13=0,Calc!$Q68,VLOOKUP(Calc!B8,Calc!$C$4:$N$12,4,0))</f>
        <v>1. FC Riedwald</v>
      </c>
      <c r="N14" s="293">
        <f ca="1">IF(Calc!$K$13=0,"",VLOOKUP(Calc!B8,Calc!$C$4:$N$12,9,0))</f>
        <v>2</v>
      </c>
      <c r="O14" s="265">
        <f ca="1">IF(Calc!$K$13=0,"",VLOOKUP(Calc!B8,Calc!$C$4:$N$12,10,0))</f>
        <v>0</v>
      </c>
      <c r="P14" s="265">
        <f ca="1">IF(Calc!$K$13=0,"",VLOOKUP(Calc!B8,Calc!$C$4:$N$12,11,0))</f>
        <v>1</v>
      </c>
      <c r="Q14" s="294">
        <f ca="1">IF(Calc!$K$13=0,"",VLOOKUP(Calc!B8,Calc!$C$4:$N$12,12,0))</f>
        <v>1</v>
      </c>
      <c r="R14" s="295">
        <f ca="1">IF(Calc!$K$13=0,"",VLOOKUP(Calc!B8,Calc!$C$4:$N$12,5,0))</f>
        <v>3</v>
      </c>
      <c r="S14" s="296" t="str">
        <f>Language!$E$66</f>
        <v xml:space="preserve"> - </v>
      </c>
      <c r="T14" s="297">
        <f ca="1">IF(Calc!$K$13=0,"",VLOOKUP(Calc!B8,Calc!$C$4:$N$12,6,0))</f>
        <v>4</v>
      </c>
      <c r="U14" s="293">
        <f ca="1">IF(Calc!$K$13=0,"",VLOOKUP(Calc!B8,Calc!$C$4:$N$12,7,0))</f>
        <v>-1</v>
      </c>
      <c r="V14" s="298">
        <f ca="1">IF(Calc!$K$13=0,"",VLOOKUP(Calc!B8,Calc!$C$4:$N$12,8,0))</f>
        <v>1</v>
      </c>
      <c r="W14" s="299" t="str">
        <f ca="1">IFERROR(VLOOKUP($M14&amp;W$9,Calc!$Z$64:$AB$207,3,0),"")</f>
        <v>2 - 3</v>
      </c>
      <c r="X14" s="265" t="str">
        <f ca="1">IFERROR(VLOOKUP($M14&amp;X$9,Calc!$Z$64:$AB$207,3,0),"")</f>
        <v/>
      </c>
      <c r="Y14" s="265" t="str">
        <f ca="1">IFERROR(VLOOKUP($M14&amp;Y$9,Calc!$Z$64:$AB$207,3,0),"")</f>
        <v/>
      </c>
      <c r="Z14" s="265" t="str">
        <f ca="1">IFERROR(VLOOKUP($M14&amp;Z$9,Calc!$Z$64:$AB$207,3,0),"")</f>
        <v/>
      </c>
      <c r="AA14" s="300"/>
      <c r="AB14" s="265" t="str">
        <f ca="1">IFERROR(VLOOKUP($M14&amp;AB$9,Calc!$Z$64:$AB$207,3,0),"")</f>
        <v>1 - 1</v>
      </c>
      <c r="AC14" s="265" t="str">
        <f ca="1">IFERROR(VLOOKUP($M14&amp;AC$9,Calc!$Z$64:$AB$207,3,0),"")</f>
        <v/>
      </c>
      <c r="AD14" s="265" t="str">
        <f ca="1">IFERROR(VLOOKUP($M14&amp;AD$9,Calc!$Z$64:$AB$207,3,0),"")</f>
        <v/>
      </c>
      <c r="AE14" s="301" t="str">
        <f ca="1">IFERROR(VLOOKUP($M14&amp;AE$9,Calc!$Z$64:$AB$207,3,0),"")</f>
        <v/>
      </c>
      <c r="AF14" s="299" t="str">
        <f ca="1">IFERROR(VLOOKUP($M14&amp;AF$9,Calc!$AC$64:$AD$207,2,0),"")</f>
        <v/>
      </c>
      <c r="AG14" s="265" t="str">
        <f ca="1">IFERROR(VLOOKUP($M14&amp;AG$9,Calc!$AC$64:$AD$207,2,0),"")</f>
        <v/>
      </c>
      <c r="AH14" s="265" t="str">
        <f ca="1">IFERROR(VLOOKUP($M14&amp;AH$9,Calc!$AC$64:$AD$207,2,0),"")</f>
        <v/>
      </c>
      <c r="AI14" s="265" t="str">
        <f ca="1">IFERROR(VLOOKUP($M14&amp;AI$9,Calc!$AC$64:$AD$207,2,0),"")</f>
        <v/>
      </c>
      <c r="AJ14" s="300"/>
      <c r="AK14" s="265" t="str">
        <f ca="1">IFERROR(VLOOKUP($M14&amp;AK$9,Calc!$AC$64:$AD$207,2,0),"")</f>
        <v/>
      </c>
      <c r="AL14" s="265" t="str">
        <f ca="1">IFERROR(VLOOKUP($M14&amp;AL$9,Calc!$AC$64:$AD$207,2,0),"")</f>
        <v/>
      </c>
      <c r="AM14" s="265" t="str">
        <f ca="1">IFERROR(VLOOKUP($M14&amp;AM$9,Calc!$AC$64:$AD$207,2,0),"")</f>
        <v/>
      </c>
      <c r="AN14" s="301" t="str">
        <f ca="1">IFERROR(VLOOKUP($M14&amp;AN$9,Calc!$AC$64:$AD$207,2,0),"")</f>
        <v/>
      </c>
      <c r="AO14" s="302" t="str">
        <f t="shared" ca="1" si="1"/>
        <v>1. FC Riedwald</v>
      </c>
    </row>
    <row r="15" spans="1:41" ht="24" customHeight="1" x14ac:dyDescent="0.2">
      <c r="B15" s="299">
        <v>6</v>
      </c>
      <c r="C15" s="456">
        <f ca="1">Planning!$I12</f>
        <v>0.3923611111111111</v>
      </c>
      <c r="D15" s="457">
        <f ca="1">Planning!$J12</f>
        <v>3</v>
      </c>
      <c r="E15" s="444" t="str">
        <f ca="1">Planning!$N12</f>
        <v>Maibach 1822 eV</v>
      </c>
      <c r="F15" s="296" t="s">
        <v>5</v>
      </c>
      <c r="G15" s="445" t="str">
        <f ca="1">Planning!$P12</f>
        <v>Eintracht Frankfurt</v>
      </c>
      <c r="H15" s="446">
        <v>2</v>
      </c>
      <c r="I15" s="447" t="str">
        <f>Language!$E$66</f>
        <v xml:space="preserve"> - </v>
      </c>
      <c r="J15" s="448">
        <v>1</v>
      </c>
      <c r="L15" s="291">
        <f ca="1">IF(Calc!$K$13=0,"",IF(VLOOKUP(Calc!B9,Calc!$C$4:$E$12,3,0)=MAX(L$10:L14),VLOOKUP(Calc!B9,Calc!$C$4:$E$12,3,0),Calc!B9))</f>
        <v>5</v>
      </c>
      <c r="M15" s="292" t="str">
        <f ca="1">IF(Calc!$K$13=0,Calc!$Q69,VLOOKUP(Calc!B9,Calc!$C$4:$N$12,4,0))</f>
        <v>Inter Mailand</v>
      </c>
      <c r="N15" s="293">
        <f ca="1">IF(Calc!$K$13=0,"",VLOOKUP(Calc!B9,Calc!$C$4:$N$12,9,0))</f>
        <v>2</v>
      </c>
      <c r="O15" s="265">
        <f ca="1">IF(Calc!$K$13=0,"",VLOOKUP(Calc!B9,Calc!$C$4:$N$12,10,0))</f>
        <v>0</v>
      </c>
      <c r="P15" s="265">
        <f ca="1">IF(Calc!$K$13=0,"",VLOOKUP(Calc!B9,Calc!$C$4:$N$12,11,0))</f>
        <v>1</v>
      </c>
      <c r="Q15" s="294">
        <f ca="1">IF(Calc!$K$13=0,"",VLOOKUP(Calc!B9,Calc!$C$4:$N$12,12,0))</f>
        <v>1</v>
      </c>
      <c r="R15" s="295">
        <f ca="1">IF(Calc!$K$13=0,"",VLOOKUP(Calc!B9,Calc!$C$4:$N$12,5,0))</f>
        <v>3</v>
      </c>
      <c r="S15" s="296" t="str">
        <f>Language!$E$66</f>
        <v xml:space="preserve"> - </v>
      </c>
      <c r="T15" s="297">
        <f ca="1">IF(Calc!$K$13=0,"",VLOOKUP(Calc!B9,Calc!$C$4:$N$12,6,0))</f>
        <v>4</v>
      </c>
      <c r="U15" s="293">
        <f ca="1">IF(Calc!$K$13=0,"",VLOOKUP(Calc!B9,Calc!$C$4:$N$12,7,0))</f>
        <v>-1</v>
      </c>
      <c r="V15" s="298">
        <f ca="1">IF(Calc!$K$13=0,"",VLOOKUP(Calc!B9,Calc!$C$4:$N$12,8,0))</f>
        <v>1</v>
      </c>
      <c r="W15" s="299" t="str">
        <f ca="1">IFERROR(VLOOKUP($M15&amp;W$9,Calc!$Z$64:$AB$207,3,0),"")</f>
        <v/>
      </c>
      <c r="X15" s="265" t="str">
        <f ca="1">IFERROR(VLOOKUP($M15&amp;X$9,Calc!$Z$64:$AB$207,3,0),"")</f>
        <v/>
      </c>
      <c r="Y15" s="265" t="str">
        <f ca="1">IFERROR(VLOOKUP($M15&amp;Y$9,Calc!$Z$64:$AB$207,3,0),"")</f>
        <v>2 - 3</v>
      </c>
      <c r="Z15" s="265" t="str">
        <f ca="1">IFERROR(VLOOKUP($M15&amp;Z$9,Calc!$Z$64:$AB$207,3,0),"")</f>
        <v/>
      </c>
      <c r="AA15" s="265" t="str">
        <f ca="1">IFERROR(VLOOKUP($M15&amp;AA$9,Calc!$Z$64:$AB$207,3,0),"")</f>
        <v>1 - 1</v>
      </c>
      <c r="AB15" s="300"/>
      <c r="AC15" s="265" t="str">
        <f ca="1">IFERROR(VLOOKUP($M15&amp;AC$9,Calc!$Z$64:$AB$207,3,0),"")</f>
        <v/>
      </c>
      <c r="AD15" s="265" t="str">
        <f ca="1">IFERROR(VLOOKUP($M15&amp;AD$9,Calc!$Z$64:$AB$207,3,0),"")</f>
        <v/>
      </c>
      <c r="AE15" s="301" t="str">
        <f ca="1">IFERROR(VLOOKUP($M15&amp;AE$9,Calc!$Z$64:$AB$207,3,0),"")</f>
        <v/>
      </c>
      <c r="AF15" s="299" t="str">
        <f ca="1">IFERROR(VLOOKUP($M15&amp;AF$9,Calc!$AC$64:$AD$207,2,0),"")</f>
        <v/>
      </c>
      <c r="AG15" s="265" t="str">
        <f ca="1">IFERROR(VLOOKUP($M15&amp;AG$9,Calc!$AC$64:$AD$207,2,0),"")</f>
        <v/>
      </c>
      <c r="AH15" s="265" t="str">
        <f ca="1">IFERROR(VLOOKUP($M15&amp;AH$9,Calc!$AC$64:$AD$207,2,0),"")</f>
        <v/>
      </c>
      <c r="AI15" s="265" t="str">
        <f ca="1">IFERROR(VLOOKUP($M15&amp;AI$9,Calc!$AC$64:$AD$207,2,0),"")</f>
        <v/>
      </c>
      <c r="AJ15" s="265" t="str">
        <f ca="1">IFERROR(VLOOKUP($M15&amp;AJ$9,Calc!$AC$64:$AD$207,2,0),"")</f>
        <v/>
      </c>
      <c r="AK15" s="300"/>
      <c r="AL15" s="265" t="str">
        <f ca="1">IFERROR(VLOOKUP($M15&amp;AL$9,Calc!$AC$64:$AD$207,2,0),"")</f>
        <v/>
      </c>
      <c r="AM15" s="265" t="str">
        <f ca="1">IFERROR(VLOOKUP($M15&amp;AM$9,Calc!$AC$64:$AD$207,2,0),"")</f>
        <v/>
      </c>
      <c r="AN15" s="301" t="str">
        <f ca="1">IFERROR(VLOOKUP($M15&amp;AN$9,Calc!$AC$64:$AD$207,2,0),"")</f>
        <v/>
      </c>
      <c r="AO15" s="302" t="str">
        <f t="shared" ca="1" si="1"/>
        <v>Inter Mailand</v>
      </c>
    </row>
    <row r="16" spans="1:41" ht="24" customHeight="1" x14ac:dyDescent="0.2">
      <c r="B16" s="299">
        <v>7</v>
      </c>
      <c r="C16" s="456">
        <f ca="1">Planning!$I13</f>
        <v>0.40972222222222221</v>
      </c>
      <c r="D16" s="457">
        <f ca="1">Planning!$J13</f>
        <v>1</v>
      </c>
      <c r="E16" s="444" t="str">
        <f ca="1">Planning!$N13</f>
        <v>1. FC Riedwald</v>
      </c>
      <c r="F16" s="296" t="s">
        <v>5</v>
      </c>
      <c r="G16" s="445" t="str">
        <f ca="1">Planning!$P13</f>
        <v>Inter Mailand</v>
      </c>
      <c r="H16" s="446">
        <v>1</v>
      </c>
      <c r="I16" s="447" t="str">
        <f>Language!$E$66</f>
        <v xml:space="preserve"> - </v>
      </c>
      <c r="J16" s="448">
        <v>1</v>
      </c>
      <c r="L16" s="291">
        <f ca="1">IF(Calc!$K$13=0,"",IF(VLOOKUP(Calc!B10,Calc!$C$4:$E$12,3,0)=MAX(L$10:L15),VLOOKUP(Calc!B10,Calc!$C$4:$E$12,3,0),Calc!B10))</f>
        <v>7</v>
      </c>
      <c r="M16" s="292" t="str">
        <f ca="1">IF(Calc!$K$13=0,Calc!$Q70,VLOOKUP(Calc!B10,Calc!$C$4:$N$12,4,0))</f>
        <v>FC Barcelona</v>
      </c>
      <c r="N16" s="293">
        <f ca="1">IF(Calc!$K$13=0,"",VLOOKUP(Calc!B10,Calc!$C$4:$N$12,9,0))</f>
        <v>2</v>
      </c>
      <c r="O16" s="265">
        <f ca="1">IF(Calc!$K$13=0,"",VLOOKUP(Calc!B10,Calc!$C$4:$N$12,10,0))</f>
        <v>0</v>
      </c>
      <c r="P16" s="265">
        <f ca="1">IF(Calc!$K$13=0,"",VLOOKUP(Calc!B10,Calc!$C$4:$N$12,11,0))</f>
        <v>1</v>
      </c>
      <c r="Q16" s="294">
        <f ca="1">IF(Calc!$K$13=0,"",VLOOKUP(Calc!B10,Calc!$C$4:$N$12,12,0))</f>
        <v>1</v>
      </c>
      <c r="R16" s="295">
        <f ca="1">IF(Calc!$K$13=0,"",VLOOKUP(Calc!B10,Calc!$C$4:$N$12,5,0))</f>
        <v>2</v>
      </c>
      <c r="S16" s="296" t="str">
        <f>Language!$E$66</f>
        <v xml:space="preserve"> - </v>
      </c>
      <c r="T16" s="297">
        <f ca="1">IF(Calc!$K$13=0,"",VLOOKUP(Calc!B10,Calc!$C$4:$N$12,6,0))</f>
        <v>4</v>
      </c>
      <c r="U16" s="293">
        <f ca="1">IF(Calc!$K$13=0,"",VLOOKUP(Calc!B10,Calc!$C$4:$N$12,7,0))</f>
        <v>-2</v>
      </c>
      <c r="V16" s="298">
        <f ca="1">IF(Calc!$K$13=0,"",VLOOKUP(Calc!B10,Calc!$C$4:$N$12,8,0))</f>
        <v>1</v>
      </c>
      <c r="W16" s="299" t="str">
        <f ca="1">IFERROR(VLOOKUP($M16&amp;W$9,Calc!$Z$64:$AB$207,3,0),"")</f>
        <v>0 - 2</v>
      </c>
      <c r="X16" s="265" t="str">
        <f ca="1">IFERROR(VLOOKUP($M16&amp;X$9,Calc!$Z$64:$AB$207,3,0),"")</f>
        <v/>
      </c>
      <c r="Y16" s="265" t="str">
        <f ca="1">IFERROR(VLOOKUP($M16&amp;Y$9,Calc!$Z$64:$AB$207,3,0),"")</f>
        <v/>
      </c>
      <c r="Z16" s="265" t="str">
        <f ca="1">IFERROR(VLOOKUP($M16&amp;Z$9,Calc!$Z$64:$AB$207,3,0),"")</f>
        <v>2 - 2</v>
      </c>
      <c r="AA16" s="265" t="str">
        <f ca="1">IFERROR(VLOOKUP($M16&amp;AA$9,Calc!$Z$64:$AB$207,3,0),"")</f>
        <v/>
      </c>
      <c r="AB16" s="265" t="str">
        <f ca="1">IFERROR(VLOOKUP($M16&amp;AB$9,Calc!$Z$64:$AB$207,3,0),"")</f>
        <v/>
      </c>
      <c r="AC16" s="300"/>
      <c r="AD16" s="265" t="str">
        <f ca="1">IFERROR(VLOOKUP($M16&amp;AD$9,Calc!$Z$64:$AB$207,3,0),"")</f>
        <v/>
      </c>
      <c r="AE16" s="301" t="str">
        <f ca="1">IFERROR(VLOOKUP($M16&amp;AE$9,Calc!$Z$64:$AB$207,3,0),"")</f>
        <v/>
      </c>
      <c r="AF16" s="299" t="str">
        <f ca="1">IFERROR(VLOOKUP($M16&amp;AF$9,Calc!$AC$64:$AD$207,2,0),"")</f>
        <v/>
      </c>
      <c r="AG16" s="265" t="str">
        <f ca="1">IFERROR(VLOOKUP($M16&amp;AG$9,Calc!$AC$64:$AD$207,2,0),"")</f>
        <v/>
      </c>
      <c r="AH16" s="265" t="str">
        <f ca="1">IFERROR(VLOOKUP($M16&amp;AH$9,Calc!$AC$64:$AD$207,2,0),"")</f>
        <v/>
      </c>
      <c r="AI16" s="265" t="str">
        <f ca="1">IFERROR(VLOOKUP($M16&amp;AI$9,Calc!$AC$64:$AD$207,2,0),"")</f>
        <v/>
      </c>
      <c r="AJ16" s="265" t="str">
        <f ca="1">IFERROR(VLOOKUP($M16&amp;AJ$9,Calc!$AC$64:$AD$207,2,0),"")</f>
        <v/>
      </c>
      <c r="AK16" s="265" t="str">
        <f ca="1">IFERROR(VLOOKUP($M16&amp;AK$9,Calc!$AC$64:$AD$207,2,0),"")</f>
        <v/>
      </c>
      <c r="AL16" s="300"/>
      <c r="AM16" s="265" t="str">
        <f ca="1">IFERROR(VLOOKUP($M16&amp;AM$9,Calc!$AC$64:$AD$207,2,0),"")</f>
        <v/>
      </c>
      <c r="AN16" s="301" t="str">
        <f ca="1">IFERROR(VLOOKUP($M16&amp;AN$9,Calc!$AC$64:$AD$207,2,0),"")</f>
        <v/>
      </c>
      <c r="AO16" s="302" t="str">
        <f t="shared" ca="1" si="1"/>
        <v>FC Barcelona</v>
      </c>
    </row>
    <row r="17" spans="2:41" ht="24" customHeight="1" x14ac:dyDescent="0.2">
      <c r="B17" s="299">
        <v>8</v>
      </c>
      <c r="C17" s="456">
        <f ca="1">Planning!$I14</f>
        <v>0.40972222222222221</v>
      </c>
      <c r="D17" s="457">
        <f ca="1">Planning!$J14</f>
        <v>2</v>
      </c>
      <c r="E17" s="444" t="str">
        <f ca="1">Planning!$N14</f>
        <v>VFB Essenheim</v>
      </c>
      <c r="F17" s="296" t="s">
        <v>5</v>
      </c>
      <c r="G17" s="445" t="str">
        <f ca="1">Planning!$P14</f>
        <v>SSV Wildbach</v>
      </c>
      <c r="H17" s="446"/>
      <c r="I17" s="447" t="str">
        <f>Language!$E$66</f>
        <v xml:space="preserve"> - </v>
      </c>
      <c r="J17" s="448"/>
      <c r="L17" s="291">
        <f ca="1">IF(Calc!$K$13=0,"",IF(VLOOKUP(Calc!B11,Calc!$C$4:$E$12,3,0)=MAX(L$10:L16),VLOOKUP(Calc!B11,Calc!$C$4:$E$12,3,0),Calc!B11))</f>
        <v>8</v>
      </c>
      <c r="M17" s="292" t="str">
        <f ca="1">IF(Calc!$K$13=0,Calc!$Q71,VLOOKUP(Calc!B11,Calc!$C$4:$N$12,4,0))</f>
        <v/>
      </c>
      <c r="N17" s="293">
        <f ca="1">IF(Calc!$K$13=0,"",VLOOKUP(Calc!B11,Calc!$C$4:$N$12,9,0))</f>
        <v>0</v>
      </c>
      <c r="O17" s="265">
        <f ca="1">IF(Calc!$K$13=0,"",VLOOKUP(Calc!B11,Calc!$C$4:$N$12,10,0))</f>
        <v>0</v>
      </c>
      <c r="P17" s="265">
        <f ca="1">IF(Calc!$K$13=0,"",VLOOKUP(Calc!B11,Calc!$C$4:$N$12,11,0))</f>
        <v>0</v>
      </c>
      <c r="Q17" s="294">
        <f ca="1">IF(Calc!$K$13=0,"",VLOOKUP(Calc!B11,Calc!$C$4:$N$12,12,0))</f>
        <v>0</v>
      </c>
      <c r="R17" s="295">
        <f ca="1">IF(Calc!$K$13=0,"",VLOOKUP(Calc!B11,Calc!$C$4:$N$12,5,0))</f>
        <v>0</v>
      </c>
      <c r="S17" s="296" t="str">
        <f>Language!$E$66</f>
        <v xml:space="preserve"> - </v>
      </c>
      <c r="T17" s="297">
        <f ca="1">IF(Calc!$K$13=0,"",VLOOKUP(Calc!B11,Calc!$C$4:$N$12,6,0))</f>
        <v>0</v>
      </c>
      <c r="U17" s="293">
        <f ca="1">IF(Calc!$K$13=0,"",VLOOKUP(Calc!B11,Calc!$C$4:$N$12,7,0))</f>
        <v>0</v>
      </c>
      <c r="V17" s="298">
        <f ca="1">IF(Calc!$K$13=0,"",VLOOKUP(Calc!B11,Calc!$C$4:$N$12,8,0))</f>
        <v>0</v>
      </c>
      <c r="W17" s="299" t="str">
        <f ca="1">IFERROR(VLOOKUP($M17&amp;W$9,Calc!$Z$64:$AB$207,3,0),"")</f>
        <v/>
      </c>
      <c r="X17" s="265" t="str">
        <f ca="1">IFERROR(VLOOKUP($M17&amp;X$9,Calc!$Z$64:$AB$207,3,0),"")</f>
        <v/>
      </c>
      <c r="Y17" s="265" t="str">
        <f ca="1">IFERROR(VLOOKUP($M17&amp;Y$9,Calc!$Z$64:$AB$207,3,0),"")</f>
        <v/>
      </c>
      <c r="Z17" s="265" t="str">
        <f ca="1">IFERROR(VLOOKUP($M17&amp;Z$9,Calc!$Z$64:$AB$207,3,0),"")</f>
        <v/>
      </c>
      <c r="AA17" s="265" t="str">
        <f ca="1">IFERROR(VLOOKUP($M17&amp;AA$9,Calc!$Z$64:$AB$207,3,0),"")</f>
        <v/>
      </c>
      <c r="AB17" s="265" t="str">
        <f ca="1">IFERROR(VLOOKUP($M17&amp;AB$9,Calc!$Z$64:$AB$207,3,0),"")</f>
        <v/>
      </c>
      <c r="AC17" s="265" t="str">
        <f ca="1">IFERROR(VLOOKUP($M17&amp;AC$9,Calc!$Z$64:$AB$207,3,0),"")</f>
        <v/>
      </c>
      <c r="AD17" s="300"/>
      <c r="AE17" s="301" t="str">
        <f ca="1">IFERROR(VLOOKUP($M17&amp;AE$9,Calc!$Z$64:$AB$207,3,0),"")</f>
        <v/>
      </c>
      <c r="AF17" s="299" t="str">
        <f ca="1">IFERROR(VLOOKUP($M17&amp;AF$9,Calc!$AC$64:$AD$207,2,0),"")</f>
        <v/>
      </c>
      <c r="AG17" s="265" t="str">
        <f ca="1">IFERROR(VLOOKUP($M17&amp;AG$9,Calc!$AC$64:$AD$207,2,0),"")</f>
        <v/>
      </c>
      <c r="AH17" s="265" t="str">
        <f ca="1">IFERROR(VLOOKUP($M17&amp;AH$9,Calc!$AC$64:$AD$207,2,0),"")</f>
        <v/>
      </c>
      <c r="AI17" s="265" t="str">
        <f ca="1">IFERROR(VLOOKUP($M17&amp;AI$9,Calc!$AC$64:$AD$207,2,0),"")</f>
        <v/>
      </c>
      <c r="AJ17" s="265" t="str">
        <f ca="1">IFERROR(VLOOKUP($M17&amp;AJ$9,Calc!$AC$64:$AD$207,2,0),"")</f>
        <v/>
      </c>
      <c r="AK17" s="265" t="str">
        <f ca="1">IFERROR(VLOOKUP($M17&amp;AK$9,Calc!$AC$64:$AD$207,2,0),"")</f>
        <v/>
      </c>
      <c r="AL17" s="265" t="str">
        <f ca="1">IFERROR(VLOOKUP($M17&amp;AL$9,Calc!$AC$64:$AD$207,2,0),"")</f>
        <v/>
      </c>
      <c r="AM17" s="300"/>
      <c r="AN17" s="301" t="str">
        <f ca="1">IFERROR(VLOOKUP($M17&amp;AN$9,Calc!$AC$64:$AD$207,2,0),"")</f>
        <v/>
      </c>
      <c r="AO17" s="302" t="str">
        <f t="shared" ca="1" si="1"/>
        <v/>
      </c>
    </row>
    <row r="18" spans="2:41" ht="24" customHeight="1" thickBot="1" x14ac:dyDescent="0.25">
      <c r="B18" s="299">
        <v>9</v>
      </c>
      <c r="C18" s="456">
        <f ca="1">Planning!$I15</f>
        <v>0.40972222222222221</v>
      </c>
      <c r="D18" s="457">
        <f ca="1">Planning!$J15</f>
        <v>3</v>
      </c>
      <c r="E18" s="444" t="str">
        <f ca="1">Planning!$N15</f>
        <v>Eintracht Frankfurt</v>
      </c>
      <c r="F18" s="296" t="s">
        <v>5</v>
      </c>
      <c r="G18" s="445" t="str">
        <f ca="1">Planning!$P15</f>
        <v>FC Barcelona</v>
      </c>
      <c r="H18" s="446"/>
      <c r="I18" s="447" t="str">
        <f>Language!$E$66</f>
        <v xml:space="preserve"> - </v>
      </c>
      <c r="J18" s="448"/>
      <c r="L18" s="303">
        <f ca="1">IF(Calc!$K$13=0,"",IF(VLOOKUP(Calc!B12,Calc!$C$4:$E$12,3,0)=MAX(L$10:L17),VLOOKUP(Calc!B12,Calc!$C$4:$E$12,3,0),Calc!B12))</f>
        <v>8</v>
      </c>
      <c r="M18" s="304" t="str">
        <f ca="1">IF(Calc!$K$13=0,Calc!$Q72,VLOOKUP(Calc!B12,Calc!$C$4:$N$12,4,0))</f>
        <v/>
      </c>
      <c r="N18" s="305">
        <f ca="1">IF(Calc!$K$13=0,"",VLOOKUP(Calc!B12,Calc!$C$4:$N$12,9,0))</f>
        <v>0</v>
      </c>
      <c r="O18" s="306">
        <f ca="1">IF(Calc!$K$13=0,"",VLOOKUP(Calc!B12,Calc!$C$4:$N$12,10,0))</f>
        <v>0</v>
      </c>
      <c r="P18" s="306">
        <f ca="1">IF(Calc!$K$13=0,"",VLOOKUP(Calc!B12,Calc!$C$4:$N$12,11,0))</f>
        <v>0</v>
      </c>
      <c r="Q18" s="307">
        <f ca="1">IF(Calc!$K$13=0,"",VLOOKUP(Calc!B12,Calc!$C$4:$N$12,12,0))</f>
        <v>0</v>
      </c>
      <c r="R18" s="308">
        <f ca="1">IF(Calc!$K$13=0,"",VLOOKUP(Calc!B12,Calc!$C$4:$N$12,5,0))</f>
        <v>0</v>
      </c>
      <c r="S18" s="309" t="str">
        <f>Language!$E$66</f>
        <v xml:space="preserve"> - </v>
      </c>
      <c r="T18" s="310">
        <f ca="1">IF(Calc!$K$13=0,"",VLOOKUP(Calc!B12,Calc!$C$4:$N$12,6,0))</f>
        <v>0</v>
      </c>
      <c r="U18" s="305">
        <f ca="1">IF(Calc!$K$13=0,"",VLOOKUP(Calc!B12,Calc!$C$4:$N$12,7,0))</f>
        <v>0</v>
      </c>
      <c r="V18" s="311">
        <f ca="1">IF(Calc!$K$13=0,"",VLOOKUP(Calc!B12,Calc!$C$4:$N$12,8,0))</f>
        <v>0</v>
      </c>
      <c r="W18" s="312" t="str">
        <f ca="1">IFERROR(VLOOKUP($M18&amp;W$9,Calc!$Z$64:$AB$207,3,0),"")</f>
        <v/>
      </c>
      <c r="X18" s="306" t="str">
        <f ca="1">IFERROR(VLOOKUP($M18&amp;X$9,Calc!$Z$64:$AB$207,3,0),"")</f>
        <v/>
      </c>
      <c r="Y18" s="306" t="str">
        <f ca="1">IFERROR(VLOOKUP($M18&amp;Y$9,Calc!$Z$64:$AB$207,3,0),"")</f>
        <v/>
      </c>
      <c r="Z18" s="306" t="str">
        <f ca="1">IFERROR(VLOOKUP($M18&amp;Z$9,Calc!$Z$64:$AB$207,3,0),"")</f>
        <v/>
      </c>
      <c r="AA18" s="306" t="str">
        <f ca="1">IFERROR(VLOOKUP($M18&amp;AA$9,Calc!$Z$64:$AB$207,3,0),"")</f>
        <v/>
      </c>
      <c r="AB18" s="306" t="str">
        <f ca="1">IFERROR(VLOOKUP($M18&amp;AB$9,Calc!$Z$64:$AB$207,3,0),"")</f>
        <v/>
      </c>
      <c r="AC18" s="306" t="str">
        <f ca="1">IFERROR(VLOOKUP($M18&amp;AC$9,Calc!$Z$64:$AB$207,3,0),"")</f>
        <v/>
      </c>
      <c r="AD18" s="306" t="str">
        <f ca="1">IFERROR(VLOOKUP($M18&amp;AD$9,Calc!$Z$64:$AB$207,3,0),"")</f>
        <v/>
      </c>
      <c r="AE18" s="313"/>
      <c r="AF18" s="312" t="str">
        <f ca="1">IFERROR(VLOOKUP($M18&amp;AF$9,Calc!$AC$64:$AD$207,2,0),"")</f>
        <v/>
      </c>
      <c r="AG18" s="306" t="str">
        <f ca="1">IFERROR(VLOOKUP($M18&amp;AG$9,Calc!$AC$64:$AD$207,2,0),"")</f>
        <v/>
      </c>
      <c r="AH18" s="306" t="str">
        <f ca="1">IFERROR(VLOOKUP($M18&amp;AH$9,Calc!$AC$64:$AD$207,2,0),"")</f>
        <v/>
      </c>
      <c r="AI18" s="306" t="str">
        <f ca="1">IFERROR(VLOOKUP($M18&amp;AI$9,Calc!$AC$64:$AD$207,2,0),"")</f>
        <v/>
      </c>
      <c r="AJ18" s="306" t="str">
        <f ca="1">IFERROR(VLOOKUP($M18&amp;AJ$9,Calc!$AC$64:$AD$207,2,0),"")</f>
        <v/>
      </c>
      <c r="AK18" s="306" t="str">
        <f ca="1">IFERROR(VLOOKUP($M18&amp;AK$9,Calc!$AC$64:$AD$207,2,0),"")</f>
        <v/>
      </c>
      <c r="AL18" s="306" t="str">
        <f ca="1">IFERROR(VLOOKUP($M18&amp;AL$9,Calc!$AC$64:$AD$207,2,0),"")</f>
        <v/>
      </c>
      <c r="AM18" s="306" t="str">
        <f ca="1">IFERROR(VLOOKUP($M18&amp;AM$9,Calc!$AC$64:$AD$207,2,0),"")</f>
        <v/>
      </c>
      <c r="AN18" s="313"/>
      <c r="AO18" s="314" t="str">
        <f t="shared" ca="1" si="1"/>
        <v/>
      </c>
    </row>
    <row r="19" spans="2:41" ht="24" customHeight="1" thickTop="1" x14ac:dyDescent="0.4">
      <c r="B19" s="299">
        <v>10</v>
      </c>
      <c r="C19" s="456">
        <f ca="1">Planning!$I16</f>
        <v>0.42708333333333331</v>
      </c>
      <c r="D19" s="457">
        <f ca="1">Planning!$J16</f>
        <v>1</v>
      </c>
      <c r="E19" s="444" t="str">
        <f ca="1">Planning!$N16</f>
        <v>VFB Essenheim</v>
      </c>
      <c r="F19" s="296" t="s">
        <v>5</v>
      </c>
      <c r="G19" s="445" t="str">
        <f ca="1">Planning!$P16</f>
        <v>1. FC Riedwald</v>
      </c>
      <c r="H19" s="446"/>
      <c r="I19" s="447" t="str">
        <f>Language!$E$66</f>
        <v xml:space="preserve"> - </v>
      </c>
      <c r="J19" s="448"/>
      <c r="W19" s="501" t="str">
        <f>Language!$E$29</f>
        <v>INVALID TABLE</v>
      </c>
      <c r="X19" s="501"/>
      <c r="Y19" s="501"/>
      <c r="Z19" s="501"/>
      <c r="AA19" s="501"/>
      <c r="AB19" s="501"/>
      <c r="AC19" s="501"/>
      <c r="AD19" s="501"/>
      <c r="AE19" s="501"/>
      <c r="AF19" s="501" t="str">
        <f>Language!$E$29</f>
        <v>INVALID TABLE</v>
      </c>
      <c r="AG19" s="501"/>
      <c r="AH19" s="501"/>
      <c r="AI19" s="501"/>
      <c r="AJ19" s="501"/>
      <c r="AK19" s="501"/>
      <c r="AL19" s="501"/>
      <c r="AM19" s="501"/>
      <c r="AN19" s="501"/>
    </row>
    <row r="20" spans="2:41" ht="24" customHeight="1" x14ac:dyDescent="0.2">
      <c r="B20" s="299">
        <v>11</v>
      </c>
      <c r="C20" s="456">
        <f ca="1">Planning!$I17</f>
        <v>0.42708333333333331</v>
      </c>
      <c r="D20" s="457">
        <f ca="1">Planning!$J17</f>
        <v>2</v>
      </c>
      <c r="E20" s="444" t="str">
        <f ca="1">Planning!$N17</f>
        <v>Maibach 1822 eV</v>
      </c>
      <c r="F20" s="296" t="s">
        <v>5</v>
      </c>
      <c r="G20" s="445" t="str">
        <f ca="1">Planning!$P17</f>
        <v>Inter Mailand</v>
      </c>
      <c r="H20" s="446"/>
      <c r="I20" s="447" t="str">
        <f>Language!$E$66</f>
        <v xml:space="preserve"> - </v>
      </c>
      <c r="J20" s="448"/>
    </row>
    <row r="21" spans="2:41" ht="24" customHeight="1" x14ac:dyDescent="0.2">
      <c r="B21" s="299">
        <v>12</v>
      </c>
      <c r="C21" s="456">
        <f ca="1">Planning!$I18</f>
        <v>0.42708333333333331</v>
      </c>
      <c r="D21" s="457">
        <f ca="1">Planning!$J18</f>
        <v>3</v>
      </c>
      <c r="E21" s="444" t="str">
        <f ca="1">Planning!$N18</f>
        <v>SSV Wildbach</v>
      </c>
      <c r="F21" s="296" t="s">
        <v>5</v>
      </c>
      <c r="G21" s="445" t="str">
        <f ca="1">Planning!$P18</f>
        <v>Eintracht Frankfurt</v>
      </c>
      <c r="H21" s="446"/>
      <c r="I21" s="447" t="str">
        <f>Language!$E$66</f>
        <v xml:space="preserve"> - </v>
      </c>
      <c r="J21" s="448"/>
    </row>
    <row r="22" spans="2:41" ht="24" customHeight="1" x14ac:dyDescent="0.2">
      <c r="B22" s="299">
        <v>13</v>
      </c>
      <c r="C22" s="456">
        <f ca="1">Planning!$I19</f>
        <v>0.44444444444444442</v>
      </c>
      <c r="D22" s="457">
        <f ca="1">Planning!$J19</f>
        <v>1</v>
      </c>
      <c r="E22" s="444" t="str">
        <f ca="1">Planning!$N19</f>
        <v>1. FC Riedwald</v>
      </c>
      <c r="F22" s="296" t="s">
        <v>5</v>
      </c>
      <c r="G22" s="445" t="str">
        <f ca="1">Planning!$P19</f>
        <v>Maibach 1822 eV</v>
      </c>
      <c r="H22" s="446"/>
      <c r="I22" s="447" t="str">
        <f>Language!$E$66</f>
        <v xml:space="preserve"> - </v>
      </c>
      <c r="J22" s="448"/>
    </row>
    <row r="23" spans="2:41" ht="24" customHeight="1" x14ac:dyDescent="0.2">
      <c r="B23" s="299">
        <v>14</v>
      </c>
      <c r="C23" s="456">
        <f ca="1">Planning!$I20</f>
        <v>0.44444444444444442</v>
      </c>
      <c r="D23" s="457">
        <f ca="1">Planning!$J20</f>
        <v>2</v>
      </c>
      <c r="E23" s="444" t="str">
        <f ca="1">Planning!$N20</f>
        <v>Eintracht Frankfurt</v>
      </c>
      <c r="F23" s="296" t="s">
        <v>5</v>
      </c>
      <c r="G23" s="445" t="str">
        <f ca="1">Planning!$P20</f>
        <v>VFB Essenheim</v>
      </c>
      <c r="H23" s="446"/>
      <c r="I23" s="447" t="str">
        <f>Language!$E$66</f>
        <v xml:space="preserve"> - </v>
      </c>
      <c r="J23" s="448"/>
    </row>
    <row r="24" spans="2:41" ht="24" customHeight="1" x14ac:dyDescent="0.2">
      <c r="B24" s="299">
        <v>15</v>
      </c>
      <c r="C24" s="456">
        <f ca="1">Planning!$I21</f>
        <v>0.44444444444444442</v>
      </c>
      <c r="D24" s="457">
        <f ca="1">Planning!$J21</f>
        <v>3</v>
      </c>
      <c r="E24" s="444" t="str">
        <f ca="1">Planning!$N21</f>
        <v>Inter Mailand</v>
      </c>
      <c r="F24" s="296" t="s">
        <v>5</v>
      </c>
      <c r="G24" s="445" t="str">
        <f ca="1">Planning!$P21</f>
        <v>FC Barcelona</v>
      </c>
      <c r="H24" s="446"/>
      <c r="I24" s="447" t="str">
        <f>Language!$E$66</f>
        <v xml:space="preserve"> - </v>
      </c>
      <c r="J24" s="448"/>
    </row>
    <row r="25" spans="2:41" ht="24" customHeight="1" x14ac:dyDescent="0.2">
      <c r="B25" s="299">
        <v>16</v>
      </c>
      <c r="C25" s="456">
        <f ca="1">Planning!$I22</f>
        <v>0.46180555555555558</v>
      </c>
      <c r="D25" s="457">
        <f ca="1">Planning!$J22</f>
        <v>1</v>
      </c>
      <c r="E25" s="444" t="str">
        <f ca="1">Planning!$N22</f>
        <v>Eintracht Frankfurt</v>
      </c>
      <c r="F25" s="296" t="s">
        <v>5</v>
      </c>
      <c r="G25" s="445" t="str">
        <f ca="1">Planning!$P22</f>
        <v>1. FC Riedwald</v>
      </c>
      <c r="H25" s="446"/>
      <c r="I25" s="447" t="str">
        <f>Language!$E$66</f>
        <v xml:space="preserve"> - </v>
      </c>
      <c r="J25" s="448"/>
    </row>
    <row r="26" spans="2:41" ht="24" customHeight="1" x14ac:dyDescent="0.2">
      <c r="B26" s="299">
        <v>17</v>
      </c>
      <c r="C26" s="456">
        <f ca="1">Planning!$I23</f>
        <v>0.46180555555555558</v>
      </c>
      <c r="D26" s="457">
        <f ca="1">Planning!$J23</f>
        <v>2</v>
      </c>
      <c r="E26" s="444" t="str">
        <f ca="1">Planning!$N23</f>
        <v>FC Barcelona</v>
      </c>
      <c r="F26" s="296" t="s">
        <v>5</v>
      </c>
      <c r="G26" s="445" t="str">
        <f ca="1">Planning!$P23</f>
        <v>Maibach 1822 eV</v>
      </c>
      <c r="H26" s="446"/>
      <c r="I26" s="447" t="str">
        <f>Language!$E$66</f>
        <v xml:space="preserve"> - </v>
      </c>
      <c r="J26" s="448"/>
    </row>
    <row r="27" spans="2:41" ht="24" customHeight="1" x14ac:dyDescent="0.2">
      <c r="B27" s="299">
        <v>18</v>
      </c>
      <c r="C27" s="456">
        <f ca="1">Planning!$I24</f>
        <v>0.46180555555555558</v>
      </c>
      <c r="D27" s="457">
        <f ca="1">Planning!$J24</f>
        <v>3</v>
      </c>
      <c r="E27" s="444" t="str">
        <f ca="1">Planning!$N24</f>
        <v>SSV Wildbach</v>
      </c>
      <c r="F27" s="296" t="s">
        <v>5</v>
      </c>
      <c r="G27" s="445" t="str">
        <f ca="1">Planning!$P24</f>
        <v>Inter Mailand</v>
      </c>
      <c r="H27" s="446"/>
      <c r="I27" s="447" t="str">
        <f>Language!$E$66</f>
        <v xml:space="preserve"> - </v>
      </c>
      <c r="J27" s="448"/>
    </row>
    <row r="28" spans="2:41" ht="24" customHeight="1" x14ac:dyDescent="0.2">
      <c r="B28" s="299">
        <v>19</v>
      </c>
      <c r="C28" s="456">
        <f ca="1">Planning!$I25</f>
        <v>0.47916666666666669</v>
      </c>
      <c r="D28" s="457">
        <f ca="1">Planning!$J25</f>
        <v>1</v>
      </c>
      <c r="E28" s="444" t="str">
        <f ca="1">Planning!$N25</f>
        <v>1. FC Riedwald</v>
      </c>
      <c r="F28" s="296" t="s">
        <v>5</v>
      </c>
      <c r="G28" s="445" t="str">
        <f ca="1">Planning!$P25</f>
        <v>FC Barcelona</v>
      </c>
      <c r="H28" s="446"/>
      <c r="I28" s="447" t="str">
        <f>Language!$E$66</f>
        <v xml:space="preserve"> - </v>
      </c>
      <c r="J28" s="448"/>
    </row>
    <row r="29" spans="2:41" ht="24" customHeight="1" x14ac:dyDescent="0.2">
      <c r="B29" s="299">
        <v>20</v>
      </c>
      <c r="C29" s="456">
        <f ca="1">Planning!$I26</f>
        <v>0.47916666666666669</v>
      </c>
      <c r="D29" s="457">
        <f ca="1">Planning!$J26</f>
        <v>2</v>
      </c>
      <c r="E29" s="444" t="str">
        <f ca="1">Planning!$N26</f>
        <v>Maibach 1822 eV</v>
      </c>
      <c r="F29" s="296" t="s">
        <v>5</v>
      </c>
      <c r="G29" s="445" t="str">
        <f ca="1">Planning!$P26</f>
        <v>SSV Wildbach</v>
      </c>
      <c r="H29" s="446"/>
      <c r="I29" s="447" t="str">
        <f>Language!$E$66</f>
        <v xml:space="preserve"> - </v>
      </c>
      <c r="J29" s="448"/>
    </row>
    <row r="30" spans="2:41" ht="24" customHeight="1" x14ac:dyDescent="0.4">
      <c r="B30" s="299">
        <v>21</v>
      </c>
      <c r="C30" s="456">
        <f ca="1">Planning!$I27</f>
        <v>0.47916666666666669</v>
      </c>
      <c r="D30" s="457">
        <f ca="1">Planning!$J27</f>
        <v>3</v>
      </c>
      <c r="E30" s="444" t="str">
        <f ca="1">Planning!$N27</f>
        <v>Inter Mailand</v>
      </c>
      <c r="F30" s="296" t="s">
        <v>5</v>
      </c>
      <c r="G30" s="445" t="str">
        <f ca="1">Planning!$P27</f>
        <v>VFB Essenheim</v>
      </c>
      <c r="H30" s="446"/>
      <c r="I30" s="447" t="str">
        <f>Language!$E$66</f>
        <v xml:space="preserve"> - </v>
      </c>
      <c r="J30" s="448"/>
      <c r="W30" s="503" t="str">
        <f>$W$7</f>
        <v>First legs</v>
      </c>
      <c r="X30" s="503"/>
      <c r="Y30" s="503"/>
      <c r="Z30" s="503"/>
      <c r="AA30" s="503"/>
      <c r="AB30" s="503"/>
      <c r="AC30" s="503"/>
      <c r="AD30" s="503"/>
      <c r="AE30" s="503"/>
      <c r="AF30" s="503" t="str">
        <f>$AF$7</f>
        <v>Second legs</v>
      </c>
      <c r="AG30" s="503"/>
      <c r="AH30" s="503"/>
      <c r="AI30" s="503"/>
      <c r="AJ30" s="503"/>
      <c r="AK30" s="503"/>
      <c r="AL30" s="503"/>
      <c r="AM30" s="503"/>
      <c r="AN30" s="503"/>
    </row>
    <row r="31" spans="2:41" ht="24" customHeight="1" thickBot="1" x14ac:dyDescent="0.25">
      <c r="B31" s="299">
        <v>22</v>
      </c>
      <c r="C31" s="456">
        <f ca="1">Planning!$I28</f>
        <v>0.49652777777777779</v>
      </c>
      <c r="D31" s="457">
        <f ca="1">Planning!$J28</f>
        <v>1</v>
      </c>
      <c r="E31" s="444" t="str">
        <f ca="1">Planning!$N28</f>
        <v>FC Barcelona</v>
      </c>
      <c r="F31" s="296" t="s">
        <v>5</v>
      </c>
      <c r="G31" s="445" t="str">
        <f ca="1">Planning!$P28</f>
        <v>SSV Wildbach</v>
      </c>
      <c r="H31" s="446"/>
      <c r="I31" s="447" t="str">
        <f>Language!$E$66</f>
        <v xml:space="preserve"> - </v>
      </c>
      <c r="J31" s="448"/>
      <c r="L31" s="72" t="str">
        <f>Language!$E$13</f>
        <v>Total table (copy)</v>
      </c>
    </row>
    <row r="32" spans="2:41" ht="24" customHeight="1" thickBot="1" x14ac:dyDescent="0.25">
      <c r="B32" s="299">
        <v>23</v>
      </c>
      <c r="C32" s="456">
        <f ca="1">Planning!$I29</f>
        <v>0.49652777777777779</v>
      </c>
      <c r="D32" s="457">
        <f ca="1">Planning!$J29</f>
        <v>2</v>
      </c>
      <c r="E32" s="444" t="str">
        <f ca="1">Planning!$N29</f>
        <v>Inter Mailand</v>
      </c>
      <c r="F32" s="296" t="s">
        <v>5</v>
      </c>
      <c r="G32" s="445" t="str">
        <f ca="1">Planning!$P29</f>
        <v>Eintracht Frankfurt</v>
      </c>
      <c r="H32" s="446"/>
      <c r="I32" s="447" t="str">
        <f>Language!$E$66</f>
        <v xml:space="preserve"> - </v>
      </c>
      <c r="J32" s="448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315" t="str">
        <f ca="1">W8</f>
        <v>SSV Wil.</v>
      </c>
      <c r="X32" s="316" t="str">
        <f t="shared" ref="X32:AN32" ca="1" si="2">X8</f>
        <v>Maibach.</v>
      </c>
      <c r="Y32" s="316" t="str">
        <f t="shared" ca="1" si="2"/>
        <v>Eintrac.</v>
      </c>
      <c r="Z32" s="316" t="str">
        <f t="shared" ca="1" si="2"/>
        <v>VFB Ess.</v>
      </c>
      <c r="AA32" s="316" t="str">
        <f t="shared" ca="1" si="2"/>
        <v>1. FC R.</v>
      </c>
      <c r="AB32" s="316" t="str">
        <f t="shared" ca="1" si="2"/>
        <v>Inter M.</v>
      </c>
      <c r="AC32" s="316" t="str">
        <f t="shared" ca="1" si="2"/>
        <v>FC Barc.</v>
      </c>
      <c r="AD32" s="316" t="str">
        <f t="shared" ca="1" si="2"/>
        <v/>
      </c>
      <c r="AE32" s="317" t="str">
        <f t="shared" ca="1" si="2"/>
        <v/>
      </c>
      <c r="AF32" s="315" t="str">
        <f ca="1">AF8</f>
        <v>SSV Wil.</v>
      </c>
      <c r="AG32" s="316" t="str">
        <f t="shared" ca="1" si="2"/>
        <v>Maibach.</v>
      </c>
      <c r="AH32" s="316" t="str">
        <f t="shared" ca="1" si="2"/>
        <v>Eintrac.</v>
      </c>
      <c r="AI32" s="316" t="str">
        <f t="shared" ca="1" si="2"/>
        <v>VFB Ess.</v>
      </c>
      <c r="AJ32" s="316" t="str">
        <f t="shared" ca="1" si="2"/>
        <v>1. FC R.</v>
      </c>
      <c r="AK32" s="316" t="str">
        <f t="shared" ca="1" si="2"/>
        <v>Inter M.</v>
      </c>
      <c r="AL32" s="316" t="str">
        <f t="shared" ca="1" si="2"/>
        <v>FC Barc.</v>
      </c>
      <c r="AM32" s="316" t="str">
        <f t="shared" ca="1" si="2"/>
        <v/>
      </c>
      <c r="AN32" s="318" t="str">
        <f t="shared" ca="1" si="2"/>
        <v/>
      </c>
      <c r="AO32" s="271"/>
    </row>
    <row r="33" spans="2:41" ht="24" customHeight="1" thickTop="1" thickBot="1" x14ac:dyDescent="0.25">
      <c r="B33" s="299">
        <v>24</v>
      </c>
      <c r="C33" s="456">
        <f ca="1">Planning!$I30</f>
        <v>0.49652777777777779</v>
      </c>
      <c r="D33" s="457">
        <f ca="1">Planning!$J30</f>
        <v>3</v>
      </c>
      <c r="E33" s="444" t="str">
        <f ca="1">Planning!$N30</f>
        <v>Maibach 1822 eV</v>
      </c>
      <c r="F33" s="296" t="s">
        <v>5</v>
      </c>
      <c r="G33" s="445" t="str">
        <f ca="1">Planning!$P30</f>
        <v>VFB Essenheim</v>
      </c>
      <c r="H33" s="446"/>
      <c r="I33" s="447" t="str">
        <f>Language!$E$66</f>
        <v xml:space="preserve"> - </v>
      </c>
      <c r="J33" s="448"/>
      <c r="L33" s="504" t="str">
        <f ca="1">$L$9</f>
        <v>Still incomplete</v>
      </c>
      <c r="M33" s="505"/>
      <c r="N33" s="272" t="str">
        <f>N9</f>
        <v>Pld</v>
      </c>
      <c r="O33" s="273" t="str">
        <f>O9</f>
        <v>W</v>
      </c>
      <c r="P33" s="273" t="str">
        <f t="shared" ref="P33:Q33" si="3">P9</f>
        <v>D</v>
      </c>
      <c r="Q33" s="273" t="str">
        <f t="shared" si="3"/>
        <v>L</v>
      </c>
      <c r="R33" s="509" t="str">
        <f>R9</f>
        <v>Goals</v>
      </c>
      <c r="S33" s="510"/>
      <c r="T33" s="511"/>
      <c r="U33" s="273" t="str">
        <f>U9</f>
        <v>GD</v>
      </c>
      <c r="V33" s="275" t="str">
        <f>V9</f>
        <v>Pts</v>
      </c>
      <c r="W33" s="276" t="str">
        <f ca="1">W9</f>
        <v>SSV Wildbach</v>
      </c>
      <c r="X33" s="277" t="str">
        <f t="shared" ref="X33:AE33" ca="1" si="4">X9</f>
        <v>Maibach 1822 eV</v>
      </c>
      <c r="Y33" s="277" t="str">
        <f t="shared" ca="1" si="4"/>
        <v>Eintracht Frankfurt</v>
      </c>
      <c r="Z33" s="277" t="str">
        <f t="shared" ca="1" si="4"/>
        <v>VFB Essenheim</v>
      </c>
      <c r="AA33" s="277" t="str">
        <f t="shared" ca="1" si="4"/>
        <v>1. FC Riedwald</v>
      </c>
      <c r="AB33" s="277" t="str">
        <f t="shared" ca="1" si="4"/>
        <v>Inter Mailand</v>
      </c>
      <c r="AC33" s="277" t="str">
        <f t="shared" ca="1" si="4"/>
        <v>FC Barcelona</v>
      </c>
      <c r="AD33" s="277" t="str">
        <f t="shared" ca="1" si="4"/>
        <v/>
      </c>
      <c r="AE33" s="278" t="str">
        <f t="shared" ca="1" si="4"/>
        <v/>
      </c>
      <c r="AF33" s="276" t="str">
        <f ca="1">AF9</f>
        <v>SSV Wildbach</v>
      </c>
      <c r="AG33" s="277" t="str">
        <f t="shared" ref="AG33:AN33" ca="1" si="5">AG9</f>
        <v>Maibach 1822 eV</v>
      </c>
      <c r="AH33" s="277" t="str">
        <f t="shared" ca="1" si="5"/>
        <v>Eintracht Frankfurt</v>
      </c>
      <c r="AI33" s="277" t="str">
        <f t="shared" ca="1" si="5"/>
        <v>VFB Essenheim</v>
      </c>
      <c r="AJ33" s="277" t="str">
        <f t="shared" ca="1" si="5"/>
        <v>1. FC Riedwald</v>
      </c>
      <c r="AK33" s="277" t="str">
        <f t="shared" ca="1" si="5"/>
        <v>Inter Mailand</v>
      </c>
      <c r="AL33" s="277" t="str">
        <f t="shared" ca="1" si="5"/>
        <v>FC Barcelona</v>
      </c>
      <c r="AM33" s="277" t="str">
        <f t="shared" ca="1" si="5"/>
        <v/>
      </c>
      <c r="AN33" s="278" t="str">
        <f t="shared" ca="1" si="5"/>
        <v/>
      </c>
      <c r="AO33" s="271"/>
    </row>
    <row r="34" spans="2:41" ht="24" customHeight="1" x14ac:dyDescent="0.2">
      <c r="B34" s="299">
        <v>25</v>
      </c>
      <c r="C34" s="456">
        <f ca="1">Planning!$I31</f>
        <v>0.51388888888888884</v>
      </c>
      <c r="D34" s="457">
        <f ca="1">Planning!$J31</f>
        <v>1</v>
      </c>
      <c r="E34" s="444" t="str">
        <f ca="1">Planning!$N31</f>
        <v>1. FC Riedwald</v>
      </c>
      <c r="F34" s="296" t="s">
        <v>5</v>
      </c>
      <c r="G34" s="445" t="str">
        <f ca="1">Planning!$P31</f>
        <v>SSV Wildbach</v>
      </c>
      <c r="H34" s="446"/>
      <c r="I34" s="447" t="str">
        <f>Language!$E$66</f>
        <v xml:space="preserve"> - </v>
      </c>
      <c r="J34" s="448"/>
      <c r="L34" s="279">
        <f ca="1">L10</f>
        <v>1</v>
      </c>
      <c r="M34" s="280" t="str">
        <f ca="1">IF(M10="","",M10)</f>
        <v>SSV Wildbach</v>
      </c>
      <c r="N34" s="281">
        <f t="shared" ref="N34:V34" ca="1" si="6">IF(N10="","",N10)</f>
        <v>2</v>
      </c>
      <c r="O34" s="282">
        <f t="shared" ca="1" si="6"/>
        <v>2</v>
      </c>
      <c r="P34" s="282">
        <f t="shared" ca="1" si="6"/>
        <v>0</v>
      </c>
      <c r="Q34" s="283">
        <f t="shared" ca="1" si="6"/>
        <v>0</v>
      </c>
      <c r="R34" s="284">
        <f t="shared" ca="1" si="6"/>
        <v>5</v>
      </c>
      <c r="S34" s="285" t="str">
        <f t="shared" si="6"/>
        <v xml:space="preserve"> - </v>
      </c>
      <c r="T34" s="286">
        <f t="shared" ca="1" si="6"/>
        <v>2</v>
      </c>
      <c r="U34" s="281">
        <f t="shared" ca="1" si="6"/>
        <v>3</v>
      </c>
      <c r="V34" s="287">
        <f t="shared" ca="1" si="6"/>
        <v>6</v>
      </c>
      <c r="W34" s="288"/>
      <c r="X34" s="282" t="str">
        <f ca="1">IF(X10="","",X10)</f>
        <v/>
      </c>
      <c r="Y34" s="282" t="str">
        <f t="shared" ref="Y34:AE34" ca="1" si="7">IF(Y10="","",Y10)</f>
        <v/>
      </c>
      <c r="Z34" s="282" t="str">
        <f t="shared" ca="1" si="7"/>
        <v/>
      </c>
      <c r="AA34" s="282" t="str">
        <f t="shared" ca="1" si="7"/>
        <v>3 - 2</v>
      </c>
      <c r="AB34" s="282" t="str">
        <f t="shared" ca="1" si="7"/>
        <v/>
      </c>
      <c r="AC34" s="282" t="str">
        <f t="shared" ca="1" si="7"/>
        <v>2 - 0</v>
      </c>
      <c r="AD34" s="282" t="str">
        <f t="shared" ca="1" si="7"/>
        <v/>
      </c>
      <c r="AE34" s="289" t="str">
        <f t="shared" ca="1" si="7"/>
        <v/>
      </c>
      <c r="AF34" s="288"/>
      <c r="AG34" s="282" t="str">
        <f ca="1">IF(AG10="","",AG10)</f>
        <v/>
      </c>
      <c r="AH34" s="282" t="str">
        <f t="shared" ref="AH34:AN34" ca="1" si="8">IF(AH10="","",AH10)</f>
        <v/>
      </c>
      <c r="AI34" s="282" t="str">
        <f t="shared" ca="1" si="8"/>
        <v/>
      </c>
      <c r="AJ34" s="282" t="str">
        <f t="shared" ca="1" si="8"/>
        <v/>
      </c>
      <c r="AK34" s="282" t="str">
        <f t="shared" ca="1" si="8"/>
        <v/>
      </c>
      <c r="AL34" s="282" t="str">
        <f t="shared" ca="1" si="8"/>
        <v/>
      </c>
      <c r="AM34" s="282" t="str">
        <f t="shared" ca="1" si="8"/>
        <v/>
      </c>
      <c r="AN34" s="289" t="str">
        <f t="shared" ca="1" si="8"/>
        <v/>
      </c>
      <c r="AO34" s="290" t="str">
        <f ca="1">AO10</f>
        <v>SSV Wildbach</v>
      </c>
    </row>
    <row r="35" spans="2:41" ht="24" customHeight="1" x14ac:dyDescent="0.2">
      <c r="B35" s="299">
        <v>26</v>
      </c>
      <c r="C35" s="456">
        <f ca="1">Planning!$I32</f>
        <v>0.51388888888888884</v>
      </c>
      <c r="D35" s="457">
        <f ca="1">Planning!$J32</f>
        <v>2</v>
      </c>
      <c r="E35" s="444" t="str">
        <f ca="1">Planning!$N32</f>
        <v>VFB Essenheim</v>
      </c>
      <c r="F35" s="296" t="s">
        <v>5</v>
      </c>
      <c r="G35" s="445" t="str">
        <f ca="1">Planning!$P32</f>
        <v>FC Barcelona</v>
      </c>
      <c r="H35" s="446"/>
      <c r="I35" s="447" t="str">
        <f>Language!$E$66</f>
        <v xml:space="preserve"> - </v>
      </c>
      <c r="J35" s="448"/>
      <c r="L35" s="291">
        <f ca="1">L11</f>
        <v>2</v>
      </c>
      <c r="M35" s="292" t="str">
        <f t="shared" ref="M35" ca="1" si="9">IF(M11="","",M11)</f>
        <v>Maibach 1822 eV</v>
      </c>
      <c r="N35" s="293">
        <f t="shared" ref="N35:V35" ca="1" si="10">IF(N11="","",N11)</f>
        <v>2</v>
      </c>
      <c r="O35" s="265">
        <f t="shared" ca="1" si="10"/>
        <v>1</v>
      </c>
      <c r="P35" s="265">
        <f t="shared" ca="1" si="10"/>
        <v>1</v>
      </c>
      <c r="Q35" s="294">
        <f t="shared" ca="1" si="10"/>
        <v>0</v>
      </c>
      <c r="R35" s="295">
        <f t="shared" ca="1" si="10"/>
        <v>2</v>
      </c>
      <c r="S35" s="296" t="str">
        <f t="shared" si="10"/>
        <v xml:space="preserve"> - </v>
      </c>
      <c r="T35" s="297">
        <f t="shared" ca="1" si="10"/>
        <v>1</v>
      </c>
      <c r="U35" s="293">
        <f t="shared" ca="1" si="10"/>
        <v>1</v>
      </c>
      <c r="V35" s="298">
        <f t="shared" ca="1" si="10"/>
        <v>4</v>
      </c>
      <c r="W35" s="299" t="str">
        <f t="shared" ref="W35:X42" ca="1" si="11">IF(W11="","",W11)</f>
        <v/>
      </c>
      <c r="X35" s="300"/>
      <c r="Y35" s="265" t="str">
        <f t="shared" ref="Y35:AF35" ca="1" si="12">IF(Y11="","",Y11)</f>
        <v>2 - 1</v>
      </c>
      <c r="Z35" s="265" t="str">
        <f t="shared" ca="1" si="12"/>
        <v>0 - 0</v>
      </c>
      <c r="AA35" s="265" t="str">
        <f t="shared" ca="1" si="12"/>
        <v/>
      </c>
      <c r="AB35" s="265" t="str">
        <f t="shared" ca="1" si="12"/>
        <v/>
      </c>
      <c r="AC35" s="265" t="str">
        <f t="shared" ca="1" si="12"/>
        <v/>
      </c>
      <c r="AD35" s="265" t="str">
        <f t="shared" ca="1" si="12"/>
        <v/>
      </c>
      <c r="AE35" s="301" t="str">
        <f t="shared" ca="1" si="12"/>
        <v/>
      </c>
      <c r="AF35" s="299" t="str">
        <f t="shared" ca="1" si="12"/>
        <v/>
      </c>
      <c r="AG35" s="300"/>
      <c r="AH35" s="265" t="str">
        <f t="shared" ref="AH35:AN35" ca="1" si="13">IF(AH11="","",AH11)</f>
        <v/>
      </c>
      <c r="AI35" s="265" t="str">
        <f t="shared" ca="1" si="13"/>
        <v/>
      </c>
      <c r="AJ35" s="265" t="str">
        <f t="shared" ca="1" si="13"/>
        <v/>
      </c>
      <c r="AK35" s="265" t="str">
        <f t="shared" ca="1" si="13"/>
        <v/>
      </c>
      <c r="AL35" s="265" t="str">
        <f t="shared" ca="1" si="13"/>
        <v/>
      </c>
      <c r="AM35" s="265" t="str">
        <f t="shared" ca="1" si="13"/>
        <v/>
      </c>
      <c r="AN35" s="301" t="str">
        <f t="shared" ca="1" si="13"/>
        <v/>
      </c>
      <c r="AO35" s="302" t="str">
        <f t="shared" ref="AO35:AO42" ca="1" si="14">AO11</f>
        <v>Maibach 1822 eV</v>
      </c>
    </row>
    <row r="36" spans="2:41" ht="24" customHeight="1" x14ac:dyDescent="0.2">
      <c r="B36" s="299">
        <v>27</v>
      </c>
      <c r="C36" s="456">
        <f ca="1">Planning!$I33</f>
        <v>0.51388888888888884</v>
      </c>
      <c r="D36" s="457">
        <f ca="1">Planning!$J33</f>
        <v>3</v>
      </c>
      <c r="E36" s="444" t="str">
        <f ca="1">Planning!$N33</f>
        <v>Eintracht Frankfurt</v>
      </c>
      <c r="F36" s="296" t="s">
        <v>5</v>
      </c>
      <c r="G36" s="445" t="str">
        <f ca="1">Planning!$P33</f>
        <v>Maibach 1822 eV</v>
      </c>
      <c r="H36" s="446"/>
      <c r="I36" s="447" t="str">
        <f>Language!$E$66</f>
        <v xml:space="preserve"> - </v>
      </c>
      <c r="J36" s="448"/>
      <c r="L36" s="291">
        <f t="shared" ref="L36:L41" ca="1" si="15">L12</f>
        <v>3</v>
      </c>
      <c r="M36" s="292" t="str">
        <f t="shared" ref="M36" ca="1" si="16">IF(M12="","",M12)</f>
        <v>Eintracht Frankfurt</v>
      </c>
      <c r="N36" s="293">
        <f t="shared" ref="N36:V36" ca="1" si="17">IF(N12="","",N12)</f>
        <v>2</v>
      </c>
      <c r="O36" s="265">
        <f t="shared" ca="1" si="17"/>
        <v>1</v>
      </c>
      <c r="P36" s="265">
        <f t="shared" ca="1" si="17"/>
        <v>0</v>
      </c>
      <c r="Q36" s="294">
        <f t="shared" ca="1" si="17"/>
        <v>1</v>
      </c>
      <c r="R36" s="295">
        <f t="shared" ca="1" si="17"/>
        <v>4</v>
      </c>
      <c r="S36" s="296" t="str">
        <f t="shared" si="17"/>
        <v xml:space="preserve"> - </v>
      </c>
      <c r="T36" s="297">
        <f t="shared" ca="1" si="17"/>
        <v>4</v>
      </c>
      <c r="U36" s="293">
        <f t="shared" ca="1" si="17"/>
        <v>0</v>
      </c>
      <c r="V36" s="298">
        <f t="shared" ca="1" si="17"/>
        <v>3</v>
      </c>
      <c r="W36" s="299" t="str">
        <f t="shared" ca="1" si="11"/>
        <v/>
      </c>
      <c r="X36" s="265" t="str">
        <f t="shared" ca="1" si="11"/>
        <v>1 - 2</v>
      </c>
      <c r="Y36" s="300"/>
      <c r="Z36" s="265" t="str">
        <f t="shared" ref="Z36:AG36" ca="1" si="18">IF(Z12="","",Z12)</f>
        <v/>
      </c>
      <c r="AA36" s="265" t="str">
        <f t="shared" ca="1" si="18"/>
        <v/>
      </c>
      <c r="AB36" s="265" t="str">
        <f t="shared" ca="1" si="18"/>
        <v>3 - 2</v>
      </c>
      <c r="AC36" s="265" t="str">
        <f t="shared" ca="1" si="18"/>
        <v/>
      </c>
      <c r="AD36" s="265" t="str">
        <f t="shared" ca="1" si="18"/>
        <v/>
      </c>
      <c r="AE36" s="301" t="str">
        <f t="shared" ca="1" si="18"/>
        <v/>
      </c>
      <c r="AF36" s="299" t="str">
        <f t="shared" ca="1" si="18"/>
        <v/>
      </c>
      <c r="AG36" s="265" t="str">
        <f t="shared" ca="1" si="18"/>
        <v/>
      </c>
      <c r="AH36" s="300"/>
      <c r="AI36" s="265" t="str">
        <f t="shared" ref="AI36:AN36" ca="1" si="19">IF(AI12="","",AI12)</f>
        <v/>
      </c>
      <c r="AJ36" s="265" t="str">
        <f t="shared" ca="1" si="19"/>
        <v/>
      </c>
      <c r="AK36" s="265" t="str">
        <f t="shared" ca="1" si="19"/>
        <v/>
      </c>
      <c r="AL36" s="265" t="str">
        <f t="shared" ca="1" si="19"/>
        <v/>
      </c>
      <c r="AM36" s="265" t="str">
        <f t="shared" ca="1" si="19"/>
        <v/>
      </c>
      <c r="AN36" s="301" t="str">
        <f t="shared" ca="1" si="19"/>
        <v/>
      </c>
      <c r="AO36" s="302" t="str">
        <f t="shared" ca="1" si="14"/>
        <v>Eintracht Frankfurt</v>
      </c>
    </row>
    <row r="37" spans="2:41" ht="24" customHeight="1" x14ac:dyDescent="0.2">
      <c r="B37" s="299">
        <v>28</v>
      </c>
      <c r="C37" s="456">
        <f ca="1">Planning!$I34</f>
        <v>0.53125</v>
      </c>
      <c r="D37" s="457">
        <f ca="1">Planning!$J34</f>
        <v>1</v>
      </c>
      <c r="E37" s="444" t="str">
        <f ca="1">Planning!$N34</f>
        <v>Inter Mailand</v>
      </c>
      <c r="F37" s="296" t="s">
        <v>5</v>
      </c>
      <c r="G37" s="445" t="str">
        <f ca="1">Planning!$P34</f>
        <v>1. FC Riedwald</v>
      </c>
      <c r="H37" s="446"/>
      <c r="I37" s="447" t="str">
        <f>Language!$E$66</f>
        <v xml:space="preserve"> - </v>
      </c>
      <c r="J37" s="448"/>
      <c r="L37" s="291">
        <f t="shared" ca="1" si="15"/>
        <v>4</v>
      </c>
      <c r="M37" s="292" t="str">
        <f t="shared" ref="M37" ca="1" si="20">IF(M13="","",M13)</f>
        <v>VFB Essenheim</v>
      </c>
      <c r="N37" s="293">
        <f t="shared" ref="N37:V37" ca="1" si="21">IF(N13="","",N13)</f>
        <v>2</v>
      </c>
      <c r="O37" s="265">
        <f t="shared" ca="1" si="21"/>
        <v>0</v>
      </c>
      <c r="P37" s="265">
        <f t="shared" ca="1" si="21"/>
        <v>2</v>
      </c>
      <c r="Q37" s="294">
        <f t="shared" ca="1" si="21"/>
        <v>0</v>
      </c>
      <c r="R37" s="295">
        <f t="shared" ca="1" si="21"/>
        <v>2</v>
      </c>
      <c r="S37" s="296" t="str">
        <f t="shared" si="21"/>
        <v xml:space="preserve"> - </v>
      </c>
      <c r="T37" s="297">
        <f t="shared" ca="1" si="21"/>
        <v>2</v>
      </c>
      <c r="U37" s="293">
        <f t="shared" ca="1" si="21"/>
        <v>0</v>
      </c>
      <c r="V37" s="298">
        <f t="shared" ca="1" si="21"/>
        <v>2</v>
      </c>
      <c r="W37" s="299" t="str">
        <f t="shared" ca="1" si="11"/>
        <v/>
      </c>
      <c r="X37" s="265" t="str">
        <f t="shared" ca="1" si="11"/>
        <v>0 - 0</v>
      </c>
      <c r="Y37" s="265" t="str">
        <f t="shared" ref="Y37:AG37" ca="1" si="22">IF(Y13="","",Y13)</f>
        <v/>
      </c>
      <c r="Z37" s="300"/>
      <c r="AA37" s="265" t="str">
        <f t="shared" ca="1" si="22"/>
        <v/>
      </c>
      <c r="AB37" s="265" t="str">
        <f t="shared" ca="1" si="22"/>
        <v/>
      </c>
      <c r="AC37" s="265" t="str">
        <f t="shared" ca="1" si="22"/>
        <v>2 - 2</v>
      </c>
      <c r="AD37" s="265" t="str">
        <f t="shared" ca="1" si="22"/>
        <v/>
      </c>
      <c r="AE37" s="301" t="str">
        <f t="shared" ca="1" si="22"/>
        <v/>
      </c>
      <c r="AF37" s="299" t="str">
        <f t="shared" ca="1" si="22"/>
        <v/>
      </c>
      <c r="AG37" s="265" t="str">
        <f t="shared" ca="1" si="22"/>
        <v/>
      </c>
      <c r="AH37" s="265" t="str">
        <f t="shared" ref="AH37" ca="1" si="23">IF(AH13="","",AH13)</f>
        <v/>
      </c>
      <c r="AI37" s="300"/>
      <c r="AJ37" s="265" t="str">
        <f t="shared" ref="AJ37:AN37" ca="1" si="24">IF(AJ13="","",AJ13)</f>
        <v/>
      </c>
      <c r="AK37" s="265" t="str">
        <f t="shared" ca="1" si="24"/>
        <v/>
      </c>
      <c r="AL37" s="265" t="str">
        <f t="shared" ca="1" si="24"/>
        <v/>
      </c>
      <c r="AM37" s="265" t="str">
        <f t="shared" ca="1" si="24"/>
        <v/>
      </c>
      <c r="AN37" s="301" t="str">
        <f t="shared" ca="1" si="24"/>
        <v/>
      </c>
      <c r="AO37" s="302" t="str">
        <f t="shared" ca="1" si="14"/>
        <v>VFB Essenheim</v>
      </c>
    </row>
    <row r="38" spans="2:41" ht="24" customHeight="1" x14ac:dyDescent="0.2">
      <c r="B38" s="299">
        <v>29</v>
      </c>
      <c r="C38" s="456">
        <f ca="1">Planning!$I35</f>
        <v>0.53125</v>
      </c>
      <c r="D38" s="457">
        <f ca="1">Planning!$J35</f>
        <v>2</v>
      </c>
      <c r="E38" s="444" t="str">
        <f ca="1">Planning!$N35</f>
        <v>SSV Wildbach</v>
      </c>
      <c r="F38" s="296" t="s">
        <v>5</v>
      </c>
      <c r="G38" s="445" t="str">
        <f ca="1">Planning!$P35</f>
        <v>VFB Essenheim</v>
      </c>
      <c r="H38" s="446"/>
      <c r="I38" s="447" t="str">
        <f>Language!$E$66</f>
        <v xml:space="preserve"> - </v>
      </c>
      <c r="J38" s="448"/>
      <c r="L38" s="291">
        <f t="shared" ca="1" si="15"/>
        <v>5</v>
      </c>
      <c r="M38" s="292" t="str">
        <f t="shared" ref="M38" ca="1" si="25">IF(M14="","",M14)</f>
        <v>1. FC Riedwald</v>
      </c>
      <c r="N38" s="293">
        <f t="shared" ref="N38:V38" ca="1" si="26">IF(N14="","",N14)</f>
        <v>2</v>
      </c>
      <c r="O38" s="265">
        <f t="shared" ca="1" si="26"/>
        <v>0</v>
      </c>
      <c r="P38" s="265">
        <f t="shared" ca="1" si="26"/>
        <v>1</v>
      </c>
      <c r="Q38" s="294">
        <f t="shared" ca="1" si="26"/>
        <v>1</v>
      </c>
      <c r="R38" s="295">
        <f t="shared" ca="1" si="26"/>
        <v>3</v>
      </c>
      <c r="S38" s="296" t="str">
        <f t="shared" si="26"/>
        <v xml:space="preserve"> - </v>
      </c>
      <c r="T38" s="297">
        <f t="shared" ca="1" si="26"/>
        <v>4</v>
      </c>
      <c r="U38" s="293">
        <f t="shared" ca="1" si="26"/>
        <v>-1</v>
      </c>
      <c r="V38" s="298">
        <f t="shared" ca="1" si="26"/>
        <v>1</v>
      </c>
      <c r="W38" s="299" t="str">
        <f t="shared" ca="1" si="11"/>
        <v>2 - 3</v>
      </c>
      <c r="X38" s="265" t="str">
        <f t="shared" ca="1" si="11"/>
        <v/>
      </c>
      <c r="Y38" s="265" t="str">
        <f t="shared" ref="Y38:AG38" ca="1" si="27">IF(Y14="","",Y14)</f>
        <v/>
      </c>
      <c r="Z38" s="265" t="str">
        <f t="shared" ca="1" si="27"/>
        <v/>
      </c>
      <c r="AA38" s="300"/>
      <c r="AB38" s="265" t="str">
        <f t="shared" ca="1" si="27"/>
        <v>1 - 1</v>
      </c>
      <c r="AC38" s="265" t="str">
        <f t="shared" ca="1" si="27"/>
        <v/>
      </c>
      <c r="AD38" s="265" t="str">
        <f t="shared" ca="1" si="27"/>
        <v/>
      </c>
      <c r="AE38" s="301" t="str">
        <f t="shared" ca="1" si="27"/>
        <v/>
      </c>
      <c r="AF38" s="299" t="str">
        <f t="shared" ca="1" si="27"/>
        <v/>
      </c>
      <c r="AG38" s="265" t="str">
        <f t="shared" ca="1" si="27"/>
        <v/>
      </c>
      <c r="AH38" s="265" t="str">
        <f t="shared" ref="AH38:AI38" ca="1" si="28">IF(AH14="","",AH14)</f>
        <v/>
      </c>
      <c r="AI38" s="265" t="str">
        <f t="shared" ca="1" si="28"/>
        <v/>
      </c>
      <c r="AJ38" s="300"/>
      <c r="AK38" s="265" t="str">
        <f t="shared" ref="AK38:AN38" ca="1" si="29">IF(AK14="","",AK14)</f>
        <v/>
      </c>
      <c r="AL38" s="265" t="str">
        <f t="shared" ca="1" si="29"/>
        <v/>
      </c>
      <c r="AM38" s="265" t="str">
        <f t="shared" ca="1" si="29"/>
        <v/>
      </c>
      <c r="AN38" s="301" t="str">
        <f t="shared" ca="1" si="29"/>
        <v/>
      </c>
      <c r="AO38" s="302" t="str">
        <f t="shared" ca="1" si="14"/>
        <v>1. FC Riedwald</v>
      </c>
    </row>
    <row r="39" spans="2:41" ht="24" customHeight="1" x14ac:dyDescent="0.2">
      <c r="B39" s="299">
        <v>30</v>
      </c>
      <c r="C39" s="456">
        <f ca="1">Planning!$I36</f>
        <v>0.53125</v>
      </c>
      <c r="D39" s="457">
        <f ca="1">Planning!$J36</f>
        <v>3</v>
      </c>
      <c r="E39" s="444" t="str">
        <f ca="1">Planning!$N36</f>
        <v>FC Barcelona</v>
      </c>
      <c r="F39" s="296" t="s">
        <v>5</v>
      </c>
      <c r="G39" s="445" t="str">
        <f ca="1">Planning!$P36</f>
        <v>Eintracht Frankfurt</v>
      </c>
      <c r="H39" s="446"/>
      <c r="I39" s="447" t="str">
        <f>Language!$E$66</f>
        <v xml:space="preserve"> - </v>
      </c>
      <c r="J39" s="448"/>
      <c r="L39" s="291">
        <f t="shared" ca="1" si="15"/>
        <v>5</v>
      </c>
      <c r="M39" s="292" t="str">
        <f t="shared" ref="M39" ca="1" si="30">IF(M15="","",M15)</f>
        <v>Inter Mailand</v>
      </c>
      <c r="N39" s="293">
        <f t="shared" ref="N39:V39" ca="1" si="31">IF(N15="","",N15)</f>
        <v>2</v>
      </c>
      <c r="O39" s="265">
        <f t="shared" ca="1" si="31"/>
        <v>0</v>
      </c>
      <c r="P39" s="265">
        <f t="shared" ca="1" si="31"/>
        <v>1</v>
      </c>
      <c r="Q39" s="294">
        <f t="shared" ca="1" si="31"/>
        <v>1</v>
      </c>
      <c r="R39" s="295">
        <f t="shared" ca="1" si="31"/>
        <v>3</v>
      </c>
      <c r="S39" s="296" t="str">
        <f t="shared" si="31"/>
        <v xml:space="preserve"> - </v>
      </c>
      <c r="T39" s="297">
        <f t="shared" ca="1" si="31"/>
        <v>4</v>
      </c>
      <c r="U39" s="293">
        <f t="shared" ca="1" si="31"/>
        <v>-1</v>
      </c>
      <c r="V39" s="298">
        <f t="shared" ca="1" si="31"/>
        <v>1</v>
      </c>
      <c r="W39" s="299" t="str">
        <f t="shared" ca="1" si="11"/>
        <v/>
      </c>
      <c r="X39" s="265" t="str">
        <f t="shared" ca="1" si="11"/>
        <v/>
      </c>
      <c r="Y39" s="265" t="str">
        <f t="shared" ref="Y39:AG39" ca="1" si="32">IF(Y15="","",Y15)</f>
        <v>2 - 3</v>
      </c>
      <c r="Z39" s="265" t="str">
        <f t="shared" ca="1" si="32"/>
        <v/>
      </c>
      <c r="AA39" s="265" t="str">
        <f t="shared" ca="1" si="32"/>
        <v>1 - 1</v>
      </c>
      <c r="AB39" s="300"/>
      <c r="AC39" s="265" t="str">
        <f t="shared" ca="1" si="32"/>
        <v/>
      </c>
      <c r="AD39" s="265" t="str">
        <f t="shared" ca="1" si="32"/>
        <v/>
      </c>
      <c r="AE39" s="301" t="str">
        <f t="shared" ca="1" si="32"/>
        <v/>
      </c>
      <c r="AF39" s="299" t="str">
        <f t="shared" ca="1" si="32"/>
        <v/>
      </c>
      <c r="AG39" s="265" t="str">
        <f t="shared" ca="1" si="32"/>
        <v/>
      </c>
      <c r="AH39" s="265" t="str">
        <f t="shared" ref="AH39:AJ39" ca="1" si="33">IF(AH15="","",AH15)</f>
        <v/>
      </c>
      <c r="AI39" s="265" t="str">
        <f t="shared" ca="1" si="33"/>
        <v/>
      </c>
      <c r="AJ39" s="265" t="str">
        <f t="shared" ca="1" si="33"/>
        <v/>
      </c>
      <c r="AK39" s="300"/>
      <c r="AL39" s="265" t="str">
        <f t="shared" ref="AL39:AN39" ca="1" si="34">IF(AL15="","",AL15)</f>
        <v/>
      </c>
      <c r="AM39" s="265" t="str">
        <f t="shared" ca="1" si="34"/>
        <v/>
      </c>
      <c r="AN39" s="301" t="str">
        <f t="shared" ca="1" si="34"/>
        <v/>
      </c>
      <c r="AO39" s="302" t="str">
        <f t="shared" ca="1" si="14"/>
        <v>Inter Mailand</v>
      </c>
    </row>
    <row r="40" spans="2:41" ht="24" customHeight="1" x14ac:dyDescent="0.2">
      <c r="B40" s="299">
        <v>31</v>
      </c>
      <c r="C40" s="456">
        <f ca="1">Planning!$I37</f>
        <v>0.54861111111111116</v>
      </c>
      <c r="D40" s="457">
        <f ca="1">Planning!$J37</f>
        <v>1</v>
      </c>
      <c r="E40" s="444" t="str">
        <f ca="1">Planning!$N37</f>
        <v>1. FC Riedwald</v>
      </c>
      <c r="F40" s="296" t="s">
        <v>5</v>
      </c>
      <c r="G40" s="445" t="str">
        <f ca="1">Planning!$P37</f>
        <v>VFB Essenheim</v>
      </c>
      <c r="H40" s="446"/>
      <c r="I40" s="447" t="str">
        <f>Language!$E$66</f>
        <v xml:space="preserve"> - </v>
      </c>
      <c r="J40" s="448"/>
      <c r="L40" s="291">
        <f t="shared" ca="1" si="15"/>
        <v>7</v>
      </c>
      <c r="M40" s="292" t="str">
        <f t="shared" ref="M40" ca="1" si="35">IF(M16="","",M16)</f>
        <v>FC Barcelona</v>
      </c>
      <c r="N40" s="293">
        <f t="shared" ref="N40:V40" ca="1" si="36">IF(N16="","",N16)</f>
        <v>2</v>
      </c>
      <c r="O40" s="265">
        <f t="shared" ca="1" si="36"/>
        <v>0</v>
      </c>
      <c r="P40" s="265">
        <f t="shared" ca="1" si="36"/>
        <v>1</v>
      </c>
      <c r="Q40" s="294">
        <f t="shared" ca="1" si="36"/>
        <v>1</v>
      </c>
      <c r="R40" s="295">
        <f t="shared" ca="1" si="36"/>
        <v>2</v>
      </c>
      <c r="S40" s="296" t="str">
        <f t="shared" si="36"/>
        <v xml:space="preserve"> - </v>
      </c>
      <c r="T40" s="297">
        <f t="shared" ca="1" si="36"/>
        <v>4</v>
      </c>
      <c r="U40" s="293">
        <f t="shared" ca="1" si="36"/>
        <v>-2</v>
      </c>
      <c r="V40" s="298">
        <f t="shared" ca="1" si="36"/>
        <v>1</v>
      </c>
      <c r="W40" s="299" t="str">
        <f t="shared" ca="1" si="11"/>
        <v>0 - 2</v>
      </c>
      <c r="X40" s="265" t="str">
        <f t="shared" ca="1" si="11"/>
        <v/>
      </c>
      <c r="Y40" s="265" t="str">
        <f t="shared" ref="Y40:AG40" ca="1" si="37">IF(Y16="","",Y16)</f>
        <v/>
      </c>
      <c r="Z40" s="265" t="str">
        <f t="shared" ca="1" si="37"/>
        <v>2 - 2</v>
      </c>
      <c r="AA40" s="265" t="str">
        <f t="shared" ca="1" si="37"/>
        <v/>
      </c>
      <c r="AB40" s="265" t="str">
        <f t="shared" ca="1" si="37"/>
        <v/>
      </c>
      <c r="AC40" s="300"/>
      <c r="AD40" s="265" t="str">
        <f t="shared" ca="1" si="37"/>
        <v/>
      </c>
      <c r="AE40" s="301" t="str">
        <f t="shared" ca="1" si="37"/>
        <v/>
      </c>
      <c r="AF40" s="299" t="str">
        <f t="shared" ca="1" si="37"/>
        <v/>
      </c>
      <c r="AG40" s="265" t="str">
        <f t="shared" ca="1" si="37"/>
        <v/>
      </c>
      <c r="AH40" s="265" t="str">
        <f t="shared" ref="AH40:AK40" ca="1" si="38">IF(AH16="","",AH16)</f>
        <v/>
      </c>
      <c r="AI40" s="265" t="str">
        <f t="shared" ca="1" si="38"/>
        <v/>
      </c>
      <c r="AJ40" s="265" t="str">
        <f t="shared" ca="1" si="38"/>
        <v/>
      </c>
      <c r="AK40" s="265" t="str">
        <f t="shared" ca="1" si="38"/>
        <v/>
      </c>
      <c r="AL40" s="300"/>
      <c r="AM40" s="265" t="str">
        <f t="shared" ref="AM40:AN40" ca="1" si="39">IF(AM16="","",AM16)</f>
        <v/>
      </c>
      <c r="AN40" s="301" t="str">
        <f t="shared" ca="1" si="39"/>
        <v/>
      </c>
      <c r="AO40" s="302" t="str">
        <f t="shared" ca="1" si="14"/>
        <v>FC Barcelona</v>
      </c>
    </row>
    <row r="41" spans="2:41" ht="24" customHeight="1" x14ac:dyDescent="0.2">
      <c r="B41" s="299">
        <v>32</v>
      </c>
      <c r="C41" s="456">
        <f ca="1">Planning!$I38</f>
        <v>0.54861111111111116</v>
      </c>
      <c r="D41" s="457">
        <f ca="1">Planning!$J38</f>
        <v>2</v>
      </c>
      <c r="E41" s="444" t="str">
        <f ca="1">Planning!$N38</f>
        <v>Inter Mailand</v>
      </c>
      <c r="F41" s="296" t="s">
        <v>5</v>
      </c>
      <c r="G41" s="445" t="str">
        <f ca="1">Planning!$P38</f>
        <v>Maibach 1822 eV</v>
      </c>
      <c r="H41" s="446"/>
      <c r="I41" s="447" t="str">
        <f>Language!$E$66</f>
        <v xml:space="preserve"> - </v>
      </c>
      <c r="J41" s="448"/>
      <c r="L41" s="291">
        <f t="shared" ca="1" si="15"/>
        <v>8</v>
      </c>
      <c r="M41" s="292" t="str">
        <f t="shared" ref="M41" ca="1" si="40">IF(M17="","",M17)</f>
        <v/>
      </c>
      <c r="N41" s="293">
        <f t="shared" ref="N41:V41" ca="1" si="41">IF(N17="","",N17)</f>
        <v>0</v>
      </c>
      <c r="O41" s="265">
        <f t="shared" ca="1" si="41"/>
        <v>0</v>
      </c>
      <c r="P41" s="265">
        <f t="shared" ca="1" si="41"/>
        <v>0</v>
      </c>
      <c r="Q41" s="294">
        <f t="shared" ca="1" si="41"/>
        <v>0</v>
      </c>
      <c r="R41" s="295">
        <f t="shared" ca="1" si="41"/>
        <v>0</v>
      </c>
      <c r="S41" s="296" t="str">
        <f t="shared" si="41"/>
        <v xml:space="preserve"> - </v>
      </c>
      <c r="T41" s="297">
        <f t="shared" ca="1" si="41"/>
        <v>0</v>
      </c>
      <c r="U41" s="293">
        <f t="shared" ca="1" si="41"/>
        <v>0</v>
      </c>
      <c r="V41" s="298">
        <f t="shared" ca="1" si="41"/>
        <v>0</v>
      </c>
      <c r="W41" s="299" t="str">
        <f t="shared" ca="1" si="11"/>
        <v/>
      </c>
      <c r="X41" s="265" t="str">
        <f t="shared" ca="1" si="11"/>
        <v/>
      </c>
      <c r="Y41" s="265" t="str">
        <f t="shared" ref="Y41:AG41" ca="1" si="42">IF(Y17="","",Y17)</f>
        <v/>
      </c>
      <c r="Z41" s="265" t="str">
        <f t="shared" ca="1" si="42"/>
        <v/>
      </c>
      <c r="AA41" s="265" t="str">
        <f t="shared" ca="1" si="42"/>
        <v/>
      </c>
      <c r="AB41" s="265" t="str">
        <f t="shared" ca="1" si="42"/>
        <v/>
      </c>
      <c r="AC41" s="265" t="str">
        <f t="shared" ca="1" si="42"/>
        <v/>
      </c>
      <c r="AD41" s="300"/>
      <c r="AE41" s="301" t="str">
        <f t="shared" ca="1" si="42"/>
        <v/>
      </c>
      <c r="AF41" s="299" t="str">
        <f t="shared" ca="1" si="42"/>
        <v/>
      </c>
      <c r="AG41" s="265" t="str">
        <f t="shared" ca="1" si="42"/>
        <v/>
      </c>
      <c r="AH41" s="265" t="str">
        <f t="shared" ref="AH41:AL41" ca="1" si="43">IF(AH17="","",AH17)</f>
        <v/>
      </c>
      <c r="AI41" s="265" t="str">
        <f t="shared" ca="1" si="43"/>
        <v/>
      </c>
      <c r="AJ41" s="265" t="str">
        <f t="shared" ca="1" si="43"/>
        <v/>
      </c>
      <c r="AK41" s="265" t="str">
        <f t="shared" ca="1" si="43"/>
        <v/>
      </c>
      <c r="AL41" s="265" t="str">
        <f t="shared" ca="1" si="43"/>
        <v/>
      </c>
      <c r="AM41" s="300"/>
      <c r="AN41" s="301" t="str">
        <f t="shared" ref="AN41" ca="1" si="44">IF(AN17="","",AN17)</f>
        <v/>
      </c>
      <c r="AO41" s="302" t="str">
        <f t="shared" ca="1" si="14"/>
        <v/>
      </c>
    </row>
    <row r="42" spans="2:41" ht="24" customHeight="1" thickBot="1" x14ac:dyDescent="0.25">
      <c r="B42" s="299">
        <v>33</v>
      </c>
      <c r="C42" s="456">
        <f ca="1">Planning!$I39</f>
        <v>0.54861111111111116</v>
      </c>
      <c r="D42" s="457">
        <f ca="1">Planning!$J39</f>
        <v>3</v>
      </c>
      <c r="E42" s="444" t="str">
        <f ca="1">Planning!$N39</f>
        <v>Eintracht Frankfurt</v>
      </c>
      <c r="F42" s="296" t="s">
        <v>5</v>
      </c>
      <c r="G42" s="445" t="str">
        <f ca="1">Planning!$P39</f>
        <v>SSV Wildbach</v>
      </c>
      <c r="H42" s="446"/>
      <c r="I42" s="447" t="str">
        <f>Language!$E$66</f>
        <v xml:space="preserve"> - </v>
      </c>
      <c r="J42" s="448"/>
      <c r="L42" s="303">
        <f ca="1">L18</f>
        <v>8</v>
      </c>
      <c r="M42" s="304" t="str">
        <f t="shared" ref="M42" ca="1" si="45">IF(M18="","",M18)</f>
        <v/>
      </c>
      <c r="N42" s="305">
        <f t="shared" ref="N42:V42" ca="1" si="46">IF(N18="","",N18)</f>
        <v>0</v>
      </c>
      <c r="O42" s="306">
        <f t="shared" ca="1" si="46"/>
        <v>0</v>
      </c>
      <c r="P42" s="306">
        <f t="shared" ca="1" si="46"/>
        <v>0</v>
      </c>
      <c r="Q42" s="307">
        <f t="shared" ca="1" si="46"/>
        <v>0</v>
      </c>
      <c r="R42" s="308">
        <f t="shared" ca="1" si="46"/>
        <v>0</v>
      </c>
      <c r="S42" s="309" t="str">
        <f t="shared" si="46"/>
        <v xml:space="preserve"> - </v>
      </c>
      <c r="T42" s="310">
        <f t="shared" ca="1" si="46"/>
        <v>0</v>
      </c>
      <c r="U42" s="305">
        <f t="shared" ca="1" si="46"/>
        <v>0</v>
      </c>
      <c r="V42" s="311">
        <f t="shared" ca="1" si="46"/>
        <v>0</v>
      </c>
      <c r="W42" s="312" t="str">
        <f t="shared" ca="1" si="11"/>
        <v/>
      </c>
      <c r="X42" s="306" t="str">
        <f t="shared" ca="1" si="11"/>
        <v/>
      </c>
      <c r="Y42" s="306" t="str">
        <f t="shared" ref="Y42:AD42" ca="1" si="47">IF(Y18="","",Y18)</f>
        <v/>
      </c>
      <c r="Z42" s="306" t="str">
        <f t="shared" ca="1" si="47"/>
        <v/>
      </c>
      <c r="AA42" s="306" t="str">
        <f t="shared" ca="1" si="47"/>
        <v/>
      </c>
      <c r="AB42" s="306" t="str">
        <f t="shared" ca="1" si="47"/>
        <v/>
      </c>
      <c r="AC42" s="306" t="str">
        <f t="shared" ca="1" si="47"/>
        <v/>
      </c>
      <c r="AD42" s="306" t="str">
        <f t="shared" ca="1" si="47"/>
        <v/>
      </c>
      <c r="AE42" s="313"/>
      <c r="AF42" s="312" t="str">
        <f t="shared" ref="AF42:AM42" ca="1" si="48">IF(AF18="","",AF18)</f>
        <v/>
      </c>
      <c r="AG42" s="306" t="str">
        <f t="shared" ca="1" si="48"/>
        <v/>
      </c>
      <c r="AH42" s="306" t="str">
        <f t="shared" ca="1" si="48"/>
        <v/>
      </c>
      <c r="AI42" s="306" t="str">
        <f t="shared" ca="1" si="48"/>
        <v/>
      </c>
      <c r="AJ42" s="306" t="str">
        <f t="shared" ca="1" si="48"/>
        <v/>
      </c>
      <c r="AK42" s="306" t="str">
        <f t="shared" ca="1" si="48"/>
        <v/>
      </c>
      <c r="AL42" s="306" t="str">
        <f t="shared" ca="1" si="48"/>
        <v/>
      </c>
      <c r="AM42" s="306" t="str">
        <f t="shared" ca="1" si="48"/>
        <v/>
      </c>
      <c r="AN42" s="313"/>
      <c r="AO42" s="314" t="str">
        <f t="shared" ca="1" si="14"/>
        <v/>
      </c>
    </row>
    <row r="43" spans="2:41" ht="24" customHeight="1" thickTop="1" x14ac:dyDescent="0.4">
      <c r="B43" s="299">
        <v>34</v>
      </c>
      <c r="C43" s="456">
        <f ca="1">Planning!$I40</f>
        <v>0.56597222222222221</v>
      </c>
      <c r="D43" s="457">
        <f ca="1">Planning!$J40</f>
        <v>1</v>
      </c>
      <c r="E43" s="444" t="str">
        <f ca="1">Planning!$N40</f>
        <v>Maibach 1822 eV</v>
      </c>
      <c r="F43" s="296" t="s">
        <v>5</v>
      </c>
      <c r="G43" s="445" t="str">
        <f ca="1">Planning!$P40</f>
        <v>1. FC Riedwald</v>
      </c>
      <c r="H43" s="446"/>
      <c r="I43" s="447" t="str">
        <f>Language!$E$66</f>
        <v xml:space="preserve"> - </v>
      </c>
      <c r="J43" s="448"/>
      <c r="W43" s="501" t="str">
        <f>$W$19</f>
        <v>INVALID TABLE</v>
      </c>
      <c r="X43" s="501"/>
      <c r="Y43" s="501"/>
      <c r="Z43" s="501"/>
      <c r="AA43" s="501"/>
      <c r="AB43" s="501"/>
      <c r="AC43" s="501"/>
      <c r="AD43" s="501"/>
      <c r="AE43" s="501"/>
      <c r="AF43" s="501" t="str">
        <f>$W$19</f>
        <v>INVALID TABLE</v>
      </c>
      <c r="AG43" s="501"/>
      <c r="AH43" s="501"/>
      <c r="AI43" s="501"/>
      <c r="AJ43" s="501"/>
      <c r="AK43" s="501"/>
      <c r="AL43" s="501"/>
      <c r="AM43" s="501"/>
      <c r="AN43" s="501"/>
    </row>
    <row r="44" spans="2:41" ht="24" customHeight="1" x14ac:dyDescent="0.2">
      <c r="B44" s="299">
        <v>35</v>
      </c>
      <c r="C44" s="456">
        <f ca="1">Planning!$I41</f>
        <v>0.56597222222222221</v>
      </c>
      <c r="D44" s="457">
        <f ca="1">Planning!$J41</f>
        <v>2</v>
      </c>
      <c r="E44" s="444" t="str">
        <f ca="1">Planning!$N41</f>
        <v>VFB Essenheim</v>
      </c>
      <c r="F44" s="296" t="s">
        <v>5</v>
      </c>
      <c r="G44" s="445" t="str">
        <f ca="1">Planning!$P41</f>
        <v>Eintracht Frankfurt</v>
      </c>
      <c r="H44" s="446"/>
      <c r="I44" s="447" t="str">
        <f>Language!$E$66</f>
        <v xml:space="preserve"> - </v>
      </c>
      <c r="J44" s="448"/>
    </row>
    <row r="45" spans="2:41" ht="24" customHeight="1" x14ac:dyDescent="0.2">
      <c r="B45" s="299">
        <v>36</v>
      </c>
      <c r="C45" s="456">
        <f ca="1">Planning!$I42</f>
        <v>0.56597222222222221</v>
      </c>
      <c r="D45" s="457">
        <f ca="1">Planning!$J42</f>
        <v>3</v>
      </c>
      <c r="E45" s="444" t="str">
        <f ca="1">Planning!$N42</f>
        <v>FC Barcelona</v>
      </c>
      <c r="F45" s="296" t="s">
        <v>5</v>
      </c>
      <c r="G45" s="445" t="str">
        <f ca="1">Planning!$P42</f>
        <v>Inter Mailand</v>
      </c>
      <c r="H45" s="446"/>
      <c r="I45" s="447" t="str">
        <f>Language!$E$66</f>
        <v xml:space="preserve"> - </v>
      </c>
      <c r="J45" s="448"/>
    </row>
    <row r="46" spans="2:41" ht="24" customHeight="1" x14ac:dyDescent="0.2">
      <c r="B46" s="299">
        <v>37</v>
      </c>
      <c r="C46" s="456">
        <f ca="1">Planning!$I43</f>
        <v>0.58333333333333337</v>
      </c>
      <c r="D46" s="457">
        <f ca="1">Planning!$J43</f>
        <v>1</v>
      </c>
      <c r="E46" s="444" t="str">
        <f ca="1">Planning!$N43</f>
        <v>1. FC Riedwald</v>
      </c>
      <c r="F46" s="296" t="s">
        <v>5</v>
      </c>
      <c r="G46" s="445" t="str">
        <f ca="1">Planning!$P43</f>
        <v>Eintracht Frankfurt</v>
      </c>
      <c r="H46" s="446"/>
      <c r="I46" s="447" t="str">
        <f>Language!$E$66</f>
        <v xml:space="preserve"> - </v>
      </c>
      <c r="J46" s="448"/>
    </row>
    <row r="47" spans="2:41" ht="24" customHeight="1" x14ac:dyDescent="0.2">
      <c r="B47" s="299">
        <v>38</v>
      </c>
      <c r="C47" s="456">
        <f ca="1">Planning!$I44</f>
        <v>0.58333333333333337</v>
      </c>
      <c r="D47" s="457">
        <f ca="1">Planning!$J44</f>
        <v>2</v>
      </c>
      <c r="E47" s="444" t="str">
        <f ca="1">Planning!$N44</f>
        <v>Maibach 1822 eV</v>
      </c>
      <c r="F47" s="296" t="s">
        <v>5</v>
      </c>
      <c r="G47" s="445" t="str">
        <f ca="1">Planning!$P44</f>
        <v>FC Barcelona</v>
      </c>
      <c r="H47" s="446"/>
      <c r="I47" s="447" t="str">
        <f>Language!$E$66</f>
        <v xml:space="preserve"> - </v>
      </c>
      <c r="J47" s="448"/>
    </row>
    <row r="48" spans="2:41" ht="24" customHeight="1" x14ac:dyDescent="0.2">
      <c r="B48" s="299">
        <v>39</v>
      </c>
      <c r="C48" s="456">
        <f ca="1">Planning!$I45</f>
        <v>0.58333333333333337</v>
      </c>
      <c r="D48" s="457">
        <f ca="1">Planning!$J45</f>
        <v>3</v>
      </c>
      <c r="E48" s="444" t="str">
        <f ca="1">Planning!$N45</f>
        <v>Inter Mailand</v>
      </c>
      <c r="F48" s="296" t="s">
        <v>5</v>
      </c>
      <c r="G48" s="445" t="str">
        <f ca="1">Planning!$P45</f>
        <v>SSV Wildbach</v>
      </c>
      <c r="H48" s="446"/>
      <c r="I48" s="447" t="str">
        <f>Language!$E$66</f>
        <v xml:space="preserve"> - </v>
      </c>
      <c r="J48" s="448"/>
    </row>
    <row r="49" spans="2:41" ht="24" customHeight="1" x14ac:dyDescent="0.2">
      <c r="B49" s="299">
        <v>40</v>
      </c>
      <c r="C49" s="456">
        <f ca="1">Planning!$I46</f>
        <v>0.60069444444444442</v>
      </c>
      <c r="D49" s="457">
        <f ca="1">Planning!$J46</f>
        <v>1</v>
      </c>
      <c r="E49" s="444" t="str">
        <f ca="1">Planning!$N46</f>
        <v>FC Barcelona</v>
      </c>
      <c r="F49" s="296" t="s">
        <v>5</v>
      </c>
      <c r="G49" s="445" t="str">
        <f ca="1">Planning!$P46</f>
        <v>1. FC Riedwald</v>
      </c>
      <c r="H49" s="446"/>
      <c r="I49" s="447" t="str">
        <f>Language!$E$66</f>
        <v xml:space="preserve"> - </v>
      </c>
      <c r="J49" s="448"/>
    </row>
    <row r="50" spans="2:41" ht="24" customHeight="1" x14ac:dyDescent="0.2">
      <c r="B50" s="299">
        <v>41</v>
      </c>
      <c r="C50" s="456">
        <f ca="1">Planning!$I47</f>
        <v>0.60069444444444442</v>
      </c>
      <c r="D50" s="457">
        <f ca="1">Planning!$J47</f>
        <v>2</v>
      </c>
      <c r="E50" s="444" t="str">
        <f ca="1">Planning!$N47</f>
        <v>SSV Wildbach</v>
      </c>
      <c r="F50" s="296" t="s">
        <v>5</v>
      </c>
      <c r="G50" s="445" t="str">
        <f ca="1">Planning!$P47</f>
        <v>Maibach 1822 eV</v>
      </c>
      <c r="H50" s="446"/>
      <c r="I50" s="447" t="str">
        <f>Language!$E$66</f>
        <v xml:space="preserve"> - </v>
      </c>
      <c r="J50" s="448"/>
    </row>
    <row r="51" spans="2:41" ht="24" customHeight="1" x14ac:dyDescent="0.2">
      <c r="B51" s="299">
        <v>42</v>
      </c>
      <c r="C51" s="456">
        <f ca="1">Planning!$I48</f>
        <v>0.60069444444444442</v>
      </c>
      <c r="D51" s="457">
        <f ca="1">Planning!$J48</f>
        <v>3</v>
      </c>
      <c r="E51" s="444" t="str">
        <f ca="1">Planning!$N48</f>
        <v>VFB Essenheim</v>
      </c>
      <c r="F51" s="296" t="s">
        <v>5</v>
      </c>
      <c r="G51" s="445" t="str">
        <f ca="1">Planning!$P48</f>
        <v>Inter Mailand</v>
      </c>
      <c r="H51" s="446"/>
      <c r="I51" s="447" t="str">
        <f>Language!$E$66</f>
        <v xml:space="preserve"> - </v>
      </c>
      <c r="J51" s="448"/>
    </row>
    <row r="52" spans="2:41" ht="24" customHeight="1" x14ac:dyDescent="0.2">
      <c r="B52" s="299">
        <v>43</v>
      </c>
      <c r="C52" s="456" t="str">
        <f ca="1">Planning!$I49</f>
        <v/>
      </c>
      <c r="D52" s="457" t="str">
        <f ca="1">Planning!$J49</f>
        <v/>
      </c>
      <c r="E52" s="444" t="str">
        <f ca="1">Planning!$N49</f>
        <v/>
      </c>
      <c r="F52" s="296" t="s">
        <v>5</v>
      </c>
      <c r="G52" s="445" t="str">
        <f ca="1">Planning!$P49</f>
        <v/>
      </c>
      <c r="H52" s="446"/>
      <c r="I52" s="447" t="str">
        <f>Language!$E$66</f>
        <v xml:space="preserve"> - </v>
      </c>
      <c r="J52" s="448"/>
    </row>
    <row r="53" spans="2:41" ht="24" customHeight="1" x14ac:dyDescent="0.2">
      <c r="B53" s="299">
        <v>44</v>
      </c>
      <c r="C53" s="456" t="str">
        <f ca="1">Planning!$I50</f>
        <v/>
      </c>
      <c r="D53" s="457" t="str">
        <f ca="1">Planning!$J50</f>
        <v/>
      </c>
      <c r="E53" s="444" t="str">
        <f ca="1">Planning!$N50</f>
        <v/>
      </c>
      <c r="F53" s="296" t="s">
        <v>5</v>
      </c>
      <c r="G53" s="445" t="str">
        <f ca="1">Planning!$P50</f>
        <v/>
      </c>
      <c r="H53" s="446"/>
      <c r="I53" s="447" t="str">
        <f>Language!$E$66</f>
        <v xml:space="preserve"> - </v>
      </c>
      <c r="J53" s="448"/>
    </row>
    <row r="54" spans="2:41" ht="24" customHeight="1" x14ac:dyDescent="0.4">
      <c r="B54" s="299">
        <v>45</v>
      </c>
      <c r="C54" s="456" t="str">
        <f ca="1">Planning!$I51</f>
        <v/>
      </c>
      <c r="D54" s="457" t="str">
        <f ca="1">Planning!$J51</f>
        <v/>
      </c>
      <c r="E54" s="444" t="str">
        <f ca="1">Planning!$N51</f>
        <v/>
      </c>
      <c r="F54" s="296" t="s">
        <v>5</v>
      </c>
      <c r="G54" s="445" t="str">
        <f ca="1">Planning!$P51</f>
        <v/>
      </c>
      <c r="H54" s="446"/>
      <c r="I54" s="447" t="str">
        <f>Language!$E$66</f>
        <v xml:space="preserve"> - </v>
      </c>
      <c r="J54" s="448"/>
      <c r="W54" s="503" t="str">
        <f>$W$7</f>
        <v>First legs</v>
      </c>
      <c r="X54" s="503"/>
      <c r="Y54" s="503"/>
      <c r="Z54" s="503"/>
      <c r="AA54" s="503"/>
      <c r="AB54" s="503"/>
      <c r="AC54" s="503"/>
      <c r="AD54" s="503"/>
      <c r="AE54" s="503"/>
      <c r="AF54" s="503" t="str">
        <f>$AF$7</f>
        <v>Second legs</v>
      </c>
      <c r="AG54" s="503"/>
      <c r="AH54" s="503"/>
      <c r="AI54" s="503"/>
      <c r="AJ54" s="503"/>
      <c r="AK54" s="503"/>
      <c r="AL54" s="503"/>
      <c r="AM54" s="503"/>
      <c r="AN54" s="503"/>
    </row>
    <row r="55" spans="2:41" ht="24" customHeight="1" thickBot="1" x14ac:dyDescent="0.25">
      <c r="B55" s="299">
        <v>46</v>
      </c>
      <c r="C55" s="456" t="str">
        <f ca="1">Planning!$I52</f>
        <v/>
      </c>
      <c r="D55" s="457" t="str">
        <f ca="1">Planning!$J52</f>
        <v/>
      </c>
      <c r="E55" s="444" t="str">
        <f ca="1">Planning!$N52</f>
        <v/>
      </c>
      <c r="F55" s="296" t="s">
        <v>5</v>
      </c>
      <c r="G55" s="445" t="str">
        <f ca="1">Planning!$P52</f>
        <v/>
      </c>
      <c r="H55" s="446"/>
      <c r="I55" s="447" t="str">
        <f>Language!$E$66</f>
        <v xml:space="preserve"> - </v>
      </c>
      <c r="J55" s="448"/>
      <c r="L55" s="72" t="str">
        <f>Language!$E$13</f>
        <v>Total table (copy)</v>
      </c>
    </row>
    <row r="56" spans="2:41" ht="24" customHeight="1" thickBot="1" x14ac:dyDescent="0.25">
      <c r="B56" s="299">
        <v>47</v>
      </c>
      <c r="C56" s="456" t="str">
        <f ca="1">Planning!$I53</f>
        <v/>
      </c>
      <c r="D56" s="457" t="str">
        <f ca="1">Planning!$J53</f>
        <v/>
      </c>
      <c r="E56" s="444" t="str">
        <f ca="1">Planning!$N53</f>
        <v/>
      </c>
      <c r="F56" s="296" t="s">
        <v>5</v>
      </c>
      <c r="G56" s="445" t="str">
        <f ca="1">Planning!$P53</f>
        <v/>
      </c>
      <c r="H56" s="446"/>
      <c r="I56" s="447" t="str">
        <f>Language!$E$66</f>
        <v xml:space="preserve"> - </v>
      </c>
      <c r="J56" s="448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315" t="str">
        <f ca="1">W8</f>
        <v>SSV Wil.</v>
      </c>
      <c r="X56" s="316" t="str">
        <f t="shared" ref="X56:AN56" ca="1" si="49">X8</f>
        <v>Maibach.</v>
      </c>
      <c r="Y56" s="316" t="str">
        <f t="shared" ca="1" si="49"/>
        <v>Eintrac.</v>
      </c>
      <c r="Z56" s="316" t="str">
        <f t="shared" ca="1" si="49"/>
        <v>VFB Ess.</v>
      </c>
      <c r="AA56" s="316" t="str">
        <f t="shared" ca="1" si="49"/>
        <v>1. FC R.</v>
      </c>
      <c r="AB56" s="316" t="str">
        <f t="shared" ca="1" si="49"/>
        <v>Inter M.</v>
      </c>
      <c r="AC56" s="316" t="str">
        <f t="shared" ca="1" si="49"/>
        <v>FC Barc.</v>
      </c>
      <c r="AD56" s="316" t="str">
        <f t="shared" ca="1" si="49"/>
        <v/>
      </c>
      <c r="AE56" s="317" t="str">
        <f t="shared" ca="1" si="49"/>
        <v/>
      </c>
      <c r="AF56" s="315" t="str">
        <f t="shared" ca="1" si="49"/>
        <v>SSV Wil.</v>
      </c>
      <c r="AG56" s="316" t="str">
        <f t="shared" ca="1" si="49"/>
        <v>Maibach.</v>
      </c>
      <c r="AH56" s="316" t="str">
        <f t="shared" ca="1" si="49"/>
        <v>Eintrac.</v>
      </c>
      <c r="AI56" s="316" t="str">
        <f t="shared" ca="1" si="49"/>
        <v>VFB Ess.</v>
      </c>
      <c r="AJ56" s="316" t="str">
        <f t="shared" ca="1" si="49"/>
        <v>1. FC R.</v>
      </c>
      <c r="AK56" s="316" t="str">
        <f t="shared" ca="1" si="49"/>
        <v>Inter M.</v>
      </c>
      <c r="AL56" s="316" t="str">
        <f t="shared" ca="1" si="49"/>
        <v>FC Barc.</v>
      </c>
      <c r="AM56" s="316" t="str">
        <f t="shared" ca="1" si="49"/>
        <v/>
      </c>
      <c r="AN56" s="318" t="str">
        <f t="shared" ca="1" si="49"/>
        <v/>
      </c>
      <c r="AO56" s="271"/>
    </row>
    <row r="57" spans="2:41" ht="24" customHeight="1" thickTop="1" thickBot="1" x14ac:dyDescent="0.25">
      <c r="B57" s="299">
        <v>48</v>
      </c>
      <c r="C57" s="456" t="str">
        <f ca="1">Planning!$I54</f>
        <v/>
      </c>
      <c r="D57" s="457" t="str">
        <f ca="1">Planning!$J54</f>
        <v/>
      </c>
      <c r="E57" s="444" t="str">
        <f ca="1">Planning!$N54</f>
        <v/>
      </c>
      <c r="F57" s="296" t="s">
        <v>5</v>
      </c>
      <c r="G57" s="445" t="str">
        <f ca="1">Planning!$P54</f>
        <v/>
      </c>
      <c r="H57" s="446"/>
      <c r="I57" s="447" t="str">
        <f>Language!$E$66</f>
        <v xml:space="preserve"> - </v>
      </c>
      <c r="J57" s="448"/>
      <c r="L57" s="504" t="str">
        <f ca="1">$L$9</f>
        <v>Still incomplete</v>
      </c>
      <c r="M57" s="505"/>
      <c r="N57" s="272" t="str">
        <f>N33</f>
        <v>Pld</v>
      </c>
      <c r="O57" s="273" t="str">
        <f>O33</f>
        <v>W</v>
      </c>
      <c r="P57" s="273" t="str">
        <f t="shared" ref="P57:Q57" si="50">P33</f>
        <v>D</v>
      </c>
      <c r="Q57" s="273" t="str">
        <f t="shared" si="50"/>
        <v>L</v>
      </c>
      <c r="R57" s="509" t="str">
        <f>R33</f>
        <v>Goals</v>
      </c>
      <c r="S57" s="510"/>
      <c r="T57" s="511"/>
      <c r="U57" s="273" t="str">
        <f>U33</f>
        <v>GD</v>
      </c>
      <c r="V57" s="275" t="str">
        <f>V33</f>
        <v>Pts</v>
      </c>
      <c r="W57" s="276" t="str">
        <f ca="1">W9</f>
        <v>SSV Wildbach</v>
      </c>
      <c r="X57" s="277" t="str">
        <f t="shared" ref="X57:AE57" ca="1" si="51">X9</f>
        <v>Maibach 1822 eV</v>
      </c>
      <c r="Y57" s="277" t="str">
        <f t="shared" ca="1" si="51"/>
        <v>Eintracht Frankfurt</v>
      </c>
      <c r="Z57" s="277" t="str">
        <f t="shared" ca="1" si="51"/>
        <v>VFB Essenheim</v>
      </c>
      <c r="AA57" s="277" t="str">
        <f t="shared" ca="1" si="51"/>
        <v>1. FC Riedwald</v>
      </c>
      <c r="AB57" s="277" t="str">
        <f t="shared" ca="1" si="51"/>
        <v>Inter Mailand</v>
      </c>
      <c r="AC57" s="277" t="str">
        <f t="shared" ca="1" si="51"/>
        <v>FC Barcelona</v>
      </c>
      <c r="AD57" s="277" t="str">
        <f t="shared" ca="1" si="51"/>
        <v/>
      </c>
      <c r="AE57" s="278" t="str">
        <f t="shared" ca="1" si="51"/>
        <v/>
      </c>
      <c r="AF57" s="276" t="str">
        <f ca="1">AF9</f>
        <v>SSV Wildbach</v>
      </c>
      <c r="AG57" s="277" t="str">
        <f t="shared" ref="AG57:AN57" ca="1" si="52">AG9</f>
        <v>Maibach 1822 eV</v>
      </c>
      <c r="AH57" s="277" t="str">
        <f t="shared" ca="1" si="52"/>
        <v>Eintracht Frankfurt</v>
      </c>
      <c r="AI57" s="277" t="str">
        <f t="shared" ca="1" si="52"/>
        <v>VFB Essenheim</v>
      </c>
      <c r="AJ57" s="277" t="str">
        <f t="shared" ca="1" si="52"/>
        <v>1. FC Riedwald</v>
      </c>
      <c r="AK57" s="277" t="str">
        <f t="shared" ca="1" si="52"/>
        <v>Inter Mailand</v>
      </c>
      <c r="AL57" s="277" t="str">
        <f t="shared" ca="1" si="52"/>
        <v>FC Barcelona</v>
      </c>
      <c r="AM57" s="277" t="str">
        <f t="shared" ca="1" si="52"/>
        <v/>
      </c>
      <c r="AN57" s="278" t="str">
        <f t="shared" ca="1" si="52"/>
        <v/>
      </c>
      <c r="AO57" s="271"/>
    </row>
    <row r="58" spans="2:41" ht="24" customHeight="1" x14ac:dyDescent="0.2">
      <c r="B58" s="299">
        <v>49</v>
      </c>
      <c r="C58" s="456" t="str">
        <f ca="1">Planning!$I55</f>
        <v/>
      </c>
      <c r="D58" s="457" t="str">
        <f ca="1">Planning!$J55</f>
        <v/>
      </c>
      <c r="E58" s="444" t="str">
        <f ca="1">Planning!$N55</f>
        <v/>
      </c>
      <c r="F58" s="296" t="s">
        <v>5</v>
      </c>
      <c r="G58" s="445" t="str">
        <f ca="1">Planning!$P55</f>
        <v/>
      </c>
      <c r="H58" s="446"/>
      <c r="I58" s="447" t="str">
        <f>Language!$E$66</f>
        <v xml:space="preserve"> - </v>
      </c>
      <c r="J58" s="448"/>
      <c r="L58" s="279">
        <f ca="1">L34</f>
        <v>1</v>
      </c>
      <c r="M58" s="280" t="str">
        <f ca="1">IF(M34="","",M34)</f>
        <v>SSV Wildbach</v>
      </c>
      <c r="N58" s="281">
        <f t="shared" ref="N58:V58" ca="1" si="53">IF(N34="","",N34)</f>
        <v>2</v>
      </c>
      <c r="O58" s="282">
        <f t="shared" ca="1" si="53"/>
        <v>2</v>
      </c>
      <c r="P58" s="282">
        <f t="shared" ca="1" si="53"/>
        <v>0</v>
      </c>
      <c r="Q58" s="283">
        <f t="shared" ca="1" si="53"/>
        <v>0</v>
      </c>
      <c r="R58" s="284">
        <f t="shared" ca="1" si="53"/>
        <v>5</v>
      </c>
      <c r="S58" s="285" t="str">
        <f t="shared" si="53"/>
        <v xml:space="preserve"> - </v>
      </c>
      <c r="T58" s="286">
        <f t="shared" ca="1" si="53"/>
        <v>2</v>
      </c>
      <c r="U58" s="281">
        <f t="shared" ca="1" si="53"/>
        <v>3</v>
      </c>
      <c r="V58" s="287">
        <f t="shared" ca="1" si="53"/>
        <v>6</v>
      </c>
      <c r="W58" s="288"/>
      <c r="X58" s="282" t="str">
        <f t="shared" ref="X58:AE58" ca="1" si="54">IF(X34="","",X34)</f>
        <v/>
      </c>
      <c r="Y58" s="282" t="str">
        <f t="shared" ca="1" si="54"/>
        <v/>
      </c>
      <c r="Z58" s="282" t="str">
        <f t="shared" ca="1" si="54"/>
        <v/>
      </c>
      <c r="AA58" s="282" t="str">
        <f t="shared" ca="1" si="54"/>
        <v>3 - 2</v>
      </c>
      <c r="AB58" s="282" t="str">
        <f t="shared" ca="1" si="54"/>
        <v/>
      </c>
      <c r="AC58" s="282" t="str">
        <f t="shared" ca="1" si="54"/>
        <v>2 - 0</v>
      </c>
      <c r="AD58" s="282" t="str">
        <f t="shared" ca="1" si="54"/>
        <v/>
      </c>
      <c r="AE58" s="289" t="str">
        <f t="shared" ca="1" si="54"/>
        <v/>
      </c>
      <c r="AF58" s="288"/>
      <c r="AG58" s="282" t="str">
        <f t="shared" ref="AG58:AN58" ca="1" si="55">IF(AG34="","",AG34)</f>
        <v/>
      </c>
      <c r="AH58" s="282" t="str">
        <f t="shared" ca="1" si="55"/>
        <v/>
      </c>
      <c r="AI58" s="282" t="str">
        <f t="shared" ca="1" si="55"/>
        <v/>
      </c>
      <c r="AJ58" s="282" t="str">
        <f t="shared" ca="1" si="55"/>
        <v/>
      </c>
      <c r="AK58" s="282" t="str">
        <f t="shared" ca="1" si="55"/>
        <v/>
      </c>
      <c r="AL58" s="282" t="str">
        <f t="shared" ca="1" si="55"/>
        <v/>
      </c>
      <c r="AM58" s="282" t="str">
        <f t="shared" ca="1" si="55"/>
        <v/>
      </c>
      <c r="AN58" s="289" t="str">
        <f t="shared" ca="1" si="55"/>
        <v/>
      </c>
      <c r="AO58" s="290" t="str">
        <f ca="1">AO10</f>
        <v>SSV Wildbach</v>
      </c>
    </row>
    <row r="59" spans="2:41" ht="24" customHeight="1" x14ac:dyDescent="0.2">
      <c r="B59" s="299">
        <v>50</v>
      </c>
      <c r="C59" s="456" t="str">
        <f ca="1">Planning!$I56</f>
        <v/>
      </c>
      <c r="D59" s="457" t="str">
        <f ca="1">Planning!$J56</f>
        <v/>
      </c>
      <c r="E59" s="444" t="str">
        <f ca="1">Planning!$N56</f>
        <v/>
      </c>
      <c r="F59" s="296" t="s">
        <v>5</v>
      </c>
      <c r="G59" s="445" t="str">
        <f ca="1">Planning!$P56</f>
        <v/>
      </c>
      <c r="H59" s="446"/>
      <c r="I59" s="447" t="str">
        <f>Language!$E$66</f>
        <v xml:space="preserve"> - </v>
      </c>
      <c r="J59" s="448"/>
      <c r="L59" s="291">
        <f ca="1">L35</f>
        <v>2</v>
      </c>
      <c r="M59" s="292" t="str">
        <f t="shared" ref="M59:M66" ca="1" si="56">IF(M35="","",M35)</f>
        <v>Maibach 1822 eV</v>
      </c>
      <c r="N59" s="293">
        <f t="shared" ref="N59:V59" ca="1" si="57">IF(N35="","",N35)</f>
        <v>2</v>
      </c>
      <c r="O59" s="265">
        <f t="shared" ca="1" si="57"/>
        <v>1</v>
      </c>
      <c r="P59" s="265">
        <f t="shared" ca="1" si="57"/>
        <v>1</v>
      </c>
      <c r="Q59" s="294">
        <f t="shared" ca="1" si="57"/>
        <v>0</v>
      </c>
      <c r="R59" s="295">
        <f t="shared" ca="1" si="57"/>
        <v>2</v>
      </c>
      <c r="S59" s="296" t="str">
        <f t="shared" si="57"/>
        <v xml:space="preserve"> - </v>
      </c>
      <c r="T59" s="297">
        <f t="shared" ca="1" si="57"/>
        <v>1</v>
      </c>
      <c r="U59" s="293">
        <f t="shared" ca="1" si="57"/>
        <v>1</v>
      </c>
      <c r="V59" s="298">
        <f t="shared" ca="1" si="57"/>
        <v>4</v>
      </c>
      <c r="W59" s="299" t="str">
        <f t="shared" ref="W59:W66" ca="1" si="58">IF(W35="","",W35)</f>
        <v/>
      </c>
      <c r="X59" s="300"/>
      <c r="Y59" s="265" t="str">
        <f t="shared" ref="Y59:AH66" ca="1" si="59">IF(Y35="","",Y35)</f>
        <v>2 - 1</v>
      </c>
      <c r="Z59" s="265" t="str">
        <f t="shared" ca="1" si="59"/>
        <v>0 - 0</v>
      </c>
      <c r="AA59" s="265" t="str">
        <f t="shared" ca="1" si="59"/>
        <v/>
      </c>
      <c r="AB59" s="265" t="str">
        <f t="shared" ca="1" si="59"/>
        <v/>
      </c>
      <c r="AC59" s="265" t="str">
        <f t="shared" ca="1" si="59"/>
        <v/>
      </c>
      <c r="AD59" s="265" t="str">
        <f t="shared" ca="1" si="59"/>
        <v/>
      </c>
      <c r="AE59" s="301" t="str">
        <f t="shared" ca="1" si="59"/>
        <v/>
      </c>
      <c r="AF59" s="299" t="str">
        <f t="shared" ca="1" si="59"/>
        <v/>
      </c>
      <c r="AG59" s="300"/>
      <c r="AH59" s="265" t="str">
        <f t="shared" ref="AH59:AN59" ca="1" si="60">IF(AH35="","",AH35)</f>
        <v/>
      </c>
      <c r="AI59" s="265" t="str">
        <f t="shared" ca="1" si="60"/>
        <v/>
      </c>
      <c r="AJ59" s="265" t="str">
        <f t="shared" ca="1" si="60"/>
        <v/>
      </c>
      <c r="AK59" s="265" t="str">
        <f t="shared" ca="1" si="60"/>
        <v/>
      </c>
      <c r="AL59" s="265" t="str">
        <f t="shared" ca="1" si="60"/>
        <v/>
      </c>
      <c r="AM59" s="265" t="str">
        <f t="shared" ca="1" si="60"/>
        <v/>
      </c>
      <c r="AN59" s="301" t="str">
        <f t="shared" ca="1" si="60"/>
        <v/>
      </c>
      <c r="AO59" s="302" t="str">
        <f t="shared" ref="AO59:AO66" ca="1" si="61">AO11</f>
        <v>Maibach 1822 eV</v>
      </c>
    </row>
    <row r="60" spans="2:41" ht="24" customHeight="1" x14ac:dyDescent="0.2">
      <c r="B60" s="299">
        <v>51</v>
      </c>
      <c r="C60" s="456" t="str">
        <f ca="1">Planning!$I57</f>
        <v/>
      </c>
      <c r="D60" s="457" t="str">
        <f ca="1">Planning!$J57</f>
        <v/>
      </c>
      <c r="E60" s="444" t="str">
        <f ca="1">Planning!$N57</f>
        <v/>
      </c>
      <c r="F60" s="296" t="s">
        <v>5</v>
      </c>
      <c r="G60" s="445" t="str">
        <f ca="1">Planning!$P57</f>
        <v/>
      </c>
      <c r="H60" s="446"/>
      <c r="I60" s="447" t="str">
        <f>Language!$E$66</f>
        <v xml:space="preserve"> - </v>
      </c>
      <c r="J60" s="448"/>
      <c r="L60" s="291">
        <f t="shared" ref="L60:L65" ca="1" si="62">L36</f>
        <v>3</v>
      </c>
      <c r="M60" s="292" t="str">
        <f t="shared" ca="1" si="56"/>
        <v>Eintracht Frankfurt</v>
      </c>
      <c r="N60" s="293">
        <f t="shared" ref="N60:V60" ca="1" si="63">IF(N36="","",N36)</f>
        <v>2</v>
      </c>
      <c r="O60" s="265">
        <f t="shared" ca="1" si="63"/>
        <v>1</v>
      </c>
      <c r="P60" s="265">
        <f t="shared" ca="1" si="63"/>
        <v>0</v>
      </c>
      <c r="Q60" s="294">
        <f t="shared" ca="1" si="63"/>
        <v>1</v>
      </c>
      <c r="R60" s="295">
        <f t="shared" ca="1" si="63"/>
        <v>4</v>
      </c>
      <c r="S60" s="296" t="str">
        <f t="shared" si="63"/>
        <v xml:space="preserve"> - </v>
      </c>
      <c r="T60" s="297">
        <f t="shared" ca="1" si="63"/>
        <v>4</v>
      </c>
      <c r="U60" s="293">
        <f t="shared" ca="1" si="63"/>
        <v>0</v>
      </c>
      <c r="V60" s="298">
        <f t="shared" ca="1" si="63"/>
        <v>3</v>
      </c>
      <c r="W60" s="299" t="str">
        <f t="shared" ca="1" si="58"/>
        <v/>
      </c>
      <c r="X60" s="265" t="str">
        <f t="shared" ref="X60:X66" ca="1" si="64">IF(X36="","",X36)</f>
        <v>1 - 2</v>
      </c>
      <c r="Y60" s="300"/>
      <c r="Z60" s="265" t="str">
        <f t="shared" ref="Z60:AE60" ca="1" si="65">IF(Z36="","",Z36)</f>
        <v/>
      </c>
      <c r="AA60" s="265" t="str">
        <f t="shared" ca="1" si="65"/>
        <v/>
      </c>
      <c r="AB60" s="265" t="str">
        <f t="shared" ca="1" si="65"/>
        <v>3 - 2</v>
      </c>
      <c r="AC60" s="265" t="str">
        <f t="shared" ca="1" si="65"/>
        <v/>
      </c>
      <c r="AD60" s="265" t="str">
        <f t="shared" ca="1" si="65"/>
        <v/>
      </c>
      <c r="AE60" s="301" t="str">
        <f t="shared" ca="1" si="65"/>
        <v/>
      </c>
      <c r="AF60" s="299" t="str">
        <f t="shared" ca="1" si="59"/>
        <v/>
      </c>
      <c r="AG60" s="265" t="str">
        <f t="shared" ca="1" si="59"/>
        <v/>
      </c>
      <c r="AH60" s="300"/>
      <c r="AI60" s="265" t="str">
        <f t="shared" ref="AI60:AN60" ca="1" si="66">IF(AI36="","",AI36)</f>
        <v/>
      </c>
      <c r="AJ60" s="265" t="str">
        <f t="shared" ca="1" si="66"/>
        <v/>
      </c>
      <c r="AK60" s="265" t="str">
        <f t="shared" ca="1" si="66"/>
        <v/>
      </c>
      <c r="AL60" s="265" t="str">
        <f t="shared" ca="1" si="66"/>
        <v/>
      </c>
      <c r="AM60" s="265" t="str">
        <f t="shared" ca="1" si="66"/>
        <v/>
      </c>
      <c r="AN60" s="301" t="str">
        <f t="shared" ca="1" si="66"/>
        <v/>
      </c>
      <c r="AO60" s="302" t="str">
        <f t="shared" ca="1" si="61"/>
        <v>Eintracht Frankfurt</v>
      </c>
    </row>
    <row r="61" spans="2:41" ht="24" customHeight="1" x14ac:dyDescent="0.2">
      <c r="B61" s="299">
        <v>52</v>
      </c>
      <c r="C61" s="456" t="str">
        <f ca="1">Planning!$I58</f>
        <v/>
      </c>
      <c r="D61" s="457" t="str">
        <f ca="1">Planning!$J58</f>
        <v/>
      </c>
      <c r="E61" s="444" t="str">
        <f ca="1">Planning!$N58</f>
        <v/>
      </c>
      <c r="F61" s="296" t="s">
        <v>5</v>
      </c>
      <c r="G61" s="445" t="str">
        <f ca="1">Planning!$P58</f>
        <v/>
      </c>
      <c r="H61" s="446"/>
      <c r="I61" s="447" t="str">
        <f>Language!$E$66</f>
        <v xml:space="preserve"> - </v>
      </c>
      <c r="J61" s="448"/>
      <c r="L61" s="291">
        <f t="shared" ca="1" si="62"/>
        <v>4</v>
      </c>
      <c r="M61" s="292" t="str">
        <f t="shared" ca="1" si="56"/>
        <v>VFB Essenheim</v>
      </c>
      <c r="N61" s="293">
        <f t="shared" ref="N61:V61" ca="1" si="67">IF(N37="","",N37)</f>
        <v>2</v>
      </c>
      <c r="O61" s="265">
        <f t="shared" ca="1" si="67"/>
        <v>0</v>
      </c>
      <c r="P61" s="265">
        <f t="shared" ca="1" si="67"/>
        <v>2</v>
      </c>
      <c r="Q61" s="294">
        <f t="shared" ca="1" si="67"/>
        <v>0</v>
      </c>
      <c r="R61" s="295">
        <f t="shared" ca="1" si="67"/>
        <v>2</v>
      </c>
      <c r="S61" s="296" t="str">
        <f t="shared" si="67"/>
        <v xml:space="preserve"> - </v>
      </c>
      <c r="T61" s="297">
        <f t="shared" ca="1" si="67"/>
        <v>2</v>
      </c>
      <c r="U61" s="293">
        <f t="shared" ca="1" si="67"/>
        <v>0</v>
      </c>
      <c r="V61" s="298">
        <f t="shared" ca="1" si="67"/>
        <v>2</v>
      </c>
      <c r="W61" s="299" t="str">
        <f t="shared" ca="1" si="58"/>
        <v/>
      </c>
      <c r="X61" s="265" t="str">
        <f t="shared" ca="1" si="64"/>
        <v>0 - 0</v>
      </c>
      <c r="Y61" s="265" t="str">
        <f t="shared" ref="Y61:Y66" ca="1" si="68">IF(Y37="","",Y37)</f>
        <v/>
      </c>
      <c r="Z61" s="300"/>
      <c r="AA61" s="265" t="str">
        <f ca="1">IF(AA37="","",AA37)</f>
        <v/>
      </c>
      <c r="AB61" s="265" t="str">
        <f ca="1">IF(AB37="","",AB37)</f>
        <v/>
      </c>
      <c r="AC61" s="265" t="str">
        <f ca="1">IF(AC37="","",AC37)</f>
        <v>2 - 2</v>
      </c>
      <c r="AD61" s="265" t="str">
        <f ca="1">IF(AD37="","",AD37)</f>
        <v/>
      </c>
      <c r="AE61" s="301" t="str">
        <f ca="1">IF(AE37="","",AE37)</f>
        <v/>
      </c>
      <c r="AF61" s="299" t="str">
        <f t="shared" ca="1" si="59"/>
        <v/>
      </c>
      <c r="AG61" s="265" t="str">
        <f t="shared" ca="1" si="59"/>
        <v/>
      </c>
      <c r="AH61" s="265" t="str">
        <f t="shared" ca="1" si="59"/>
        <v/>
      </c>
      <c r="AI61" s="300"/>
      <c r="AJ61" s="265" t="str">
        <f ca="1">IF(AJ37="","",AJ37)</f>
        <v/>
      </c>
      <c r="AK61" s="265" t="str">
        <f ca="1">IF(AK37="","",AK37)</f>
        <v/>
      </c>
      <c r="AL61" s="265" t="str">
        <f ca="1">IF(AL37="","",AL37)</f>
        <v/>
      </c>
      <c r="AM61" s="265" t="str">
        <f ca="1">IF(AM37="","",AM37)</f>
        <v/>
      </c>
      <c r="AN61" s="301" t="str">
        <f ca="1">IF(AN37="","",AN37)</f>
        <v/>
      </c>
      <c r="AO61" s="302" t="str">
        <f t="shared" ca="1" si="61"/>
        <v>VFB Essenheim</v>
      </c>
    </row>
    <row r="62" spans="2:41" ht="24" customHeight="1" x14ac:dyDescent="0.2">
      <c r="B62" s="299">
        <v>53</v>
      </c>
      <c r="C62" s="456" t="str">
        <f ca="1">Planning!$I59</f>
        <v/>
      </c>
      <c r="D62" s="457" t="str">
        <f ca="1">Planning!$J59</f>
        <v/>
      </c>
      <c r="E62" s="444" t="str">
        <f ca="1">Planning!$N59</f>
        <v/>
      </c>
      <c r="F62" s="296" t="s">
        <v>5</v>
      </c>
      <c r="G62" s="445" t="str">
        <f ca="1">Planning!$P59</f>
        <v/>
      </c>
      <c r="H62" s="446"/>
      <c r="I62" s="447" t="str">
        <f>Language!$E$66</f>
        <v xml:space="preserve"> - </v>
      </c>
      <c r="J62" s="448"/>
      <c r="L62" s="291">
        <f t="shared" ca="1" si="62"/>
        <v>5</v>
      </c>
      <c r="M62" s="292" t="str">
        <f t="shared" ca="1" si="56"/>
        <v>1. FC Riedwald</v>
      </c>
      <c r="N62" s="293">
        <f t="shared" ref="N62:V62" ca="1" si="69">IF(N38="","",N38)</f>
        <v>2</v>
      </c>
      <c r="O62" s="265">
        <f t="shared" ca="1" si="69"/>
        <v>0</v>
      </c>
      <c r="P62" s="265">
        <f t="shared" ca="1" si="69"/>
        <v>1</v>
      </c>
      <c r="Q62" s="294">
        <f t="shared" ca="1" si="69"/>
        <v>1</v>
      </c>
      <c r="R62" s="295">
        <f t="shared" ca="1" si="69"/>
        <v>3</v>
      </c>
      <c r="S62" s="296" t="str">
        <f t="shared" si="69"/>
        <v xml:space="preserve"> - </v>
      </c>
      <c r="T62" s="297">
        <f t="shared" ca="1" si="69"/>
        <v>4</v>
      </c>
      <c r="U62" s="293">
        <f t="shared" ca="1" si="69"/>
        <v>-1</v>
      </c>
      <c r="V62" s="298">
        <f t="shared" ca="1" si="69"/>
        <v>1</v>
      </c>
      <c r="W62" s="299" t="str">
        <f t="shared" ca="1" si="58"/>
        <v>2 - 3</v>
      </c>
      <c r="X62" s="265" t="str">
        <f t="shared" ca="1" si="64"/>
        <v/>
      </c>
      <c r="Y62" s="265" t="str">
        <f t="shared" ca="1" si="68"/>
        <v/>
      </c>
      <c r="Z62" s="265" t="str">
        <f ca="1">IF(Z38="","",Z38)</f>
        <v/>
      </c>
      <c r="AA62" s="300"/>
      <c r="AB62" s="265" t="str">
        <f ca="1">IF(AB38="","",AB38)</f>
        <v>1 - 1</v>
      </c>
      <c r="AC62" s="265" t="str">
        <f ca="1">IF(AC38="","",AC38)</f>
        <v/>
      </c>
      <c r="AD62" s="265" t="str">
        <f ca="1">IF(AD38="","",AD38)</f>
        <v/>
      </c>
      <c r="AE62" s="301" t="str">
        <f ca="1">IF(AE38="","",AE38)</f>
        <v/>
      </c>
      <c r="AF62" s="299" t="str">
        <f t="shared" ca="1" si="59"/>
        <v/>
      </c>
      <c r="AG62" s="265" t="str">
        <f t="shared" ca="1" si="59"/>
        <v/>
      </c>
      <c r="AH62" s="265" t="str">
        <f t="shared" ca="1" si="59"/>
        <v/>
      </c>
      <c r="AI62" s="265" t="str">
        <f ca="1">IF(AI38="","",AI38)</f>
        <v/>
      </c>
      <c r="AJ62" s="300"/>
      <c r="AK62" s="265" t="str">
        <f ca="1">IF(AK38="","",AK38)</f>
        <v/>
      </c>
      <c r="AL62" s="265" t="str">
        <f ca="1">IF(AL38="","",AL38)</f>
        <v/>
      </c>
      <c r="AM62" s="265" t="str">
        <f ca="1">IF(AM38="","",AM38)</f>
        <v/>
      </c>
      <c r="AN62" s="301" t="str">
        <f ca="1">IF(AN38="","",AN38)</f>
        <v/>
      </c>
      <c r="AO62" s="302" t="str">
        <f t="shared" ca="1" si="61"/>
        <v>1. FC Riedwald</v>
      </c>
    </row>
    <row r="63" spans="2:41" ht="24" customHeight="1" x14ac:dyDescent="0.2">
      <c r="B63" s="299">
        <v>54</v>
      </c>
      <c r="C63" s="456" t="str">
        <f ca="1">Planning!$I60</f>
        <v/>
      </c>
      <c r="D63" s="457" t="str">
        <f ca="1">Planning!$J60</f>
        <v/>
      </c>
      <c r="E63" s="444" t="str">
        <f ca="1">Planning!$N60</f>
        <v/>
      </c>
      <c r="F63" s="296" t="s">
        <v>5</v>
      </c>
      <c r="G63" s="445" t="str">
        <f ca="1">Planning!$P60</f>
        <v/>
      </c>
      <c r="H63" s="446"/>
      <c r="I63" s="447" t="str">
        <f>Language!$E$66</f>
        <v xml:space="preserve"> - </v>
      </c>
      <c r="J63" s="448"/>
      <c r="L63" s="291">
        <f t="shared" ca="1" si="62"/>
        <v>5</v>
      </c>
      <c r="M63" s="292" t="str">
        <f t="shared" ca="1" si="56"/>
        <v>Inter Mailand</v>
      </c>
      <c r="N63" s="293">
        <f t="shared" ref="N63:V63" ca="1" si="70">IF(N39="","",N39)</f>
        <v>2</v>
      </c>
      <c r="O63" s="265">
        <f t="shared" ca="1" si="70"/>
        <v>0</v>
      </c>
      <c r="P63" s="265">
        <f t="shared" ca="1" si="70"/>
        <v>1</v>
      </c>
      <c r="Q63" s="294">
        <f t="shared" ca="1" si="70"/>
        <v>1</v>
      </c>
      <c r="R63" s="295">
        <f t="shared" ca="1" si="70"/>
        <v>3</v>
      </c>
      <c r="S63" s="296" t="str">
        <f t="shared" si="70"/>
        <v xml:space="preserve"> - </v>
      </c>
      <c r="T63" s="297">
        <f t="shared" ca="1" si="70"/>
        <v>4</v>
      </c>
      <c r="U63" s="293">
        <f t="shared" ca="1" si="70"/>
        <v>-1</v>
      </c>
      <c r="V63" s="298">
        <f t="shared" ca="1" si="70"/>
        <v>1</v>
      </c>
      <c r="W63" s="299" t="str">
        <f t="shared" ca="1" si="58"/>
        <v/>
      </c>
      <c r="X63" s="265" t="str">
        <f t="shared" ca="1" si="64"/>
        <v/>
      </c>
      <c r="Y63" s="265" t="str">
        <f t="shared" ca="1" si="68"/>
        <v>2 - 3</v>
      </c>
      <c r="Z63" s="265" t="str">
        <f ca="1">IF(Z39="","",Z39)</f>
        <v/>
      </c>
      <c r="AA63" s="265" t="str">
        <f ca="1">IF(AA39="","",AA39)</f>
        <v>1 - 1</v>
      </c>
      <c r="AB63" s="300"/>
      <c r="AC63" s="265" t="str">
        <f ca="1">IF(AC39="","",AC39)</f>
        <v/>
      </c>
      <c r="AD63" s="265" t="str">
        <f ca="1">IF(AD39="","",AD39)</f>
        <v/>
      </c>
      <c r="AE63" s="301" t="str">
        <f ca="1">IF(AE39="","",AE39)</f>
        <v/>
      </c>
      <c r="AF63" s="299" t="str">
        <f t="shared" ca="1" si="59"/>
        <v/>
      </c>
      <c r="AG63" s="265" t="str">
        <f t="shared" ca="1" si="59"/>
        <v/>
      </c>
      <c r="AH63" s="265" t="str">
        <f t="shared" ca="1" si="59"/>
        <v/>
      </c>
      <c r="AI63" s="265" t="str">
        <f ca="1">IF(AI39="","",AI39)</f>
        <v/>
      </c>
      <c r="AJ63" s="265" t="str">
        <f ca="1">IF(AJ39="","",AJ39)</f>
        <v/>
      </c>
      <c r="AK63" s="300"/>
      <c r="AL63" s="265" t="str">
        <f ca="1">IF(AL39="","",AL39)</f>
        <v/>
      </c>
      <c r="AM63" s="265" t="str">
        <f ca="1">IF(AM39="","",AM39)</f>
        <v/>
      </c>
      <c r="AN63" s="301" t="str">
        <f ca="1">IF(AN39="","",AN39)</f>
        <v/>
      </c>
      <c r="AO63" s="302" t="str">
        <f t="shared" ca="1" si="61"/>
        <v>Inter Mailand</v>
      </c>
    </row>
    <row r="64" spans="2:41" ht="24" customHeight="1" x14ac:dyDescent="0.2">
      <c r="B64" s="299">
        <v>55</v>
      </c>
      <c r="C64" s="456" t="str">
        <f ca="1">Planning!$I61</f>
        <v/>
      </c>
      <c r="D64" s="457" t="str">
        <f ca="1">Planning!$J61</f>
        <v/>
      </c>
      <c r="E64" s="444" t="str">
        <f ca="1">Planning!$N61</f>
        <v/>
      </c>
      <c r="F64" s="296" t="s">
        <v>5</v>
      </c>
      <c r="G64" s="445" t="str">
        <f ca="1">Planning!$P61</f>
        <v/>
      </c>
      <c r="H64" s="446"/>
      <c r="I64" s="447" t="str">
        <f>Language!$E$66</f>
        <v xml:space="preserve"> - </v>
      </c>
      <c r="J64" s="448"/>
      <c r="L64" s="291">
        <f t="shared" ca="1" si="62"/>
        <v>7</v>
      </c>
      <c r="M64" s="292" t="str">
        <f t="shared" ca="1" si="56"/>
        <v>FC Barcelona</v>
      </c>
      <c r="N64" s="293">
        <f t="shared" ref="N64:V64" ca="1" si="71">IF(N40="","",N40)</f>
        <v>2</v>
      </c>
      <c r="O64" s="265">
        <f t="shared" ca="1" si="71"/>
        <v>0</v>
      </c>
      <c r="P64" s="265">
        <f t="shared" ca="1" si="71"/>
        <v>1</v>
      </c>
      <c r="Q64" s="294">
        <f t="shared" ca="1" si="71"/>
        <v>1</v>
      </c>
      <c r="R64" s="295">
        <f t="shared" ca="1" si="71"/>
        <v>2</v>
      </c>
      <c r="S64" s="296" t="str">
        <f t="shared" si="71"/>
        <v xml:space="preserve"> - </v>
      </c>
      <c r="T64" s="297">
        <f t="shared" ca="1" si="71"/>
        <v>4</v>
      </c>
      <c r="U64" s="293">
        <f t="shared" ca="1" si="71"/>
        <v>-2</v>
      </c>
      <c r="V64" s="298">
        <f t="shared" ca="1" si="71"/>
        <v>1</v>
      </c>
      <c r="W64" s="299" t="str">
        <f t="shared" ca="1" si="58"/>
        <v>0 - 2</v>
      </c>
      <c r="X64" s="265" t="str">
        <f t="shared" ca="1" si="64"/>
        <v/>
      </c>
      <c r="Y64" s="265" t="str">
        <f t="shared" ca="1" si="68"/>
        <v/>
      </c>
      <c r="Z64" s="265" t="str">
        <f ca="1">IF(Z40="","",Z40)</f>
        <v>2 - 2</v>
      </c>
      <c r="AA64" s="265" t="str">
        <f ca="1">IF(AA40="","",AA40)</f>
        <v/>
      </c>
      <c r="AB64" s="265" t="str">
        <f ca="1">IF(AB40="","",AB40)</f>
        <v/>
      </c>
      <c r="AC64" s="300"/>
      <c r="AD64" s="265" t="str">
        <f ca="1">IF(AD40="","",AD40)</f>
        <v/>
      </c>
      <c r="AE64" s="301" t="str">
        <f ca="1">IF(AE40="","",AE40)</f>
        <v/>
      </c>
      <c r="AF64" s="299" t="str">
        <f t="shared" ca="1" si="59"/>
        <v/>
      </c>
      <c r="AG64" s="265" t="str">
        <f t="shared" ca="1" si="59"/>
        <v/>
      </c>
      <c r="AH64" s="265" t="str">
        <f t="shared" ca="1" si="59"/>
        <v/>
      </c>
      <c r="AI64" s="265" t="str">
        <f ca="1">IF(AI40="","",AI40)</f>
        <v/>
      </c>
      <c r="AJ64" s="265" t="str">
        <f ca="1">IF(AJ40="","",AJ40)</f>
        <v/>
      </c>
      <c r="AK64" s="265" t="str">
        <f ca="1">IF(AK40="","",AK40)</f>
        <v/>
      </c>
      <c r="AL64" s="300"/>
      <c r="AM64" s="265" t="str">
        <f ca="1">IF(AM40="","",AM40)</f>
        <v/>
      </c>
      <c r="AN64" s="301" t="str">
        <f ca="1">IF(AN40="","",AN40)</f>
        <v/>
      </c>
      <c r="AO64" s="302" t="str">
        <f t="shared" ca="1" si="61"/>
        <v>FC Barcelona</v>
      </c>
    </row>
    <row r="65" spans="2:41" ht="24" customHeight="1" x14ac:dyDescent="0.2">
      <c r="B65" s="299">
        <v>56</v>
      </c>
      <c r="C65" s="456" t="str">
        <f ca="1">Planning!$I62</f>
        <v/>
      </c>
      <c r="D65" s="457" t="str">
        <f ca="1">Planning!$J62</f>
        <v/>
      </c>
      <c r="E65" s="444" t="str">
        <f ca="1">Planning!$N62</f>
        <v/>
      </c>
      <c r="F65" s="296" t="s">
        <v>5</v>
      </c>
      <c r="G65" s="445" t="str">
        <f ca="1">Planning!$P62</f>
        <v/>
      </c>
      <c r="H65" s="446"/>
      <c r="I65" s="447" t="str">
        <f>Language!$E$66</f>
        <v xml:space="preserve"> - </v>
      </c>
      <c r="J65" s="448"/>
      <c r="L65" s="291">
        <f t="shared" ca="1" si="62"/>
        <v>8</v>
      </c>
      <c r="M65" s="292" t="str">
        <f t="shared" ca="1" si="56"/>
        <v/>
      </c>
      <c r="N65" s="293">
        <f t="shared" ref="N65:V65" ca="1" si="72">IF(N41="","",N41)</f>
        <v>0</v>
      </c>
      <c r="O65" s="265">
        <f t="shared" ca="1" si="72"/>
        <v>0</v>
      </c>
      <c r="P65" s="265">
        <f t="shared" ca="1" si="72"/>
        <v>0</v>
      </c>
      <c r="Q65" s="294">
        <f t="shared" ca="1" si="72"/>
        <v>0</v>
      </c>
      <c r="R65" s="295">
        <f t="shared" ca="1" si="72"/>
        <v>0</v>
      </c>
      <c r="S65" s="296" t="str">
        <f t="shared" si="72"/>
        <v xml:space="preserve"> - </v>
      </c>
      <c r="T65" s="297">
        <f t="shared" ca="1" si="72"/>
        <v>0</v>
      </c>
      <c r="U65" s="293">
        <f t="shared" ca="1" si="72"/>
        <v>0</v>
      </c>
      <c r="V65" s="298">
        <f t="shared" ca="1" si="72"/>
        <v>0</v>
      </c>
      <c r="W65" s="299" t="str">
        <f t="shared" ca="1" si="58"/>
        <v/>
      </c>
      <c r="X65" s="265" t="str">
        <f t="shared" ca="1" si="64"/>
        <v/>
      </c>
      <c r="Y65" s="265" t="str">
        <f t="shared" ca="1" si="68"/>
        <v/>
      </c>
      <c r="Z65" s="265" t="str">
        <f ca="1">IF(Z41="","",Z41)</f>
        <v/>
      </c>
      <c r="AA65" s="265" t="str">
        <f ca="1">IF(AA41="","",AA41)</f>
        <v/>
      </c>
      <c r="AB65" s="265" t="str">
        <f ca="1">IF(AB41="","",AB41)</f>
        <v/>
      </c>
      <c r="AC65" s="265" t="str">
        <f ca="1">IF(AC41="","",AC41)</f>
        <v/>
      </c>
      <c r="AD65" s="300"/>
      <c r="AE65" s="301" t="str">
        <f ca="1">IF(AE41="","",AE41)</f>
        <v/>
      </c>
      <c r="AF65" s="299" t="str">
        <f t="shared" ca="1" si="59"/>
        <v/>
      </c>
      <c r="AG65" s="265" t="str">
        <f t="shared" ca="1" si="59"/>
        <v/>
      </c>
      <c r="AH65" s="265" t="str">
        <f t="shared" ca="1" si="59"/>
        <v/>
      </c>
      <c r="AI65" s="265" t="str">
        <f ca="1">IF(AI41="","",AI41)</f>
        <v/>
      </c>
      <c r="AJ65" s="265" t="str">
        <f ca="1">IF(AJ41="","",AJ41)</f>
        <v/>
      </c>
      <c r="AK65" s="265" t="str">
        <f ca="1">IF(AK41="","",AK41)</f>
        <v/>
      </c>
      <c r="AL65" s="265" t="str">
        <f ca="1">IF(AL41="","",AL41)</f>
        <v/>
      </c>
      <c r="AM65" s="300"/>
      <c r="AN65" s="301" t="str">
        <f ca="1">IF(AN41="","",AN41)</f>
        <v/>
      </c>
      <c r="AO65" s="302" t="str">
        <f t="shared" ca="1" si="61"/>
        <v/>
      </c>
    </row>
    <row r="66" spans="2:41" ht="24" customHeight="1" thickBot="1" x14ac:dyDescent="0.25">
      <c r="B66" s="299">
        <v>57</v>
      </c>
      <c r="C66" s="456" t="str">
        <f ca="1">Planning!$I63</f>
        <v/>
      </c>
      <c r="D66" s="457" t="str">
        <f ca="1">Planning!$J63</f>
        <v/>
      </c>
      <c r="E66" s="444" t="str">
        <f ca="1">Planning!$N63</f>
        <v/>
      </c>
      <c r="F66" s="296" t="s">
        <v>5</v>
      </c>
      <c r="G66" s="445" t="str">
        <f ca="1">Planning!$P63</f>
        <v/>
      </c>
      <c r="H66" s="446"/>
      <c r="I66" s="447" t="str">
        <f>Language!$E$66</f>
        <v xml:space="preserve"> - </v>
      </c>
      <c r="J66" s="448"/>
      <c r="L66" s="303">
        <f ca="1">L42</f>
        <v>8</v>
      </c>
      <c r="M66" s="304" t="str">
        <f t="shared" ca="1" si="56"/>
        <v/>
      </c>
      <c r="N66" s="305">
        <f t="shared" ref="N66:V66" ca="1" si="73">IF(N42="","",N42)</f>
        <v>0</v>
      </c>
      <c r="O66" s="306">
        <f t="shared" ca="1" si="73"/>
        <v>0</v>
      </c>
      <c r="P66" s="306">
        <f t="shared" ca="1" si="73"/>
        <v>0</v>
      </c>
      <c r="Q66" s="307">
        <f t="shared" ca="1" si="73"/>
        <v>0</v>
      </c>
      <c r="R66" s="308">
        <f t="shared" ca="1" si="73"/>
        <v>0</v>
      </c>
      <c r="S66" s="309" t="str">
        <f t="shared" si="73"/>
        <v xml:space="preserve"> - </v>
      </c>
      <c r="T66" s="310">
        <f t="shared" ca="1" si="73"/>
        <v>0</v>
      </c>
      <c r="U66" s="305">
        <f t="shared" ca="1" si="73"/>
        <v>0</v>
      </c>
      <c r="V66" s="311">
        <f t="shared" ca="1" si="73"/>
        <v>0</v>
      </c>
      <c r="W66" s="312" t="str">
        <f t="shared" ca="1" si="58"/>
        <v/>
      </c>
      <c r="X66" s="306" t="str">
        <f t="shared" ca="1" si="64"/>
        <v/>
      </c>
      <c r="Y66" s="306" t="str">
        <f t="shared" ca="1" si="68"/>
        <v/>
      </c>
      <c r="Z66" s="306" t="str">
        <f ca="1">IF(Z42="","",Z42)</f>
        <v/>
      </c>
      <c r="AA66" s="306" t="str">
        <f ca="1">IF(AA42="","",AA42)</f>
        <v/>
      </c>
      <c r="AB66" s="306" t="str">
        <f ca="1">IF(AB42="","",AB42)</f>
        <v/>
      </c>
      <c r="AC66" s="306" t="str">
        <f ca="1">IF(AC42="","",AC42)</f>
        <v/>
      </c>
      <c r="AD66" s="306" t="str">
        <f ca="1">IF(AD42="","",AD42)</f>
        <v/>
      </c>
      <c r="AE66" s="313"/>
      <c r="AF66" s="312" t="str">
        <f t="shared" ca="1" si="59"/>
        <v/>
      </c>
      <c r="AG66" s="306" t="str">
        <f t="shared" ca="1" si="59"/>
        <v/>
      </c>
      <c r="AH66" s="306" t="str">
        <f t="shared" ca="1" si="59"/>
        <v/>
      </c>
      <c r="AI66" s="306" t="str">
        <f ca="1">IF(AI42="","",AI42)</f>
        <v/>
      </c>
      <c r="AJ66" s="306" t="str">
        <f ca="1">IF(AJ42="","",AJ42)</f>
        <v/>
      </c>
      <c r="AK66" s="306" t="str">
        <f ca="1">IF(AK42="","",AK42)</f>
        <v/>
      </c>
      <c r="AL66" s="306" t="str">
        <f ca="1">IF(AL42="","",AL42)</f>
        <v/>
      </c>
      <c r="AM66" s="306" t="str">
        <f ca="1">IF(AM42="","",AM42)</f>
        <v/>
      </c>
      <c r="AN66" s="313"/>
      <c r="AO66" s="314" t="str">
        <f t="shared" ca="1" si="61"/>
        <v/>
      </c>
    </row>
    <row r="67" spans="2:41" ht="24" customHeight="1" thickTop="1" x14ac:dyDescent="0.4">
      <c r="B67" s="299">
        <v>58</v>
      </c>
      <c r="C67" s="456" t="str">
        <f ca="1">Planning!$I64</f>
        <v/>
      </c>
      <c r="D67" s="457" t="str">
        <f ca="1">Planning!$J64</f>
        <v/>
      </c>
      <c r="E67" s="444" t="str">
        <f ca="1">Planning!$N64</f>
        <v/>
      </c>
      <c r="F67" s="296" t="s">
        <v>5</v>
      </c>
      <c r="G67" s="445" t="str">
        <f ca="1">Planning!$P64</f>
        <v/>
      </c>
      <c r="H67" s="446"/>
      <c r="I67" s="447" t="str">
        <f>Language!$E$66</f>
        <v xml:space="preserve"> - </v>
      </c>
      <c r="J67" s="448"/>
      <c r="W67" s="501" t="str">
        <f>$W$19</f>
        <v>INVALID TABLE</v>
      </c>
      <c r="X67" s="501"/>
      <c r="Y67" s="501"/>
      <c r="Z67" s="501"/>
      <c r="AA67" s="501"/>
      <c r="AB67" s="501"/>
      <c r="AC67" s="501"/>
      <c r="AD67" s="501"/>
      <c r="AE67" s="501"/>
      <c r="AF67" s="501" t="str">
        <f>$W$19</f>
        <v>INVALID TABLE</v>
      </c>
      <c r="AG67" s="501"/>
      <c r="AH67" s="501"/>
      <c r="AI67" s="501"/>
      <c r="AJ67" s="501"/>
      <c r="AK67" s="501"/>
      <c r="AL67" s="501"/>
      <c r="AM67" s="501"/>
      <c r="AN67" s="501"/>
    </row>
    <row r="68" spans="2:41" ht="24" customHeight="1" x14ac:dyDescent="0.2">
      <c r="B68" s="299">
        <v>59</v>
      </c>
      <c r="C68" s="456" t="str">
        <f ca="1">Planning!$I65</f>
        <v/>
      </c>
      <c r="D68" s="457" t="str">
        <f ca="1">Planning!$J65</f>
        <v/>
      </c>
      <c r="E68" s="444" t="str">
        <f ca="1">Planning!$N65</f>
        <v/>
      </c>
      <c r="F68" s="296" t="s">
        <v>5</v>
      </c>
      <c r="G68" s="445" t="str">
        <f ca="1">Planning!$P65</f>
        <v/>
      </c>
      <c r="H68" s="446"/>
      <c r="I68" s="447" t="str">
        <f>Language!$E$66</f>
        <v xml:space="preserve"> - </v>
      </c>
      <c r="J68" s="448"/>
    </row>
    <row r="69" spans="2:41" ht="24" customHeight="1" x14ac:dyDescent="0.2">
      <c r="B69" s="299">
        <v>60</v>
      </c>
      <c r="C69" s="456" t="str">
        <f ca="1">Planning!$I66</f>
        <v/>
      </c>
      <c r="D69" s="457" t="str">
        <f ca="1">Planning!$J66</f>
        <v/>
      </c>
      <c r="E69" s="444" t="str">
        <f ca="1">Planning!$N66</f>
        <v/>
      </c>
      <c r="F69" s="296" t="s">
        <v>5</v>
      </c>
      <c r="G69" s="445" t="str">
        <f ca="1">Planning!$P66</f>
        <v/>
      </c>
      <c r="H69" s="446"/>
      <c r="I69" s="447" t="str">
        <f>Language!$E$66</f>
        <v xml:space="preserve"> - </v>
      </c>
      <c r="J69" s="448"/>
    </row>
    <row r="70" spans="2:41" ht="24" customHeight="1" x14ac:dyDescent="0.2">
      <c r="B70" s="299">
        <v>61</v>
      </c>
      <c r="C70" s="456" t="str">
        <f ca="1">Planning!$I67</f>
        <v/>
      </c>
      <c r="D70" s="457" t="str">
        <f ca="1">Planning!$J67</f>
        <v/>
      </c>
      <c r="E70" s="444" t="str">
        <f ca="1">Planning!$N67</f>
        <v/>
      </c>
      <c r="F70" s="296" t="s">
        <v>5</v>
      </c>
      <c r="G70" s="445" t="str">
        <f ca="1">Planning!$P67</f>
        <v/>
      </c>
      <c r="H70" s="446"/>
      <c r="I70" s="447" t="str">
        <f>Language!$E$66</f>
        <v xml:space="preserve"> - </v>
      </c>
      <c r="J70" s="448"/>
    </row>
    <row r="71" spans="2:41" ht="24" customHeight="1" x14ac:dyDescent="0.2">
      <c r="B71" s="299">
        <v>62</v>
      </c>
      <c r="C71" s="456" t="str">
        <f ca="1">Planning!$I68</f>
        <v/>
      </c>
      <c r="D71" s="457" t="str">
        <f ca="1">Planning!$J68</f>
        <v/>
      </c>
      <c r="E71" s="444" t="str">
        <f ca="1">Planning!$N68</f>
        <v/>
      </c>
      <c r="F71" s="296" t="s">
        <v>5</v>
      </c>
      <c r="G71" s="445" t="str">
        <f ca="1">Planning!$P68</f>
        <v/>
      </c>
      <c r="H71" s="446"/>
      <c r="I71" s="447" t="str">
        <f>Language!$E$66</f>
        <v xml:space="preserve"> - </v>
      </c>
      <c r="J71" s="448"/>
    </row>
    <row r="72" spans="2:41" ht="24" customHeight="1" x14ac:dyDescent="0.2">
      <c r="B72" s="299">
        <v>63</v>
      </c>
      <c r="C72" s="456" t="str">
        <f ca="1">Planning!$I69</f>
        <v/>
      </c>
      <c r="D72" s="457" t="str">
        <f ca="1">Planning!$J69</f>
        <v/>
      </c>
      <c r="E72" s="444" t="str">
        <f ca="1">Planning!$N69</f>
        <v/>
      </c>
      <c r="F72" s="296" t="s">
        <v>5</v>
      </c>
      <c r="G72" s="445" t="str">
        <f ca="1">Planning!$P69</f>
        <v/>
      </c>
      <c r="H72" s="446"/>
      <c r="I72" s="447" t="str">
        <f>Language!$E$66</f>
        <v xml:space="preserve"> - </v>
      </c>
      <c r="J72" s="448"/>
    </row>
    <row r="73" spans="2:41" ht="24" customHeight="1" x14ac:dyDescent="0.2">
      <c r="B73" s="299">
        <v>64</v>
      </c>
      <c r="C73" s="456" t="str">
        <f ca="1">Planning!$I70</f>
        <v/>
      </c>
      <c r="D73" s="457" t="str">
        <f ca="1">Planning!$J70</f>
        <v/>
      </c>
      <c r="E73" s="444" t="str">
        <f ca="1">Planning!$N70</f>
        <v/>
      </c>
      <c r="F73" s="296" t="s">
        <v>5</v>
      </c>
      <c r="G73" s="445" t="str">
        <f ca="1">Planning!$P70</f>
        <v/>
      </c>
      <c r="H73" s="446"/>
      <c r="I73" s="447" t="str">
        <f>Language!$E$66</f>
        <v xml:space="preserve"> - </v>
      </c>
      <c r="J73" s="448"/>
    </row>
    <row r="74" spans="2:41" ht="24" customHeight="1" x14ac:dyDescent="0.2">
      <c r="B74" s="299">
        <v>65</v>
      </c>
      <c r="C74" s="456" t="str">
        <f ca="1">Planning!$I71</f>
        <v/>
      </c>
      <c r="D74" s="457" t="str">
        <f ca="1">Planning!$J71</f>
        <v/>
      </c>
      <c r="E74" s="444" t="str">
        <f ca="1">Planning!$N71</f>
        <v/>
      </c>
      <c r="F74" s="296" t="s">
        <v>5</v>
      </c>
      <c r="G74" s="445" t="str">
        <f ca="1">Planning!$P71</f>
        <v/>
      </c>
      <c r="H74" s="446"/>
      <c r="I74" s="447" t="str">
        <f>Language!$E$66</f>
        <v xml:space="preserve"> - </v>
      </c>
      <c r="J74" s="448"/>
    </row>
    <row r="75" spans="2:41" ht="24" customHeight="1" x14ac:dyDescent="0.2">
      <c r="B75" s="299">
        <v>66</v>
      </c>
      <c r="C75" s="456" t="str">
        <f ca="1">Planning!$I72</f>
        <v/>
      </c>
      <c r="D75" s="457" t="str">
        <f ca="1">Planning!$J72</f>
        <v/>
      </c>
      <c r="E75" s="444" t="str">
        <f ca="1">Planning!$N72</f>
        <v/>
      </c>
      <c r="F75" s="296" t="s">
        <v>5</v>
      </c>
      <c r="G75" s="445" t="str">
        <f ca="1">Planning!$P72</f>
        <v/>
      </c>
      <c r="H75" s="446"/>
      <c r="I75" s="447" t="str">
        <f>Language!$E$66</f>
        <v xml:space="preserve"> - </v>
      </c>
      <c r="J75" s="448"/>
    </row>
    <row r="76" spans="2:41" ht="24" customHeight="1" x14ac:dyDescent="0.2">
      <c r="B76" s="299">
        <v>67</v>
      </c>
      <c r="C76" s="456" t="str">
        <f ca="1">Planning!$I73</f>
        <v/>
      </c>
      <c r="D76" s="457" t="str">
        <f ca="1">Planning!$J73</f>
        <v/>
      </c>
      <c r="E76" s="444" t="str">
        <f ca="1">Planning!$N73</f>
        <v/>
      </c>
      <c r="F76" s="296" t="s">
        <v>5</v>
      </c>
      <c r="G76" s="445" t="str">
        <f ca="1">Planning!$P73</f>
        <v/>
      </c>
      <c r="H76" s="446"/>
      <c r="I76" s="447" t="str">
        <f>Language!$E$66</f>
        <v xml:space="preserve"> - </v>
      </c>
      <c r="J76" s="448"/>
    </row>
    <row r="77" spans="2:41" ht="24" customHeight="1" x14ac:dyDescent="0.2">
      <c r="B77" s="299">
        <v>68</v>
      </c>
      <c r="C77" s="456" t="str">
        <f ca="1">Planning!$I74</f>
        <v/>
      </c>
      <c r="D77" s="457" t="str">
        <f ca="1">Planning!$J74</f>
        <v/>
      </c>
      <c r="E77" s="444" t="str">
        <f ca="1">Planning!$N74</f>
        <v/>
      </c>
      <c r="F77" s="296" t="s">
        <v>5</v>
      </c>
      <c r="G77" s="445" t="str">
        <f ca="1">Planning!$P74</f>
        <v/>
      </c>
      <c r="H77" s="446"/>
      <c r="I77" s="447" t="str">
        <f>Language!$E$66</f>
        <v xml:space="preserve"> - </v>
      </c>
      <c r="J77" s="448"/>
    </row>
    <row r="78" spans="2:41" ht="24" customHeight="1" x14ac:dyDescent="0.2">
      <c r="B78" s="299">
        <v>69</v>
      </c>
      <c r="C78" s="456" t="str">
        <f ca="1">Planning!$I75</f>
        <v/>
      </c>
      <c r="D78" s="457" t="str">
        <f ca="1">Planning!$J75</f>
        <v/>
      </c>
      <c r="E78" s="444" t="str">
        <f ca="1">Planning!$N75</f>
        <v/>
      </c>
      <c r="F78" s="296" t="s">
        <v>5</v>
      </c>
      <c r="G78" s="445" t="str">
        <f ca="1">Planning!$P75</f>
        <v/>
      </c>
      <c r="H78" s="446"/>
      <c r="I78" s="447" t="str">
        <f>Language!$E$66</f>
        <v xml:space="preserve"> - </v>
      </c>
      <c r="J78" s="448"/>
    </row>
    <row r="79" spans="2:41" ht="24" customHeight="1" x14ac:dyDescent="0.2">
      <c r="B79" s="299">
        <v>70</v>
      </c>
      <c r="C79" s="456" t="str">
        <f ca="1">Planning!$I76</f>
        <v/>
      </c>
      <c r="D79" s="457" t="str">
        <f ca="1">Planning!$J76</f>
        <v/>
      </c>
      <c r="E79" s="444" t="str">
        <f ca="1">Planning!$N76</f>
        <v/>
      </c>
      <c r="F79" s="296" t="s">
        <v>5</v>
      </c>
      <c r="G79" s="445" t="str">
        <f ca="1">Planning!$P76</f>
        <v/>
      </c>
      <c r="H79" s="446"/>
      <c r="I79" s="447" t="str">
        <f>Language!$E$66</f>
        <v xml:space="preserve"> - </v>
      </c>
      <c r="J79" s="448"/>
    </row>
    <row r="80" spans="2:41" ht="24" customHeight="1" x14ac:dyDescent="0.2">
      <c r="B80" s="299">
        <v>71</v>
      </c>
      <c r="C80" s="456" t="str">
        <f ca="1">Planning!$I77</f>
        <v/>
      </c>
      <c r="D80" s="457" t="str">
        <f ca="1">Planning!$J77</f>
        <v/>
      </c>
      <c r="E80" s="444" t="str">
        <f ca="1">Planning!$N77</f>
        <v/>
      </c>
      <c r="F80" s="296" t="s">
        <v>5</v>
      </c>
      <c r="G80" s="445" t="str">
        <f ca="1">Planning!$P77</f>
        <v/>
      </c>
      <c r="H80" s="446"/>
      <c r="I80" s="447" t="str">
        <f>Language!$E$66</f>
        <v xml:space="preserve"> - </v>
      </c>
      <c r="J80" s="448"/>
    </row>
    <row r="81" spans="2:10" ht="24" customHeight="1" thickBot="1" x14ac:dyDescent="0.25">
      <c r="B81" s="312">
        <v>72</v>
      </c>
      <c r="C81" s="458" t="str">
        <f ca="1">Planning!$I78</f>
        <v/>
      </c>
      <c r="D81" s="459" t="str">
        <f ca="1">Planning!$J78</f>
        <v/>
      </c>
      <c r="E81" s="449" t="str">
        <f ca="1">Planning!$N78</f>
        <v/>
      </c>
      <c r="F81" s="309" t="s">
        <v>5</v>
      </c>
      <c r="G81" s="450" t="str">
        <f ca="1">Planning!$P78</f>
        <v/>
      </c>
      <c r="H81" s="451"/>
      <c r="I81" s="452" t="str">
        <f>Language!$E$66</f>
        <v xml:space="preserve"> - </v>
      </c>
      <c r="J81" s="453"/>
    </row>
    <row r="82" spans="2:10" ht="13.5" thickTop="1" x14ac:dyDescent="0.2"/>
    <row r="83" spans="2:10" x14ac:dyDescent="0.2"/>
    <row r="84" spans="2:10" x14ac:dyDescent="0.2"/>
    <row r="85" spans="2:10" x14ac:dyDescent="0.2"/>
    <row r="86" spans="2:10" x14ac:dyDescent="0.2"/>
    <row r="87" spans="2:10" x14ac:dyDescent="0.2"/>
  </sheetData>
  <sheetProtection sheet="1" selectLockedCells="1"/>
  <mergeCells count="28">
    <mergeCell ref="F2:X2"/>
    <mergeCell ref="F3:X3"/>
    <mergeCell ref="F4:X4"/>
    <mergeCell ref="AD2:AE2"/>
    <mergeCell ref="L1:M1"/>
    <mergeCell ref="B1:J1"/>
    <mergeCell ref="L57:M57"/>
    <mergeCell ref="F5:X5"/>
    <mergeCell ref="R57:T57"/>
    <mergeCell ref="W67:AE67"/>
    <mergeCell ref="R9:T9"/>
    <mergeCell ref="R33:T33"/>
    <mergeCell ref="L33:M33"/>
    <mergeCell ref="L9:M9"/>
    <mergeCell ref="W54:AE54"/>
    <mergeCell ref="W7:AE7"/>
    <mergeCell ref="W30:AE30"/>
    <mergeCell ref="W19:AE19"/>
    <mergeCell ref="W43:AE43"/>
    <mergeCell ref="E9:G9"/>
    <mergeCell ref="H9:J9"/>
    <mergeCell ref="B8:J8"/>
    <mergeCell ref="AF67:AN67"/>
    <mergeCell ref="AF7:AN7"/>
    <mergeCell ref="AF19:AN19"/>
    <mergeCell ref="AF30:AN30"/>
    <mergeCell ref="AF43:AN43"/>
    <mergeCell ref="AF54:AN54"/>
  </mergeCells>
  <conditionalFormatting sqref="L10:AO18 L34:AO42 L58:AO66">
    <cfRule type="expression" dxfId="45" priority="47">
      <formula>$M10=""</formula>
    </cfRule>
  </conditionalFormatting>
  <conditionalFormatting sqref="L18:AO18 L42:AO42 L66:AO66">
    <cfRule type="expression" dxfId="44" priority="42">
      <formula>AND($L18=$L17,$M17&lt;&gt;"")</formula>
    </cfRule>
  </conditionalFormatting>
  <conditionalFormatting sqref="H10:J81 F10 F10:F81">
    <cfRule type="expression" dxfId="43" priority="2">
      <formula>OR($E10="",$G10="")</formula>
    </cfRule>
  </conditionalFormatting>
  <conditionalFormatting sqref="L10:AO10 L34:AO34 L58:AO58">
    <cfRule type="expression" dxfId="42" priority="48">
      <formula>AND($L10=$L11,$M11&lt;&gt;"")</formula>
    </cfRule>
  </conditionalFormatting>
  <conditionalFormatting sqref="L11:AO17 L35:AO41 L59:AO65">
    <cfRule type="expression" dxfId="41" priority="1">
      <formula>OR(AND($L11=$L10,$M10&lt;&gt;""),AND($L11=$L12,$M12&lt;&gt;""))</formula>
    </cfRule>
  </conditionalFormatting>
  <dataValidations count="2">
    <dataValidation type="whole" allowBlank="1" showErrorMessage="1" errorTitle="Error" error="Maximal 999 !" sqref="H10:H81 J10:J81" xr:uid="{D9E07FCF-67B7-4BAF-9BC8-AE233331B860}">
      <formula1>0</formula1>
      <formula2>999</formula2>
    </dataValidation>
    <dataValidation allowBlank="1" showErrorMessage="1" errorTitle="Unzulässige Anzahl" error="Es können Zahlen von 1 bis 20 eingetragen werden!" sqref="A1:AE5" xr:uid="{B935BB05-BD26-42B8-AB5B-BED2EF462410}"/>
  </dataValidation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6" id="{B09CA390-E639-48FB-8761-B3350CDE6AA8}">
            <xm:f>Planning!$D$6=2</xm:f>
            <x14:dxf>
              <font>
                <color rgb="FF00B050"/>
              </font>
              <numFmt numFmtId="30" formatCode="@"/>
            </x14:dxf>
          </x14:cfRule>
          <xm:sqref>W7:AE7</xm:sqref>
        </x14:conditionalFormatting>
        <x14:conditionalFormatting xmlns:xm="http://schemas.microsoft.com/office/excel/2006/main">
          <x14:cfRule type="expression" priority="125" id="{242813DE-F3F3-44A7-9A94-97985788F385}">
            <xm:f>Planning!$D$6=2</xm:f>
            <x14:dxf>
              <font>
                <color rgb="FF00B050"/>
              </font>
              <numFmt numFmtId="30" formatCode="@"/>
            </x14:dxf>
          </x14:cfRule>
          <xm:sqref>W30:AE30</xm:sqref>
        </x14:conditionalFormatting>
        <x14:conditionalFormatting xmlns:xm="http://schemas.microsoft.com/office/excel/2006/main">
          <x14:cfRule type="expression" priority="124" id="{F4F10527-B686-4CA2-80FD-18E51A3B22D2}">
            <xm:f>OR(Planning!$D$6&gt;2,Planning!$A$6&gt;1)</xm:f>
            <x14:dxf>
              <numFmt numFmtId="30" formatCode="@"/>
            </x14:dxf>
          </x14:cfRule>
          <xm:sqref>W19:AE19</xm:sqref>
        </x14:conditionalFormatting>
        <x14:conditionalFormatting xmlns:xm="http://schemas.microsoft.com/office/excel/2006/main">
          <x14:cfRule type="expression" priority="123" id="{70B7D07B-DC74-4408-9A69-A88E0A4FE863}">
            <xm:f>OR(Planning!$D$6&gt;2,Planning!$A$6&gt;1)</xm:f>
            <x14:dxf>
              <numFmt numFmtId="30" formatCode="@"/>
            </x14:dxf>
          </x14:cfRule>
          <xm:sqref>W43:AE43</xm:sqref>
        </x14:conditionalFormatting>
        <x14:conditionalFormatting xmlns:xm="http://schemas.microsoft.com/office/excel/2006/main">
          <x14:cfRule type="expression" priority="104" id="{4DC0B623-6FE4-4822-B278-ECB53158C363}">
            <xm:f>Planning!$D$6=2</xm:f>
            <x14:dxf>
              <font>
                <color rgb="FF00B050"/>
              </font>
              <numFmt numFmtId="30" formatCode="@"/>
            </x14:dxf>
          </x14:cfRule>
          <xm:sqref>W54:AE54</xm:sqref>
        </x14:conditionalFormatting>
        <x14:conditionalFormatting xmlns:xm="http://schemas.microsoft.com/office/excel/2006/main">
          <x14:cfRule type="expression" priority="103" id="{D61927F1-072E-4B54-9191-2BD855D0BD51}">
            <xm:f>OR(Planning!$D$6&gt;2,Planning!$A$6&gt;1)</xm:f>
            <x14:dxf>
              <numFmt numFmtId="30" formatCode="@"/>
            </x14:dxf>
          </x14:cfRule>
          <xm:sqref>W67:AE67</xm:sqref>
        </x14:conditionalFormatting>
        <x14:conditionalFormatting xmlns:xm="http://schemas.microsoft.com/office/excel/2006/main">
          <x14:cfRule type="expression" priority="64" id="{250F33EB-F878-4CC9-9950-839F5D57ACC6}">
            <xm:f>Planning!$D$6=2</xm:f>
            <x14:dxf>
              <font>
                <color rgb="FF00B050"/>
              </font>
              <numFmt numFmtId="30" formatCode="@"/>
            </x14:dxf>
          </x14:cfRule>
          <xm:sqref>AF7:AN7</xm:sqref>
        </x14:conditionalFormatting>
        <x14:conditionalFormatting xmlns:xm="http://schemas.microsoft.com/office/excel/2006/main">
          <x14:cfRule type="expression" priority="63" id="{9FEA2C54-76CB-4CC1-B927-2A5908067152}">
            <xm:f>Planning!$D$6=2</xm:f>
            <x14:dxf>
              <font>
                <color rgb="FF00B050"/>
              </font>
              <numFmt numFmtId="30" formatCode="@"/>
            </x14:dxf>
          </x14:cfRule>
          <xm:sqref>AF30:AN30</xm:sqref>
        </x14:conditionalFormatting>
        <x14:conditionalFormatting xmlns:xm="http://schemas.microsoft.com/office/excel/2006/main">
          <x14:cfRule type="expression" priority="62" id="{1F0D5891-EE16-432E-B6B8-1AD83922E64E}">
            <xm:f>OR(Planning!$D$6&gt;2,Planning!$A$6&gt;1)</xm:f>
            <x14:dxf>
              <numFmt numFmtId="30" formatCode="@"/>
            </x14:dxf>
          </x14:cfRule>
          <xm:sqref>AF19:AN19</xm:sqref>
        </x14:conditionalFormatting>
        <x14:conditionalFormatting xmlns:xm="http://schemas.microsoft.com/office/excel/2006/main">
          <x14:cfRule type="expression" priority="61" id="{4F2F66F1-F178-4D8E-BCA5-0DAD849A6566}">
            <xm:f>OR(Planning!$D$6&gt;2,Planning!$A$6&gt;1)</xm:f>
            <x14:dxf>
              <numFmt numFmtId="30" formatCode="@"/>
            </x14:dxf>
          </x14:cfRule>
          <xm:sqref>AF43:AN43</xm:sqref>
        </x14:conditionalFormatting>
        <x14:conditionalFormatting xmlns:xm="http://schemas.microsoft.com/office/excel/2006/main">
          <x14:cfRule type="expression" priority="60" id="{F8E092D1-20F4-48A8-A149-27F8786A5BDA}">
            <xm:f>Planning!$D$6=2</xm:f>
            <x14:dxf>
              <font>
                <color rgb="FF00B050"/>
              </font>
              <numFmt numFmtId="30" formatCode="@"/>
            </x14:dxf>
          </x14:cfRule>
          <xm:sqref>AF54:AN54</xm:sqref>
        </x14:conditionalFormatting>
        <x14:conditionalFormatting xmlns:xm="http://schemas.microsoft.com/office/excel/2006/main">
          <x14:cfRule type="expression" priority="59" id="{0DEAC8A4-D5F4-43F8-A082-5DF817914EA9}">
            <xm:f>OR(Planning!$D$6&gt;2,Planning!$A$6&gt;1)</xm:f>
            <x14:dxf>
              <numFmt numFmtId="30" formatCode="@"/>
            </x14:dxf>
          </x14:cfRule>
          <xm:sqref>AF67:AN67</xm:sqref>
        </x14:conditionalFormatting>
        <x14:conditionalFormatting xmlns:xm="http://schemas.microsoft.com/office/excel/2006/main">
          <x14:cfRule type="expression" priority="3" id="{7674D2FA-AB32-4497-B4DD-EC64900B9578}">
            <xm:f>$B10=Planning!$F$5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14:cfRule type="expression" priority="4" id="{25D4D9D2-4239-4FF0-AA6A-EB03B31C3656}">
            <xm:f>$B10=Planning!$E$5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B10:J10 B11:H80 J11:J80 I11:I81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1"/>
  <dimension ref="A1:E20"/>
  <sheetViews>
    <sheetView showGridLines="0" showRowColHeaders="0" workbookViewId="0">
      <selection activeCell="D7" sqref="D7"/>
    </sheetView>
  </sheetViews>
  <sheetFormatPr baseColWidth="10" defaultColWidth="0" defaultRowHeight="12.75" zeroHeight="1" x14ac:dyDescent="0.2"/>
  <cols>
    <col min="1" max="2" width="11.42578125" style="49" customWidth="1"/>
    <col min="3" max="3" width="34.7109375" style="49" customWidth="1"/>
    <col min="4" max="5" width="11.42578125" style="49" customWidth="1"/>
    <col min="6" max="16384" width="11.42578125" style="49" hidden="1"/>
  </cols>
  <sheetData>
    <row r="1" spans="2:4" x14ac:dyDescent="0.2"/>
    <row r="2" spans="2:4" ht="33.75" x14ac:dyDescent="0.2">
      <c r="B2" s="523" t="str">
        <f>Language!$E$6</f>
        <v>Fair play - lot</v>
      </c>
      <c r="C2" s="523"/>
      <c r="D2" s="523"/>
    </row>
    <row r="3" spans="2:4" x14ac:dyDescent="0.2"/>
    <row r="4" spans="2:4" ht="66.75" customHeight="1" x14ac:dyDescent="0.2">
      <c r="B4" s="524" t="str">
        <f>Language!$E$58</f>
        <v>If two or more teams cannot be distinguished and fair play or lot decides, it is sufficient to enter a bonus point for the preferred team.</v>
      </c>
      <c r="C4" s="524"/>
      <c r="D4" s="524"/>
    </row>
    <row r="5" spans="2:4" ht="13.5" thickBot="1" x14ac:dyDescent="0.25"/>
    <row r="6" spans="2:4" ht="27.95" customHeight="1" thickTop="1" x14ac:dyDescent="0.2">
      <c r="B6" s="423" t="str">
        <f>Language!$E$9</f>
        <v>No.</v>
      </c>
      <c r="C6" s="424" t="str">
        <f>Language!$E$10</f>
        <v>Participant or team</v>
      </c>
      <c r="D6" s="425" t="str">
        <f>Language!$E$49</f>
        <v>bonus</v>
      </c>
    </row>
    <row r="7" spans="2:4" ht="27.95" customHeight="1" x14ac:dyDescent="0.2">
      <c r="B7" s="426" t="s">
        <v>7</v>
      </c>
      <c r="C7" s="427" t="str">
        <f>IF(Planning!$C$8="","",Planning!$C$8)</f>
        <v>1. FC Riedwald</v>
      </c>
      <c r="D7" s="428"/>
    </row>
    <row r="8" spans="2:4" ht="27.95" customHeight="1" x14ac:dyDescent="0.2">
      <c r="B8" s="429" t="s">
        <v>8</v>
      </c>
      <c r="C8" s="430" t="str">
        <f>IF(Planning!$C$10="","",Planning!$C$10)</f>
        <v>FC Barcelona</v>
      </c>
      <c r="D8" s="431"/>
    </row>
    <row r="9" spans="2:4" ht="27.95" customHeight="1" x14ac:dyDescent="0.2">
      <c r="B9" s="429" t="s">
        <v>9</v>
      </c>
      <c r="C9" s="430" t="str">
        <f>IF(Planning!$C$12="","",Planning!$C$12)</f>
        <v>Eintracht Frankfurt</v>
      </c>
      <c r="D9" s="431"/>
    </row>
    <row r="10" spans="2:4" ht="27.95" customHeight="1" x14ac:dyDescent="0.2">
      <c r="B10" s="429" t="s">
        <v>10</v>
      </c>
      <c r="C10" s="430" t="str">
        <f>IF(Planning!$C$14="","",Planning!$C$14)</f>
        <v>Maibach 1822 eV</v>
      </c>
      <c r="D10" s="431"/>
    </row>
    <row r="11" spans="2:4" ht="27.95" customHeight="1" x14ac:dyDescent="0.2">
      <c r="B11" s="429" t="s">
        <v>11</v>
      </c>
      <c r="C11" s="430" t="str">
        <f>IF(Planning!$C$16="","",Planning!$C$16)</f>
        <v>VFB Essenheim</v>
      </c>
      <c r="D11" s="431"/>
    </row>
    <row r="12" spans="2:4" ht="27.95" customHeight="1" x14ac:dyDescent="0.2">
      <c r="B12" s="429" t="s">
        <v>12</v>
      </c>
      <c r="C12" s="430" t="str">
        <f>IF(Planning!$C$18="","",Planning!$C$18)</f>
        <v>Inter Mailand</v>
      </c>
      <c r="D12" s="431"/>
    </row>
    <row r="13" spans="2:4" ht="27.95" customHeight="1" x14ac:dyDescent="0.2">
      <c r="B13" s="429" t="s">
        <v>17</v>
      </c>
      <c r="C13" s="430" t="str">
        <f>IF(Planning!$C$20="","",Planning!$C$20)</f>
        <v>SSV Wildbach</v>
      </c>
      <c r="D13" s="431"/>
    </row>
    <row r="14" spans="2:4" ht="27.95" customHeight="1" x14ac:dyDescent="0.2">
      <c r="B14" s="429" t="s">
        <v>18</v>
      </c>
      <c r="C14" s="430" t="str">
        <f>IF(Planning!$C$22="","",Planning!$C$22)</f>
        <v/>
      </c>
      <c r="D14" s="431"/>
    </row>
    <row r="15" spans="2:4" ht="27.95" customHeight="1" thickBot="1" x14ac:dyDescent="0.25">
      <c r="B15" s="432" t="s">
        <v>19</v>
      </c>
      <c r="C15" s="433" t="str">
        <f>IF(Planning!$C$24="","",Planning!$C$24)</f>
        <v/>
      </c>
      <c r="D15" s="434"/>
    </row>
    <row r="16" spans="2:4" ht="13.5" thickTop="1" x14ac:dyDescent="0.2"/>
    <row r="17" x14ac:dyDescent="0.2"/>
    <row r="18" x14ac:dyDescent="0.2"/>
    <row r="19" x14ac:dyDescent="0.2"/>
    <row r="20" x14ac:dyDescent="0.2"/>
  </sheetData>
  <sheetProtection sheet="1" objects="1" scenarios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5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23B7-42EC-482C-A535-F8A6D621F2BB}">
  <sheetPr codeName="Tabelle2"/>
  <dimension ref="A1:AA56"/>
  <sheetViews>
    <sheetView showGridLines="0" showRowColHeaders="0" zoomScaleNormal="100" workbookViewId="0">
      <selection activeCell="AB1" sqref="AB1:XFD1048576"/>
    </sheetView>
  </sheetViews>
  <sheetFormatPr baseColWidth="10" defaultColWidth="0" defaultRowHeight="12.75" zeroHeight="1" x14ac:dyDescent="0.2"/>
  <cols>
    <col min="1" max="1" width="4.28515625" style="49" customWidth="1"/>
    <col min="2" max="2" width="4.5703125" style="49" customWidth="1"/>
    <col min="3" max="3" width="32.7109375" style="49" customWidth="1"/>
    <col min="4" max="7" width="11.7109375" style="49" customWidth="1"/>
    <col min="8" max="25" width="6.85546875" style="49" customWidth="1"/>
    <col min="26" max="26" width="25.5703125" style="49" customWidth="1"/>
    <col min="27" max="27" width="11.42578125" style="49" customWidth="1"/>
    <col min="28" max="16384" width="11.42578125" style="49" hidden="1"/>
  </cols>
  <sheetData>
    <row r="1" spans="2:26" x14ac:dyDescent="0.2"/>
    <row r="2" spans="2:26" ht="33.75" x14ac:dyDescent="0.2">
      <c r="B2" s="523" t="str">
        <f>Language!$E$7</f>
        <v>Direct comparisons</v>
      </c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</row>
    <row r="3" spans="2:26" ht="12" customHeight="1" x14ac:dyDescent="0.2">
      <c r="C3" s="124"/>
      <c r="D3" s="124"/>
      <c r="E3" s="124"/>
      <c r="F3" s="124"/>
      <c r="G3" s="124"/>
      <c r="H3" s="130"/>
      <c r="I3" s="130"/>
      <c r="J3" s="130"/>
      <c r="K3" s="130"/>
      <c r="L3" s="130"/>
      <c r="M3" s="130"/>
      <c r="N3" s="130"/>
      <c r="O3" s="130"/>
      <c r="P3" s="130"/>
      <c r="Q3" s="158"/>
      <c r="R3" s="158"/>
      <c r="S3" s="158"/>
      <c r="T3" s="158"/>
      <c r="U3" s="158"/>
      <c r="V3" s="158"/>
      <c r="W3" s="158"/>
      <c r="X3" s="158"/>
      <c r="Y3" s="158"/>
    </row>
    <row r="4" spans="2:26" ht="17.25" customHeight="1" x14ac:dyDescent="0.2">
      <c r="B4" s="525" t="str">
        <f>Language!$E$64</f>
        <v>Red font means that the ranking is not clear even with the direct comparison. Fair play or lot has to decide here.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</row>
    <row r="5" spans="2:26" ht="17.25" customHeight="1" thickBot="1" x14ac:dyDescent="0.25">
      <c r="B5" s="129"/>
      <c r="C5" s="129"/>
      <c r="D5" s="129"/>
      <c r="E5" s="129"/>
      <c r="F5" s="129"/>
      <c r="G5" s="129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</row>
    <row r="6" spans="2:26" ht="21.95" customHeight="1" thickBot="1" x14ac:dyDescent="0.25">
      <c r="H6" s="419" t="str">
        <f ca="1">IF(LEN(H7)&gt;Results!$F$2,LEFT(H7,Results!$F$2)&amp;".",H7)</f>
        <v>1. FC Riedwald</v>
      </c>
      <c r="I6" s="420" t="str">
        <f ca="1">IF(LEN(I7)&gt;Results!$F$2,LEFT(I7,Results!$F$2)&amp;".",I7)</f>
        <v>Inter Mailand</v>
      </c>
      <c r="J6" s="420" t="str">
        <f ca="1">IF(LEN(J7)&gt;Results!$F$2,LEFT(J7,Results!$F$2)&amp;".",J7)</f>
        <v/>
      </c>
      <c r="K6" s="420" t="str">
        <f ca="1">IF(LEN(K7)&gt;Results!$F$2,LEFT(K7,Results!$F$2)&amp;".",K7)</f>
        <v/>
      </c>
      <c r="L6" s="420" t="str">
        <f ca="1">IF(LEN(L7)&gt;Results!$F$2,LEFT(L7,Results!$F$2)&amp;".",L7)</f>
        <v/>
      </c>
      <c r="M6" s="420" t="str">
        <f ca="1">IF(LEN(M7)&gt;Results!$F$2,LEFT(M7,Results!$F$2)&amp;".",M7)</f>
        <v/>
      </c>
      <c r="N6" s="420" t="str">
        <f ca="1">IF(LEN(N7)&gt;Results!$F$2,LEFT(N7,Results!$F$2)&amp;".",N7)</f>
        <v/>
      </c>
      <c r="O6" s="420" t="str">
        <f ca="1">IF(LEN(O7)&gt;Results!$F$2,LEFT(O7,Results!$F$2)&amp;".",O7)</f>
        <v/>
      </c>
      <c r="P6" s="421" t="str">
        <f ca="1">IF(LEN(P7)&gt;Results!$F$2,LEFT(P7,Results!$F$2)&amp;".",P7)</f>
        <v/>
      </c>
      <c r="Q6" s="422" t="str">
        <f ca="1">IF(LEN(Q7)&gt;Results!$F$2,LEFT(Q7,Results!$F$2)&amp;".",Q7)</f>
        <v>1. FC Riedwald</v>
      </c>
      <c r="R6" s="420" t="str">
        <f ca="1">IF(LEN(R7)&gt;Results!$F$2,LEFT(R7,Results!$F$2)&amp;".",R7)</f>
        <v>Inter Mailand</v>
      </c>
      <c r="S6" s="420" t="str">
        <f ca="1">IF(LEN(S7)&gt;Results!$F$2,LEFT(S7,Results!$F$2)&amp;".",S7)</f>
        <v/>
      </c>
      <c r="T6" s="420" t="str">
        <f ca="1">IF(LEN(T7)&gt;Results!$F$2,LEFT(T7,Results!$F$2)&amp;".",T7)</f>
        <v/>
      </c>
      <c r="U6" s="420" t="str">
        <f ca="1">IF(LEN(U7)&gt;Results!$F$2,LEFT(U7,Results!$F$2)&amp;".",U7)</f>
        <v/>
      </c>
      <c r="V6" s="420" t="str">
        <f ca="1">IF(LEN(V7)&gt;Results!$F$2,LEFT(V7,Results!$F$2)&amp;".",V7)</f>
        <v/>
      </c>
      <c r="W6" s="420" t="str">
        <f ca="1">IF(LEN(W7)&gt;Results!$F$2,LEFT(W7,Results!$F$2)&amp;".",W7)</f>
        <v/>
      </c>
      <c r="X6" s="420" t="str">
        <f ca="1">IF(LEN(X7)&gt;Results!$F$2,LEFT(X7,Results!$F$2)&amp;".",X7)</f>
        <v/>
      </c>
      <c r="Y6" s="421" t="str">
        <f ca="1">IF(LEN(Y7)&gt;Results!$F$2,LEFT(Y7,Results!$F$2)&amp;".",Y7)</f>
        <v/>
      </c>
    </row>
    <row r="7" spans="2:26" ht="21.95" customHeight="1" thickTop="1" thickBot="1" x14ac:dyDescent="0.25">
      <c r="B7" s="127"/>
      <c r="C7" s="137" t="str">
        <f>Language!$E$10</f>
        <v>Participant or team</v>
      </c>
      <c r="D7" s="141" t="str">
        <f>Language!$E$27</f>
        <v>Pts</v>
      </c>
      <c r="E7" s="123" t="str">
        <f>Language!$E$26</f>
        <v>GD</v>
      </c>
      <c r="F7" s="123" t="str">
        <f>Language!$E$25</f>
        <v>Goals</v>
      </c>
      <c r="G7" s="174" t="str">
        <f>Language!$E$49</f>
        <v>bonus</v>
      </c>
      <c r="H7" s="148" t="str">
        <f ca="1">C8</f>
        <v>1. FC Riedwald</v>
      </c>
      <c r="I7" s="149" t="str">
        <f ca="1">C9</f>
        <v>Inter Mailand</v>
      </c>
      <c r="J7" s="149" t="str">
        <f ca="1">C10</f>
        <v/>
      </c>
      <c r="K7" s="149" t="str">
        <f ca="1">C11</f>
        <v/>
      </c>
      <c r="L7" s="149" t="str">
        <f ca="1">C12</f>
        <v/>
      </c>
      <c r="M7" s="149" t="str">
        <f ca="1">C13</f>
        <v/>
      </c>
      <c r="N7" s="149" t="str">
        <f ca="1">C14</f>
        <v/>
      </c>
      <c r="O7" s="149" t="str">
        <f ca="1">C15</f>
        <v/>
      </c>
      <c r="P7" s="150" t="str">
        <f ca="1">C16</f>
        <v/>
      </c>
      <c r="Q7" s="148" t="str">
        <f ca="1">C8</f>
        <v>1. FC Riedwald</v>
      </c>
      <c r="R7" s="149" t="str">
        <f ca="1">C9</f>
        <v>Inter Mailand</v>
      </c>
      <c r="S7" s="149" t="str">
        <f ca="1">C10</f>
        <v/>
      </c>
      <c r="T7" s="149" t="str">
        <f ca="1">C11</f>
        <v/>
      </c>
      <c r="U7" s="149" t="str">
        <f ca="1">C12</f>
        <v/>
      </c>
      <c r="V7" s="149" t="str">
        <f ca="1">C13</f>
        <v/>
      </c>
      <c r="W7" s="149" t="str">
        <f ca="1">C14</f>
        <v/>
      </c>
      <c r="X7" s="149" t="str">
        <f ca="1">C15</f>
        <v/>
      </c>
      <c r="Y7" s="178" t="str">
        <f ca="1">C16</f>
        <v/>
      </c>
    </row>
    <row r="8" spans="2:26" ht="21.95" customHeight="1" x14ac:dyDescent="0.2">
      <c r="B8" s="125">
        <f ca="1">IF($C8="","",INDEX(Results!$L$10:$L$18,MATCH($C8,Results!$M$10:$M$18,0)))</f>
        <v>5</v>
      </c>
      <c r="C8" s="138" t="str">
        <f ca="1">IF(Calc!$K$13=0,"",Calc!$X4)</f>
        <v>1. FC Riedwald</v>
      </c>
      <c r="D8" s="142">
        <f ca="1">IF($C8="","",VLOOKUP($C8,Calc!$C$17:$AC$25,25,0))</f>
        <v>1</v>
      </c>
      <c r="E8" s="120">
        <f ca="1">IF($C8="","",VLOOKUP($C8,Calc!$C$17:$AC$25,26,0))</f>
        <v>0</v>
      </c>
      <c r="F8" s="120" t="str">
        <f ca="1">IF($C8="","",VLOOKUP($C8,Calc!$C$17:$AC$25,27,0)&amp;Language!$E$66&amp;(VLOOKUP($C8,Calc!$C$17:$AC$25,27,0)-$E8))</f>
        <v>1 - 1</v>
      </c>
      <c r="G8" s="175">
        <f ca="1">IF(C8="","",VLOOKUP(C8,'Fair-Play und Los'!$C$7:$D$15,2,0))</f>
        <v>0</v>
      </c>
      <c r="H8" s="155"/>
      <c r="I8" s="120" t="str">
        <f ca="1">IFERROR(VLOOKUP($C8&amp;I$7,Calc!$Z$64:$AB$207,3,0),"")</f>
        <v>1 - 1</v>
      </c>
      <c r="J8" s="120" t="str">
        <f ca="1">IFERROR(VLOOKUP($C8&amp;J$7,Calc!$Z$64:$AB$207,3,0),"")</f>
        <v/>
      </c>
      <c r="K8" s="120" t="str">
        <f ca="1">IFERROR(VLOOKUP($C8&amp;K$7,Calc!$Z$64:$AB$207,3,0),"")</f>
        <v/>
      </c>
      <c r="L8" s="120" t="str">
        <f ca="1">IFERROR(VLOOKUP($C8&amp;L$7,Calc!$Z$64:$AB$207,3,0),"")</f>
        <v/>
      </c>
      <c r="M8" s="120" t="str">
        <f ca="1">IFERROR(VLOOKUP($C8&amp;M$7,Calc!$Z$64:$AB$207,3,0),"")</f>
        <v/>
      </c>
      <c r="N8" s="120" t="str">
        <f ca="1">IFERROR(VLOOKUP($C8&amp;N$7,Calc!$Z$64:$AB$207,3,0),"")</f>
        <v/>
      </c>
      <c r="O8" s="120" t="str">
        <f ca="1">IFERROR(VLOOKUP($C8&amp;O$7,Calc!$Z$64:$AB$207,3,0),"")</f>
        <v/>
      </c>
      <c r="P8" s="145" t="str">
        <f ca="1">IFERROR(VLOOKUP($C8&amp;P$7,Calc!$Z$64:$AB$207,3,0),"")</f>
        <v/>
      </c>
      <c r="Q8" s="134"/>
      <c r="R8" s="120" t="str">
        <f ca="1">IFERROR(VLOOKUP($C8&amp;R$7,Calc!$AC$64:$AD$207,2,0),"")</f>
        <v/>
      </c>
      <c r="S8" s="120" t="str">
        <f ca="1">IFERROR(VLOOKUP($C8&amp;S$7,Calc!$AC$64:$AD$207,2,0),"")</f>
        <v/>
      </c>
      <c r="T8" s="120" t="str">
        <f ca="1">IFERROR(VLOOKUP($C8&amp;T$7,Calc!$AC$64:$AD$207,2,0),"")</f>
        <v/>
      </c>
      <c r="U8" s="120" t="str">
        <f ca="1">IFERROR(VLOOKUP($C8&amp;U$7,Calc!$AC$64:$AD$207,2,0),"")</f>
        <v/>
      </c>
      <c r="V8" s="120" t="str">
        <f ca="1">IFERROR(VLOOKUP($C8&amp;V$7,Calc!$AC$64:$AD$207,2,0),"")</f>
        <v/>
      </c>
      <c r="W8" s="120" t="str">
        <f ca="1">IFERROR(VLOOKUP($C8&amp;W$7,Calc!$AC$64:$AD$207,2,0),"")</f>
        <v/>
      </c>
      <c r="X8" s="120" t="str">
        <f ca="1">IFERROR(VLOOKUP($C8&amp;X$7,Calc!$AC$64:$AD$207,2,0),"")</f>
        <v/>
      </c>
      <c r="Y8" s="179" t="str">
        <f ca="1">IFERROR(VLOOKUP($C8&amp;Y$7,Calc!$AC$64:$AD$207,2,0),"")</f>
        <v/>
      </c>
      <c r="Z8" s="253" t="str">
        <f ca="1">C8</f>
        <v>1. FC Riedwald</v>
      </c>
    </row>
    <row r="9" spans="2:26" ht="21.95" customHeight="1" x14ac:dyDescent="0.2">
      <c r="B9" s="125">
        <f ca="1">IF($C9="","",INDEX(Results!$L$10:$L$18,MATCH($C9,Results!$M$10:$M$18,0)))</f>
        <v>5</v>
      </c>
      <c r="C9" s="139" t="str">
        <f ca="1">IF(Calc!$K$13=0,"",Calc!$X5)</f>
        <v>Inter Mailand</v>
      </c>
      <c r="D9" s="143">
        <f ca="1">IF($C9="","",VLOOKUP($C9,Calc!$C$17:$AC$25,25,0))</f>
        <v>1</v>
      </c>
      <c r="E9" s="121">
        <f ca="1">IF($C9="","",VLOOKUP($C9,Calc!$C$17:$AC$25,26,0))</f>
        <v>0</v>
      </c>
      <c r="F9" s="121" t="str">
        <f ca="1">IF($C9="","",VLOOKUP($C9,Calc!$C$17:$AC$25,27,0)&amp;Language!$E$66&amp;(VLOOKUP($C9,Calc!$C$17:$AC$25,27,0)-$E9))</f>
        <v>1 - 1</v>
      </c>
      <c r="G9" s="176">
        <f ca="1">IF(C9="","",VLOOKUP(C9,'Fair-Play und Los'!$C$7:$D$15,2,0))</f>
        <v>0</v>
      </c>
      <c r="H9" s="156" t="str">
        <f ca="1">IFERROR(VLOOKUP($C9&amp;H$7,Calc!$Z$64:$AB$207,3,0),"")</f>
        <v>1 - 1</v>
      </c>
      <c r="I9" s="133"/>
      <c r="J9" s="121" t="str">
        <f ca="1">IFERROR(VLOOKUP($C9&amp;J$7,Calc!$Z$64:$AB$207,3,0),"")</f>
        <v/>
      </c>
      <c r="K9" s="121" t="str">
        <f ca="1">IFERROR(VLOOKUP($C9&amp;K$7,Calc!$Z$64:$AB$207,3,0),"")</f>
        <v/>
      </c>
      <c r="L9" s="121" t="str">
        <f ca="1">IFERROR(VLOOKUP($C9&amp;L$7,Calc!$Z$64:$AB$207,3,0),"")</f>
        <v/>
      </c>
      <c r="M9" s="121" t="str">
        <f ca="1">IFERROR(VLOOKUP($C9&amp;M$7,Calc!$Z$64:$AB$207,3,0),"")</f>
        <v/>
      </c>
      <c r="N9" s="121" t="str">
        <f ca="1">IFERROR(VLOOKUP($C9&amp;N$7,Calc!$Z$64:$AB$207,3,0),"")</f>
        <v/>
      </c>
      <c r="O9" s="121" t="str">
        <f ca="1">IFERROR(VLOOKUP($C9&amp;O$7,Calc!$Z$64:$AB$207,3,0),"")</f>
        <v/>
      </c>
      <c r="P9" s="146" t="str">
        <f ca="1">IFERROR(VLOOKUP($C9&amp;P$7,Calc!$Z$64:$AB$207,3,0),"")</f>
        <v/>
      </c>
      <c r="Q9" s="135" t="str">
        <f ca="1">IFERROR(VLOOKUP($C9&amp;Q$7,Calc!$AC$64:$AD$207,2,0),"")</f>
        <v/>
      </c>
      <c r="R9" s="133"/>
      <c r="S9" s="121" t="str">
        <f ca="1">IFERROR(VLOOKUP($C9&amp;S$7,Calc!$AC$64:$AD$207,2,0),"")</f>
        <v/>
      </c>
      <c r="T9" s="121" t="str">
        <f ca="1">IFERROR(VLOOKUP($C9&amp;T$7,Calc!$AC$64:$AD$207,2,0),"")</f>
        <v/>
      </c>
      <c r="U9" s="121" t="str">
        <f ca="1">IFERROR(VLOOKUP($C9&amp;U$7,Calc!$AC$64:$AD$207,2,0),"")</f>
        <v/>
      </c>
      <c r="V9" s="121" t="str">
        <f ca="1">IFERROR(VLOOKUP($C9&amp;V$7,Calc!$AC$64:$AD$207,2,0),"")</f>
        <v/>
      </c>
      <c r="W9" s="121" t="str">
        <f ca="1">IFERROR(VLOOKUP($C9&amp;W$7,Calc!$AC$64:$AD$207,2,0),"")</f>
        <v/>
      </c>
      <c r="X9" s="121" t="str">
        <f ca="1">IFERROR(VLOOKUP($C9&amp;X$7,Calc!$AC$64:$AD$207,2,0),"")</f>
        <v/>
      </c>
      <c r="Y9" s="180" t="str">
        <f ca="1">IFERROR(VLOOKUP($C9&amp;Y$7,Calc!$AC$64:$AD$207,2,0),"")</f>
        <v/>
      </c>
      <c r="Z9" s="254" t="str">
        <f t="shared" ref="Z9:Z16" ca="1" si="0">C9</f>
        <v>Inter Mailand</v>
      </c>
    </row>
    <row r="10" spans="2:26" ht="21.95" customHeight="1" x14ac:dyDescent="0.2">
      <c r="B10" s="125" t="str">
        <f ca="1">IF($C10="","",INDEX(Results!$L$10:$L$18,MATCH($C10,Results!$M$10:$M$18,0)))</f>
        <v/>
      </c>
      <c r="C10" s="139" t="str">
        <f ca="1">IF(Calc!$K$13=0,"",Calc!$X6)</f>
        <v/>
      </c>
      <c r="D10" s="143" t="str">
        <f ca="1">IF($C10="","",VLOOKUP($C10,Calc!$C$17:$AC$25,25,0))</f>
        <v/>
      </c>
      <c r="E10" s="121" t="str">
        <f ca="1">IF($C10="","",VLOOKUP($C10,Calc!$C$17:$AC$25,26,0))</f>
        <v/>
      </c>
      <c r="F10" s="121" t="str">
        <f ca="1">IF($C10="","",VLOOKUP($C10,Calc!$C$17:$AC$25,27,0)&amp;Language!$E$66&amp;(VLOOKUP($C10,Calc!$C$17:$AC$25,27,0)-$E10))</f>
        <v/>
      </c>
      <c r="G10" s="176" t="str">
        <f ca="1">IF(C10="","",VLOOKUP(C10,'Fair-Play und Los'!$C$7:$D$15,2,0))</f>
        <v/>
      </c>
      <c r="H10" s="156" t="str">
        <f ca="1">IFERROR(VLOOKUP($C10&amp;H$7,Calc!$Z$64:$AB$207,3,0),"")</f>
        <v/>
      </c>
      <c r="I10" s="121" t="str">
        <f ca="1">IFERROR(VLOOKUP($C10&amp;I$7,Calc!$Z$64:$AB$207,3,0),"")</f>
        <v/>
      </c>
      <c r="J10" s="133"/>
      <c r="K10" s="121" t="str">
        <f ca="1">IFERROR(VLOOKUP($C10&amp;K$7,Calc!$Z$64:$AB$207,3,0),"")</f>
        <v/>
      </c>
      <c r="L10" s="121" t="str">
        <f ca="1">IFERROR(VLOOKUP($C10&amp;L$7,Calc!$Z$64:$AB$207,3,0),"")</f>
        <v/>
      </c>
      <c r="M10" s="121" t="str">
        <f ca="1">IFERROR(VLOOKUP($C10&amp;M$7,Calc!$Z$64:$AB$207,3,0),"")</f>
        <v/>
      </c>
      <c r="N10" s="121" t="str">
        <f ca="1">IFERROR(VLOOKUP($C10&amp;N$7,Calc!$Z$64:$AB$207,3,0),"")</f>
        <v/>
      </c>
      <c r="O10" s="121" t="str">
        <f ca="1">IFERROR(VLOOKUP($C10&amp;O$7,Calc!$Z$64:$AB$207,3,0),"")</f>
        <v/>
      </c>
      <c r="P10" s="146" t="str">
        <f ca="1">IFERROR(VLOOKUP($C10&amp;P$7,Calc!$Z$64:$AB$207,3,0),"")</f>
        <v/>
      </c>
      <c r="Q10" s="135" t="str">
        <f ca="1">IFERROR(VLOOKUP($C10&amp;Q$7,Calc!$AC$64:$AD$207,2,0),"")</f>
        <v/>
      </c>
      <c r="R10" s="121" t="str">
        <f ca="1">IFERROR(VLOOKUP($C10&amp;R$7,Calc!$AC$64:$AD$207,2,0),"")</f>
        <v/>
      </c>
      <c r="S10" s="133"/>
      <c r="T10" s="121" t="str">
        <f ca="1">IFERROR(VLOOKUP($C10&amp;T$7,Calc!$AC$64:$AD$207,2,0),"")</f>
        <v/>
      </c>
      <c r="U10" s="121" t="str">
        <f ca="1">IFERROR(VLOOKUP($C10&amp;U$7,Calc!$AC$64:$AD$207,2,0),"")</f>
        <v/>
      </c>
      <c r="V10" s="121" t="str">
        <f ca="1">IFERROR(VLOOKUP($C10&amp;V$7,Calc!$AC$64:$AD$207,2,0),"")</f>
        <v/>
      </c>
      <c r="W10" s="121" t="str">
        <f ca="1">IFERROR(VLOOKUP($C10&amp;W$7,Calc!$AC$64:$AD$207,2,0),"")</f>
        <v/>
      </c>
      <c r="X10" s="121" t="str">
        <f ca="1">IFERROR(VLOOKUP($C10&amp;X$7,Calc!$AC$64:$AD$207,2,0),"")</f>
        <v/>
      </c>
      <c r="Y10" s="180" t="str">
        <f ca="1">IFERROR(VLOOKUP($C10&amp;Y$7,Calc!$AC$64:$AD$207,2,0),"")</f>
        <v/>
      </c>
      <c r="Z10" s="254" t="str">
        <f t="shared" ca="1" si="0"/>
        <v/>
      </c>
    </row>
    <row r="11" spans="2:26" ht="21.95" customHeight="1" x14ac:dyDescent="0.2">
      <c r="B11" s="125" t="str">
        <f ca="1">IF($C11="","",INDEX(Results!$L$10:$L$18,MATCH($C11,Results!$M$10:$M$18,0)))</f>
        <v/>
      </c>
      <c r="C11" s="139" t="str">
        <f ca="1">IF(Calc!$K$13=0,"",Calc!$X7)</f>
        <v/>
      </c>
      <c r="D11" s="143" t="str">
        <f ca="1">IF($C11="","",VLOOKUP($C11,Calc!$C$17:$AC$25,25,0))</f>
        <v/>
      </c>
      <c r="E11" s="121" t="str">
        <f ca="1">IF($C11="","",VLOOKUP($C11,Calc!$C$17:$AC$25,26,0))</f>
        <v/>
      </c>
      <c r="F11" s="121" t="str">
        <f ca="1">IF($C11="","",VLOOKUP($C11,Calc!$C$17:$AC$25,27,0)&amp;Language!$E$66&amp;(VLOOKUP($C11,Calc!$C$17:$AC$25,27,0)-$E11))</f>
        <v/>
      </c>
      <c r="G11" s="176" t="str">
        <f ca="1">IF(C11="","",VLOOKUP(C11,'Fair-Play und Los'!$C$7:$D$15,2,0))</f>
        <v/>
      </c>
      <c r="H11" s="156" t="str">
        <f ca="1">IFERROR(VLOOKUP($C11&amp;H$7,Calc!$Z$64:$AB$207,3,0),"")</f>
        <v/>
      </c>
      <c r="I11" s="121" t="str">
        <f ca="1">IFERROR(VLOOKUP($C11&amp;I$7,Calc!$Z$64:$AB$207,3,0),"")</f>
        <v/>
      </c>
      <c r="J11" s="121" t="str">
        <f ca="1">IFERROR(VLOOKUP($C11&amp;J$7,Calc!$Z$64:$AB$207,3,0),"")</f>
        <v/>
      </c>
      <c r="K11" s="133"/>
      <c r="L11" s="121" t="str">
        <f ca="1">IFERROR(VLOOKUP($C11&amp;L$7,Calc!$Z$64:$AB$207,3,0),"")</f>
        <v/>
      </c>
      <c r="M11" s="121" t="str">
        <f ca="1">IFERROR(VLOOKUP($C11&amp;M$7,Calc!$Z$64:$AB$207,3,0),"")</f>
        <v/>
      </c>
      <c r="N11" s="121" t="str">
        <f ca="1">IFERROR(VLOOKUP($C11&amp;N$7,Calc!$Z$64:$AB$207,3,0),"")</f>
        <v/>
      </c>
      <c r="O11" s="121" t="str">
        <f ca="1">IFERROR(VLOOKUP($C11&amp;O$7,Calc!$Z$64:$AB$207,3,0),"")</f>
        <v/>
      </c>
      <c r="P11" s="146" t="str">
        <f ca="1">IFERROR(VLOOKUP($C11&amp;P$7,Calc!$Z$64:$AB$207,3,0),"")</f>
        <v/>
      </c>
      <c r="Q11" s="135" t="str">
        <f ca="1">IFERROR(VLOOKUP($C11&amp;Q$7,Calc!$AC$64:$AD$207,2,0),"")</f>
        <v/>
      </c>
      <c r="R11" s="121" t="str">
        <f ca="1">IFERROR(VLOOKUP($C11&amp;R$7,Calc!$AC$64:$AD$207,2,0),"")</f>
        <v/>
      </c>
      <c r="S11" s="121" t="str">
        <f ca="1">IFERROR(VLOOKUP($C11&amp;S$7,Calc!$AC$64:$AD$207,2,0),"")</f>
        <v/>
      </c>
      <c r="T11" s="133"/>
      <c r="U11" s="121" t="str">
        <f ca="1">IFERROR(VLOOKUP($C11&amp;U$7,Calc!$AC$64:$AD$207,2,0),"")</f>
        <v/>
      </c>
      <c r="V11" s="121" t="str">
        <f ca="1">IFERROR(VLOOKUP($C11&amp;V$7,Calc!$AC$64:$AD$207,2,0),"")</f>
        <v/>
      </c>
      <c r="W11" s="121" t="str">
        <f ca="1">IFERROR(VLOOKUP($C11&amp;W$7,Calc!$AC$64:$AD$207,2,0),"")</f>
        <v/>
      </c>
      <c r="X11" s="121" t="str">
        <f ca="1">IFERROR(VLOOKUP($C11&amp;X$7,Calc!$AC$64:$AD$207,2,0),"")</f>
        <v/>
      </c>
      <c r="Y11" s="180" t="str">
        <f ca="1">IFERROR(VLOOKUP($C11&amp;Y$7,Calc!$AC$64:$AD$207,2,0),"")</f>
        <v/>
      </c>
      <c r="Z11" s="254" t="str">
        <f t="shared" ca="1" si="0"/>
        <v/>
      </c>
    </row>
    <row r="12" spans="2:26" ht="21.95" customHeight="1" x14ac:dyDescent="0.2">
      <c r="B12" s="125" t="str">
        <f ca="1">IF($C12="","",INDEX(Results!$L$10:$L$18,MATCH($C12,Results!$M$10:$M$18,0)))</f>
        <v/>
      </c>
      <c r="C12" s="139" t="str">
        <f ca="1">IF(Calc!$K$13=0,"",Calc!$X8)</f>
        <v/>
      </c>
      <c r="D12" s="143" t="str">
        <f ca="1">IF($C12="","",VLOOKUP($C12,Calc!$C$17:$AC$25,25,0))</f>
        <v/>
      </c>
      <c r="E12" s="121" t="str">
        <f ca="1">IF($C12="","",VLOOKUP($C12,Calc!$C$17:$AC$25,26,0))</f>
        <v/>
      </c>
      <c r="F12" s="121" t="str">
        <f ca="1">IF($C12="","",VLOOKUP($C12,Calc!$C$17:$AC$25,27,0)&amp;Language!$E$66&amp;(VLOOKUP($C12,Calc!$C$17:$AC$25,27,0)-$E12))</f>
        <v/>
      </c>
      <c r="G12" s="176" t="str">
        <f ca="1">IF(C12="","",VLOOKUP(C12,'Fair-Play und Los'!$C$7:$D$15,2,0))</f>
        <v/>
      </c>
      <c r="H12" s="156" t="str">
        <f ca="1">IFERROR(VLOOKUP($C12&amp;H$7,Calc!$Z$64:$AB$207,3,0),"")</f>
        <v/>
      </c>
      <c r="I12" s="121" t="str">
        <f ca="1">IFERROR(VLOOKUP($C12&amp;I$7,Calc!$Z$64:$AB$207,3,0),"")</f>
        <v/>
      </c>
      <c r="J12" s="121" t="str">
        <f ca="1">IFERROR(VLOOKUP($C12&amp;J$7,Calc!$Z$64:$AB$207,3,0),"")</f>
        <v/>
      </c>
      <c r="K12" s="121" t="str">
        <f ca="1">IFERROR(VLOOKUP($C12&amp;K$7,Calc!$Z$64:$AB$207,3,0),"")</f>
        <v/>
      </c>
      <c r="L12" s="133"/>
      <c r="M12" s="121" t="str">
        <f ca="1">IFERROR(VLOOKUP($C12&amp;M$7,Calc!$Z$64:$AB$207,3,0),"")</f>
        <v/>
      </c>
      <c r="N12" s="121" t="str">
        <f ca="1">IFERROR(VLOOKUP($C12&amp;N$7,Calc!$Z$64:$AB$207,3,0),"")</f>
        <v/>
      </c>
      <c r="O12" s="121" t="str">
        <f ca="1">IFERROR(VLOOKUP($C12&amp;O$7,Calc!$Z$64:$AB$207,3,0),"")</f>
        <v/>
      </c>
      <c r="P12" s="146" t="str">
        <f ca="1">IFERROR(VLOOKUP($C12&amp;P$7,Calc!$Z$64:$AB$207,3,0),"")</f>
        <v/>
      </c>
      <c r="Q12" s="135" t="str">
        <f ca="1">IFERROR(VLOOKUP($C12&amp;Q$7,Calc!$AC$64:$AD$207,2,0),"")</f>
        <v/>
      </c>
      <c r="R12" s="121" t="str">
        <f ca="1">IFERROR(VLOOKUP($C12&amp;R$7,Calc!$AC$64:$AD$207,2,0),"")</f>
        <v/>
      </c>
      <c r="S12" s="121" t="str">
        <f ca="1">IFERROR(VLOOKUP($C12&amp;S$7,Calc!$AC$64:$AD$207,2,0),"")</f>
        <v/>
      </c>
      <c r="T12" s="121" t="str">
        <f ca="1">IFERROR(VLOOKUP($C12&amp;T$7,Calc!$AC$64:$AD$207,2,0),"")</f>
        <v/>
      </c>
      <c r="U12" s="133"/>
      <c r="V12" s="121" t="str">
        <f ca="1">IFERROR(VLOOKUP($C12&amp;V$7,Calc!$AC$64:$AD$207,2,0),"")</f>
        <v/>
      </c>
      <c r="W12" s="121" t="str">
        <f ca="1">IFERROR(VLOOKUP($C12&amp;W$7,Calc!$AC$64:$AD$207,2,0),"")</f>
        <v/>
      </c>
      <c r="X12" s="121" t="str">
        <f ca="1">IFERROR(VLOOKUP($C12&amp;X$7,Calc!$AC$64:$AD$207,2,0),"")</f>
        <v/>
      </c>
      <c r="Y12" s="180" t="str">
        <f ca="1">IFERROR(VLOOKUP($C12&amp;Y$7,Calc!$AC$64:$AD$207,2,0),"")</f>
        <v/>
      </c>
      <c r="Z12" s="254" t="str">
        <f t="shared" ca="1" si="0"/>
        <v/>
      </c>
    </row>
    <row r="13" spans="2:26" ht="21.95" customHeight="1" x14ac:dyDescent="0.2">
      <c r="B13" s="125" t="str">
        <f ca="1">IF($C13="","",INDEX(Results!$L$10:$L$18,MATCH($C13,Results!$M$10:$M$18,0)))</f>
        <v/>
      </c>
      <c r="C13" s="139" t="str">
        <f ca="1">IF(Calc!$K$13=0,"",Calc!$X9)</f>
        <v/>
      </c>
      <c r="D13" s="143" t="str">
        <f ca="1">IF($C13="","",VLOOKUP($C13,Calc!$C$17:$AC$25,25,0))</f>
        <v/>
      </c>
      <c r="E13" s="121" t="str">
        <f ca="1">IF($C13="","",VLOOKUP($C13,Calc!$C$17:$AC$25,26,0))</f>
        <v/>
      </c>
      <c r="F13" s="121" t="str">
        <f ca="1">IF($C13="","",VLOOKUP($C13,Calc!$C$17:$AC$25,27,0)&amp;Language!$E$66&amp;(VLOOKUP($C13,Calc!$C$17:$AC$25,27,0)-$E13))</f>
        <v/>
      </c>
      <c r="G13" s="176" t="str">
        <f ca="1">IF(C13="","",VLOOKUP(C13,'Fair-Play und Los'!$C$7:$D$15,2,0))</f>
        <v/>
      </c>
      <c r="H13" s="156" t="str">
        <f ca="1">IFERROR(VLOOKUP($C13&amp;H$7,Calc!$Z$64:$AB$207,3,0),"")</f>
        <v/>
      </c>
      <c r="I13" s="121" t="str">
        <f ca="1">IFERROR(VLOOKUP($C13&amp;I$7,Calc!$Z$64:$AB$207,3,0),"")</f>
        <v/>
      </c>
      <c r="J13" s="121" t="str">
        <f ca="1">IFERROR(VLOOKUP($C13&amp;J$7,Calc!$Z$64:$AB$207,3,0),"")</f>
        <v/>
      </c>
      <c r="K13" s="121" t="str">
        <f ca="1">IFERROR(VLOOKUP($C13&amp;K$7,Calc!$Z$64:$AB$207,3,0),"")</f>
        <v/>
      </c>
      <c r="L13" s="121" t="str">
        <f ca="1">IFERROR(VLOOKUP($C13&amp;L$7,Calc!$Z$64:$AB$207,3,0),"")</f>
        <v/>
      </c>
      <c r="M13" s="133"/>
      <c r="N13" s="121" t="str">
        <f ca="1">IFERROR(VLOOKUP($C13&amp;N$7,Calc!$Z$64:$AB$207,3,0),"")</f>
        <v/>
      </c>
      <c r="O13" s="121" t="str">
        <f ca="1">IFERROR(VLOOKUP($C13&amp;O$7,Calc!$Z$64:$AB$207,3,0),"")</f>
        <v/>
      </c>
      <c r="P13" s="146" t="str">
        <f ca="1">IFERROR(VLOOKUP($C13&amp;P$7,Calc!$Z$64:$AB$207,3,0),"")</f>
        <v/>
      </c>
      <c r="Q13" s="135" t="str">
        <f ca="1">IFERROR(VLOOKUP($C13&amp;Q$7,Calc!$AC$64:$AD$207,2,0),"")</f>
        <v/>
      </c>
      <c r="R13" s="121" t="str">
        <f ca="1">IFERROR(VLOOKUP($C13&amp;R$7,Calc!$AC$64:$AD$207,2,0),"")</f>
        <v/>
      </c>
      <c r="S13" s="121" t="str">
        <f ca="1">IFERROR(VLOOKUP($C13&amp;S$7,Calc!$AC$64:$AD$207,2,0),"")</f>
        <v/>
      </c>
      <c r="T13" s="121" t="str">
        <f ca="1">IFERROR(VLOOKUP($C13&amp;T$7,Calc!$AC$64:$AD$207,2,0),"")</f>
        <v/>
      </c>
      <c r="U13" s="121" t="str">
        <f ca="1">IFERROR(VLOOKUP($C13&amp;U$7,Calc!$AC$64:$AD$207,2,0),"")</f>
        <v/>
      </c>
      <c r="V13" s="133"/>
      <c r="W13" s="121" t="str">
        <f ca="1">IFERROR(VLOOKUP($C13&amp;W$7,Calc!$AC$64:$AD$207,2,0),"")</f>
        <v/>
      </c>
      <c r="X13" s="121" t="str">
        <f ca="1">IFERROR(VLOOKUP($C13&amp;X$7,Calc!$AC$64:$AD$207,2,0),"")</f>
        <v/>
      </c>
      <c r="Y13" s="180" t="str">
        <f ca="1">IFERROR(VLOOKUP($C13&amp;Y$7,Calc!$AC$64:$AD$207,2,0),"")</f>
        <v/>
      </c>
      <c r="Z13" s="254" t="str">
        <f t="shared" ca="1" si="0"/>
        <v/>
      </c>
    </row>
    <row r="14" spans="2:26" ht="21.95" customHeight="1" x14ac:dyDescent="0.2">
      <c r="B14" s="125" t="str">
        <f ca="1">IF($C14="","",INDEX(Results!$L$10:$L$18,MATCH($C14,Results!$M$10:$M$18,0)))</f>
        <v/>
      </c>
      <c r="C14" s="139" t="str">
        <f ca="1">IF(Calc!$K$13=0,"",Calc!$X10)</f>
        <v/>
      </c>
      <c r="D14" s="143" t="str">
        <f ca="1">IF($C14="","",VLOOKUP($C14,Calc!$C$17:$AC$25,25,0))</f>
        <v/>
      </c>
      <c r="E14" s="121" t="str">
        <f ca="1">IF($C14="","",VLOOKUP($C14,Calc!$C$17:$AC$25,26,0))</f>
        <v/>
      </c>
      <c r="F14" s="121" t="str">
        <f ca="1">IF($C14="","",VLOOKUP($C14,Calc!$C$17:$AC$25,27,0)&amp;Language!$E$66&amp;(VLOOKUP($C14,Calc!$C$17:$AC$25,27,0)-$E14))</f>
        <v/>
      </c>
      <c r="G14" s="176" t="str">
        <f ca="1">IF(C14="","",VLOOKUP(C14,'Fair-Play und Los'!$C$7:$D$15,2,0))</f>
        <v/>
      </c>
      <c r="H14" s="156" t="str">
        <f ca="1">IFERROR(VLOOKUP($C14&amp;H$7,Calc!$Z$64:$AB$207,3,0),"")</f>
        <v/>
      </c>
      <c r="I14" s="121" t="str">
        <f ca="1">IFERROR(VLOOKUP($C14&amp;I$7,Calc!$Z$64:$AB$207,3,0),"")</f>
        <v/>
      </c>
      <c r="J14" s="121" t="str">
        <f ca="1">IFERROR(VLOOKUP($C14&amp;J$7,Calc!$Z$64:$AB$207,3,0),"")</f>
        <v/>
      </c>
      <c r="K14" s="121" t="str">
        <f ca="1">IFERROR(VLOOKUP($C14&amp;K$7,Calc!$Z$64:$AB$207,3,0),"")</f>
        <v/>
      </c>
      <c r="L14" s="121" t="str">
        <f ca="1">IFERROR(VLOOKUP($C14&amp;L$7,Calc!$Z$64:$AB$207,3,0),"")</f>
        <v/>
      </c>
      <c r="M14" s="121" t="str">
        <f ca="1">IFERROR(VLOOKUP($C14&amp;M$7,Calc!$Z$64:$AB$207,3,0),"")</f>
        <v/>
      </c>
      <c r="N14" s="133"/>
      <c r="O14" s="121" t="str">
        <f ca="1">IFERROR(VLOOKUP($C14&amp;O$7,Calc!$Z$64:$AB$207,3,0),"")</f>
        <v/>
      </c>
      <c r="P14" s="146" t="str">
        <f ca="1">IFERROR(VLOOKUP($C14&amp;P$7,Calc!$Z$64:$AB$207,3,0),"")</f>
        <v/>
      </c>
      <c r="Q14" s="135" t="str">
        <f ca="1">IFERROR(VLOOKUP($C14&amp;Q$7,Calc!$AC$64:$AD$207,2,0),"")</f>
        <v/>
      </c>
      <c r="R14" s="121" t="str">
        <f ca="1">IFERROR(VLOOKUP($C14&amp;R$7,Calc!$AC$64:$AD$207,2,0),"")</f>
        <v/>
      </c>
      <c r="S14" s="121" t="str">
        <f ca="1">IFERROR(VLOOKUP($C14&amp;S$7,Calc!$AC$64:$AD$207,2,0),"")</f>
        <v/>
      </c>
      <c r="T14" s="121" t="str">
        <f ca="1">IFERROR(VLOOKUP($C14&amp;T$7,Calc!$AC$64:$AD$207,2,0),"")</f>
        <v/>
      </c>
      <c r="U14" s="121" t="str">
        <f ca="1">IFERROR(VLOOKUP($C14&amp;U$7,Calc!$AC$64:$AD$207,2,0),"")</f>
        <v/>
      </c>
      <c r="V14" s="121" t="str">
        <f ca="1">IFERROR(VLOOKUP($C14&amp;V$7,Calc!$AC$64:$AD$207,2,0),"")</f>
        <v/>
      </c>
      <c r="W14" s="133"/>
      <c r="X14" s="121" t="str">
        <f ca="1">IFERROR(VLOOKUP($C14&amp;X$7,Calc!$AC$64:$AD$207,2,0),"")</f>
        <v/>
      </c>
      <c r="Y14" s="180" t="str">
        <f ca="1">IFERROR(VLOOKUP($C14&amp;Y$7,Calc!$AC$64:$AD$207,2,0),"")</f>
        <v/>
      </c>
      <c r="Z14" s="254" t="str">
        <f t="shared" ca="1" si="0"/>
        <v/>
      </c>
    </row>
    <row r="15" spans="2:26" ht="21.95" customHeight="1" x14ac:dyDescent="0.2">
      <c r="B15" s="125" t="str">
        <f ca="1">IF($C15="","",INDEX(Results!$L$10:$L$18,MATCH($C15,Results!$M$10:$M$18,0)))</f>
        <v/>
      </c>
      <c r="C15" s="139" t="str">
        <f ca="1">IF(Calc!$K$13=0,"",Calc!$X11)</f>
        <v/>
      </c>
      <c r="D15" s="143" t="str">
        <f ca="1">IF($C15="","",VLOOKUP($C15,Calc!$C$17:$AC$25,25,0))</f>
        <v/>
      </c>
      <c r="E15" s="121" t="str">
        <f ca="1">IF($C15="","",VLOOKUP($C15,Calc!$C$17:$AC$25,26,0))</f>
        <v/>
      </c>
      <c r="F15" s="121" t="str">
        <f ca="1">IF($C15="","",VLOOKUP($C15,Calc!$C$17:$AC$25,27,0)&amp;Language!$E$66&amp;(VLOOKUP($C15,Calc!$C$17:$AC$25,27,0)-$E15))</f>
        <v/>
      </c>
      <c r="G15" s="176" t="str">
        <f ca="1">IF(C15="","",VLOOKUP(C15,'Fair-Play und Los'!$C$7:$D$15,2,0))</f>
        <v/>
      </c>
      <c r="H15" s="156" t="str">
        <f ca="1">IFERROR(VLOOKUP($C15&amp;H$7,Calc!$Z$64:$AB$207,3,0),"")</f>
        <v/>
      </c>
      <c r="I15" s="121" t="str">
        <f ca="1">IFERROR(VLOOKUP($C15&amp;I$7,Calc!$Z$64:$AB$207,3,0),"")</f>
        <v/>
      </c>
      <c r="J15" s="121" t="str">
        <f ca="1">IFERROR(VLOOKUP($C15&amp;J$7,Calc!$Z$64:$AB$207,3,0),"")</f>
        <v/>
      </c>
      <c r="K15" s="121" t="str">
        <f ca="1">IFERROR(VLOOKUP($C15&amp;K$7,Calc!$Z$64:$AB$207,3,0),"")</f>
        <v/>
      </c>
      <c r="L15" s="121" t="str">
        <f ca="1">IFERROR(VLOOKUP($C15&amp;L$7,Calc!$Z$64:$AB$207,3,0),"")</f>
        <v/>
      </c>
      <c r="M15" s="121" t="str">
        <f ca="1">IFERROR(VLOOKUP($C15&amp;M$7,Calc!$Z$64:$AB$207,3,0),"")</f>
        <v/>
      </c>
      <c r="N15" s="121" t="str">
        <f ca="1">IFERROR(VLOOKUP($C15&amp;N$7,Calc!$Z$64:$AB$207,3,0),"")</f>
        <v/>
      </c>
      <c r="O15" s="133"/>
      <c r="P15" s="146" t="str">
        <f ca="1">IFERROR(VLOOKUP($C15&amp;P$7,Calc!$Z$64:$AB$207,3,0),"")</f>
        <v/>
      </c>
      <c r="Q15" s="135" t="str">
        <f ca="1">IFERROR(VLOOKUP($C15&amp;Q$7,Calc!$AC$64:$AD$207,2,0),"")</f>
        <v/>
      </c>
      <c r="R15" s="121" t="str">
        <f ca="1">IFERROR(VLOOKUP($C15&amp;R$7,Calc!$AC$64:$AD$207,2,0),"")</f>
        <v/>
      </c>
      <c r="S15" s="121" t="str">
        <f ca="1">IFERROR(VLOOKUP($C15&amp;S$7,Calc!$AC$64:$AD$207,2,0),"")</f>
        <v/>
      </c>
      <c r="T15" s="121" t="str">
        <f ca="1">IFERROR(VLOOKUP($C15&amp;T$7,Calc!$AC$64:$AD$207,2,0),"")</f>
        <v/>
      </c>
      <c r="U15" s="121" t="str">
        <f ca="1">IFERROR(VLOOKUP($C15&amp;U$7,Calc!$AC$64:$AD$207,2,0),"")</f>
        <v/>
      </c>
      <c r="V15" s="121" t="str">
        <f ca="1">IFERROR(VLOOKUP($C15&amp;V$7,Calc!$AC$64:$AD$207,2,0),"")</f>
        <v/>
      </c>
      <c r="W15" s="121" t="str">
        <f ca="1">IFERROR(VLOOKUP($C15&amp;W$7,Calc!$AC$64:$AD$207,2,0),"")</f>
        <v/>
      </c>
      <c r="X15" s="133"/>
      <c r="Y15" s="180" t="str">
        <f ca="1">IFERROR(VLOOKUP($C15&amp;Y$7,Calc!$AC$64:$AD$207,2,0),"")</f>
        <v/>
      </c>
      <c r="Z15" s="254" t="str">
        <f t="shared" ca="1" si="0"/>
        <v/>
      </c>
    </row>
    <row r="16" spans="2:26" ht="21.95" customHeight="1" thickBot="1" x14ac:dyDescent="0.25">
      <c r="B16" s="126" t="str">
        <f ca="1">IF($C16="","",INDEX(Results!$L$10:$L$18,MATCH($C16,Results!$M$10:$M$18,0)))</f>
        <v/>
      </c>
      <c r="C16" s="140" t="str">
        <f ca="1">IF(Calc!$K$13=0,"",Calc!$X12)</f>
        <v/>
      </c>
      <c r="D16" s="144" t="str">
        <f ca="1">IF($C16="","",VLOOKUP($C16,Calc!$C$17:$AC$25,25,0))</f>
        <v/>
      </c>
      <c r="E16" s="122" t="str">
        <f ca="1">IF($C16="","",VLOOKUP($C16,Calc!$C$17:$AC$25,26,0))</f>
        <v/>
      </c>
      <c r="F16" s="122" t="str">
        <f ca="1">IF($C16="","",VLOOKUP($C16,Calc!$C$17:$AC$25,27,0)&amp;Language!$E$66&amp;(VLOOKUP($C16,Calc!$C$17:$AC$25,27,0)-$E16))</f>
        <v/>
      </c>
      <c r="G16" s="177" t="str">
        <f ca="1">IF(C16="","",VLOOKUP(C16,'Fair-Play und Los'!$C$7:$D$15,2,0))</f>
        <v/>
      </c>
      <c r="H16" s="157" t="str">
        <f ca="1">IFERROR(VLOOKUP($C16&amp;H$7,Calc!$Z$64:$AB$207,3,0),"")</f>
        <v/>
      </c>
      <c r="I16" s="122" t="str">
        <f ca="1">IFERROR(VLOOKUP($C16&amp;I$7,Calc!$Z$64:$AB$207,3,0),"")</f>
        <v/>
      </c>
      <c r="J16" s="122" t="str">
        <f ca="1">IFERROR(VLOOKUP($C16&amp;J$7,Calc!$Z$64:$AB$207,3,0),"")</f>
        <v/>
      </c>
      <c r="K16" s="122" t="str">
        <f ca="1">IFERROR(VLOOKUP($C16&amp;K$7,Calc!$Z$64:$AB$207,3,0),"")</f>
        <v/>
      </c>
      <c r="L16" s="122" t="str">
        <f ca="1">IFERROR(VLOOKUP($C16&amp;L$7,Calc!$Z$64:$AB$207,3,0),"")</f>
        <v/>
      </c>
      <c r="M16" s="122" t="str">
        <f ca="1">IFERROR(VLOOKUP($C16&amp;M$7,Calc!$Z$64:$AB$207,3,0),"")</f>
        <v/>
      </c>
      <c r="N16" s="122" t="str">
        <f ca="1">IFERROR(VLOOKUP($C16&amp;N$7,Calc!$Z$64:$AB$207,3,0),"")</f>
        <v/>
      </c>
      <c r="O16" s="122" t="str">
        <f ca="1">IFERROR(VLOOKUP($C16&amp;O$7,Calc!$Z$64:$AB$207,3,0),"")</f>
        <v/>
      </c>
      <c r="P16" s="147"/>
      <c r="Q16" s="136" t="str">
        <f ca="1">IFERROR(VLOOKUP($C16&amp;Q$7,Calc!$AC$64:$AD$207,2,0),"")</f>
        <v/>
      </c>
      <c r="R16" s="122" t="str">
        <f ca="1">IFERROR(VLOOKUP($C16&amp;R$7,Calc!$AC$64:$AD$207,2,0),"")</f>
        <v/>
      </c>
      <c r="S16" s="122" t="str">
        <f ca="1">IFERROR(VLOOKUP($C16&amp;S$7,Calc!$AC$64:$AD$207,2,0),"")</f>
        <v/>
      </c>
      <c r="T16" s="122" t="str">
        <f ca="1">IFERROR(VLOOKUP($C16&amp;T$7,Calc!$AC$64:$AD$207,2,0),"")</f>
        <v/>
      </c>
      <c r="U16" s="122" t="str">
        <f ca="1">IFERROR(VLOOKUP($C16&amp;U$7,Calc!$AC$64:$AD$207,2,0),"")</f>
        <v/>
      </c>
      <c r="V16" s="122" t="str">
        <f ca="1">IFERROR(VLOOKUP($C16&amp;V$7,Calc!$AC$64:$AD$207,2,0),"")</f>
        <v/>
      </c>
      <c r="W16" s="122" t="str">
        <f ca="1">IFERROR(VLOOKUP($C16&amp;W$7,Calc!$AC$64:$AD$207,2,0),"")</f>
        <v/>
      </c>
      <c r="X16" s="122" t="str">
        <f ca="1">IFERROR(VLOOKUP($C16&amp;X$7,Calc!$AC$64:$AD$207,2,0),"")</f>
        <v/>
      </c>
      <c r="Y16" s="181"/>
      <c r="Z16" s="255" t="str">
        <f t="shared" ca="1" si="0"/>
        <v/>
      </c>
    </row>
    <row r="17" spans="2:26" ht="42.75" customHeight="1" thickTop="1" thickBot="1" x14ac:dyDescent="0.25">
      <c r="B17" s="151"/>
      <c r="C17" s="152"/>
      <c r="D17" s="153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54"/>
      <c r="Q17" s="132"/>
      <c r="R17" s="132"/>
      <c r="S17" s="132"/>
      <c r="T17" s="132"/>
      <c r="U17" s="132"/>
      <c r="V17" s="132"/>
      <c r="W17" s="132"/>
      <c r="X17" s="132"/>
      <c r="Y17" s="154"/>
    </row>
    <row r="18" spans="2:26" ht="21.95" customHeight="1" thickBot="1" x14ac:dyDescent="0.25">
      <c r="H18" s="419" t="str">
        <f ca="1">IF(LEN(H19)&gt;Results!$F$2,LEFT(H19,Results!$F$2)&amp;".",H19)</f>
        <v/>
      </c>
      <c r="I18" s="420" t="str">
        <f ca="1">IF(LEN(I19)&gt;Results!$F$2,LEFT(I19,Results!$F$2)&amp;".",I19)</f>
        <v/>
      </c>
      <c r="J18" s="420" t="str">
        <f ca="1">IF(LEN(J19)&gt;Results!$F$2,LEFT(J19,Results!$F$2)&amp;".",J19)</f>
        <v/>
      </c>
      <c r="K18" s="420" t="str">
        <f ca="1">IF(LEN(K19)&gt;Results!$F$2,LEFT(K19,Results!$F$2)&amp;".",K19)</f>
        <v/>
      </c>
      <c r="L18" s="420" t="str">
        <f ca="1">IF(LEN(L19)&gt;Results!$F$2,LEFT(L19,Results!$F$2)&amp;".",L19)</f>
        <v/>
      </c>
      <c r="M18" s="420" t="str">
        <f ca="1">IF(LEN(M19)&gt;Results!$F$2,LEFT(M19,Results!$F$2)&amp;".",M19)</f>
        <v/>
      </c>
      <c r="N18" s="420" t="str">
        <f ca="1">IF(LEN(N19)&gt;Results!$F$2,LEFT(N19,Results!$F$2)&amp;".",N19)</f>
        <v/>
      </c>
      <c r="O18" s="420" t="str">
        <f ca="1">IF(LEN(O19)&gt;Results!$F$2,LEFT(O19,Results!$F$2)&amp;".",O19)</f>
        <v/>
      </c>
      <c r="P18" s="421" t="str">
        <f ca="1">IF(LEN(P19)&gt;Results!$F$2,LEFT(P19,Results!$F$2)&amp;".",P19)</f>
        <v/>
      </c>
      <c r="Q18" s="422" t="str">
        <f ca="1">IF(LEN(Q19)&gt;Results!$F$2,LEFT(Q19,Results!$F$2)&amp;".",Q19)</f>
        <v/>
      </c>
      <c r="R18" s="420" t="str">
        <f ca="1">IF(LEN(R19)&gt;Results!$F$2,LEFT(R19,Results!$F$2)&amp;".",R19)</f>
        <v/>
      </c>
      <c r="S18" s="420" t="str">
        <f ca="1">IF(LEN(S19)&gt;Results!$F$2,LEFT(S19,Results!$F$2)&amp;".",S19)</f>
        <v/>
      </c>
      <c r="T18" s="420" t="str">
        <f ca="1">IF(LEN(T19)&gt;Results!$F$2,LEFT(T19,Results!$F$2)&amp;".",T19)</f>
        <v/>
      </c>
      <c r="U18" s="420" t="str">
        <f ca="1">IF(LEN(U19)&gt;Results!$F$2,LEFT(U19,Results!$F$2)&amp;".",U19)</f>
        <v/>
      </c>
      <c r="V18" s="420" t="str">
        <f ca="1">IF(LEN(V19)&gt;Results!$F$2,LEFT(V19,Results!$F$2)&amp;".",V19)</f>
        <v/>
      </c>
      <c r="W18" s="420" t="str">
        <f ca="1">IF(LEN(W19)&gt;Results!$F$2,LEFT(W19,Results!$F$2)&amp;".",W19)</f>
        <v/>
      </c>
      <c r="X18" s="420" t="str">
        <f ca="1">IF(LEN(X19)&gt;Results!$F$2,LEFT(X19,Results!$F$2)&amp;".",X19)</f>
        <v/>
      </c>
      <c r="Y18" s="421" t="str">
        <f ca="1">IF(LEN(Y19)&gt;Results!$F$2,LEFT(Y19,Results!$F$2)&amp;".",Y19)</f>
        <v/>
      </c>
    </row>
    <row r="19" spans="2:26" ht="21.95" customHeight="1" thickTop="1" thickBot="1" x14ac:dyDescent="0.25">
      <c r="B19" s="127"/>
      <c r="C19" s="172" t="str">
        <f>Language!$E$10</f>
        <v>Participant or team</v>
      </c>
      <c r="D19" s="173" t="str">
        <f>Language!$E$27</f>
        <v>Pts</v>
      </c>
      <c r="E19" s="123" t="str">
        <f>Language!$E$26</f>
        <v>GD</v>
      </c>
      <c r="F19" s="123" t="str">
        <f>Language!$E$25</f>
        <v>Goals</v>
      </c>
      <c r="G19" s="174" t="str">
        <f>Language!$E$49</f>
        <v>bonus</v>
      </c>
      <c r="H19" s="148" t="str">
        <f ca="1">C20</f>
        <v/>
      </c>
      <c r="I19" s="149" t="str">
        <f ca="1">C21</f>
        <v/>
      </c>
      <c r="J19" s="149" t="str">
        <f ca="1">C22</f>
        <v/>
      </c>
      <c r="K19" s="149" t="str">
        <f ca="1">C23</f>
        <v/>
      </c>
      <c r="L19" s="149" t="str">
        <f ca="1">C24</f>
        <v/>
      </c>
      <c r="M19" s="149" t="str">
        <f ca="1">C25</f>
        <v/>
      </c>
      <c r="N19" s="149" t="str">
        <f ca="1">C26</f>
        <v/>
      </c>
      <c r="O19" s="149" t="str">
        <f ca="1">C27</f>
        <v/>
      </c>
      <c r="P19" s="150" t="str">
        <f ca="1">C28</f>
        <v/>
      </c>
      <c r="Q19" s="148" t="str">
        <f ca="1">C20</f>
        <v/>
      </c>
      <c r="R19" s="149" t="str">
        <f ca="1">C21</f>
        <v/>
      </c>
      <c r="S19" s="149" t="str">
        <f ca="1">C22</f>
        <v/>
      </c>
      <c r="T19" s="149" t="str">
        <f ca="1">C23</f>
        <v/>
      </c>
      <c r="U19" s="149" t="str">
        <f ca="1">C24</f>
        <v/>
      </c>
      <c r="V19" s="149" t="str">
        <f ca="1">C25</f>
        <v/>
      </c>
      <c r="W19" s="149" t="str">
        <f ca="1">C26</f>
        <v/>
      </c>
      <c r="X19" s="149" t="str">
        <f ca="1">C27</f>
        <v/>
      </c>
      <c r="Y19" s="178" t="str">
        <f ca="1">C28</f>
        <v/>
      </c>
    </row>
    <row r="20" spans="2:26" ht="21.95" customHeight="1" x14ac:dyDescent="0.2">
      <c r="B20" s="125" t="str">
        <f ca="1">IF($C20="","",INDEX(Results!$L$10:$L$18,MATCH($C20,Results!$M$10:$M$18,0)))</f>
        <v/>
      </c>
      <c r="C20" s="138" t="str">
        <f ca="1">IF(Calc!$K$13=0,"",Calc!$AC4)</f>
        <v/>
      </c>
      <c r="D20" s="142" t="str">
        <f ca="1">IF($C20="","",VLOOKUP($C20,Calc!$C$17:$AC$25,25,0))</f>
        <v/>
      </c>
      <c r="E20" s="120" t="str">
        <f ca="1">IF($C20="","",VLOOKUP($C20,Calc!$C$17:$AC$25,26,0))</f>
        <v/>
      </c>
      <c r="F20" s="120" t="str">
        <f ca="1">IF($C20="","",VLOOKUP($C20,Calc!$C$17:$AC$25,27,0)&amp;Language!$E$66&amp;(VLOOKUP($C20,Calc!$C$17:$AC$25,27,0)-$E20))</f>
        <v/>
      </c>
      <c r="G20" s="175" t="str">
        <f ca="1">IF(C20="","",VLOOKUP(C20,'Fair-Play und Los'!$C$7:$D$15,2,0))</f>
        <v/>
      </c>
      <c r="H20" s="155"/>
      <c r="I20" s="120" t="str">
        <f ca="1">IFERROR(VLOOKUP($C20&amp;I$19,Calc!$Z$64:$AB$207,3,0),"")</f>
        <v/>
      </c>
      <c r="J20" s="120" t="str">
        <f ca="1">IFERROR(VLOOKUP($C20&amp;J$19,Calc!$Z$64:$AB$207,3,0),"")</f>
        <v/>
      </c>
      <c r="K20" s="120" t="str">
        <f ca="1">IFERROR(VLOOKUP($C20&amp;K$19,Calc!$Z$64:$AB$207,3,0),"")</f>
        <v/>
      </c>
      <c r="L20" s="120" t="str">
        <f ca="1">IFERROR(VLOOKUP($C20&amp;L$19,Calc!$Z$64:$AB$207,3,0),"")</f>
        <v/>
      </c>
      <c r="M20" s="120" t="str">
        <f ca="1">IFERROR(VLOOKUP($C20&amp;M$19,Calc!$Z$64:$AB$207,3,0),"")</f>
        <v/>
      </c>
      <c r="N20" s="120" t="str">
        <f ca="1">IFERROR(VLOOKUP($C20&amp;N$19,Calc!$Z$64:$AB$207,3,0),"")</f>
        <v/>
      </c>
      <c r="O20" s="120" t="str">
        <f ca="1">IFERROR(VLOOKUP($C20&amp;O$19,Calc!$Z$64:$AB$207,3,0),"")</f>
        <v/>
      </c>
      <c r="P20" s="145" t="str">
        <f ca="1">IFERROR(VLOOKUP($C20&amp;P$19,Calc!$Z$64:$AB$207,3,0),"")</f>
        <v/>
      </c>
      <c r="Q20" s="134"/>
      <c r="R20" s="120" t="str">
        <f ca="1">IFERROR(VLOOKUP($C20&amp;R$19,Calc!$AC$64:$AD$207,2,0),"")</f>
        <v/>
      </c>
      <c r="S20" s="120" t="str">
        <f ca="1">IFERROR(VLOOKUP($C20&amp;S$19,Calc!$AC$64:$AD$207,2,0),"")</f>
        <v/>
      </c>
      <c r="T20" s="120" t="str">
        <f ca="1">IFERROR(VLOOKUP($C20&amp;T$19,Calc!$AC$64:$AD$207,2,0),"")</f>
        <v/>
      </c>
      <c r="U20" s="120" t="str">
        <f ca="1">IFERROR(VLOOKUP($C20&amp;U$19,Calc!$AC$64:$AD$207,2,0),"")</f>
        <v/>
      </c>
      <c r="V20" s="120" t="str">
        <f ca="1">IFERROR(VLOOKUP($C20&amp;V$19,Calc!$AC$64:$AD$207,2,0),"")</f>
        <v/>
      </c>
      <c r="W20" s="120" t="str">
        <f ca="1">IFERROR(VLOOKUP($C20&amp;W$19,Calc!$AC$64:$AD$207,2,0),"")</f>
        <v/>
      </c>
      <c r="X20" s="120" t="str">
        <f ca="1">IFERROR(VLOOKUP($C20&amp;X$19,Calc!$AC$64:$AD$207,2,0),"")</f>
        <v/>
      </c>
      <c r="Y20" s="179" t="str">
        <f ca="1">IFERROR(VLOOKUP($C20&amp;Y$19,Calc!$AC$64:$AD$207,2,0),"")</f>
        <v/>
      </c>
      <c r="Z20" s="253" t="str">
        <f ca="1">C20</f>
        <v/>
      </c>
    </row>
    <row r="21" spans="2:26" ht="21.95" customHeight="1" x14ac:dyDescent="0.2">
      <c r="B21" s="125" t="str">
        <f ca="1">IF($C21="","",INDEX(Results!$L$10:$L$18,MATCH($C21,Results!$M$10:$M$18,0)))</f>
        <v/>
      </c>
      <c r="C21" s="139" t="str">
        <f ca="1">IF(Calc!$K$13=0,"",Calc!$AC5)</f>
        <v/>
      </c>
      <c r="D21" s="143" t="str">
        <f ca="1">IF($C21="","",VLOOKUP($C21,Calc!$C$17:$AC$25,25,0))</f>
        <v/>
      </c>
      <c r="E21" s="121" t="str">
        <f ca="1">IF($C21="","",VLOOKUP($C21,Calc!$C$17:$AC$25,26,0))</f>
        <v/>
      </c>
      <c r="F21" s="121" t="str">
        <f ca="1">IF($C21="","",VLOOKUP($C21,Calc!$C$17:$AC$25,27,0)&amp;Language!$E$66&amp;(VLOOKUP($C21,Calc!$C$17:$AC$25,27,0)-$E21))</f>
        <v/>
      </c>
      <c r="G21" s="176" t="str">
        <f ca="1">IF(C21="","",VLOOKUP(C21,'Fair-Play und Los'!$C$7:$D$15,2,0))</f>
        <v/>
      </c>
      <c r="H21" s="156" t="str">
        <f ca="1">IFERROR(VLOOKUP($C21&amp;H$19,Calc!$Z$64:$AB$207,3,0),"")</f>
        <v/>
      </c>
      <c r="I21" s="133"/>
      <c r="J21" s="121" t="str">
        <f ca="1">IFERROR(VLOOKUP($C21&amp;J$19,Calc!$Z$64:$AB$207,3,0),"")</f>
        <v/>
      </c>
      <c r="K21" s="121" t="str">
        <f ca="1">IFERROR(VLOOKUP($C21&amp;K$19,Calc!$Z$64:$AB$207,3,0),"")</f>
        <v/>
      </c>
      <c r="L21" s="121" t="str">
        <f ca="1">IFERROR(VLOOKUP($C21&amp;L$19,Calc!$Z$64:$AB$207,3,0),"")</f>
        <v/>
      </c>
      <c r="M21" s="121" t="str">
        <f ca="1">IFERROR(VLOOKUP($C21&amp;M$19,Calc!$Z$64:$AB$207,3,0),"")</f>
        <v/>
      </c>
      <c r="N21" s="121" t="str">
        <f ca="1">IFERROR(VLOOKUP($C21&amp;N$19,Calc!$Z$64:$AB$207,3,0),"")</f>
        <v/>
      </c>
      <c r="O21" s="121" t="str">
        <f ca="1">IFERROR(VLOOKUP($C21&amp;O$19,Calc!$Z$64:$AB$207,3,0),"")</f>
        <v/>
      </c>
      <c r="P21" s="146" t="str">
        <f ca="1">IFERROR(VLOOKUP($C21&amp;P$19,Calc!$Z$64:$AB$207,3,0),"")</f>
        <v/>
      </c>
      <c r="Q21" s="135" t="str">
        <f ca="1">IFERROR(VLOOKUP($C21&amp;Q$19,Calc!$AC$64:$AD$207,2,0),"")</f>
        <v/>
      </c>
      <c r="R21" s="133"/>
      <c r="S21" s="121" t="str">
        <f ca="1">IFERROR(VLOOKUP($C21&amp;S$19,Calc!$AC$64:$AD$207,2,0),"")</f>
        <v/>
      </c>
      <c r="T21" s="121" t="str">
        <f ca="1">IFERROR(VLOOKUP($C21&amp;T$19,Calc!$AC$64:$AD$207,2,0),"")</f>
        <v/>
      </c>
      <c r="U21" s="121" t="str">
        <f ca="1">IFERROR(VLOOKUP($C21&amp;U$19,Calc!$AC$64:$AD$207,2,0),"")</f>
        <v/>
      </c>
      <c r="V21" s="121" t="str">
        <f ca="1">IFERROR(VLOOKUP($C21&amp;V$19,Calc!$AC$64:$AD$207,2,0),"")</f>
        <v/>
      </c>
      <c r="W21" s="121" t="str">
        <f ca="1">IFERROR(VLOOKUP($C21&amp;W$19,Calc!$AC$64:$AD$207,2,0),"")</f>
        <v/>
      </c>
      <c r="X21" s="121" t="str">
        <f ca="1">IFERROR(VLOOKUP($C21&amp;X$19,Calc!$AC$64:$AD$207,2,0),"")</f>
        <v/>
      </c>
      <c r="Y21" s="180" t="str">
        <f ca="1">IFERROR(VLOOKUP($C21&amp;Y$19,Calc!$AC$64:$AD$207,2,0),"")</f>
        <v/>
      </c>
      <c r="Z21" s="254" t="str">
        <f t="shared" ref="Z21:Z28" ca="1" si="1">C21</f>
        <v/>
      </c>
    </row>
    <row r="22" spans="2:26" ht="21.95" customHeight="1" x14ac:dyDescent="0.2">
      <c r="B22" s="125" t="str">
        <f ca="1">IF($C22="","",INDEX(Results!$L$10:$L$18,MATCH($C22,Results!$M$10:$M$18,0)))</f>
        <v/>
      </c>
      <c r="C22" s="139" t="str">
        <f ca="1">IF(Calc!$K$13=0,"",Calc!$AC6)</f>
        <v/>
      </c>
      <c r="D22" s="143" t="str">
        <f ca="1">IF($C22="","",VLOOKUP($C22,Calc!$C$17:$AC$25,25,0))</f>
        <v/>
      </c>
      <c r="E22" s="121" t="str">
        <f ca="1">IF($C22="","",VLOOKUP($C22,Calc!$C$17:$AC$25,26,0))</f>
        <v/>
      </c>
      <c r="F22" s="121" t="str">
        <f ca="1">IF($C22="","",VLOOKUP($C22,Calc!$C$17:$AC$25,27,0)&amp;Language!$E$66&amp;(VLOOKUP($C22,Calc!$C$17:$AC$25,27,0)-$E22))</f>
        <v/>
      </c>
      <c r="G22" s="176" t="str">
        <f ca="1">IF(C22="","",VLOOKUP(C22,'Fair-Play und Los'!$C$7:$D$15,2,0))</f>
        <v/>
      </c>
      <c r="H22" s="156" t="str">
        <f ca="1">IFERROR(VLOOKUP($C22&amp;H$19,Calc!$Z$64:$AB$207,3,0),"")</f>
        <v/>
      </c>
      <c r="I22" s="121" t="str">
        <f ca="1">IFERROR(VLOOKUP($C22&amp;I$19,Calc!$Z$64:$AB$207,3,0),"")</f>
        <v/>
      </c>
      <c r="J22" s="133"/>
      <c r="K22" s="121" t="str">
        <f ca="1">IFERROR(VLOOKUP($C22&amp;K$19,Calc!$Z$64:$AB$207,3,0),"")</f>
        <v/>
      </c>
      <c r="L22" s="121" t="str">
        <f ca="1">IFERROR(VLOOKUP($C22&amp;L$19,Calc!$Z$64:$AB$207,3,0),"")</f>
        <v/>
      </c>
      <c r="M22" s="121" t="str">
        <f ca="1">IFERROR(VLOOKUP($C22&amp;M$19,Calc!$Z$64:$AB$207,3,0),"")</f>
        <v/>
      </c>
      <c r="N22" s="121" t="str">
        <f ca="1">IFERROR(VLOOKUP($C22&amp;N$19,Calc!$Z$64:$AB$207,3,0),"")</f>
        <v/>
      </c>
      <c r="O22" s="121" t="str">
        <f ca="1">IFERROR(VLOOKUP($C22&amp;O$19,Calc!$Z$64:$AB$207,3,0),"")</f>
        <v/>
      </c>
      <c r="P22" s="146" t="str">
        <f ca="1">IFERROR(VLOOKUP($C22&amp;P$19,Calc!$Z$64:$AB$207,3,0),"")</f>
        <v/>
      </c>
      <c r="Q22" s="135" t="str">
        <f ca="1">IFERROR(VLOOKUP($C22&amp;Q$19,Calc!$AC$64:$AD$207,2,0),"")</f>
        <v/>
      </c>
      <c r="R22" s="121" t="str">
        <f ca="1">IFERROR(VLOOKUP($C22&amp;R$19,Calc!$AC$64:$AD$207,2,0),"")</f>
        <v/>
      </c>
      <c r="S22" s="133"/>
      <c r="T22" s="121" t="str">
        <f ca="1">IFERROR(VLOOKUP($C22&amp;T$19,Calc!$AC$64:$AD$207,2,0),"")</f>
        <v/>
      </c>
      <c r="U22" s="121" t="str">
        <f ca="1">IFERROR(VLOOKUP($C22&amp;U$19,Calc!$AC$64:$AD$207,2,0),"")</f>
        <v/>
      </c>
      <c r="V22" s="121" t="str">
        <f ca="1">IFERROR(VLOOKUP($C22&amp;V$19,Calc!$AC$64:$AD$207,2,0),"")</f>
        <v/>
      </c>
      <c r="W22" s="121" t="str">
        <f ca="1">IFERROR(VLOOKUP($C22&amp;W$19,Calc!$AC$64:$AD$207,2,0),"")</f>
        <v/>
      </c>
      <c r="X22" s="121" t="str">
        <f ca="1">IFERROR(VLOOKUP($C22&amp;X$19,Calc!$AC$64:$AD$207,2,0),"")</f>
        <v/>
      </c>
      <c r="Y22" s="180" t="str">
        <f ca="1">IFERROR(VLOOKUP($C22&amp;Y$19,Calc!$AC$64:$AD$207,2,0),"")</f>
        <v/>
      </c>
      <c r="Z22" s="254" t="str">
        <f t="shared" ca="1" si="1"/>
        <v/>
      </c>
    </row>
    <row r="23" spans="2:26" ht="21.95" customHeight="1" x14ac:dyDescent="0.2">
      <c r="B23" s="125" t="str">
        <f ca="1">IF($C23="","",INDEX(Results!$L$10:$L$18,MATCH($C23,Results!$M$10:$M$18,0)))</f>
        <v/>
      </c>
      <c r="C23" s="139" t="str">
        <f ca="1">IF(Calc!$K$13=0,"",Calc!$AC7)</f>
        <v/>
      </c>
      <c r="D23" s="143" t="str">
        <f ca="1">IF($C23="","",VLOOKUP($C23,Calc!$C$17:$AC$25,25,0))</f>
        <v/>
      </c>
      <c r="E23" s="121" t="str">
        <f ca="1">IF($C23="","",VLOOKUP($C23,Calc!$C$17:$AC$25,26,0))</f>
        <v/>
      </c>
      <c r="F23" s="121" t="str">
        <f ca="1">IF($C23="","",VLOOKUP($C23,Calc!$C$17:$AC$25,27,0)&amp;Language!$E$66&amp;(VLOOKUP($C23,Calc!$C$17:$AC$25,27,0)-$E23))</f>
        <v/>
      </c>
      <c r="G23" s="176" t="str">
        <f ca="1">IF(C23="","",VLOOKUP(C23,'Fair-Play und Los'!$C$7:$D$15,2,0))</f>
        <v/>
      </c>
      <c r="H23" s="156" t="str">
        <f ca="1">IFERROR(VLOOKUP($C23&amp;H$19,Calc!$Z$64:$AB$207,3,0),"")</f>
        <v/>
      </c>
      <c r="I23" s="121" t="str">
        <f ca="1">IFERROR(VLOOKUP($C23&amp;I$19,Calc!$Z$64:$AB$207,3,0),"")</f>
        <v/>
      </c>
      <c r="J23" s="121" t="str">
        <f ca="1">IFERROR(VLOOKUP($C23&amp;J$19,Calc!$Z$64:$AB$207,3,0),"")</f>
        <v/>
      </c>
      <c r="K23" s="133"/>
      <c r="L23" s="121" t="str">
        <f ca="1">IFERROR(VLOOKUP($C23&amp;L$19,Calc!$Z$64:$AB$207,3,0),"")</f>
        <v/>
      </c>
      <c r="M23" s="121" t="str">
        <f ca="1">IFERROR(VLOOKUP($C23&amp;M$19,Calc!$Z$64:$AB$207,3,0),"")</f>
        <v/>
      </c>
      <c r="N23" s="121" t="str">
        <f ca="1">IFERROR(VLOOKUP($C23&amp;N$19,Calc!$Z$64:$AB$207,3,0),"")</f>
        <v/>
      </c>
      <c r="O23" s="121" t="str">
        <f ca="1">IFERROR(VLOOKUP($C23&amp;O$19,Calc!$Z$64:$AB$207,3,0),"")</f>
        <v/>
      </c>
      <c r="P23" s="146" t="str">
        <f ca="1">IFERROR(VLOOKUP($C23&amp;P$19,Calc!$Z$64:$AB$207,3,0),"")</f>
        <v/>
      </c>
      <c r="Q23" s="135" t="str">
        <f ca="1">IFERROR(VLOOKUP($C23&amp;Q$19,Calc!$AC$64:$AD$207,2,0),"")</f>
        <v/>
      </c>
      <c r="R23" s="121" t="str">
        <f ca="1">IFERROR(VLOOKUP($C23&amp;R$19,Calc!$AC$64:$AD$207,2,0),"")</f>
        <v/>
      </c>
      <c r="S23" s="121" t="str">
        <f ca="1">IFERROR(VLOOKUP($C23&amp;S$19,Calc!$AC$64:$AD$207,2,0),"")</f>
        <v/>
      </c>
      <c r="T23" s="133"/>
      <c r="U23" s="121" t="str">
        <f ca="1">IFERROR(VLOOKUP($C23&amp;U$19,Calc!$AC$64:$AD$207,2,0),"")</f>
        <v/>
      </c>
      <c r="V23" s="121" t="str">
        <f ca="1">IFERROR(VLOOKUP($C23&amp;V$19,Calc!$AC$64:$AD$207,2,0),"")</f>
        <v/>
      </c>
      <c r="W23" s="121" t="str">
        <f ca="1">IFERROR(VLOOKUP($C23&amp;W$19,Calc!$AC$64:$AD$207,2,0),"")</f>
        <v/>
      </c>
      <c r="X23" s="121" t="str">
        <f ca="1">IFERROR(VLOOKUP($C23&amp;X$19,Calc!$AC$64:$AD$207,2,0),"")</f>
        <v/>
      </c>
      <c r="Y23" s="180" t="str">
        <f ca="1">IFERROR(VLOOKUP($C23&amp;Y$19,Calc!$AC$64:$AD$207,2,0),"")</f>
        <v/>
      </c>
      <c r="Z23" s="254" t="str">
        <f t="shared" ca="1" si="1"/>
        <v/>
      </c>
    </row>
    <row r="24" spans="2:26" ht="21.95" customHeight="1" x14ac:dyDescent="0.2">
      <c r="B24" s="125" t="str">
        <f ca="1">IF($C24="","",INDEX(Results!$L$10:$L$18,MATCH($C24,Results!$M$10:$M$18,0)))</f>
        <v/>
      </c>
      <c r="C24" s="139" t="str">
        <f ca="1">IF(Calc!$K$13=0,"",Calc!$AC8)</f>
        <v/>
      </c>
      <c r="D24" s="143" t="str">
        <f ca="1">IF($C24="","",VLOOKUP($C24,Calc!$C$17:$AC$25,25,0))</f>
        <v/>
      </c>
      <c r="E24" s="121" t="str">
        <f ca="1">IF($C24="","",VLOOKUP($C24,Calc!$C$17:$AC$25,26,0))</f>
        <v/>
      </c>
      <c r="F24" s="121" t="str">
        <f ca="1">IF($C24="","",VLOOKUP($C24,Calc!$C$17:$AC$25,27,0)&amp;Language!$E$66&amp;(VLOOKUP($C24,Calc!$C$17:$AC$25,27,0)-$E24))</f>
        <v/>
      </c>
      <c r="G24" s="176" t="str">
        <f ca="1">IF(C24="","",VLOOKUP(C24,'Fair-Play und Los'!$C$7:$D$15,2,0))</f>
        <v/>
      </c>
      <c r="H24" s="156" t="str">
        <f ca="1">IFERROR(VLOOKUP($C24&amp;H$19,Calc!$Z$64:$AB$207,3,0),"")</f>
        <v/>
      </c>
      <c r="I24" s="121" t="str">
        <f ca="1">IFERROR(VLOOKUP($C24&amp;I$19,Calc!$Z$64:$AB$207,3,0),"")</f>
        <v/>
      </c>
      <c r="J24" s="121" t="str">
        <f ca="1">IFERROR(VLOOKUP($C24&amp;J$19,Calc!$Z$64:$AB$207,3,0),"")</f>
        <v/>
      </c>
      <c r="K24" s="121" t="str">
        <f ca="1">IFERROR(VLOOKUP($C24&amp;K$19,Calc!$Z$64:$AB$207,3,0),"")</f>
        <v/>
      </c>
      <c r="L24" s="133"/>
      <c r="M24" s="121" t="str">
        <f ca="1">IFERROR(VLOOKUP($C24&amp;M$19,Calc!$Z$64:$AB$207,3,0),"")</f>
        <v/>
      </c>
      <c r="N24" s="121" t="str">
        <f ca="1">IFERROR(VLOOKUP($C24&amp;N$19,Calc!$Z$64:$AB$207,3,0),"")</f>
        <v/>
      </c>
      <c r="O24" s="121" t="str">
        <f ca="1">IFERROR(VLOOKUP($C24&amp;O$19,Calc!$Z$64:$AB$207,3,0),"")</f>
        <v/>
      </c>
      <c r="P24" s="146" t="str">
        <f ca="1">IFERROR(VLOOKUP($C24&amp;P$19,Calc!$Z$64:$AB$207,3,0),"")</f>
        <v/>
      </c>
      <c r="Q24" s="135" t="str">
        <f ca="1">IFERROR(VLOOKUP($C24&amp;Q$19,Calc!$AC$64:$AD$207,2,0),"")</f>
        <v/>
      </c>
      <c r="R24" s="121" t="str">
        <f ca="1">IFERROR(VLOOKUP($C24&amp;R$19,Calc!$AC$64:$AD$207,2,0),"")</f>
        <v/>
      </c>
      <c r="S24" s="121" t="str">
        <f ca="1">IFERROR(VLOOKUP($C24&amp;S$19,Calc!$AC$64:$AD$207,2,0),"")</f>
        <v/>
      </c>
      <c r="T24" s="121" t="str">
        <f ca="1">IFERROR(VLOOKUP($C24&amp;T$19,Calc!$AC$64:$AD$207,2,0),"")</f>
        <v/>
      </c>
      <c r="U24" s="133"/>
      <c r="V24" s="121" t="str">
        <f ca="1">IFERROR(VLOOKUP($C24&amp;V$19,Calc!$AC$64:$AD$207,2,0),"")</f>
        <v/>
      </c>
      <c r="W24" s="121" t="str">
        <f ca="1">IFERROR(VLOOKUP($C24&amp;W$19,Calc!$AC$64:$AD$207,2,0),"")</f>
        <v/>
      </c>
      <c r="X24" s="121" t="str">
        <f ca="1">IFERROR(VLOOKUP($C24&amp;X$19,Calc!$AC$64:$AD$207,2,0),"")</f>
        <v/>
      </c>
      <c r="Y24" s="180" t="str">
        <f ca="1">IFERROR(VLOOKUP($C24&amp;Y$19,Calc!$AC$64:$AD$207,2,0),"")</f>
        <v/>
      </c>
      <c r="Z24" s="254" t="str">
        <f t="shared" ca="1" si="1"/>
        <v/>
      </c>
    </row>
    <row r="25" spans="2:26" ht="21.95" customHeight="1" x14ac:dyDescent="0.2">
      <c r="B25" s="125" t="str">
        <f ca="1">IF($C25="","",INDEX(Results!$L$10:$L$18,MATCH($C25,Results!$M$10:$M$18,0)))</f>
        <v/>
      </c>
      <c r="C25" s="139" t="str">
        <f ca="1">IF(Calc!$K$13=0,"",Calc!$AC9)</f>
        <v/>
      </c>
      <c r="D25" s="143" t="str">
        <f ca="1">IF($C25="","",VLOOKUP($C25,Calc!$C$17:$AC$25,25,0))</f>
        <v/>
      </c>
      <c r="E25" s="121" t="str">
        <f ca="1">IF($C25="","",VLOOKUP($C25,Calc!$C$17:$AC$25,26,0))</f>
        <v/>
      </c>
      <c r="F25" s="121" t="str">
        <f ca="1">IF($C25="","",VLOOKUP($C25,Calc!$C$17:$AC$25,27,0)&amp;Language!$E$66&amp;(VLOOKUP($C25,Calc!$C$17:$AC$25,27,0)-$E25))</f>
        <v/>
      </c>
      <c r="G25" s="176" t="str">
        <f ca="1">IF(C25="","",VLOOKUP(C25,'Fair-Play und Los'!$C$7:$D$15,2,0))</f>
        <v/>
      </c>
      <c r="H25" s="156" t="str">
        <f ca="1">IFERROR(VLOOKUP($C25&amp;H$19,Calc!$Z$64:$AB$207,3,0),"")</f>
        <v/>
      </c>
      <c r="I25" s="121" t="str">
        <f ca="1">IFERROR(VLOOKUP($C25&amp;I$19,Calc!$Z$64:$AB$207,3,0),"")</f>
        <v/>
      </c>
      <c r="J25" s="121" t="str">
        <f ca="1">IFERROR(VLOOKUP($C25&amp;J$19,Calc!$Z$64:$AB$207,3,0),"")</f>
        <v/>
      </c>
      <c r="K25" s="121" t="str">
        <f ca="1">IFERROR(VLOOKUP($C25&amp;K$19,Calc!$Z$64:$AB$207,3,0),"")</f>
        <v/>
      </c>
      <c r="L25" s="121" t="str">
        <f ca="1">IFERROR(VLOOKUP($C25&amp;L$19,Calc!$Z$64:$AB$207,3,0),"")</f>
        <v/>
      </c>
      <c r="M25" s="133"/>
      <c r="N25" s="121" t="str">
        <f ca="1">IFERROR(VLOOKUP($C25&amp;N$19,Calc!$Z$64:$AB$207,3,0),"")</f>
        <v/>
      </c>
      <c r="O25" s="121" t="str">
        <f ca="1">IFERROR(VLOOKUP($C25&amp;O$19,Calc!$Z$64:$AB$207,3,0),"")</f>
        <v/>
      </c>
      <c r="P25" s="146" t="str">
        <f ca="1">IFERROR(VLOOKUP($C25&amp;P$19,Calc!$Z$64:$AB$207,3,0),"")</f>
        <v/>
      </c>
      <c r="Q25" s="135" t="str">
        <f ca="1">IFERROR(VLOOKUP($C25&amp;Q$19,Calc!$AC$64:$AD$207,2,0),"")</f>
        <v/>
      </c>
      <c r="R25" s="121" t="str">
        <f ca="1">IFERROR(VLOOKUP($C25&amp;R$19,Calc!$AC$64:$AD$207,2,0),"")</f>
        <v/>
      </c>
      <c r="S25" s="121" t="str">
        <f ca="1">IFERROR(VLOOKUP($C25&amp;S$19,Calc!$AC$64:$AD$207,2,0),"")</f>
        <v/>
      </c>
      <c r="T25" s="121" t="str">
        <f ca="1">IFERROR(VLOOKUP($C25&amp;T$19,Calc!$AC$64:$AD$207,2,0),"")</f>
        <v/>
      </c>
      <c r="U25" s="121" t="str">
        <f ca="1">IFERROR(VLOOKUP($C25&amp;U$19,Calc!$AC$64:$AD$207,2,0),"")</f>
        <v/>
      </c>
      <c r="V25" s="133"/>
      <c r="W25" s="121" t="str">
        <f ca="1">IFERROR(VLOOKUP($C25&amp;W$19,Calc!$AC$64:$AD$207,2,0),"")</f>
        <v/>
      </c>
      <c r="X25" s="121" t="str">
        <f ca="1">IFERROR(VLOOKUP($C25&amp;X$19,Calc!$AC$64:$AD$207,2,0),"")</f>
        <v/>
      </c>
      <c r="Y25" s="180" t="str">
        <f ca="1">IFERROR(VLOOKUP($C25&amp;Y$19,Calc!$AC$64:$AD$207,2,0),"")</f>
        <v/>
      </c>
      <c r="Z25" s="254" t="str">
        <f t="shared" ca="1" si="1"/>
        <v/>
      </c>
    </row>
    <row r="26" spans="2:26" ht="21.95" customHeight="1" x14ac:dyDescent="0.2">
      <c r="B26" s="125" t="str">
        <f ca="1">IF($C26="","",INDEX(Results!$L$10:$L$18,MATCH($C26,Results!$M$10:$M$18,0)))</f>
        <v/>
      </c>
      <c r="C26" s="139" t="str">
        <f ca="1">IF(Calc!$K$13=0,"",Calc!$AC10)</f>
        <v/>
      </c>
      <c r="D26" s="143" t="str">
        <f ca="1">IF($C26="","",VLOOKUP($C26,Calc!$C$17:$AC$25,25,0))</f>
        <v/>
      </c>
      <c r="E26" s="121" t="str">
        <f ca="1">IF($C26="","",VLOOKUP($C26,Calc!$C$17:$AC$25,26,0))</f>
        <v/>
      </c>
      <c r="F26" s="121" t="str">
        <f ca="1">IF($C26="","",VLOOKUP($C26,Calc!$C$17:$AC$25,27,0)&amp;Language!$E$66&amp;(VLOOKUP($C26,Calc!$C$17:$AC$25,27,0)-$E26))</f>
        <v/>
      </c>
      <c r="G26" s="176" t="str">
        <f ca="1">IF(C26="","",VLOOKUP(C26,'Fair-Play und Los'!$C$7:$D$15,2,0))</f>
        <v/>
      </c>
      <c r="H26" s="156" t="str">
        <f ca="1">IFERROR(VLOOKUP($C26&amp;H$19,Calc!$Z$64:$AB$207,3,0),"")</f>
        <v/>
      </c>
      <c r="I26" s="121" t="str">
        <f ca="1">IFERROR(VLOOKUP($C26&amp;I$19,Calc!$Z$64:$AB$207,3,0),"")</f>
        <v/>
      </c>
      <c r="J26" s="121" t="str">
        <f ca="1">IFERROR(VLOOKUP($C26&amp;J$19,Calc!$Z$64:$AB$207,3,0),"")</f>
        <v/>
      </c>
      <c r="K26" s="121" t="str">
        <f ca="1">IFERROR(VLOOKUP($C26&amp;K$19,Calc!$Z$64:$AB$207,3,0),"")</f>
        <v/>
      </c>
      <c r="L26" s="121" t="str">
        <f ca="1">IFERROR(VLOOKUP($C26&amp;L$19,Calc!$Z$64:$AB$207,3,0),"")</f>
        <v/>
      </c>
      <c r="M26" s="121" t="str">
        <f ca="1">IFERROR(VLOOKUP($C26&amp;M$19,Calc!$Z$64:$AB$207,3,0),"")</f>
        <v/>
      </c>
      <c r="N26" s="133"/>
      <c r="O26" s="121" t="str">
        <f ca="1">IFERROR(VLOOKUP($C26&amp;O$19,Calc!$Z$64:$AB$207,3,0),"")</f>
        <v/>
      </c>
      <c r="P26" s="146" t="str">
        <f ca="1">IFERROR(VLOOKUP($C26&amp;P$19,Calc!$Z$64:$AB$207,3,0),"")</f>
        <v/>
      </c>
      <c r="Q26" s="135" t="str">
        <f ca="1">IFERROR(VLOOKUP($C26&amp;Q$19,Calc!$AC$64:$AD$207,2,0),"")</f>
        <v/>
      </c>
      <c r="R26" s="121" t="str">
        <f ca="1">IFERROR(VLOOKUP($C26&amp;R$19,Calc!$AC$64:$AD$207,2,0),"")</f>
        <v/>
      </c>
      <c r="S26" s="121" t="str">
        <f ca="1">IFERROR(VLOOKUP($C26&amp;S$19,Calc!$AC$64:$AD$207,2,0),"")</f>
        <v/>
      </c>
      <c r="T26" s="121" t="str">
        <f ca="1">IFERROR(VLOOKUP($C26&amp;T$19,Calc!$AC$64:$AD$207,2,0),"")</f>
        <v/>
      </c>
      <c r="U26" s="121" t="str">
        <f ca="1">IFERROR(VLOOKUP($C26&amp;U$19,Calc!$AC$64:$AD$207,2,0),"")</f>
        <v/>
      </c>
      <c r="V26" s="121" t="str">
        <f ca="1">IFERROR(VLOOKUP($C26&amp;V$19,Calc!$AC$64:$AD$207,2,0),"")</f>
        <v/>
      </c>
      <c r="W26" s="133"/>
      <c r="X26" s="121" t="str">
        <f ca="1">IFERROR(VLOOKUP($C26&amp;X$19,Calc!$AC$64:$AD$207,2,0),"")</f>
        <v/>
      </c>
      <c r="Y26" s="180" t="str">
        <f ca="1">IFERROR(VLOOKUP($C26&amp;Y$19,Calc!$AC$64:$AD$207,2,0),"")</f>
        <v/>
      </c>
      <c r="Z26" s="254" t="str">
        <f t="shared" ca="1" si="1"/>
        <v/>
      </c>
    </row>
    <row r="27" spans="2:26" ht="21.95" customHeight="1" x14ac:dyDescent="0.2">
      <c r="B27" s="125" t="str">
        <f ca="1">IF($C27="","",INDEX(Results!$L$10:$L$18,MATCH($C27,Results!$M$10:$M$18,0)))</f>
        <v/>
      </c>
      <c r="C27" s="139" t="str">
        <f ca="1">IF(Calc!$K$13=0,"",Calc!$AC11)</f>
        <v/>
      </c>
      <c r="D27" s="143" t="str">
        <f ca="1">IF($C27="","",VLOOKUP($C27,Calc!$C$17:$AC$25,25,0))</f>
        <v/>
      </c>
      <c r="E27" s="121" t="str">
        <f ca="1">IF($C27="","",VLOOKUP($C27,Calc!$C$17:$AC$25,26,0))</f>
        <v/>
      </c>
      <c r="F27" s="121" t="str">
        <f ca="1">IF($C27="","",VLOOKUP($C27,Calc!$C$17:$AC$25,27,0)&amp;Language!$E$66&amp;(VLOOKUP($C27,Calc!$C$17:$AC$25,27,0)-$E27))</f>
        <v/>
      </c>
      <c r="G27" s="176" t="str">
        <f ca="1">IF(C27="","",VLOOKUP(C27,'Fair-Play und Los'!$C$7:$D$15,2,0))</f>
        <v/>
      </c>
      <c r="H27" s="156" t="str">
        <f ca="1">IFERROR(VLOOKUP($C27&amp;H$19,Calc!$Z$64:$AB$207,3,0),"")</f>
        <v/>
      </c>
      <c r="I27" s="121" t="str">
        <f ca="1">IFERROR(VLOOKUP($C27&amp;I$19,Calc!$Z$64:$AB$207,3,0),"")</f>
        <v/>
      </c>
      <c r="J27" s="121" t="str">
        <f ca="1">IFERROR(VLOOKUP($C27&amp;J$19,Calc!$Z$64:$AB$207,3,0),"")</f>
        <v/>
      </c>
      <c r="K27" s="121" t="str">
        <f ca="1">IFERROR(VLOOKUP($C27&amp;K$19,Calc!$Z$64:$AB$207,3,0),"")</f>
        <v/>
      </c>
      <c r="L27" s="121" t="str">
        <f ca="1">IFERROR(VLOOKUP($C27&amp;L$19,Calc!$Z$64:$AB$207,3,0),"")</f>
        <v/>
      </c>
      <c r="M27" s="121" t="str">
        <f ca="1">IFERROR(VLOOKUP($C27&amp;M$19,Calc!$Z$64:$AB$207,3,0),"")</f>
        <v/>
      </c>
      <c r="N27" s="121" t="str">
        <f ca="1">IFERROR(VLOOKUP($C27&amp;N$19,Calc!$Z$64:$AB$207,3,0),"")</f>
        <v/>
      </c>
      <c r="O27" s="133"/>
      <c r="P27" s="146" t="str">
        <f ca="1">IFERROR(VLOOKUP($C27&amp;P$19,Calc!$Z$64:$AB$207,3,0),"")</f>
        <v/>
      </c>
      <c r="Q27" s="135" t="str">
        <f ca="1">IFERROR(VLOOKUP($C27&amp;Q$19,Calc!$AC$64:$AD$207,2,0),"")</f>
        <v/>
      </c>
      <c r="R27" s="121" t="str">
        <f ca="1">IFERROR(VLOOKUP($C27&amp;R$19,Calc!$AC$64:$AD$207,2,0),"")</f>
        <v/>
      </c>
      <c r="S27" s="121" t="str">
        <f ca="1">IFERROR(VLOOKUP($C27&amp;S$19,Calc!$AC$64:$AD$207,2,0),"")</f>
        <v/>
      </c>
      <c r="T27" s="121" t="str">
        <f ca="1">IFERROR(VLOOKUP($C27&amp;T$19,Calc!$AC$64:$AD$207,2,0),"")</f>
        <v/>
      </c>
      <c r="U27" s="121" t="str">
        <f ca="1">IFERROR(VLOOKUP($C27&amp;U$19,Calc!$AC$64:$AD$207,2,0),"")</f>
        <v/>
      </c>
      <c r="V27" s="121" t="str">
        <f ca="1">IFERROR(VLOOKUP($C27&amp;V$19,Calc!$AC$64:$AD$207,2,0),"")</f>
        <v/>
      </c>
      <c r="W27" s="121" t="str">
        <f ca="1">IFERROR(VLOOKUP($C27&amp;W$19,Calc!$AC$64:$AD$207,2,0),"")</f>
        <v/>
      </c>
      <c r="X27" s="133"/>
      <c r="Y27" s="180" t="str">
        <f ca="1">IFERROR(VLOOKUP($C27&amp;Y$19,Calc!$AC$64:$AD$207,2,0),"")</f>
        <v/>
      </c>
      <c r="Z27" s="254" t="str">
        <f t="shared" ca="1" si="1"/>
        <v/>
      </c>
    </row>
    <row r="28" spans="2:26" ht="21.95" customHeight="1" thickBot="1" x14ac:dyDescent="0.25">
      <c r="B28" s="126" t="str">
        <f ca="1">IF($C28="","",INDEX(Results!$L$10:$L$18,MATCH($C28,Results!$M$10:$M$18,0)))</f>
        <v/>
      </c>
      <c r="C28" s="140" t="str">
        <f ca="1">IF(Calc!$K$13=0,"",Calc!$AC12)</f>
        <v/>
      </c>
      <c r="D28" s="144" t="str">
        <f ca="1">IF($C28="","",VLOOKUP($C28,Calc!$C$17:$AC$25,25,0))</f>
        <v/>
      </c>
      <c r="E28" s="122" t="str">
        <f ca="1">IF($C28="","",VLOOKUP($C28,Calc!$C$17:$AC$25,26,0))</f>
        <v/>
      </c>
      <c r="F28" s="122" t="str">
        <f ca="1">IF($C28="","",VLOOKUP($C28,Calc!$C$17:$AC$25,27,0)&amp;Language!$E$66&amp;(VLOOKUP($C28,Calc!$C$17:$AC$25,27,0)-$E28))</f>
        <v/>
      </c>
      <c r="G28" s="177" t="str">
        <f ca="1">IF(C28="","",VLOOKUP(C28,'Fair-Play und Los'!$C$7:$D$15,2,0))</f>
        <v/>
      </c>
      <c r="H28" s="157" t="str">
        <f ca="1">IFERROR(VLOOKUP($C28&amp;H$19,Calc!$Z$64:$AB$207,3,0),"")</f>
        <v/>
      </c>
      <c r="I28" s="122" t="str">
        <f ca="1">IFERROR(VLOOKUP($C28&amp;I$19,Calc!$Z$64:$AB$207,3,0),"")</f>
        <v/>
      </c>
      <c r="J28" s="122" t="str">
        <f ca="1">IFERROR(VLOOKUP($C28&amp;J$19,Calc!$Z$64:$AB$207,3,0),"")</f>
        <v/>
      </c>
      <c r="K28" s="122" t="str">
        <f ca="1">IFERROR(VLOOKUP($C28&amp;K$19,Calc!$Z$64:$AB$207,3,0),"")</f>
        <v/>
      </c>
      <c r="L28" s="122" t="str">
        <f ca="1">IFERROR(VLOOKUP($C28&amp;L$19,Calc!$Z$64:$AB$207,3,0),"")</f>
        <v/>
      </c>
      <c r="M28" s="122" t="str">
        <f ca="1">IFERROR(VLOOKUP($C28&amp;M$19,Calc!$Z$64:$AB$207,3,0),"")</f>
        <v/>
      </c>
      <c r="N28" s="122" t="str">
        <f ca="1">IFERROR(VLOOKUP($C28&amp;N$19,Calc!$Z$64:$AB$207,3,0),"")</f>
        <v/>
      </c>
      <c r="O28" s="122" t="str">
        <f ca="1">IFERROR(VLOOKUP($C28&amp;O$19,Calc!$Z$64:$AB$207,3,0),"")</f>
        <v/>
      </c>
      <c r="P28" s="147"/>
      <c r="Q28" s="136" t="str">
        <f ca="1">IFERROR(VLOOKUP($C28&amp;Q$19,Calc!$AC$64:$AD$207,2,0),"")</f>
        <v/>
      </c>
      <c r="R28" s="122" t="str">
        <f ca="1">IFERROR(VLOOKUP($C28&amp;R$19,Calc!$AC$64:$AD$207,2,0),"")</f>
        <v/>
      </c>
      <c r="S28" s="122" t="str">
        <f ca="1">IFERROR(VLOOKUP($C28&amp;S$19,Calc!$AC$64:$AD$207,2,0),"")</f>
        <v/>
      </c>
      <c r="T28" s="122" t="str">
        <f ca="1">IFERROR(VLOOKUP($C28&amp;T$19,Calc!$AC$64:$AD$207,2,0),"")</f>
        <v/>
      </c>
      <c r="U28" s="122" t="str">
        <f ca="1">IFERROR(VLOOKUP($C28&amp;U$19,Calc!$AC$64:$AD$207,2,0),"")</f>
        <v/>
      </c>
      <c r="V28" s="122" t="str">
        <f ca="1">IFERROR(VLOOKUP($C28&amp;V$19,Calc!$AC$64:$AD$207,2,0),"")</f>
        <v/>
      </c>
      <c r="W28" s="122" t="str">
        <f ca="1">IFERROR(VLOOKUP($C28&amp;W$19,Calc!$AC$64:$AD$207,2,0),"")</f>
        <v/>
      </c>
      <c r="X28" s="122" t="str">
        <f ca="1">IFERROR(VLOOKUP($C28&amp;X$19,Calc!$AC$64:$AD$207,2,0),"")</f>
        <v/>
      </c>
      <c r="Y28" s="181"/>
      <c r="Z28" s="255" t="str">
        <f t="shared" ca="1" si="1"/>
        <v/>
      </c>
    </row>
    <row r="29" spans="2:26" ht="42.75" customHeight="1" thickTop="1" thickBot="1" x14ac:dyDescent="0.25">
      <c r="B29" s="151"/>
      <c r="C29" s="152"/>
      <c r="D29" s="153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54"/>
      <c r="Q29" s="132"/>
      <c r="R29" s="132"/>
      <c r="S29" s="132"/>
      <c r="T29" s="132"/>
      <c r="U29" s="132"/>
      <c r="V29" s="132"/>
      <c r="W29" s="132"/>
      <c r="X29" s="132"/>
      <c r="Y29" s="154"/>
    </row>
    <row r="30" spans="2:26" ht="21.95" customHeight="1" thickBot="1" x14ac:dyDescent="0.25">
      <c r="H30" s="419" t="str">
        <f ca="1">IF(LEN(H31)&gt;Results!$F$2,LEFT(H31,Results!$F$2)&amp;".",H31)</f>
        <v/>
      </c>
      <c r="I30" s="420" t="str">
        <f ca="1">IF(LEN(I31)&gt;Results!$F$2,LEFT(I31,Results!$F$2)&amp;".",I31)</f>
        <v/>
      </c>
      <c r="J30" s="420" t="str">
        <f ca="1">IF(LEN(J31)&gt;Results!$F$2,LEFT(J31,Results!$F$2)&amp;".",J31)</f>
        <v/>
      </c>
      <c r="K30" s="420" t="str">
        <f ca="1">IF(LEN(K31)&gt;Results!$F$2,LEFT(K31,Results!$F$2)&amp;".",K31)</f>
        <v/>
      </c>
      <c r="L30" s="420" t="str">
        <f ca="1">IF(LEN(L31)&gt;Results!$F$2,LEFT(L31,Results!$F$2)&amp;".",L31)</f>
        <v/>
      </c>
      <c r="M30" s="420" t="str">
        <f ca="1">IF(LEN(M31)&gt;Results!$F$2,LEFT(M31,Results!$F$2)&amp;".",M31)</f>
        <v/>
      </c>
      <c r="N30" s="420" t="str">
        <f ca="1">IF(LEN(N31)&gt;Results!$F$2,LEFT(N31,Results!$F$2)&amp;".",N31)</f>
        <v/>
      </c>
      <c r="O30" s="420" t="str">
        <f ca="1">IF(LEN(O31)&gt;Results!$F$2,LEFT(O31,Results!$F$2)&amp;".",O31)</f>
        <v/>
      </c>
      <c r="P30" s="421" t="str">
        <f ca="1">IF(LEN(P31)&gt;Results!$F$2,LEFT(P31,Results!$F$2)&amp;".",P31)</f>
        <v/>
      </c>
      <c r="Q30" s="422" t="str">
        <f ca="1">IF(LEN(Q31)&gt;Results!$F$2,LEFT(Q31,Results!$F$2)&amp;".",Q31)</f>
        <v/>
      </c>
      <c r="R30" s="420" t="str">
        <f ca="1">IF(LEN(R31)&gt;Results!$F$2,LEFT(R31,Results!$F$2)&amp;".",R31)</f>
        <v/>
      </c>
      <c r="S30" s="420" t="str">
        <f ca="1">IF(LEN(S31)&gt;Results!$F$2,LEFT(S31,Results!$F$2)&amp;".",S31)</f>
        <v/>
      </c>
      <c r="T30" s="420" t="str">
        <f ca="1">IF(LEN(T31)&gt;Results!$F$2,LEFT(T31,Results!$F$2)&amp;".",T31)</f>
        <v/>
      </c>
      <c r="U30" s="420" t="str">
        <f ca="1">IF(LEN(U31)&gt;Results!$F$2,LEFT(U31,Results!$F$2)&amp;".",U31)</f>
        <v/>
      </c>
      <c r="V30" s="420" t="str">
        <f ca="1">IF(LEN(V31)&gt;Results!$F$2,LEFT(V31,Results!$F$2)&amp;".",V31)</f>
        <v/>
      </c>
      <c r="W30" s="420" t="str">
        <f ca="1">IF(LEN(W31)&gt;Results!$F$2,LEFT(W31,Results!$F$2)&amp;".",W31)</f>
        <v/>
      </c>
      <c r="X30" s="420" t="str">
        <f ca="1">IF(LEN(X31)&gt;Results!$F$2,LEFT(X31,Results!$F$2)&amp;".",X31)</f>
        <v/>
      </c>
      <c r="Y30" s="421" t="str">
        <f ca="1">IF(LEN(Y31)&gt;Results!$F$2,LEFT(Y31,Results!$F$2)&amp;".",Y31)</f>
        <v/>
      </c>
    </row>
    <row r="31" spans="2:26" ht="21.95" customHeight="1" thickTop="1" thickBot="1" x14ac:dyDescent="0.25">
      <c r="B31" s="127"/>
      <c r="C31" s="172" t="str">
        <f>Language!$E$10</f>
        <v>Participant or team</v>
      </c>
      <c r="D31" s="173" t="str">
        <f>Language!$E$27</f>
        <v>Pts</v>
      </c>
      <c r="E31" s="123" t="str">
        <f>Language!$E$26</f>
        <v>GD</v>
      </c>
      <c r="F31" s="123" t="str">
        <f>Language!$E$25</f>
        <v>Goals</v>
      </c>
      <c r="G31" s="174" t="str">
        <f>Language!$E$49</f>
        <v>bonus</v>
      </c>
      <c r="H31" s="148" t="str">
        <f ca="1">C32</f>
        <v/>
      </c>
      <c r="I31" s="149" t="str">
        <f ca="1">C33</f>
        <v/>
      </c>
      <c r="J31" s="149" t="str">
        <f ca="1">C34</f>
        <v/>
      </c>
      <c r="K31" s="149" t="str">
        <f ca="1">C35</f>
        <v/>
      </c>
      <c r="L31" s="149" t="str">
        <f ca="1">C36</f>
        <v/>
      </c>
      <c r="M31" s="149" t="str">
        <f ca="1">C37</f>
        <v/>
      </c>
      <c r="N31" s="149" t="str">
        <f ca="1">C38</f>
        <v/>
      </c>
      <c r="O31" s="149" t="str">
        <f ca="1">C39</f>
        <v/>
      </c>
      <c r="P31" s="150" t="str">
        <f ca="1">C40</f>
        <v/>
      </c>
      <c r="Q31" s="148" t="str">
        <f ca="1">C32</f>
        <v/>
      </c>
      <c r="R31" s="149" t="str">
        <f ca="1">C33</f>
        <v/>
      </c>
      <c r="S31" s="149" t="str">
        <f ca="1">C34</f>
        <v/>
      </c>
      <c r="T31" s="149" t="str">
        <f ca="1">C35</f>
        <v/>
      </c>
      <c r="U31" s="149" t="str">
        <f ca="1">C36</f>
        <v/>
      </c>
      <c r="V31" s="149" t="str">
        <f ca="1">C37</f>
        <v/>
      </c>
      <c r="W31" s="149" t="str">
        <f ca="1">C38</f>
        <v/>
      </c>
      <c r="X31" s="149" t="str">
        <f ca="1">C39</f>
        <v/>
      </c>
      <c r="Y31" s="178" t="str">
        <f ca="1">C40</f>
        <v/>
      </c>
    </row>
    <row r="32" spans="2:26" ht="21.95" customHeight="1" x14ac:dyDescent="0.2">
      <c r="B32" s="125" t="str">
        <f ca="1">IF($C32="","",INDEX(Results!$L$10:$L$18,MATCH($C32,Results!$M$10:$M$18,0)))</f>
        <v/>
      </c>
      <c r="C32" s="138" t="str">
        <f ca="1">IF(Calc!$K$13=0,"",Calc!$AH4)</f>
        <v/>
      </c>
      <c r="D32" s="142" t="str">
        <f ca="1">IF($C32="","",VLOOKUP($C32,Calc!$C$17:$AC$25,25,0))</f>
        <v/>
      </c>
      <c r="E32" s="120" t="str">
        <f ca="1">IF($C32="","",VLOOKUP($C32,Calc!$C$17:$AC$25,26,0))</f>
        <v/>
      </c>
      <c r="F32" s="120" t="str">
        <f ca="1">IF($C32="","",VLOOKUP($C32,Calc!$C$17:$AC$25,27,0)&amp;Language!$E$66&amp;(VLOOKUP($C32,Calc!$C$17:$AC$25,27,0)-$E32))</f>
        <v/>
      </c>
      <c r="G32" s="175" t="str">
        <f ca="1">IF(C32="","",VLOOKUP(C32,'Fair-Play und Los'!$C$7:$D$15,2,0))</f>
        <v/>
      </c>
      <c r="H32" s="155"/>
      <c r="I32" s="120" t="str">
        <f ca="1">IFERROR(VLOOKUP($C32&amp;I$31,Calc!$Z$64:$AB$207,3,0),"")</f>
        <v/>
      </c>
      <c r="J32" s="120" t="str">
        <f ca="1">IFERROR(VLOOKUP($C32&amp;J$31,Calc!$Z$64:$AB$207,3,0),"")</f>
        <v/>
      </c>
      <c r="K32" s="120" t="str">
        <f ca="1">IFERROR(VLOOKUP($C32&amp;K$31,Calc!$Z$64:$AB$207,3,0),"")</f>
        <v/>
      </c>
      <c r="L32" s="120" t="str">
        <f ca="1">IFERROR(VLOOKUP($C32&amp;L$31,Calc!$Z$64:$AB$207,3,0),"")</f>
        <v/>
      </c>
      <c r="M32" s="120" t="str">
        <f ca="1">IFERROR(VLOOKUP($C32&amp;M$31,Calc!$Z$64:$AB$207,3,0),"")</f>
        <v/>
      </c>
      <c r="N32" s="120" t="str">
        <f ca="1">IFERROR(VLOOKUP($C32&amp;N$31,Calc!$Z$64:$AB$207,3,0),"")</f>
        <v/>
      </c>
      <c r="O32" s="120" t="str">
        <f ca="1">IFERROR(VLOOKUP($C32&amp;O$31,Calc!$Z$64:$AB$207,3,0),"")</f>
        <v/>
      </c>
      <c r="P32" s="145" t="str">
        <f ca="1">IFERROR(VLOOKUP($C32&amp;P$31,Calc!$Z$64:$AB$207,3,0),"")</f>
        <v/>
      </c>
      <c r="Q32" s="134"/>
      <c r="R32" s="120" t="str">
        <f ca="1">IFERROR(VLOOKUP($C32&amp;R$31,Calc!$AC$64:$AD$207,2,0),"")</f>
        <v/>
      </c>
      <c r="S32" s="120" t="str">
        <f ca="1">IFERROR(VLOOKUP($C32&amp;S$31,Calc!$AC$64:$AD$207,2,0),"")</f>
        <v/>
      </c>
      <c r="T32" s="120" t="str">
        <f ca="1">IFERROR(VLOOKUP($C32&amp;T$31,Calc!$AC$64:$AD$207,2,0),"")</f>
        <v/>
      </c>
      <c r="U32" s="120" t="str">
        <f ca="1">IFERROR(VLOOKUP($C32&amp;U$31,Calc!$AC$64:$AD$207,2,0),"")</f>
        <v/>
      </c>
      <c r="V32" s="120" t="str">
        <f ca="1">IFERROR(VLOOKUP($C32&amp;V$31,Calc!$AC$64:$AD$207,2,0),"")</f>
        <v/>
      </c>
      <c r="W32" s="120" t="str">
        <f ca="1">IFERROR(VLOOKUP($C32&amp;W$31,Calc!$AC$64:$AD$207,2,0),"")</f>
        <v/>
      </c>
      <c r="X32" s="120" t="str">
        <f ca="1">IFERROR(VLOOKUP($C32&amp;X$31,Calc!$AC$64:$AD$207,2,0),"")</f>
        <v/>
      </c>
      <c r="Y32" s="179" t="str">
        <f ca="1">IFERROR(VLOOKUP($C32&amp;Y$31,Calc!$AC$64:$AD$207,2,0),"")</f>
        <v/>
      </c>
      <c r="Z32" s="253" t="str">
        <f ca="1">C32</f>
        <v/>
      </c>
    </row>
    <row r="33" spans="2:26" ht="21.95" customHeight="1" x14ac:dyDescent="0.2">
      <c r="B33" s="125" t="str">
        <f ca="1">IF($C33="","",INDEX(Results!$L$10:$L$18,MATCH($C33,Results!$M$10:$M$18,0)))</f>
        <v/>
      </c>
      <c r="C33" s="139" t="str">
        <f ca="1">IF(Calc!$K$13=0,"",Calc!$AH5)</f>
        <v/>
      </c>
      <c r="D33" s="143" t="str">
        <f ca="1">IF($C33="","",VLOOKUP($C33,Calc!$C$17:$AC$25,25,0))</f>
        <v/>
      </c>
      <c r="E33" s="121" t="str">
        <f ca="1">IF($C33="","",VLOOKUP($C33,Calc!$C$17:$AC$25,26,0))</f>
        <v/>
      </c>
      <c r="F33" s="121" t="str">
        <f ca="1">IF($C33="","",VLOOKUP($C33,Calc!$C$17:$AC$25,27,0)&amp;Language!$E$66&amp;(VLOOKUP($C33,Calc!$C$17:$AC$25,27,0)-$E33))</f>
        <v/>
      </c>
      <c r="G33" s="176" t="str">
        <f ca="1">IF(C33="","",VLOOKUP(C33,'Fair-Play und Los'!$C$7:$D$15,2,0))</f>
        <v/>
      </c>
      <c r="H33" s="156" t="str">
        <f ca="1">IFERROR(VLOOKUP($C33&amp;H$31,Calc!$Z$64:$AB$207,3,0),"")</f>
        <v/>
      </c>
      <c r="I33" s="133"/>
      <c r="J33" s="121" t="str">
        <f ca="1">IFERROR(VLOOKUP($C33&amp;J$31,Calc!$Z$64:$AB$207,3,0),"")</f>
        <v/>
      </c>
      <c r="K33" s="121" t="str">
        <f ca="1">IFERROR(VLOOKUP($C33&amp;K$31,Calc!$Z$64:$AB$207,3,0),"")</f>
        <v/>
      </c>
      <c r="L33" s="121" t="str">
        <f ca="1">IFERROR(VLOOKUP($C33&amp;L$31,Calc!$Z$64:$AB$207,3,0),"")</f>
        <v/>
      </c>
      <c r="M33" s="121" t="str">
        <f ca="1">IFERROR(VLOOKUP($C33&amp;M$31,Calc!$Z$64:$AB$207,3,0),"")</f>
        <v/>
      </c>
      <c r="N33" s="121" t="str">
        <f ca="1">IFERROR(VLOOKUP($C33&amp;N$31,Calc!$Z$64:$AB$207,3,0),"")</f>
        <v/>
      </c>
      <c r="O33" s="121" t="str">
        <f ca="1">IFERROR(VLOOKUP($C33&amp;O$31,Calc!$Z$64:$AB$207,3,0),"")</f>
        <v/>
      </c>
      <c r="P33" s="146" t="str">
        <f ca="1">IFERROR(VLOOKUP($C33&amp;P$31,Calc!$Z$64:$AB$207,3,0),"")</f>
        <v/>
      </c>
      <c r="Q33" s="135" t="str">
        <f ca="1">IFERROR(VLOOKUP($C33&amp;Q$31,Calc!$AC$64:$AD$207,2,0),"")</f>
        <v/>
      </c>
      <c r="R33" s="133"/>
      <c r="S33" s="121" t="str">
        <f ca="1">IFERROR(VLOOKUP($C33&amp;S$31,Calc!$AC$64:$AD$207,2,0),"")</f>
        <v/>
      </c>
      <c r="T33" s="121" t="str">
        <f ca="1">IFERROR(VLOOKUP($C33&amp;T$31,Calc!$AC$64:$AD$207,2,0),"")</f>
        <v/>
      </c>
      <c r="U33" s="121" t="str">
        <f ca="1">IFERROR(VLOOKUP($C33&amp;U$31,Calc!$AC$64:$AD$207,2,0),"")</f>
        <v/>
      </c>
      <c r="V33" s="121" t="str">
        <f ca="1">IFERROR(VLOOKUP($C33&amp;V$31,Calc!$AC$64:$AD$207,2,0),"")</f>
        <v/>
      </c>
      <c r="W33" s="121" t="str">
        <f ca="1">IFERROR(VLOOKUP($C33&amp;W$31,Calc!$AC$64:$AD$207,2,0),"")</f>
        <v/>
      </c>
      <c r="X33" s="121" t="str">
        <f ca="1">IFERROR(VLOOKUP($C33&amp;X$31,Calc!$AC$64:$AD$207,2,0),"")</f>
        <v/>
      </c>
      <c r="Y33" s="180" t="str">
        <f ca="1">IFERROR(VLOOKUP($C33&amp;Y$31,Calc!$AC$64:$AD$207,2,0),"")</f>
        <v/>
      </c>
      <c r="Z33" s="254" t="str">
        <f t="shared" ref="Z33:Z40" ca="1" si="2">C33</f>
        <v/>
      </c>
    </row>
    <row r="34" spans="2:26" ht="21.95" customHeight="1" x14ac:dyDescent="0.2">
      <c r="B34" s="125" t="str">
        <f ca="1">IF($C34="","",INDEX(Results!$L$10:$L$18,MATCH($C34,Results!$M$10:$M$18,0)))</f>
        <v/>
      </c>
      <c r="C34" s="139" t="str">
        <f ca="1">IF(Calc!$K$13=0,"",Calc!$AH6)</f>
        <v/>
      </c>
      <c r="D34" s="143" t="str">
        <f ca="1">IF($C34="","",VLOOKUP($C34,Calc!$C$17:$AC$25,25,0))</f>
        <v/>
      </c>
      <c r="E34" s="121" t="str">
        <f ca="1">IF($C34="","",VLOOKUP($C34,Calc!$C$17:$AC$25,26,0))</f>
        <v/>
      </c>
      <c r="F34" s="121" t="str">
        <f ca="1">IF($C34="","",VLOOKUP($C34,Calc!$C$17:$AC$25,27,0)&amp;Language!$E$66&amp;(VLOOKUP($C34,Calc!$C$17:$AC$25,27,0)-$E34))</f>
        <v/>
      </c>
      <c r="G34" s="176" t="str">
        <f ca="1">IF(C34="","",VLOOKUP(C34,'Fair-Play und Los'!$C$7:$D$15,2,0))</f>
        <v/>
      </c>
      <c r="H34" s="156" t="str">
        <f ca="1">IFERROR(VLOOKUP($C34&amp;H$31,Calc!$Z$64:$AB$207,3,0),"")</f>
        <v/>
      </c>
      <c r="I34" s="121" t="str">
        <f ca="1">IFERROR(VLOOKUP($C34&amp;I$31,Calc!$Z$64:$AB$207,3,0),"")</f>
        <v/>
      </c>
      <c r="J34" s="133"/>
      <c r="K34" s="121" t="str">
        <f ca="1">IFERROR(VLOOKUP($C34&amp;K$31,Calc!$Z$64:$AB$207,3,0),"")</f>
        <v/>
      </c>
      <c r="L34" s="121" t="str">
        <f ca="1">IFERROR(VLOOKUP($C34&amp;L$31,Calc!$Z$64:$AB$207,3,0),"")</f>
        <v/>
      </c>
      <c r="M34" s="121" t="str">
        <f ca="1">IFERROR(VLOOKUP($C34&amp;M$31,Calc!$Z$64:$AB$207,3,0),"")</f>
        <v/>
      </c>
      <c r="N34" s="121" t="str">
        <f ca="1">IFERROR(VLOOKUP($C34&amp;N$31,Calc!$Z$64:$AB$207,3,0),"")</f>
        <v/>
      </c>
      <c r="O34" s="121" t="str">
        <f ca="1">IFERROR(VLOOKUP($C34&amp;O$31,Calc!$Z$64:$AB$207,3,0),"")</f>
        <v/>
      </c>
      <c r="P34" s="146" t="str">
        <f ca="1">IFERROR(VLOOKUP($C34&amp;P$31,Calc!$Z$64:$AB$207,3,0),"")</f>
        <v/>
      </c>
      <c r="Q34" s="135" t="str">
        <f ca="1">IFERROR(VLOOKUP($C34&amp;Q$31,Calc!$AC$64:$AD$207,2,0),"")</f>
        <v/>
      </c>
      <c r="R34" s="121" t="str">
        <f ca="1">IFERROR(VLOOKUP($C34&amp;R$31,Calc!$AC$64:$AD$207,2,0),"")</f>
        <v/>
      </c>
      <c r="S34" s="133"/>
      <c r="T34" s="121" t="str">
        <f ca="1">IFERROR(VLOOKUP($C34&amp;T$31,Calc!$AC$64:$AD$207,2,0),"")</f>
        <v/>
      </c>
      <c r="U34" s="121" t="str">
        <f ca="1">IFERROR(VLOOKUP($C34&amp;U$31,Calc!$AC$64:$AD$207,2,0),"")</f>
        <v/>
      </c>
      <c r="V34" s="121" t="str">
        <f ca="1">IFERROR(VLOOKUP($C34&amp;V$31,Calc!$AC$64:$AD$207,2,0),"")</f>
        <v/>
      </c>
      <c r="W34" s="121" t="str">
        <f ca="1">IFERROR(VLOOKUP($C34&amp;W$31,Calc!$AC$64:$AD$207,2,0),"")</f>
        <v/>
      </c>
      <c r="X34" s="121" t="str">
        <f ca="1">IFERROR(VLOOKUP($C34&amp;X$31,Calc!$AC$64:$AD$207,2,0),"")</f>
        <v/>
      </c>
      <c r="Y34" s="180" t="str">
        <f ca="1">IFERROR(VLOOKUP($C34&amp;Y$31,Calc!$AC$64:$AD$207,2,0),"")</f>
        <v/>
      </c>
      <c r="Z34" s="254" t="str">
        <f t="shared" ca="1" si="2"/>
        <v/>
      </c>
    </row>
    <row r="35" spans="2:26" ht="21.95" customHeight="1" x14ac:dyDescent="0.2">
      <c r="B35" s="125" t="str">
        <f ca="1">IF($C35="","",INDEX(Results!$L$10:$L$18,MATCH($C35,Results!$M$10:$M$18,0)))</f>
        <v/>
      </c>
      <c r="C35" s="139" t="str">
        <f ca="1">IF(Calc!$K$13=0,"",Calc!$AH7)</f>
        <v/>
      </c>
      <c r="D35" s="143" t="str">
        <f ca="1">IF($C35="","",VLOOKUP($C35,Calc!$C$17:$AC$25,25,0))</f>
        <v/>
      </c>
      <c r="E35" s="121" t="str">
        <f ca="1">IF($C35="","",VLOOKUP($C35,Calc!$C$17:$AC$25,26,0))</f>
        <v/>
      </c>
      <c r="F35" s="121" t="str">
        <f ca="1">IF($C35="","",VLOOKUP($C35,Calc!$C$17:$AC$25,27,0)&amp;Language!$E$66&amp;(VLOOKUP($C35,Calc!$C$17:$AC$25,27,0)-$E35))</f>
        <v/>
      </c>
      <c r="G35" s="176" t="str">
        <f ca="1">IF(C35="","",VLOOKUP(C35,'Fair-Play und Los'!$C$7:$D$15,2,0))</f>
        <v/>
      </c>
      <c r="H35" s="156" t="str">
        <f ca="1">IFERROR(VLOOKUP($C35&amp;H$31,Calc!$Z$64:$AB$207,3,0),"")</f>
        <v/>
      </c>
      <c r="I35" s="121" t="str">
        <f ca="1">IFERROR(VLOOKUP($C35&amp;I$31,Calc!$Z$64:$AB$207,3,0),"")</f>
        <v/>
      </c>
      <c r="J35" s="121" t="str">
        <f ca="1">IFERROR(VLOOKUP($C35&amp;J$31,Calc!$Z$64:$AB$207,3,0),"")</f>
        <v/>
      </c>
      <c r="K35" s="133"/>
      <c r="L35" s="121" t="str">
        <f ca="1">IFERROR(VLOOKUP($C35&amp;L$31,Calc!$Z$64:$AB$207,3,0),"")</f>
        <v/>
      </c>
      <c r="M35" s="121" t="str">
        <f ca="1">IFERROR(VLOOKUP($C35&amp;M$31,Calc!$Z$64:$AB$207,3,0),"")</f>
        <v/>
      </c>
      <c r="N35" s="121" t="str">
        <f ca="1">IFERROR(VLOOKUP($C35&amp;N$31,Calc!$Z$64:$AB$207,3,0),"")</f>
        <v/>
      </c>
      <c r="O35" s="121" t="str">
        <f ca="1">IFERROR(VLOOKUP($C35&amp;O$31,Calc!$Z$64:$AB$207,3,0),"")</f>
        <v/>
      </c>
      <c r="P35" s="146" t="str">
        <f ca="1">IFERROR(VLOOKUP($C35&amp;P$31,Calc!$Z$64:$AB$207,3,0),"")</f>
        <v/>
      </c>
      <c r="Q35" s="135" t="str">
        <f ca="1">IFERROR(VLOOKUP($C35&amp;Q$31,Calc!$AC$64:$AD$207,2,0),"")</f>
        <v/>
      </c>
      <c r="R35" s="121" t="str">
        <f ca="1">IFERROR(VLOOKUP($C35&amp;R$31,Calc!$AC$64:$AD$207,2,0),"")</f>
        <v/>
      </c>
      <c r="S35" s="121" t="str">
        <f ca="1">IFERROR(VLOOKUP($C35&amp;S$31,Calc!$AC$64:$AD$207,2,0),"")</f>
        <v/>
      </c>
      <c r="T35" s="133"/>
      <c r="U35" s="121" t="str">
        <f ca="1">IFERROR(VLOOKUP($C35&amp;U$31,Calc!$AC$64:$AD$207,2,0),"")</f>
        <v/>
      </c>
      <c r="V35" s="121" t="str">
        <f ca="1">IFERROR(VLOOKUP($C35&amp;V$31,Calc!$AC$64:$AD$207,2,0),"")</f>
        <v/>
      </c>
      <c r="W35" s="121" t="str">
        <f ca="1">IFERROR(VLOOKUP($C35&amp;W$31,Calc!$AC$64:$AD$207,2,0),"")</f>
        <v/>
      </c>
      <c r="X35" s="121" t="str">
        <f ca="1">IFERROR(VLOOKUP($C35&amp;X$31,Calc!$AC$64:$AD$207,2,0),"")</f>
        <v/>
      </c>
      <c r="Y35" s="180" t="str">
        <f ca="1">IFERROR(VLOOKUP($C35&amp;Y$31,Calc!$AC$64:$AD$207,2,0),"")</f>
        <v/>
      </c>
      <c r="Z35" s="254" t="str">
        <f t="shared" ca="1" si="2"/>
        <v/>
      </c>
    </row>
    <row r="36" spans="2:26" ht="21.95" customHeight="1" x14ac:dyDescent="0.2">
      <c r="B36" s="125" t="str">
        <f ca="1">IF($C36="","",INDEX(Results!$L$10:$L$18,MATCH($C36,Results!$M$10:$M$18,0)))</f>
        <v/>
      </c>
      <c r="C36" s="139" t="str">
        <f ca="1">IF(Calc!$K$13=0,"",Calc!$AH8)</f>
        <v/>
      </c>
      <c r="D36" s="143" t="str">
        <f ca="1">IF($C36="","",VLOOKUP($C36,Calc!$C$17:$AC$25,25,0))</f>
        <v/>
      </c>
      <c r="E36" s="121" t="str">
        <f ca="1">IF($C36="","",VLOOKUP($C36,Calc!$C$17:$AC$25,26,0))</f>
        <v/>
      </c>
      <c r="F36" s="121" t="str">
        <f ca="1">IF($C36="","",VLOOKUP($C36,Calc!$C$17:$AC$25,27,0)&amp;Language!$E$66&amp;(VLOOKUP($C36,Calc!$C$17:$AC$25,27,0)-$E36))</f>
        <v/>
      </c>
      <c r="G36" s="176" t="str">
        <f ca="1">IF(C36="","",VLOOKUP(C36,'Fair-Play und Los'!$C$7:$D$15,2,0))</f>
        <v/>
      </c>
      <c r="H36" s="156" t="str">
        <f ca="1">IFERROR(VLOOKUP($C36&amp;H$31,Calc!$Z$64:$AB$207,3,0),"")</f>
        <v/>
      </c>
      <c r="I36" s="121" t="str">
        <f ca="1">IFERROR(VLOOKUP($C36&amp;I$31,Calc!$Z$64:$AB$207,3,0),"")</f>
        <v/>
      </c>
      <c r="J36" s="121" t="str">
        <f ca="1">IFERROR(VLOOKUP($C36&amp;J$31,Calc!$Z$64:$AB$207,3,0),"")</f>
        <v/>
      </c>
      <c r="K36" s="121" t="str">
        <f ca="1">IFERROR(VLOOKUP($C36&amp;K$31,Calc!$Z$64:$AB$207,3,0),"")</f>
        <v/>
      </c>
      <c r="L36" s="133"/>
      <c r="M36" s="121" t="str">
        <f ca="1">IFERROR(VLOOKUP($C36&amp;M$31,Calc!$Z$64:$AB$207,3,0),"")</f>
        <v/>
      </c>
      <c r="N36" s="121" t="str">
        <f ca="1">IFERROR(VLOOKUP($C36&amp;N$31,Calc!$Z$64:$AB$207,3,0),"")</f>
        <v/>
      </c>
      <c r="O36" s="121" t="str">
        <f ca="1">IFERROR(VLOOKUP($C36&amp;O$31,Calc!$Z$64:$AB$207,3,0),"")</f>
        <v/>
      </c>
      <c r="P36" s="146" t="str">
        <f ca="1">IFERROR(VLOOKUP($C36&amp;P$31,Calc!$Z$64:$AB$207,3,0),"")</f>
        <v/>
      </c>
      <c r="Q36" s="135" t="str">
        <f ca="1">IFERROR(VLOOKUP($C36&amp;Q$31,Calc!$AC$64:$AD$207,2,0),"")</f>
        <v/>
      </c>
      <c r="R36" s="121" t="str">
        <f ca="1">IFERROR(VLOOKUP($C36&amp;R$31,Calc!$AC$64:$AD$207,2,0),"")</f>
        <v/>
      </c>
      <c r="S36" s="121" t="str">
        <f ca="1">IFERROR(VLOOKUP($C36&amp;S$31,Calc!$AC$64:$AD$207,2,0),"")</f>
        <v/>
      </c>
      <c r="T36" s="121" t="str">
        <f ca="1">IFERROR(VLOOKUP($C36&amp;T$31,Calc!$AC$64:$AD$207,2,0),"")</f>
        <v/>
      </c>
      <c r="U36" s="133"/>
      <c r="V36" s="121" t="str">
        <f ca="1">IFERROR(VLOOKUP($C36&amp;V$31,Calc!$AC$64:$AD$207,2,0),"")</f>
        <v/>
      </c>
      <c r="W36" s="121" t="str">
        <f ca="1">IFERROR(VLOOKUP($C36&amp;W$31,Calc!$AC$64:$AD$207,2,0),"")</f>
        <v/>
      </c>
      <c r="X36" s="121" t="str">
        <f ca="1">IFERROR(VLOOKUP($C36&amp;X$31,Calc!$AC$64:$AD$207,2,0),"")</f>
        <v/>
      </c>
      <c r="Y36" s="180" t="str">
        <f ca="1">IFERROR(VLOOKUP($C36&amp;Y$31,Calc!$AC$64:$AD$207,2,0),"")</f>
        <v/>
      </c>
      <c r="Z36" s="254" t="str">
        <f t="shared" ca="1" si="2"/>
        <v/>
      </c>
    </row>
    <row r="37" spans="2:26" ht="21.95" customHeight="1" x14ac:dyDescent="0.2">
      <c r="B37" s="125" t="str">
        <f ca="1">IF($C37="","",INDEX(Results!$L$10:$L$18,MATCH($C37,Results!$M$10:$M$18,0)))</f>
        <v/>
      </c>
      <c r="C37" s="139" t="str">
        <f ca="1">IF(Calc!$K$13=0,"",Calc!$AH9)</f>
        <v/>
      </c>
      <c r="D37" s="143" t="str">
        <f ca="1">IF($C37="","",VLOOKUP($C37,Calc!$C$17:$AC$25,25,0))</f>
        <v/>
      </c>
      <c r="E37" s="121" t="str">
        <f ca="1">IF($C37="","",VLOOKUP($C37,Calc!$C$17:$AC$25,26,0))</f>
        <v/>
      </c>
      <c r="F37" s="121" t="str">
        <f ca="1">IF($C37="","",VLOOKUP($C37,Calc!$C$17:$AC$25,27,0)&amp;Language!$E$66&amp;(VLOOKUP($C37,Calc!$C$17:$AC$25,27,0)-$E37))</f>
        <v/>
      </c>
      <c r="G37" s="176" t="str">
        <f ca="1">IF(C37="","",VLOOKUP(C37,'Fair-Play und Los'!$C$7:$D$15,2,0))</f>
        <v/>
      </c>
      <c r="H37" s="156" t="str">
        <f ca="1">IFERROR(VLOOKUP($C37&amp;H$31,Calc!$Z$64:$AB$207,3,0),"")</f>
        <v/>
      </c>
      <c r="I37" s="121" t="str">
        <f ca="1">IFERROR(VLOOKUP($C37&amp;I$31,Calc!$Z$64:$AB$207,3,0),"")</f>
        <v/>
      </c>
      <c r="J37" s="121" t="str">
        <f ca="1">IFERROR(VLOOKUP($C37&amp;J$31,Calc!$Z$64:$AB$207,3,0),"")</f>
        <v/>
      </c>
      <c r="K37" s="121" t="str">
        <f ca="1">IFERROR(VLOOKUP($C37&amp;K$31,Calc!$Z$64:$AB$207,3,0),"")</f>
        <v/>
      </c>
      <c r="L37" s="121" t="str">
        <f ca="1">IFERROR(VLOOKUP($C37&amp;L$31,Calc!$Z$64:$AB$207,3,0),"")</f>
        <v/>
      </c>
      <c r="M37" s="133"/>
      <c r="N37" s="121" t="str">
        <f ca="1">IFERROR(VLOOKUP($C37&amp;N$31,Calc!$Z$64:$AB$207,3,0),"")</f>
        <v/>
      </c>
      <c r="O37" s="121" t="str">
        <f ca="1">IFERROR(VLOOKUP($C37&amp;O$31,Calc!$Z$64:$AB$207,3,0),"")</f>
        <v/>
      </c>
      <c r="P37" s="146" t="str">
        <f ca="1">IFERROR(VLOOKUP($C37&amp;P$31,Calc!$Z$64:$AB$207,3,0),"")</f>
        <v/>
      </c>
      <c r="Q37" s="135" t="str">
        <f ca="1">IFERROR(VLOOKUP($C37&amp;Q$31,Calc!$AC$64:$AD$207,2,0),"")</f>
        <v/>
      </c>
      <c r="R37" s="121" t="str">
        <f ca="1">IFERROR(VLOOKUP($C37&amp;R$31,Calc!$AC$64:$AD$207,2,0),"")</f>
        <v/>
      </c>
      <c r="S37" s="121" t="str">
        <f ca="1">IFERROR(VLOOKUP($C37&amp;S$31,Calc!$AC$64:$AD$207,2,0),"")</f>
        <v/>
      </c>
      <c r="T37" s="121" t="str">
        <f ca="1">IFERROR(VLOOKUP($C37&amp;T$31,Calc!$AC$64:$AD$207,2,0),"")</f>
        <v/>
      </c>
      <c r="U37" s="121" t="str">
        <f ca="1">IFERROR(VLOOKUP($C37&amp;U$31,Calc!$AC$64:$AD$207,2,0),"")</f>
        <v/>
      </c>
      <c r="V37" s="133"/>
      <c r="W37" s="121" t="str">
        <f ca="1">IFERROR(VLOOKUP($C37&amp;W$31,Calc!$AC$64:$AD$207,2,0),"")</f>
        <v/>
      </c>
      <c r="X37" s="121" t="str">
        <f ca="1">IFERROR(VLOOKUP($C37&amp;X$31,Calc!$AC$64:$AD$207,2,0),"")</f>
        <v/>
      </c>
      <c r="Y37" s="180" t="str">
        <f ca="1">IFERROR(VLOOKUP($C37&amp;Y$31,Calc!$AC$64:$AD$207,2,0),"")</f>
        <v/>
      </c>
      <c r="Z37" s="254" t="str">
        <f t="shared" ca="1" si="2"/>
        <v/>
      </c>
    </row>
    <row r="38" spans="2:26" ht="21.95" customHeight="1" x14ac:dyDescent="0.2">
      <c r="B38" s="125" t="str">
        <f ca="1">IF($C38="","",INDEX(Results!$L$10:$L$18,MATCH($C38,Results!$M$10:$M$18,0)))</f>
        <v/>
      </c>
      <c r="C38" s="139" t="str">
        <f ca="1">IF(Calc!$K$13=0,"",Calc!$AH10)</f>
        <v/>
      </c>
      <c r="D38" s="143" t="str">
        <f ca="1">IF($C38="","",VLOOKUP($C38,Calc!$C$17:$AC$25,25,0))</f>
        <v/>
      </c>
      <c r="E38" s="121" t="str">
        <f ca="1">IF($C38="","",VLOOKUP($C38,Calc!$C$17:$AC$25,26,0))</f>
        <v/>
      </c>
      <c r="F38" s="121" t="str">
        <f ca="1">IF($C38="","",VLOOKUP($C38,Calc!$C$17:$AC$25,27,0)&amp;Language!$E$66&amp;(VLOOKUP($C38,Calc!$C$17:$AC$25,27,0)-$E38))</f>
        <v/>
      </c>
      <c r="G38" s="176" t="str">
        <f ca="1">IF(C38="","",VLOOKUP(C38,'Fair-Play und Los'!$C$7:$D$15,2,0))</f>
        <v/>
      </c>
      <c r="H38" s="156" t="str">
        <f ca="1">IFERROR(VLOOKUP($C38&amp;H$31,Calc!$Z$64:$AB$207,3,0),"")</f>
        <v/>
      </c>
      <c r="I38" s="121" t="str">
        <f ca="1">IFERROR(VLOOKUP($C38&amp;I$31,Calc!$Z$64:$AB$207,3,0),"")</f>
        <v/>
      </c>
      <c r="J38" s="121" t="str">
        <f ca="1">IFERROR(VLOOKUP($C38&amp;J$31,Calc!$Z$64:$AB$207,3,0),"")</f>
        <v/>
      </c>
      <c r="K38" s="121" t="str">
        <f ca="1">IFERROR(VLOOKUP($C38&amp;K$31,Calc!$Z$64:$AB$207,3,0),"")</f>
        <v/>
      </c>
      <c r="L38" s="121" t="str">
        <f ca="1">IFERROR(VLOOKUP($C38&amp;L$31,Calc!$Z$64:$AB$207,3,0),"")</f>
        <v/>
      </c>
      <c r="M38" s="121" t="str">
        <f ca="1">IFERROR(VLOOKUP($C38&amp;M$31,Calc!$Z$64:$AB$207,3,0),"")</f>
        <v/>
      </c>
      <c r="N38" s="133"/>
      <c r="O38" s="121" t="str">
        <f ca="1">IFERROR(VLOOKUP($C38&amp;O$31,Calc!$Z$64:$AB$207,3,0),"")</f>
        <v/>
      </c>
      <c r="P38" s="146" t="str">
        <f ca="1">IFERROR(VLOOKUP($C38&amp;P$31,Calc!$Z$64:$AB$207,3,0),"")</f>
        <v/>
      </c>
      <c r="Q38" s="135" t="str">
        <f ca="1">IFERROR(VLOOKUP($C38&amp;Q$31,Calc!$AC$64:$AD$207,2,0),"")</f>
        <v/>
      </c>
      <c r="R38" s="121" t="str">
        <f ca="1">IFERROR(VLOOKUP($C38&amp;R$31,Calc!$AC$64:$AD$207,2,0),"")</f>
        <v/>
      </c>
      <c r="S38" s="121" t="str">
        <f ca="1">IFERROR(VLOOKUP($C38&amp;S$31,Calc!$AC$64:$AD$207,2,0),"")</f>
        <v/>
      </c>
      <c r="T38" s="121" t="str">
        <f ca="1">IFERROR(VLOOKUP($C38&amp;T$31,Calc!$AC$64:$AD$207,2,0),"")</f>
        <v/>
      </c>
      <c r="U38" s="121" t="str">
        <f ca="1">IFERROR(VLOOKUP($C38&amp;U$31,Calc!$AC$64:$AD$207,2,0),"")</f>
        <v/>
      </c>
      <c r="V38" s="121" t="str">
        <f ca="1">IFERROR(VLOOKUP($C38&amp;V$31,Calc!$AC$64:$AD$207,2,0),"")</f>
        <v/>
      </c>
      <c r="W38" s="133"/>
      <c r="X38" s="121" t="str">
        <f ca="1">IFERROR(VLOOKUP($C38&amp;X$31,Calc!$AC$64:$AD$207,2,0),"")</f>
        <v/>
      </c>
      <c r="Y38" s="180" t="str">
        <f ca="1">IFERROR(VLOOKUP($C38&amp;Y$31,Calc!$AC$64:$AD$207,2,0),"")</f>
        <v/>
      </c>
      <c r="Z38" s="254" t="str">
        <f t="shared" ca="1" si="2"/>
        <v/>
      </c>
    </row>
    <row r="39" spans="2:26" ht="21.95" customHeight="1" x14ac:dyDescent="0.2">
      <c r="B39" s="125" t="str">
        <f ca="1">IF($C39="","",INDEX(Results!$L$10:$L$18,MATCH($C39,Results!$M$10:$M$18,0)))</f>
        <v/>
      </c>
      <c r="C39" s="139" t="str">
        <f ca="1">IF(Calc!$K$13=0,"",Calc!$AH11)</f>
        <v/>
      </c>
      <c r="D39" s="143" t="str">
        <f ca="1">IF($C39="","",VLOOKUP($C39,Calc!$C$17:$AC$25,25,0))</f>
        <v/>
      </c>
      <c r="E39" s="121" t="str">
        <f ca="1">IF($C39="","",VLOOKUP($C39,Calc!$C$17:$AC$25,26,0))</f>
        <v/>
      </c>
      <c r="F39" s="121" t="str">
        <f ca="1">IF($C39="","",VLOOKUP($C39,Calc!$C$17:$AC$25,27,0)&amp;Language!$E$66&amp;(VLOOKUP($C39,Calc!$C$17:$AC$25,27,0)-$E39))</f>
        <v/>
      </c>
      <c r="G39" s="176" t="str">
        <f ca="1">IF(C39="","",VLOOKUP(C39,'Fair-Play und Los'!$C$7:$D$15,2,0))</f>
        <v/>
      </c>
      <c r="H39" s="156" t="str">
        <f ca="1">IFERROR(VLOOKUP($C39&amp;H$31,Calc!$Z$64:$AB$207,3,0),"")</f>
        <v/>
      </c>
      <c r="I39" s="121" t="str">
        <f ca="1">IFERROR(VLOOKUP($C39&amp;I$31,Calc!$Z$64:$AB$207,3,0),"")</f>
        <v/>
      </c>
      <c r="J39" s="121" t="str">
        <f ca="1">IFERROR(VLOOKUP($C39&amp;J$31,Calc!$Z$64:$AB$207,3,0),"")</f>
        <v/>
      </c>
      <c r="K39" s="121" t="str">
        <f ca="1">IFERROR(VLOOKUP($C39&amp;K$31,Calc!$Z$64:$AB$207,3,0),"")</f>
        <v/>
      </c>
      <c r="L39" s="121" t="str">
        <f ca="1">IFERROR(VLOOKUP($C39&amp;L$31,Calc!$Z$64:$AB$207,3,0),"")</f>
        <v/>
      </c>
      <c r="M39" s="121" t="str">
        <f ca="1">IFERROR(VLOOKUP($C39&amp;M$31,Calc!$Z$64:$AB$207,3,0),"")</f>
        <v/>
      </c>
      <c r="N39" s="121" t="str">
        <f ca="1">IFERROR(VLOOKUP($C39&amp;N$31,Calc!$Z$64:$AB$207,3,0),"")</f>
        <v/>
      </c>
      <c r="O39" s="133"/>
      <c r="P39" s="146" t="str">
        <f ca="1">IFERROR(VLOOKUP($C39&amp;P$31,Calc!$Z$64:$AB$207,3,0),"")</f>
        <v/>
      </c>
      <c r="Q39" s="135" t="str">
        <f ca="1">IFERROR(VLOOKUP($C39&amp;Q$31,Calc!$AC$64:$AD$207,2,0),"")</f>
        <v/>
      </c>
      <c r="R39" s="121" t="str">
        <f ca="1">IFERROR(VLOOKUP($C39&amp;R$31,Calc!$AC$64:$AD$207,2,0),"")</f>
        <v/>
      </c>
      <c r="S39" s="121" t="str">
        <f ca="1">IFERROR(VLOOKUP($C39&amp;S$31,Calc!$AC$64:$AD$207,2,0),"")</f>
        <v/>
      </c>
      <c r="T39" s="121" t="str">
        <f ca="1">IFERROR(VLOOKUP($C39&amp;T$31,Calc!$AC$64:$AD$207,2,0),"")</f>
        <v/>
      </c>
      <c r="U39" s="121" t="str">
        <f ca="1">IFERROR(VLOOKUP($C39&amp;U$31,Calc!$AC$64:$AD$207,2,0),"")</f>
        <v/>
      </c>
      <c r="V39" s="121" t="str">
        <f ca="1">IFERROR(VLOOKUP($C39&amp;V$31,Calc!$AC$64:$AD$207,2,0),"")</f>
        <v/>
      </c>
      <c r="W39" s="121" t="str">
        <f ca="1">IFERROR(VLOOKUP($C39&amp;W$31,Calc!$AC$64:$AD$207,2,0),"")</f>
        <v/>
      </c>
      <c r="X39" s="133"/>
      <c r="Y39" s="180" t="str">
        <f ca="1">IFERROR(VLOOKUP($C39&amp;Y$31,Calc!$AC$64:$AD$207,2,0),"")</f>
        <v/>
      </c>
      <c r="Z39" s="254" t="str">
        <f t="shared" ca="1" si="2"/>
        <v/>
      </c>
    </row>
    <row r="40" spans="2:26" ht="21.95" customHeight="1" thickBot="1" x14ac:dyDescent="0.25">
      <c r="B40" s="126" t="str">
        <f ca="1">IF($C40="","",INDEX(Results!$L$10:$L$18,MATCH($C40,Results!$M$10:$M$18,0)))</f>
        <v/>
      </c>
      <c r="C40" s="140" t="str">
        <f ca="1">IF(Calc!$K$13=0,"",Calc!$AH12)</f>
        <v/>
      </c>
      <c r="D40" s="144" t="str">
        <f ca="1">IF($C40="","",VLOOKUP($C40,Calc!$C$17:$AC$25,25,0))</f>
        <v/>
      </c>
      <c r="E40" s="122" t="str">
        <f ca="1">IF($C40="","",VLOOKUP($C40,Calc!$C$17:$AC$25,26,0))</f>
        <v/>
      </c>
      <c r="F40" s="122" t="str">
        <f ca="1">IF($C40="","",VLOOKUP($C40,Calc!$C$17:$AC$25,27,0)&amp;Language!$E$66&amp;(VLOOKUP($C40,Calc!$C$17:$AC$25,27,0)-$E40))</f>
        <v/>
      </c>
      <c r="G40" s="177" t="str">
        <f ca="1">IF(C40="","",VLOOKUP(C40,'Fair-Play und Los'!$C$7:$D$15,2,0))</f>
        <v/>
      </c>
      <c r="H40" s="157" t="str">
        <f ca="1">IFERROR(VLOOKUP($C40&amp;H$31,Calc!$Z$64:$AB$207,3,0),"")</f>
        <v/>
      </c>
      <c r="I40" s="122" t="str">
        <f ca="1">IFERROR(VLOOKUP($C40&amp;I$31,Calc!$Z$64:$AB$207,3,0),"")</f>
        <v/>
      </c>
      <c r="J40" s="122" t="str">
        <f ca="1">IFERROR(VLOOKUP($C40&amp;J$31,Calc!$Z$64:$AB$207,3,0),"")</f>
        <v/>
      </c>
      <c r="K40" s="122" t="str">
        <f ca="1">IFERROR(VLOOKUP($C40&amp;K$31,Calc!$Z$64:$AB$207,3,0),"")</f>
        <v/>
      </c>
      <c r="L40" s="122" t="str">
        <f ca="1">IFERROR(VLOOKUP($C40&amp;L$31,Calc!$Z$64:$AB$207,3,0),"")</f>
        <v/>
      </c>
      <c r="M40" s="122" t="str">
        <f ca="1">IFERROR(VLOOKUP($C40&amp;M$31,Calc!$Z$64:$AB$207,3,0),"")</f>
        <v/>
      </c>
      <c r="N40" s="122" t="str">
        <f ca="1">IFERROR(VLOOKUP($C40&amp;N$31,Calc!$Z$64:$AB$207,3,0),"")</f>
        <v/>
      </c>
      <c r="O40" s="122" t="str">
        <f ca="1">IFERROR(VLOOKUP($C40&amp;O$31,Calc!$Z$64:$AB$207,3,0),"")</f>
        <v/>
      </c>
      <c r="P40" s="147"/>
      <c r="Q40" s="136" t="str">
        <f ca="1">IFERROR(VLOOKUP($C40&amp;Q$31,Calc!$AC$64:$AD$207,2,0),"")</f>
        <v/>
      </c>
      <c r="R40" s="122" t="str">
        <f ca="1">IFERROR(VLOOKUP($C40&amp;R$31,Calc!$AC$64:$AD$207,2,0),"")</f>
        <v/>
      </c>
      <c r="S40" s="122" t="str">
        <f ca="1">IFERROR(VLOOKUP($C40&amp;S$31,Calc!$AC$64:$AD$207,2,0),"")</f>
        <v/>
      </c>
      <c r="T40" s="122" t="str">
        <f ca="1">IFERROR(VLOOKUP($C40&amp;T$31,Calc!$AC$64:$AD$207,2,0),"")</f>
        <v/>
      </c>
      <c r="U40" s="122" t="str">
        <f ca="1">IFERROR(VLOOKUP($C40&amp;U$31,Calc!$AC$64:$AD$207,2,0),"")</f>
        <v/>
      </c>
      <c r="V40" s="122" t="str">
        <f ca="1">IFERROR(VLOOKUP($C40&amp;V$31,Calc!$AC$64:$AD$207,2,0),"")</f>
        <v/>
      </c>
      <c r="W40" s="122" t="str">
        <f ca="1">IFERROR(VLOOKUP($C40&amp;W$31,Calc!$AC$64:$AD$207,2,0),"")</f>
        <v/>
      </c>
      <c r="X40" s="122" t="str">
        <f ca="1">IFERROR(VLOOKUP($C40&amp;X$31,Calc!$AC$64:$AD$207,2,0),"")</f>
        <v/>
      </c>
      <c r="Y40" s="181"/>
      <c r="Z40" s="255" t="str">
        <f t="shared" ca="1" si="2"/>
        <v/>
      </c>
    </row>
    <row r="41" spans="2:26" ht="42.75" customHeight="1" thickTop="1" thickBot="1" x14ac:dyDescent="0.25"/>
    <row r="42" spans="2:26" ht="21.95" customHeight="1" thickBot="1" x14ac:dyDescent="0.25">
      <c r="H42" s="419" t="str">
        <f ca="1">IF(LEN(H43)&gt;Results!$F$2,LEFT(H43,Results!$F$2)&amp;".",H43)</f>
        <v/>
      </c>
      <c r="I42" s="420" t="str">
        <f ca="1">IF(LEN(I43)&gt;Results!$F$2,LEFT(I43,Results!$F$2)&amp;".",I43)</f>
        <v/>
      </c>
      <c r="J42" s="420" t="str">
        <f ca="1">IF(LEN(J43)&gt;Results!$F$2,LEFT(J43,Results!$F$2)&amp;".",J43)</f>
        <v/>
      </c>
      <c r="K42" s="420" t="str">
        <f ca="1">IF(LEN(K43)&gt;Results!$F$2,LEFT(K43,Results!$F$2)&amp;".",K43)</f>
        <v/>
      </c>
      <c r="L42" s="420" t="str">
        <f ca="1">IF(LEN(L43)&gt;Results!$F$2,LEFT(L43,Results!$F$2)&amp;".",L43)</f>
        <v/>
      </c>
      <c r="M42" s="420" t="str">
        <f ca="1">IF(LEN(M43)&gt;Results!$F$2,LEFT(M43,Results!$F$2)&amp;".",M43)</f>
        <v/>
      </c>
      <c r="N42" s="420" t="str">
        <f ca="1">IF(LEN(N43)&gt;Results!$F$2,LEFT(N43,Results!$F$2)&amp;".",N43)</f>
        <v/>
      </c>
      <c r="O42" s="420" t="str">
        <f ca="1">IF(LEN(O43)&gt;Results!$F$2,LEFT(O43,Results!$F$2)&amp;".",O43)</f>
        <v/>
      </c>
      <c r="P42" s="421" t="str">
        <f ca="1">IF(LEN(P43)&gt;Results!$F$2,LEFT(P43,Results!$F$2)&amp;".",P43)</f>
        <v/>
      </c>
      <c r="Q42" s="422" t="str">
        <f ca="1">IF(LEN(Q43)&gt;Results!$F$2,LEFT(Q43,Results!$F$2)&amp;".",Q43)</f>
        <v/>
      </c>
      <c r="R42" s="420" t="str">
        <f ca="1">IF(LEN(R43)&gt;Results!$F$2,LEFT(R43,Results!$F$2)&amp;".",R43)</f>
        <v/>
      </c>
      <c r="S42" s="420" t="str">
        <f ca="1">IF(LEN(S43)&gt;Results!$F$2,LEFT(S43,Results!$F$2)&amp;".",S43)</f>
        <v/>
      </c>
      <c r="T42" s="420" t="str">
        <f ca="1">IF(LEN(T43)&gt;Results!$F$2,LEFT(T43,Results!$F$2)&amp;".",T43)</f>
        <v/>
      </c>
      <c r="U42" s="420" t="str">
        <f ca="1">IF(LEN(U43)&gt;Results!$F$2,LEFT(U43,Results!$F$2)&amp;".",U43)</f>
        <v/>
      </c>
      <c r="V42" s="420" t="str">
        <f ca="1">IF(LEN(V43)&gt;Results!$F$2,LEFT(V43,Results!$F$2)&amp;".",V43)</f>
        <v/>
      </c>
      <c r="W42" s="420" t="str">
        <f ca="1">IF(LEN(W43)&gt;Results!$F$2,LEFT(W43,Results!$F$2)&amp;".",W43)</f>
        <v/>
      </c>
      <c r="X42" s="420" t="str">
        <f ca="1">IF(LEN(X43)&gt;Results!$F$2,LEFT(X43,Results!$F$2)&amp;".",X43)</f>
        <v/>
      </c>
      <c r="Y42" s="421" t="str">
        <f ca="1">IF(LEN(Y43)&gt;Results!$F$2,LEFT(Y43,Results!$F$2)&amp;".",Y43)</f>
        <v/>
      </c>
    </row>
    <row r="43" spans="2:26" ht="21.95" customHeight="1" thickTop="1" thickBot="1" x14ac:dyDescent="0.25">
      <c r="B43" s="127"/>
      <c r="C43" s="172" t="str">
        <f>Language!$E$10</f>
        <v>Participant or team</v>
      </c>
      <c r="D43" s="173" t="str">
        <f>Language!$E$27</f>
        <v>Pts</v>
      </c>
      <c r="E43" s="123" t="str">
        <f>Language!$E$26</f>
        <v>GD</v>
      </c>
      <c r="F43" s="123" t="str">
        <f>Language!$E$25</f>
        <v>Goals</v>
      </c>
      <c r="G43" s="174" t="str">
        <f>Language!$E$49</f>
        <v>bonus</v>
      </c>
      <c r="H43" s="148" t="str">
        <f ca="1">C44</f>
        <v/>
      </c>
      <c r="I43" s="149" t="str">
        <f ca="1">C45</f>
        <v/>
      </c>
      <c r="J43" s="149" t="str">
        <f ca="1">C46</f>
        <v/>
      </c>
      <c r="K43" s="149" t="str">
        <f ca="1">C47</f>
        <v/>
      </c>
      <c r="L43" s="149" t="str">
        <f ca="1">C48</f>
        <v/>
      </c>
      <c r="M43" s="149" t="str">
        <f ca="1">C49</f>
        <v/>
      </c>
      <c r="N43" s="149" t="str">
        <f ca="1">C50</f>
        <v/>
      </c>
      <c r="O43" s="149" t="str">
        <f ca="1">C51</f>
        <v/>
      </c>
      <c r="P43" s="150" t="str">
        <f ca="1">C52</f>
        <v/>
      </c>
      <c r="Q43" s="148" t="str">
        <f ca="1">C44</f>
        <v/>
      </c>
      <c r="R43" s="149" t="str">
        <f ca="1">C45</f>
        <v/>
      </c>
      <c r="S43" s="149" t="str">
        <f ca="1">C46</f>
        <v/>
      </c>
      <c r="T43" s="149" t="str">
        <f ca="1">C47</f>
        <v/>
      </c>
      <c r="U43" s="149" t="str">
        <f ca="1">C48</f>
        <v/>
      </c>
      <c r="V43" s="149" t="str">
        <f ca="1">C49</f>
        <v/>
      </c>
      <c r="W43" s="149" t="str">
        <f ca="1">C50</f>
        <v/>
      </c>
      <c r="X43" s="149" t="str">
        <f ca="1">C51</f>
        <v/>
      </c>
      <c r="Y43" s="178" t="str">
        <f ca="1">C52</f>
        <v/>
      </c>
    </row>
    <row r="44" spans="2:26" ht="21.95" customHeight="1" x14ac:dyDescent="0.2">
      <c r="B44" s="125" t="str">
        <f ca="1">IF($C44="","",INDEX(Results!$L$10:$L$18,MATCH($C44,Results!$M$10:$M$18,0)))</f>
        <v/>
      </c>
      <c r="C44" s="138" t="str">
        <f ca="1">IF(Calc!$K$13=0,"",Calc!$AM4)</f>
        <v/>
      </c>
      <c r="D44" s="142" t="str">
        <f ca="1">IF($C44="","",VLOOKUP($C44,Calc!$C$17:$AC$25,25,0))</f>
        <v/>
      </c>
      <c r="E44" s="120" t="str">
        <f ca="1">IF($C44="","",VLOOKUP($C44,Calc!$C$17:$AC$25,26,0))</f>
        <v/>
      </c>
      <c r="F44" s="120" t="str">
        <f ca="1">IF($C44="","",VLOOKUP($C44,Calc!$C$17:$AC$25,27,0)&amp;Language!$E$66&amp;(VLOOKUP($C44,Calc!$C$17:$AC$25,27,0)-$E44))</f>
        <v/>
      </c>
      <c r="G44" s="175" t="str">
        <f ca="1">IF(C44="","",VLOOKUP(C44,'Fair-Play und Los'!$C$7:$D$15,2,0))</f>
        <v/>
      </c>
      <c r="H44" s="155"/>
      <c r="I44" s="120" t="str">
        <f ca="1">IFERROR(VLOOKUP($C44&amp;I$43,Calc!$Z$64:$AB$207,3,0),"")</f>
        <v/>
      </c>
      <c r="J44" s="120" t="str">
        <f ca="1">IFERROR(VLOOKUP($C44&amp;J$43,Calc!$Z$64:$AB$207,3,0),"")</f>
        <v/>
      </c>
      <c r="K44" s="120" t="str">
        <f ca="1">IFERROR(VLOOKUP($C44&amp;K$43,Calc!$Z$64:$AB$207,3,0),"")</f>
        <v/>
      </c>
      <c r="L44" s="120" t="str">
        <f ca="1">IFERROR(VLOOKUP($C44&amp;L$43,Calc!$Z$64:$AB$207,3,0),"")</f>
        <v/>
      </c>
      <c r="M44" s="120" t="str">
        <f ca="1">IFERROR(VLOOKUP($C44&amp;M$43,Calc!$Z$64:$AB$207,3,0),"")</f>
        <v/>
      </c>
      <c r="N44" s="120" t="str">
        <f ca="1">IFERROR(VLOOKUP($C44&amp;N$43,Calc!$Z$64:$AB$207,3,0),"")</f>
        <v/>
      </c>
      <c r="O44" s="120" t="str">
        <f ca="1">IFERROR(VLOOKUP($C44&amp;O$43,Calc!$Z$64:$AB$207,3,0),"")</f>
        <v/>
      </c>
      <c r="P44" s="145" t="str">
        <f ca="1">IFERROR(VLOOKUP($C44&amp;P$43,Calc!$Z$64:$AB$207,3,0),"")</f>
        <v/>
      </c>
      <c r="Q44" s="134"/>
      <c r="R44" s="120" t="str">
        <f ca="1">IFERROR(VLOOKUP($C44&amp;R$43,Calc!$AC$64:$AD$207,2,0),"")</f>
        <v/>
      </c>
      <c r="S44" s="120" t="str">
        <f ca="1">IFERROR(VLOOKUP($C44&amp;S$43,Calc!$AC$64:$AD$207,2,0),"")</f>
        <v/>
      </c>
      <c r="T44" s="120" t="str">
        <f ca="1">IFERROR(VLOOKUP($C44&amp;T$43,Calc!$AC$64:$AD$207,2,0),"")</f>
        <v/>
      </c>
      <c r="U44" s="120" t="str">
        <f ca="1">IFERROR(VLOOKUP($C44&amp;U$43,Calc!$AC$64:$AD$207,2,0),"")</f>
        <v/>
      </c>
      <c r="V44" s="120" t="str">
        <f ca="1">IFERROR(VLOOKUP($C44&amp;V$43,Calc!$AC$64:$AD$207,2,0),"")</f>
        <v/>
      </c>
      <c r="W44" s="120" t="str">
        <f ca="1">IFERROR(VLOOKUP($C44&amp;W$43,Calc!$AC$64:$AD$207,2,0),"")</f>
        <v/>
      </c>
      <c r="X44" s="120" t="str">
        <f ca="1">IFERROR(VLOOKUP($C44&amp;X$43,Calc!$AC$64:$AD$207,2,0),"")</f>
        <v/>
      </c>
      <c r="Y44" s="179" t="str">
        <f ca="1">IFERROR(VLOOKUP($C44&amp;Y$43,Calc!$AC$64:$AD$207,2,0),"")</f>
        <v/>
      </c>
      <c r="Z44" s="253" t="str">
        <f ca="1">C44</f>
        <v/>
      </c>
    </row>
    <row r="45" spans="2:26" ht="21.95" customHeight="1" x14ac:dyDescent="0.2">
      <c r="B45" s="125" t="str">
        <f ca="1">IF($C45="","",INDEX(Results!$L$10:$L$18,MATCH($C45,Results!$M$10:$M$18,0)))</f>
        <v/>
      </c>
      <c r="C45" s="139" t="str">
        <f ca="1">IF(Calc!$K$13=0,"",Calc!$AM5)</f>
        <v/>
      </c>
      <c r="D45" s="143" t="str">
        <f ca="1">IF($C45="","",VLOOKUP($C45,Calc!$C$17:$AC$25,25,0))</f>
        <v/>
      </c>
      <c r="E45" s="121" t="str">
        <f ca="1">IF($C45="","",VLOOKUP($C45,Calc!$C$17:$AC$25,26,0))</f>
        <v/>
      </c>
      <c r="F45" s="121" t="str">
        <f ca="1">IF($C45="","",VLOOKUP($C45,Calc!$C$17:$AC$25,27,0)&amp;Language!$E$66&amp;(VLOOKUP($C45,Calc!$C$17:$AC$25,27,0)-$E45))</f>
        <v/>
      </c>
      <c r="G45" s="176" t="str">
        <f ca="1">IF(C45="","",VLOOKUP(C45,'Fair-Play und Los'!$C$7:$D$15,2,0))</f>
        <v/>
      </c>
      <c r="H45" s="156" t="str">
        <f ca="1">IFERROR(VLOOKUP($C45&amp;H$43,Calc!$Z$64:$AB$207,3,0),"")</f>
        <v/>
      </c>
      <c r="I45" s="133"/>
      <c r="J45" s="121" t="str">
        <f ca="1">IFERROR(VLOOKUP($C45&amp;J$43,Calc!$Z$64:$AB$207,3,0),"")</f>
        <v/>
      </c>
      <c r="K45" s="121" t="str">
        <f ca="1">IFERROR(VLOOKUP($C45&amp;K$43,Calc!$Z$64:$AB$207,3,0),"")</f>
        <v/>
      </c>
      <c r="L45" s="121" t="str">
        <f ca="1">IFERROR(VLOOKUP($C45&amp;L$43,Calc!$Z$64:$AB$207,3,0),"")</f>
        <v/>
      </c>
      <c r="M45" s="121" t="str">
        <f ca="1">IFERROR(VLOOKUP($C45&amp;M$43,Calc!$Z$64:$AB$207,3,0),"")</f>
        <v/>
      </c>
      <c r="N45" s="121" t="str">
        <f ca="1">IFERROR(VLOOKUP($C45&amp;N$43,Calc!$Z$64:$AB$207,3,0),"")</f>
        <v/>
      </c>
      <c r="O45" s="121" t="str">
        <f ca="1">IFERROR(VLOOKUP($C45&amp;O$43,Calc!$Z$64:$AB$207,3,0),"")</f>
        <v/>
      </c>
      <c r="P45" s="146" t="str">
        <f ca="1">IFERROR(VLOOKUP($C45&amp;P$43,Calc!$Z$64:$AB$207,3,0),"")</f>
        <v/>
      </c>
      <c r="Q45" s="135" t="str">
        <f ca="1">IFERROR(VLOOKUP($C45&amp;Q$43,Calc!$AC$64:$AD$207,2,0),"")</f>
        <v/>
      </c>
      <c r="R45" s="133"/>
      <c r="S45" s="121" t="str">
        <f ca="1">IFERROR(VLOOKUP($C45&amp;S$43,Calc!$AC$64:$AD$207,2,0),"")</f>
        <v/>
      </c>
      <c r="T45" s="121" t="str">
        <f ca="1">IFERROR(VLOOKUP($C45&amp;T$43,Calc!$AC$64:$AD$207,2,0),"")</f>
        <v/>
      </c>
      <c r="U45" s="121" t="str">
        <f ca="1">IFERROR(VLOOKUP($C45&amp;U$43,Calc!$AC$64:$AD$207,2,0),"")</f>
        <v/>
      </c>
      <c r="V45" s="121" t="str">
        <f ca="1">IFERROR(VLOOKUP($C45&amp;V$43,Calc!$AC$64:$AD$207,2,0),"")</f>
        <v/>
      </c>
      <c r="W45" s="121" t="str">
        <f ca="1">IFERROR(VLOOKUP($C45&amp;W$43,Calc!$AC$64:$AD$207,2,0),"")</f>
        <v/>
      </c>
      <c r="X45" s="121" t="str">
        <f ca="1">IFERROR(VLOOKUP($C45&amp;X$43,Calc!$AC$64:$AD$207,2,0),"")</f>
        <v/>
      </c>
      <c r="Y45" s="180" t="str">
        <f ca="1">IFERROR(VLOOKUP($C45&amp;Y$43,Calc!$AC$64:$AD$207,2,0),"")</f>
        <v/>
      </c>
      <c r="Z45" s="254" t="str">
        <f t="shared" ref="Z45:Z52" ca="1" si="3">C45</f>
        <v/>
      </c>
    </row>
    <row r="46" spans="2:26" ht="21.95" customHeight="1" x14ac:dyDescent="0.2">
      <c r="B46" s="125" t="str">
        <f ca="1">IF($C46="","",INDEX(Results!$L$10:$L$18,MATCH($C46,Results!$M$10:$M$18,0)))</f>
        <v/>
      </c>
      <c r="C46" s="139" t="str">
        <f ca="1">IF(Calc!$K$13=0,"",Calc!$AM6)</f>
        <v/>
      </c>
      <c r="D46" s="143" t="str">
        <f ca="1">IF($C46="","",VLOOKUP($C46,Calc!$C$17:$AC$25,25,0))</f>
        <v/>
      </c>
      <c r="E46" s="121" t="str">
        <f ca="1">IF($C46="","",VLOOKUP($C46,Calc!$C$17:$AC$25,26,0))</f>
        <v/>
      </c>
      <c r="F46" s="121" t="str">
        <f ca="1">IF($C46="","",VLOOKUP($C46,Calc!$C$17:$AC$25,27,0)&amp;Language!$E$66&amp;(VLOOKUP($C46,Calc!$C$17:$AC$25,27,0)-$E46))</f>
        <v/>
      </c>
      <c r="G46" s="176" t="str">
        <f ca="1">IF(C46="","",VLOOKUP(C46,'Fair-Play und Los'!$C$7:$D$15,2,0))</f>
        <v/>
      </c>
      <c r="H46" s="156" t="str">
        <f ca="1">IFERROR(VLOOKUP($C46&amp;H$43,Calc!$Z$64:$AB$207,3,0),"")</f>
        <v/>
      </c>
      <c r="I46" s="121" t="str">
        <f ca="1">IFERROR(VLOOKUP($C46&amp;I$43,Calc!$Z$64:$AB$207,3,0),"")</f>
        <v/>
      </c>
      <c r="J46" s="133"/>
      <c r="K46" s="121" t="str">
        <f ca="1">IFERROR(VLOOKUP($C46&amp;K$43,Calc!$Z$64:$AB$207,3,0),"")</f>
        <v/>
      </c>
      <c r="L46" s="121" t="str">
        <f ca="1">IFERROR(VLOOKUP($C46&amp;L$43,Calc!$Z$64:$AB$207,3,0),"")</f>
        <v/>
      </c>
      <c r="M46" s="121" t="str">
        <f ca="1">IFERROR(VLOOKUP($C46&amp;M$43,Calc!$Z$64:$AB$207,3,0),"")</f>
        <v/>
      </c>
      <c r="N46" s="121" t="str">
        <f ca="1">IFERROR(VLOOKUP($C46&amp;N$43,Calc!$Z$64:$AB$207,3,0),"")</f>
        <v/>
      </c>
      <c r="O46" s="121" t="str">
        <f ca="1">IFERROR(VLOOKUP($C46&amp;O$43,Calc!$Z$64:$AB$207,3,0),"")</f>
        <v/>
      </c>
      <c r="P46" s="146" t="str">
        <f ca="1">IFERROR(VLOOKUP($C46&amp;P$43,Calc!$Z$64:$AB$207,3,0),"")</f>
        <v/>
      </c>
      <c r="Q46" s="135" t="str">
        <f ca="1">IFERROR(VLOOKUP($C46&amp;Q$43,Calc!$AC$64:$AD$207,2,0),"")</f>
        <v/>
      </c>
      <c r="R46" s="121" t="str">
        <f ca="1">IFERROR(VLOOKUP($C46&amp;R$43,Calc!$AC$64:$AD$207,2,0),"")</f>
        <v/>
      </c>
      <c r="S46" s="133"/>
      <c r="T46" s="121" t="str">
        <f ca="1">IFERROR(VLOOKUP($C46&amp;T$43,Calc!$AC$64:$AD$207,2,0),"")</f>
        <v/>
      </c>
      <c r="U46" s="121" t="str">
        <f ca="1">IFERROR(VLOOKUP($C46&amp;U$43,Calc!$AC$64:$AD$207,2,0),"")</f>
        <v/>
      </c>
      <c r="V46" s="121" t="str">
        <f ca="1">IFERROR(VLOOKUP($C46&amp;V$43,Calc!$AC$64:$AD$207,2,0),"")</f>
        <v/>
      </c>
      <c r="W46" s="121" t="str">
        <f ca="1">IFERROR(VLOOKUP($C46&amp;W$43,Calc!$AC$64:$AD$207,2,0),"")</f>
        <v/>
      </c>
      <c r="X46" s="121" t="str">
        <f ca="1">IFERROR(VLOOKUP($C46&amp;X$43,Calc!$AC$64:$AD$207,2,0),"")</f>
        <v/>
      </c>
      <c r="Y46" s="180" t="str">
        <f ca="1">IFERROR(VLOOKUP($C46&amp;Y$43,Calc!$AC$64:$AD$207,2,0),"")</f>
        <v/>
      </c>
      <c r="Z46" s="254" t="str">
        <f t="shared" ca="1" si="3"/>
        <v/>
      </c>
    </row>
    <row r="47" spans="2:26" ht="21.95" customHeight="1" x14ac:dyDescent="0.2">
      <c r="B47" s="125" t="str">
        <f ca="1">IF($C47="","",INDEX(Results!$L$10:$L$18,MATCH($C47,Results!$M$10:$M$18,0)))</f>
        <v/>
      </c>
      <c r="C47" s="139" t="str">
        <f ca="1">IF(Calc!$K$13=0,"",Calc!$AM7)</f>
        <v/>
      </c>
      <c r="D47" s="143" t="str">
        <f ca="1">IF($C47="","",VLOOKUP($C47,Calc!$C$17:$AC$25,25,0))</f>
        <v/>
      </c>
      <c r="E47" s="121" t="str">
        <f ca="1">IF($C47="","",VLOOKUP($C47,Calc!$C$17:$AC$25,26,0))</f>
        <v/>
      </c>
      <c r="F47" s="121" t="str">
        <f ca="1">IF($C47="","",VLOOKUP($C47,Calc!$C$17:$AC$25,27,0)&amp;Language!$E$66&amp;(VLOOKUP($C47,Calc!$C$17:$AC$25,27,0)-$E47))</f>
        <v/>
      </c>
      <c r="G47" s="176" t="str">
        <f ca="1">IF(C47="","",VLOOKUP(C47,'Fair-Play und Los'!$C$7:$D$15,2,0))</f>
        <v/>
      </c>
      <c r="H47" s="156" t="str">
        <f ca="1">IFERROR(VLOOKUP($C47&amp;H$43,Calc!$Z$64:$AB$207,3,0),"")</f>
        <v/>
      </c>
      <c r="I47" s="121" t="str">
        <f ca="1">IFERROR(VLOOKUP($C47&amp;I$43,Calc!$Z$64:$AB$207,3,0),"")</f>
        <v/>
      </c>
      <c r="J47" s="121" t="str">
        <f ca="1">IFERROR(VLOOKUP($C47&amp;J$43,Calc!$Z$64:$AB$207,3,0),"")</f>
        <v/>
      </c>
      <c r="K47" s="133"/>
      <c r="L47" s="121" t="str">
        <f ca="1">IFERROR(VLOOKUP($C47&amp;L$43,Calc!$Z$64:$AB$207,3,0),"")</f>
        <v/>
      </c>
      <c r="M47" s="121" t="str">
        <f ca="1">IFERROR(VLOOKUP($C47&amp;M$43,Calc!$Z$64:$AB$207,3,0),"")</f>
        <v/>
      </c>
      <c r="N47" s="121" t="str">
        <f ca="1">IFERROR(VLOOKUP($C47&amp;N$43,Calc!$Z$64:$AB$207,3,0),"")</f>
        <v/>
      </c>
      <c r="O47" s="121" t="str">
        <f ca="1">IFERROR(VLOOKUP($C47&amp;O$43,Calc!$Z$64:$AB$207,3,0),"")</f>
        <v/>
      </c>
      <c r="P47" s="146" t="str">
        <f ca="1">IFERROR(VLOOKUP($C47&amp;P$43,Calc!$Z$64:$AB$207,3,0),"")</f>
        <v/>
      </c>
      <c r="Q47" s="135" t="str">
        <f ca="1">IFERROR(VLOOKUP($C47&amp;Q$43,Calc!$AC$64:$AD$207,2,0),"")</f>
        <v/>
      </c>
      <c r="R47" s="121" t="str">
        <f ca="1">IFERROR(VLOOKUP($C47&amp;R$43,Calc!$AC$64:$AD$207,2,0),"")</f>
        <v/>
      </c>
      <c r="S47" s="121" t="str">
        <f ca="1">IFERROR(VLOOKUP($C47&amp;S$43,Calc!$AC$64:$AD$207,2,0),"")</f>
        <v/>
      </c>
      <c r="T47" s="133"/>
      <c r="U47" s="121" t="str">
        <f ca="1">IFERROR(VLOOKUP($C47&amp;U$43,Calc!$AC$64:$AD$207,2,0),"")</f>
        <v/>
      </c>
      <c r="V47" s="121" t="str">
        <f ca="1">IFERROR(VLOOKUP($C47&amp;V$43,Calc!$AC$64:$AD$207,2,0),"")</f>
        <v/>
      </c>
      <c r="W47" s="121" t="str">
        <f ca="1">IFERROR(VLOOKUP($C47&amp;W$43,Calc!$AC$64:$AD$207,2,0),"")</f>
        <v/>
      </c>
      <c r="X47" s="121" t="str">
        <f ca="1">IFERROR(VLOOKUP($C47&amp;X$43,Calc!$AC$64:$AD$207,2,0),"")</f>
        <v/>
      </c>
      <c r="Y47" s="180" t="str">
        <f ca="1">IFERROR(VLOOKUP($C47&amp;Y$43,Calc!$AC$64:$AD$207,2,0),"")</f>
        <v/>
      </c>
      <c r="Z47" s="254" t="str">
        <f t="shared" ca="1" si="3"/>
        <v/>
      </c>
    </row>
    <row r="48" spans="2:26" ht="21.95" customHeight="1" x14ac:dyDescent="0.2">
      <c r="B48" s="125" t="str">
        <f ca="1">IF($C48="","",INDEX(Results!$L$10:$L$18,MATCH($C48,Results!$M$10:$M$18,0)))</f>
        <v/>
      </c>
      <c r="C48" s="139" t="str">
        <f ca="1">IF(Calc!$K$13=0,"",Calc!$AM8)</f>
        <v/>
      </c>
      <c r="D48" s="143" t="str">
        <f ca="1">IF($C48="","",VLOOKUP($C48,Calc!$C$17:$AC$25,25,0))</f>
        <v/>
      </c>
      <c r="E48" s="121" t="str">
        <f ca="1">IF($C48="","",VLOOKUP($C48,Calc!$C$17:$AC$25,26,0))</f>
        <v/>
      </c>
      <c r="F48" s="121" t="str">
        <f ca="1">IF($C48="","",VLOOKUP($C48,Calc!$C$17:$AC$25,27,0)&amp;Language!$E$66&amp;(VLOOKUP($C48,Calc!$C$17:$AC$25,27,0)-$E48))</f>
        <v/>
      </c>
      <c r="G48" s="176" t="str">
        <f ca="1">IF(C48="","",VLOOKUP(C48,'Fair-Play und Los'!$C$7:$D$15,2,0))</f>
        <v/>
      </c>
      <c r="H48" s="156" t="str">
        <f ca="1">IFERROR(VLOOKUP($C48&amp;H$43,Calc!$Z$64:$AB$207,3,0),"")</f>
        <v/>
      </c>
      <c r="I48" s="121" t="str">
        <f ca="1">IFERROR(VLOOKUP($C48&amp;I$43,Calc!$Z$64:$AB$207,3,0),"")</f>
        <v/>
      </c>
      <c r="J48" s="121" t="str">
        <f ca="1">IFERROR(VLOOKUP($C48&amp;J$43,Calc!$Z$64:$AB$207,3,0),"")</f>
        <v/>
      </c>
      <c r="K48" s="121" t="str">
        <f ca="1">IFERROR(VLOOKUP($C48&amp;K$43,Calc!$Z$64:$AB$207,3,0),"")</f>
        <v/>
      </c>
      <c r="L48" s="133"/>
      <c r="M48" s="121" t="str">
        <f ca="1">IFERROR(VLOOKUP($C48&amp;M$43,Calc!$Z$64:$AB$207,3,0),"")</f>
        <v/>
      </c>
      <c r="N48" s="121" t="str">
        <f ca="1">IFERROR(VLOOKUP($C48&amp;N$43,Calc!$Z$64:$AB$207,3,0),"")</f>
        <v/>
      </c>
      <c r="O48" s="121" t="str">
        <f ca="1">IFERROR(VLOOKUP($C48&amp;O$43,Calc!$Z$64:$AB$207,3,0),"")</f>
        <v/>
      </c>
      <c r="P48" s="146" t="str">
        <f ca="1">IFERROR(VLOOKUP($C48&amp;P$43,Calc!$Z$64:$AB$207,3,0),"")</f>
        <v/>
      </c>
      <c r="Q48" s="135" t="str">
        <f ca="1">IFERROR(VLOOKUP($C48&amp;Q$43,Calc!$AC$64:$AD$207,2,0),"")</f>
        <v/>
      </c>
      <c r="R48" s="121" t="str">
        <f ca="1">IFERROR(VLOOKUP($C48&amp;R$43,Calc!$AC$64:$AD$207,2,0),"")</f>
        <v/>
      </c>
      <c r="S48" s="121" t="str">
        <f ca="1">IFERROR(VLOOKUP($C48&amp;S$43,Calc!$AC$64:$AD$207,2,0),"")</f>
        <v/>
      </c>
      <c r="T48" s="121" t="str">
        <f ca="1">IFERROR(VLOOKUP($C48&amp;T$43,Calc!$AC$64:$AD$207,2,0),"")</f>
        <v/>
      </c>
      <c r="U48" s="133"/>
      <c r="V48" s="121" t="str">
        <f ca="1">IFERROR(VLOOKUP($C48&amp;V$43,Calc!$AC$64:$AD$207,2,0),"")</f>
        <v/>
      </c>
      <c r="W48" s="121" t="str">
        <f ca="1">IFERROR(VLOOKUP($C48&amp;W$43,Calc!$AC$64:$AD$207,2,0),"")</f>
        <v/>
      </c>
      <c r="X48" s="121" t="str">
        <f ca="1">IFERROR(VLOOKUP($C48&amp;X$43,Calc!$AC$64:$AD$207,2,0),"")</f>
        <v/>
      </c>
      <c r="Y48" s="180" t="str">
        <f ca="1">IFERROR(VLOOKUP($C48&amp;Y$43,Calc!$AC$64:$AD$207,2,0),"")</f>
        <v/>
      </c>
      <c r="Z48" s="254" t="str">
        <f t="shared" ca="1" si="3"/>
        <v/>
      </c>
    </row>
    <row r="49" spans="2:26" ht="21.95" customHeight="1" x14ac:dyDescent="0.2">
      <c r="B49" s="125" t="str">
        <f ca="1">IF($C49="","",INDEX(Results!$L$10:$L$18,MATCH($C49,Results!$M$10:$M$18,0)))</f>
        <v/>
      </c>
      <c r="C49" s="139" t="str">
        <f ca="1">IF(Calc!$K$13=0,"",Calc!$AM9)</f>
        <v/>
      </c>
      <c r="D49" s="143" t="str">
        <f ca="1">IF($C49="","",VLOOKUP($C49,Calc!$C$17:$AC$25,25,0))</f>
        <v/>
      </c>
      <c r="E49" s="121" t="str">
        <f ca="1">IF($C49="","",VLOOKUP($C49,Calc!$C$17:$AC$25,26,0))</f>
        <v/>
      </c>
      <c r="F49" s="121" t="str">
        <f ca="1">IF($C49="","",VLOOKUP($C49,Calc!$C$17:$AC$25,27,0)&amp;Language!$E$66&amp;(VLOOKUP($C49,Calc!$C$17:$AC$25,27,0)-$E49))</f>
        <v/>
      </c>
      <c r="G49" s="176" t="str">
        <f ca="1">IF(C49="","",VLOOKUP(C49,'Fair-Play und Los'!$C$7:$D$15,2,0))</f>
        <v/>
      </c>
      <c r="H49" s="156" t="str">
        <f ca="1">IFERROR(VLOOKUP($C49&amp;H$43,Calc!$Z$64:$AB$207,3,0),"")</f>
        <v/>
      </c>
      <c r="I49" s="121" t="str">
        <f ca="1">IFERROR(VLOOKUP($C49&amp;I$43,Calc!$Z$64:$AB$207,3,0),"")</f>
        <v/>
      </c>
      <c r="J49" s="121" t="str">
        <f ca="1">IFERROR(VLOOKUP($C49&amp;J$43,Calc!$Z$64:$AB$207,3,0),"")</f>
        <v/>
      </c>
      <c r="K49" s="121" t="str">
        <f ca="1">IFERROR(VLOOKUP($C49&amp;K$43,Calc!$Z$64:$AB$207,3,0),"")</f>
        <v/>
      </c>
      <c r="L49" s="121" t="str">
        <f ca="1">IFERROR(VLOOKUP($C49&amp;L$43,Calc!$Z$64:$AB$207,3,0),"")</f>
        <v/>
      </c>
      <c r="M49" s="133"/>
      <c r="N49" s="121" t="str">
        <f ca="1">IFERROR(VLOOKUP($C49&amp;N$43,Calc!$Z$64:$AB$207,3,0),"")</f>
        <v/>
      </c>
      <c r="O49" s="121" t="str">
        <f ca="1">IFERROR(VLOOKUP($C49&amp;O$43,Calc!$Z$64:$AB$207,3,0),"")</f>
        <v/>
      </c>
      <c r="P49" s="146" t="str">
        <f ca="1">IFERROR(VLOOKUP($C49&amp;P$43,Calc!$Z$64:$AB$207,3,0),"")</f>
        <v/>
      </c>
      <c r="Q49" s="135" t="str">
        <f ca="1">IFERROR(VLOOKUP($C49&amp;Q$43,Calc!$AC$64:$AD$207,2,0),"")</f>
        <v/>
      </c>
      <c r="R49" s="121" t="str">
        <f ca="1">IFERROR(VLOOKUP($C49&amp;R$43,Calc!$AC$64:$AD$207,2,0),"")</f>
        <v/>
      </c>
      <c r="S49" s="121" t="str">
        <f ca="1">IFERROR(VLOOKUP($C49&amp;S$43,Calc!$AC$64:$AD$207,2,0),"")</f>
        <v/>
      </c>
      <c r="T49" s="121" t="str">
        <f ca="1">IFERROR(VLOOKUP($C49&amp;T$43,Calc!$AC$64:$AD$207,2,0),"")</f>
        <v/>
      </c>
      <c r="U49" s="121" t="str">
        <f ca="1">IFERROR(VLOOKUP($C49&amp;U$43,Calc!$AC$64:$AD$207,2,0),"")</f>
        <v/>
      </c>
      <c r="V49" s="133"/>
      <c r="W49" s="121" t="str">
        <f ca="1">IFERROR(VLOOKUP($C49&amp;W$43,Calc!$AC$64:$AD$207,2,0),"")</f>
        <v/>
      </c>
      <c r="X49" s="121" t="str">
        <f ca="1">IFERROR(VLOOKUP($C49&amp;X$43,Calc!$AC$64:$AD$207,2,0),"")</f>
        <v/>
      </c>
      <c r="Y49" s="180" t="str">
        <f ca="1">IFERROR(VLOOKUP($C49&amp;Y$43,Calc!$AC$64:$AD$207,2,0),"")</f>
        <v/>
      </c>
      <c r="Z49" s="254" t="str">
        <f t="shared" ca="1" si="3"/>
        <v/>
      </c>
    </row>
    <row r="50" spans="2:26" ht="21.95" customHeight="1" x14ac:dyDescent="0.2">
      <c r="B50" s="125" t="str">
        <f ca="1">IF($C50="","",INDEX(Results!$L$10:$L$18,MATCH($C50,Results!$M$10:$M$18,0)))</f>
        <v/>
      </c>
      <c r="C50" s="139" t="str">
        <f ca="1">IF(Calc!$K$13=0,"",Calc!$AM10)</f>
        <v/>
      </c>
      <c r="D50" s="143" t="str">
        <f ca="1">IF($C50="","",VLOOKUP($C50,Calc!$C$17:$AC$25,25,0))</f>
        <v/>
      </c>
      <c r="E50" s="121" t="str">
        <f ca="1">IF($C50="","",VLOOKUP($C50,Calc!$C$17:$AC$25,26,0))</f>
        <v/>
      </c>
      <c r="F50" s="121" t="str">
        <f ca="1">IF($C50="","",VLOOKUP($C50,Calc!$C$17:$AC$25,27,0)&amp;Language!$E$66&amp;(VLOOKUP($C50,Calc!$C$17:$AC$25,27,0)-$E50))</f>
        <v/>
      </c>
      <c r="G50" s="176" t="str">
        <f ca="1">IF(C50="","",VLOOKUP(C50,'Fair-Play und Los'!$C$7:$D$15,2,0))</f>
        <v/>
      </c>
      <c r="H50" s="156" t="str">
        <f ca="1">IFERROR(VLOOKUP($C50&amp;H$43,Calc!$Z$64:$AB$207,3,0),"")</f>
        <v/>
      </c>
      <c r="I50" s="121" t="str">
        <f ca="1">IFERROR(VLOOKUP($C50&amp;I$43,Calc!$Z$64:$AB$207,3,0),"")</f>
        <v/>
      </c>
      <c r="J50" s="121" t="str">
        <f ca="1">IFERROR(VLOOKUP($C50&amp;J$43,Calc!$Z$64:$AB$207,3,0),"")</f>
        <v/>
      </c>
      <c r="K50" s="121" t="str">
        <f ca="1">IFERROR(VLOOKUP($C50&amp;K$43,Calc!$Z$64:$AB$207,3,0),"")</f>
        <v/>
      </c>
      <c r="L50" s="121" t="str">
        <f ca="1">IFERROR(VLOOKUP($C50&amp;L$43,Calc!$Z$64:$AB$207,3,0),"")</f>
        <v/>
      </c>
      <c r="M50" s="121" t="str">
        <f ca="1">IFERROR(VLOOKUP($C50&amp;M$43,Calc!$Z$64:$AB$207,3,0),"")</f>
        <v/>
      </c>
      <c r="N50" s="133"/>
      <c r="O50" s="121" t="str">
        <f ca="1">IFERROR(VLOOKUP($C50&amp;O$43,Calc!$Z$64:$AB$207,3,0),"")</f>
        <v/>
      </c>
      <c r="P50" s="146" t="str">
        <f ca="1">IFERROR(VLOOKUP($C50&amp;P$43,Calc!$Z$64:$AB$207,3,0),"")</f>
        <v/>
      </c>
      <c r="Q50" s="135" t="str">
        <f ca="1">IFERROR(VLOOKUP($C50&amp;Q$43,Calc!$AC$64:$AD$207,2,0),"")</f>
        <v/>
      </c>
      <c r="R50" s="121" t="str">
        <f ca="1">IFERROR(VLOOKUP($C50&amp;R$43,Calc!$AC$64:$AD$207,2,0),"")</f>
        <v/>
      </c>
      <c r="S50" s="121" t="str">
        <f ca="1">IFERROR(VLOOKUP($C50&amp;S$43,Calc!$AC$64:$AD$207,2,0),"")</f>
        <v/>
      </c>
      <c r="T50" s="121" t="str">
        <f ca="1">IFERROR(VLOOKUP($C50&amp;T$43,Calc!$AC$64:$AD$207,2,0),"")</f>
        <v/>
      </c>
      <c r="U50" s="121" t="str">
        <f ca="1">IFERROR(VLOOKUP($C50&amp;U$43,Calc!$AC$64:$AD$207,2,0),"")</f>
        <v/>
      </c>
      <c r="V50" s="121" t="str">
        <f ca="1">IFERROR(VLOOKUP($C50&amp;V$43,Calc!$AC$64:$AD$207,2,0),"")</f>
        <v/>
      </c>
      <c r="W50" s="133"/>
      <c r="X50" s="121" t="str">
        <f ca="1">IFERROR(VLOOKUP($C50&amp;X$43,Calc!$AC$64:$AD$207,2,0),"")</f>
        <v/>
      </c>
      <c r="Y50" s="180" t="str">
        <f ca="1">IFERROR(VLOOKUP($C50&amp;Y$43,Calc!$AC$64:$AD$207,2,0),"")</f>
        <v/>
      </c>
      <c r="Z50" s="254" t="str">
        <f t="shared" ca="1" si="3"/>
        <v/>
      </c>
    </row>
    <row r="51" spans="2:26" ht="21.95" customHeight="1" x14ac:dyDescent="0.2">
      <c r="B51" s="125" t="str">
        <f ca="1">IF($C51="","",INDEX(Results!$L$10:$L$18,MATCH($C51,Results!$M$10:$M$18,0)))</f>
        <v/>
      </c>
      <c r="C51" s="139" t="str">
        <f ca="1">IF(Calc!$K$13=0,"",Calc!$AM11)</f>
        <v/>
      </c>
      <c r="D51" s="143" t="str">
        <f ca="1">IF($C51="","",VLOOKUP($C51,Calc!$C$17:$AC$25,25,0))</f>
        <v/>
      </c>
      <c r="E51" s="121" t="str">
        <f ca="1">IF($C51="","",VLOOKUP($C51,Calc!$C$17:$AC$25,26,0))</f>
        <v/>
      </c>
      <c r="F51" s="121" t="str">
        <f ca="1">IF($C51="","",VLOOKUP($C51,Calc!$C$17:$AC$25,27,0)&amp;Language!$E$66&amp;(VLOOKUP($C51,Calc!$C$17:$AC$25,27,0)-$E51))</f>
        <v/>
      </c>
      <c r="G51" s="176" t="str">
        <f ca="1">IF(C51="","",VLOOKUP(C51,'Fair-Play und Los'!$C$7:$D$15,2,0))</f>
        <v/>
      </c>
      <c r="H51" s="156" t="str">
        <f ca="1">IFERROR(VLOOKUP($C51&amp;H$43,Calc!$Z$64:$AB$207,3,0),"")</f>
        <v/>
      </c>
      <c r="I51" s="121" t="str">
        <f ca="1">IFERROR(VLOOKUP($C51&amp;I$43,Calc!$Z$64:$AB$207,3,0),"")</f>
        <v/>
      </c>
      <c r="J51" s="121" t="str">
        <f ca="1">IFERROR(VLOOKUP($C51&amp;J$43,Calc!$Z$64:$AB$207,3,0),"")</f>
        <v/>
      </c>
      <c r="K51" s="121" t="str">
        <f ca="1">IFERROR(VLOOKUP($C51&amp;K$43,Calc!$Z$64:$AB$207,3,0),"")</f>
        <v/>
      </c>
      <c r="L51" s="121" t="str">
        <f ca="1">IFERROR(VLOOKUP($C51&amp;L$43,Calc!$Z$64:$AB$207,3,0),"")</f>
        <v/>
      </c>
      <c r="M51" s="121" t="str">
        <f ca="1">IFERROR(VLOOKUP($C51&amp;M$43,Calc!$Z$64:$AB$207,3,0),"")</f>
        <v/>
      </c>
      <c r="N51" s="121" t="str">
        <f ca="1">IFERROR(VLOOKUP($C51&amp;N$43,Calc!$Z$64:$AB$207,3,0),"")</f>
        <v/>
      </c>
      <c r="O51" s="133"/>
      <c r="P51" s="146" t="str">
        <f ca="1">IFERROR(VLOOKUP($C51&amp;P$43,Calc!$Z$64:$AB$207,3,0),"")</f>
        <v/>
      </c>
      <c r="Q51" s="135" t="str">
        <f ca="1">IFERROR(VLOOKUP($C51&amp;Q$43,Calc!$AC$64:$AD$207,2,0),"")</f>
        <v/>
      </c>
      <c r="R51" s="121" t="str">
        <f ca="1">IFERROR(VLOOKUP($C51&amp;R$43,Calc!$AC$64:$AD$207,2,0),"")</f>
        <v/>
      </c>
      <c r="S51" s="121" t="str">
        <f ca="1">IFERROR(VLOOKUP($C51&amp;S$43,Calc!$AC$64:$AD$207,2,0),"")</f>
        <v/>
      </c>
      <c r="T51" s="121" t="str">
        <f ca="1">IFERROR(VLOOKUP($C51&amp;T$43,Calc!$AC$64:$AD$207,2,0),"")</f>
        <v/>
      </c>
      <c r="U51" s="121" t="str">
        <f ca="1">IFERROR(VLOOKUP($C51&amp;U$43,Calc!$AC$64:$AD$207,2,0),"")</f>
        <v/>
      </c>
      <c r="V51" s="121" t="str">
        <f ca="1">IFERROR(VLOOKUP($C51&amp;V$43,Calc!$AC$64:$AD$207,2,0),"")</f>
        <v/>
      </c>
      <c r="W51" s="121" t="str">
        <f ca="1">IFERROR(VLOOKUP($C51&amp;W$43,Calc!$AC$64:$AD$207,2,0),"")</f>
        <v/>
      </c>
      <c r="X51" s="133"/>
      <c r="Y51" s="180" t="str">
        <f ca="1">IFERROR(VLOOKUP($C51&amp;Y$43,Calc!$AC$64:$AD$207,2,0),"")</f>
        <v/>
      </c>
      <c r="Z51" s="254" t="str">
        <f t="shared" ca="1" si="3"/>
        <v/>
      </c>
    </row>
    <row r="52" spans="2:26" ht="21.95" customHeight="1" thickBot="1" x14ac:dyDescent="0.25">
      <c r="B52" s="126" t="str">
        <f ca="1">IF($C52="","",INDEX(Results!$L$10:$L$18,MATCH($C52,Results!$M$10:$M$18,0)))</f>
        <v/>
      </c>
      <c r="C52" s="140" t="str">
        <f ca="1">IF(Calc!$K$13=0,"",Calc!$AM12)</f>
        <v/>
      </c>
      <c r="D52" s="144" t="str">
        <f ca="1">IF($C52="","",VLOOKUP($C52,Calc!$C$17:$AC$25,25,0))</f>
        <v/>
      </c>
      <c r="E52" s="122" t="str">
        <f ca="1">IF($C52="","",VLOOKUP($C52,Calc!$C$17:$AC$25,26,0))</f>
        <v/>
      </c>
      <c r="F52" s="122" t="str">
        <f ca="1">IF($C52="","",VLOOKUP($C52,Calc!$C$17:$AC$25,27,0)&amp;Language!$E$66&amp;(VLOOKUP($C52,Calc!$C$17:$AC$25,27,0)-$E52))</f>
        <v/>
      </c>
      <c r="G52" s="177" t="str">
        <f ca="1">IF(C52="","",VLOOKUP(C52,'Fair-Play und Los'!$C$7:$D$15,2,0))</f>
        <v/>
      </c>
      <c r="H52" s="157" t="str">
        <f ca="1">IFERROR(VLOOKUP($C52&amp;H$43,Calc!$Z$64:$AB$207,3,0),"")</f>
        <v/>
      </c>
      <c r="I52" s="122" t="str">
        <f ca="1">IFERROR(VLOOKUP($C52&amp;I$43,Calc!$Z$64:$AB$207,3,0),"")</f>
        <v/>
      </c>
      <c r="J52" s="122" t="str">
        <f ca="1">IFERROR(VLOOKUP($C52&amp;J$43,Calc!$Z$64:$AB$207,3,0),"")</f>
        <v/>
      </c>
      <c r="K52" s="122" t="str">
        <f ca="1">IFERROR(VLOOKUP($C52&amp;K$43,Calc!$Z$64:$AB$207,3,0),"")</f>
        <v/>
      </c>
      <c r="L52" s="122" t="str">
        <f ca="1">IFERROR(VLOOKUP($C52&amp;L$43,Calc!$Z$64:$AB$207,3,0),"")</f>
        <v/>
      </c>
      <c r="M52" s="122" t="str">
        <f ca="1">IFERROR(VLOOKUP($C52&amp;M$43,Calc!$Z$64:$AB$207,3,0),"")</f>
        <v/>
      </c>
      <c r="N52" s="122" t="str">
        <f ca="1">IFERROR(VLOOKUP($C52&amp;N$43,Calc!$Z$64:$AB$207,3,0),"")</f>
        <v/>
      </c>
      <c r="O52" s="122" t="str">
        <f ca="1">IFERROR(VLOOKUP($C52&amp;O$43,Calc!$Z$64:$AB$207,3,0),"")</f>
        <v/>
      </c>
      <c r="P52" s="147"/>
      <c r="Q52" s="136" t="str">
        <f ca="1">IFERROR(VLOOKUP($C52&amp;Q$43,Calc!$AC$64:$AD$207,2,0),"")</f>
        <v/>
      </c>
      <c r="R52" s="122" t="str">
        <f ca="1">IFERROR(VLOOKUP($C52&amp;R$43,Calc!$AC$64:$AD$207,2,0),"")</f>
        <v/>
      </c>
      <c r="S52" s="122" t="str">
        <f ca="1">IFERROR(VLOOKUP($C52&amp;S$43,Calc!$AC$64:$AD$207,2,0),"")</f>
        <v/>
      </c>
      <c r="T52" s="122" t="str">
        <f ca="1">IFERROR(VLOOKUP($C52&amp;T$43,Calc!$AC$64:$AD$207,2,0),"")</f>
        <v/>
      </c>
      <c r="U52" s="122" t="str">
        <f ca="1">IFERROR(VLOOKUP($C52&amp;U$43,Calc!$AC$64:$AD$207,2,0),"")</f>
        <v/>
      </c>
      <c r="V52" s="122" t="str">
        <f ca="1">IFERROR(VLOOKUP($C52&amp;V$43,Calc!$AC$64:$AD$207,2,0),"")</f>
        <v/>
      </c>
      <c r="W52" s="122" t="str">
        <f ca="1">IFERROR(VLOOKUP($C52&amp;W$43,Calc!$AC$64:$AD$207,2,0),"")</f>
        <v/>
      </c>
      <c r="X52" s="122" t="str">
        <f ca="1">IFERROR(VLOOKUP($C52&amp;X$43,Calc!$AC$64:$AD$207,2,0),"")</f>
        <v/>
      </c>
      <c r="Y52" s="181"/>
      <c r="Z52" s="255" t="str">
        <f t="shared" ca="1" si="3"/>
        <v/>
      </c>
    </row>
    <row r="53" spans="2:26" ht="13.5" thickTop="1" x14ac:dyDescent="0.2"/>
    <row r="54" spans="2:26" x14ac:dyDescent="0.2"/>
    <row r="55" spans="2:26" x14ac:dyDescent="0.2"/>
    <row r="56" spans="2:26" x14ac:dyDescent="0.2"/>
  </sheetData>
  <sheetProtection sheet="1" selectLockedCells="1"/>
  <mergeCells count="2">
    <mergeCell ref="B2:Y2"/>
    <mergeCell ref="B4:Y4"/>
  </mergeCells>
  <conditionalFormatting sqref="B8:Z8 B20:Z20 B32:Z32 B44:Z44">
    <cfRule type="expression" dxfId="26" priority="109">
      <formula>AND($B8=$B9,$C9&lt;&gt;"")</formula>
    </cfRule>
  </conditionalFormatting>
  <conditionalFormatting sqref="B29:F29">
    <cfRule type="expression" dxfId="25" priority="103">
      <formula>AND($B$28=$B$27,$C$28&lt;&gt;"")</formula>
    </cfRule>
  </conditionalFormatting>
  <conditionalFormatting sqref="G29">
    <cfRule type="expression" dxfId="24" priority="74">
      <formula>AND($B$28=$B$27,$C$28&lt;&gt;"")</formula>
    </cfRule>
  </conditionalFormatting>
  <conditionalFormatting sqref="B16:Z16 B28:Z28 B40:Z40 B52:Z52">
    <cfRule type="expression" dxfId="23" priority="2">
      <formula>AND($B16=$B15,$C15&lt;&gt;"")</formula>
    </cfRule>
  </conditionalFormatting>
  <conditionalFormatting sqref="B9:Z15 B21:Z27 B33:Z39 B45:Z51">
    <cfRule type="expression" dxfId="22" priority="1">
      <formula>OR(AND($B9=$B8,$C8&lt;&gt;""),AND($B9=$B10,$C10&lt;&gt;""))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"/>
  <dimension ref="A1:H227"/>
  <sheetViews>
    <sheetView showGridLines="0" showRowColHeaders="0" zoomScaleNormal="100" workbookViewId="0">
      <selection activeCell="B24" sqref="B24:G25"/>
    </sheetView>
  </sheetViews>
  <sheetFormatPr baseColWidth="10" defaultColWidth="0" defaultRowHeight="18.75" zeroHeight="1" x14ac:dyDescent="0.3"/>
  <cols>
    <col min="1" max="1" width="3.5703125" style="207" customWidth="1"/>
    <col min="2" max="4" width="11.42578125" style="207" customWidth="1"/>
    <col min="5" max="5" width="7.7109375" style="207" customWidth="1"/>
    <col min="6" max="6" width="26.140625" style="207" customWidth="1"/>
    <col min="7" max="8" width="11.42578125" style="207" customWidth="1"/>
    <col min="9" max="16384" width="11.42578125" style="207" hidden="1"/>
  </cols>
  <sheetData>
    <row r="1" spans="1:6" ht="26.1" customHeight="1" x14ac:dyDescent="0.3">
      <c r="A1" s="252"/>
      <c r="C1" s="526" t="str">
        <f>Results!$F$2</f>
        <v>International tournament U10 on Apr. 25th, 2024</v>
      </c>
      <c r="D1" s="526"/>
      <c r="E1" s="526"/>
      <c r="F1" s="526"/>
    </row>
    <row r="2" spans="1:6" ht="26.1" customHeight="1" x14ac:dyDescent="0.3">
      <c r="C2" s="526"/>
      <c r="D2" s="526"/>
      <c r="E2" s="526"/>
      <c r="F2" s="526"/>
    </row>
    <row r="3" spans="1:6" ht="26.1" customHeight="1" x14ac:dyDescent="0.3">
      <c r="C3" s="526"/>
      <c r="D3" s="526"/>
      <c r="E3" s="526"/>
      <c r="F3" s="526"/>
    </row>
    <row r="4" spans="1:6" ht="25.5" customHeight="1" thickBot="1" x14ac:dyDescent="0.35"/>
    <row r="5" spans="1:6" ht="45.75" customHeight="1" thickTop="1" thickBot="1" x14ac:dyDescent="0.35">
      <c r="C5" s="527" t="str">
        <f>IF(Planning!$C$8="","",Planning!$C$8)</f>
        <v>1. FC Riedwald</v>
      </c>
      <c r="D5" s="528"/>
      <c r="E5" s="528"/>
      <c r="F5" s="529"/>
    </row>
    <row r="6" spans="1:6" ht="26.1" customHeight="1" thickBot="1" x14ac:dyDescent="0.35">
      <c r="C6" s="216" t="str">
        <f>Language!$E$9</f>
        <v>No.</v>
      </c>
      <c r="D6" s="217" t="str">
        <f>Language!$E$39</f>
        <v>Start</v>
      </c>
      <c r="E6" s="245" t="str">
        <f>Language!$E$48</f>
        <v>Field</v>
      </c>
      <c r="F6" s="218" t="str">
        <f>Language!$E$46</f>
        <v>Match against</v>
      </c>
    </row>
    <row r="7" spans="1:6" ht="26.1" customHeight="1" x14ac:dyDescent="0.3">
      <c r="C7" s="214" t="s">
        <v>7</v>
      </c>
      <c r="D7" s="215">
        <f ca="1">IF(Planning!$AB$7&lt;99999,Planning!$AB$7,"")</f>
        <v>0.3923611111111111</v>
      </c>
      <c r="E7" s="247">
        <f ca="1">IF(OR(Planning!$AC$7=0,Planning!$AC$7=""),"",Planning!$AC$7)</f>
        <v>1</v>
      </c>
      <c r="F7" s="246" t="str">
        <f ca="1">IF(OR(Planning!$AD$7=0,Planning!$AD$7=""),"",Planning!$AD$7)</f>
        <v>SSV Wildbach</v>
      </c>
    </row>
    <row r="8" spans="1:6" ht="26.1" customHeight="1" x14ac:dyDescent="0.3">
      <c r="C8" s="208" t="s">
        <v>8</v>
      </c>
      <c r="D8" s="209">
        <f ca="1">IF(Planning!$AB$8&lt;99999,Planning!$AB$8,"")</f>
        <v>0.40972222222222221</v>
      </c>
      <c r="E8" s="248">
        <f ca="1">IF(OR(Planning!$AC$8=0,Planning!$AC$8=""),"",Planning!$AC$8)</f>
        <v>1</v>
      </c>
      <c r="F8" s="210" t="str">
        <f ca="1">IF(OR(Planning!$AD$8=0,Planning!$AD$8=""),"",Planning!$AD$8)</f>
        <v>Inter Mailand</v>
      </c>
    </row>
    <row r="9" spans="1:6" ht="26.1" customHeight="1" x14ac:dyDescent="0.3">
      <c r="C9" s="208" t="s">
        <v>9</v>
      </c>
      <c r="D9" s="209">
        <f ca="1">IF(Planning!$AB$9&lt;99999,Planning!$AB$9,"")</f>
        <v>0.42708333333333331</v>
      </c>
      <c r="E9" s="248">
        <f ca="1">IF(OR(Planning!$AC$9=0,Planning!$AC$9=""),"",Planning!$AC$9)</f>
        <v>1</v>
      </c>
      <c r="F9" s="210" t="str">
        <f ca="1">IF(OR(Planning!$AD$9=0,Planning!$AD$9=""),"",Planning!$AD$9)</f>
        <v>VFB Essenheim</v>
      </c>
    </row>
    <row r="10" spans="1:6" ht="26.1" customHeight="1" x14ac:dyDescent="0.3">
      <c r="C10" s="208" t="s">
        <v>10</v>
      </c>
      <c r="D10" s="209">
        <f ca="1">IF(Planning!$AB$10&lt;99999,Planning!$AB$10,"")</f>
        <v>0.44444444444444442</v>
      </c>
      <c r="E10" s="248">
        <f ca="1">IF(OR(Planning!$AC$10=0,Planning!$AC$10=""),"",Planning!$AC$10)</f>
        <v>1</v>
      </c>
      <c r="F10" s="210" t="str">
        <f ca="1">IF(OR(Planning!$AD$10=0,Planning!$AD$10=""),"",Planning!$AD$10)</f>
        <v>Maibach 1822 eV</v>
      </c>
    </row>
    <row r="11" spans="1:6" ht="26.1" customHeight="1" x14ac:dyDescent="0.3">
      <c r="C11" s="208" t="s">
        <v>11</v>
      </c>
      <c r="D11" s="209">
        <f ca="1">IF(Planning!$AB$11&lt;99999,Planning!$AB$11,"")</f>
        <v>0.46180555555555558</v>
      </c>
      <c r="E11" s="248">
        <f ca="1">IF(OR(Planning!$AC$11=0,Planning!$AC$11=""),"",Planning!$AC$11)</f>
        <v>1</v>
      </c>
      <c r="F11" s="210" t="str">
        <f ca="1">IF(OR(Planning!$AD$11=0,Planning!$AD$11=""),"",Planning!$AD$11)</f>
        <v>Eintracht Frankfurt</v>
      </c>
    </row>
    <row r="12" spans="1:6" ht="26.1" customHeight="1" x14ac:dyDescent="0.3">
      <c r="C12" s="208" t="s">
        <v>12</v>
      </c>
      <c r="D12" s="209">
        <f ca="1">IF(Planning!$AB$12&lt;99999,Planning!$AB$12,"")</f>
        <v>0.47916666666666669</v>
      </c>
      <c r="E12" s="248">
        <f ca="1">IF(OR(Planning!$AC$12=0,Planning!$AC$12=""),"",Planning!$AC$12)</f>
        <v>1</v>
      </c>
      <c r="F12" s="210" t="str">
        <f ca="1">IF(OR(Planning!$AD$12=0,Planning!$AD$12=""),"",Planning!$AD$12)</f>
        <v>FC Barcelona</v>
      </c>
    </row>
    <row r="13" spans="1:6" ht="26.1" customHeight="1" x14ac:dyDescent="0.3">
      <c r="C13" s="208" t="s">
        <v>17</v>
      </c>
      <c r="D13" s="209">
        <f ca="1">IF(Planning!$AB$13&lt;99999,Planning!$AB$13,"")</f>
        <v>0.51388888888888884</v>
      </c>
      <c r="E13" s="248">
        <f ca="1">IF(OR(Planning!$AC$13=0,Planning!$AC$13=""),"",Planning!$AC$13)</f>
        <v>1</v>
      </c>
      <c r="F13" s="210" t="str">
        <f ca="1">IF(OR(Planning!$AD$13=0,Planning!$AD$13=""),"",Planning!$AD$13)</f>
        <v>SSV Wildbach</v>
      </c>
    </row>
    <row r="14" spans="1:6" ht="26.1" customHeight="1" x14ac:dyDescent="0.3">
      <c r="C14" s="208" t="s">
        <v>18</v>
      </c>
      <c r="D14" s="209">
        <f ca="1">IF(Planning!$AB$14&lt;99999,Planning!$AB$14,"")</f>
        <v>0.53125</v>
      </c>
      <c r="E14" s="248">
        <f ca="1">IF(OR(Planning!$AC$14=0,Planning!$AC$14=""),"",Planning!$AC$14)</f>
        <v>1</v>
      </c>
      <c r="F14" s="210" t="str">
        <f ca="1">IF(OR(Planning!$AD$14=0,Planning!$AD$14=""),"",Planning!$AD$14)</f>
        <v>Inter Mailand</v>
      </c>
    </row>
    <row r="15" spans="1:6" ht="26.1" customHeight="1" x14ac:dyDescent="0.3">
      <c r="C15" s="208" t="s">
        <v>19</v>
      </c>
      <c r="D15" s="209">
        <f ca="1">IF(Planning!$AB$15&lt;99999,Planning!$AB$15,"")</f>
        <v>0.54861111111111116</v>
      </c>
      <c r="E15" s="248">
        <f ca="1">IF(OR(Planning!$AC$15=0,Planning!$AC$15=""),"",Planning!$AC$15)</f>
        <v>1</v>
      </c>
      <c r="F15" s="210" t="str">
        <f ca="1">IF(OR(Planning!$AD$15=0,Planning!$AD$15=""),"",Planning!$AD$15)</f>
        <v>VFB Essenheim</v>
      </c>
    </row>
    <row r="16" spans="1:6" ht="26.1" customHeight="1" x14ac:dyDescent="0.3">
      <c r="C16" s="208" t="s">
        <v>25</v>
      </c>
      <c r="D16" s="209">
        <f ca="1">IF(Planning!$AB$16&lt;99999,Planning!$AB$16,"")</f>
        <v>0.56597222222222221</v>
      </c>
      <c r="E16" s="248">
        <f ca="1">IF(OR(Planning!$AC$16=0,Planning!$AC$16=""),"",Planning!$AC$16)</f>
        <v>1</v>
      </c>
      <c r="F16" s="210" t="str">
        <f ca="1">IF(OR(Planning!$AD$16=0,Planning!$AD$16=""),"",Planning!$AD$16)</f>
        <v>Maibach 1822 eV</v>
      </c>
    </row>
    <row r="17" spans="2:7" ht="26.1" customHeight="1" x14ac:dyDescent="0.3">
      <c r="C17" s="208" t="s">
        <v>26</v>
      </c>
      <c r="D17" s="209">
        <f ca="1">IF(Planning!$AB$17&lt;99999,Planning!$AB$17,"")</f>
        <v>0.58333333333333337</v>
      </c>
      <c r="E17" s="248">
        <f ca="1">IF(OR(Planning!$AC$17=0,Planning!$AC$17=""),"",Planning!$AC$17)</f>
        <v>1</v>
      </c>
      <c r="F17" s="210" t="str">
        <f ca="1">IF(OR(Planning!$AD$17=0,Planning!$AD$17=""),"",Planning!$AD$17)</f>
        <v>Eintracht Frankfurt</v>
      </c>
    </row>
    <row r="18" spans="2:7" ht="26.1" customHeight="1" x14ac:dyDescent="0.3">
      <c r="C18" s="208" t="s">
        <v>27</v>
      </c>
      <c r="D18" s="209">
        <f ca="1">IF(Planning!$AB$18&lt;99999,Planning!$AB$18,"")</f>
        <v>0.60069444444444442</v>
      </c>
      <c r="E18" s="248">
        <f ca="1">IF(OR(Planning!$AC$18=0,Planning!$AC$18=""),"",Planning!$AC$18)</f>
        <v>1</v>
      </c>
      <c r="F18" s="210" t="str">
        <f ca="1">IF(OR(Planning!$AD$18=0,Planning!$AD$18=""),"",Planning!$AD$18)</f>
        <v>FC Barcelona</v>
      </c>
    </row>
    <row r="19" spans="2:7" ht="26.1" customHeight="1" x14ac:dyDescent="0.3">
      <c r="C19" s="208" t="s">
        <v>28</v>
      </c>
      <c r="D19" s="209" t="str">
        <f ca="1">IF(Planning!$AB$19&lt;99999,Planning!$AB$19,"")</f>
        <v/>
      </c>
      <c r="E19" s="248" t="str">
        <f ca="1">IF(OR(Planning!$AC$19=0,Planning!$AC$19=""),"",Planning!$AC$19)</f>
        <v/>
      </c>
      <c r="F19" s="210" t="str">
        <f ca="1">IF(OR(Planning!$AD$19=0,Planning!$AD$19=""),"",Planning!$AD$19)</f>
        <v/>
      </c>
    </row>
    <row r="20" spans="2:7" ht="26.1" customHeight="1" x14ac:dyDescent="0.3">
      <c r="C20" s="208" t="s">
        <v>29</v>
      </c>
      <c r="D20" s="209" t="str">
        <f ca="1">IF(Planning!$AB$20&lt;99999,Planning!$AB$20,"")</f>
        <v/>
      </c>
      <c r="E20" s="248" t="str">
        <f ca="1">IF(OR(Planning!$AC$20=0,Planning!$AC$20=""),"",Planning!$AC$20)</f>
        <v/>
      </c>
      <c r="F20" s="210" t="str">
        <f ca="1">IF(OR(Planning!$AD$20=0,Planning!$AD$20=""),"",Planning!$AD$20)</f>
        <v/>
      </c>
    </row>
    <row r="21" spans="2:7" ht="26.1" customHeight="1" x14ac:dyDescent="0.3">
      <c r="C21" s="208" t="s">
        <v>30</v>
      </c>
      <c r="D21" s="209" t="str">
        <f ca="1">IF(Planning!$AB$21&lt;99999,Planning!$AB$21,"")</f>
        <v/>
      </c>
      <c r="E21" s="248" t="str">
        <f ca="1">IF(OR(Planning!$AC$21=0,Planning!$AC$21=""),"",Planning!$AC$21)</f>
        <v/>
      </c>
      <c r="F21" s="210" t="str">
        <f ca="1">IF(OR(Planning!$AD$21=0,Planning!$AD$21=""),"",Planning!$AD$21)</f>
        <v/>
      </c>
    </row>
    <row r="22" spans="2:7" ht="26.1" customHeight="1" thickBot="1" x14ac:dyDescent="0.35">
      <c r="C22" s="211" t="s">
        <v>31</v>
      </c>
      <c r="D22" s="212" t="str">
        <f ca="1">IF(Planning!$AB$22&lt;99999,Planning!$AB$22,"")</f>
        <v/>
      </c>
      <c r="E22" s="249" t="str">
        <f ca="1">IF(OR(Planning!$AC$22=0,Planning!$AC$22=""),"",Planning!$AC$22)</f>
        <v/>
      </c>
      <c r="F22" s="213" t="str">
        <f ca="1">IF(OR(Planning!$AD$22=0,Planning!$AD$22=""),"",Planning!$AD$22)</f>
        <v/>
      </c>
    </row>
    <row r="23" spans="2:7" ht="26.1" customHeight="1" thickTop="1" x14ac:dyDescent="0.3">
      <c r="B23" s="219" t="str">
        <f>Language!$E$47</f>
        <v>Note</v>
      </c>
    </row>
    <row r="24" spans="2:7" ht="26.1" customHeight="1" x14ac:dyDescent="0.3">
      <c r="B24" s="530"/>
      <c r="C24" s="531"/>
      <c r="D24" s="531"/>
      <c r="E24" s="531"/>
      <c r="F24" s="531"/>
      <c r="G24" s="532"/>
    </row>
    <row r="25" spans="2:7" ht="26.1" customHeight="1" x14ac:dyDescent="0.3">
      <c r="B25" s="533"/>
      <c r="C25" s="534"/>
      <c r="D25" s="534"/>
      <c r="E25" s="534"/>
      <c r="F25" s="534"/>
      <c r="G25" s="535"/>
    </row>
    <row r="26" spans="2:7" ht="26.1" customHeight="1" x14ac:dyDescent="0.3">
      <c r="C26" s="526" t="str">
        <f>Results!$F$2</f>
        <v>International tournament U10 on Apr. 25th, 2024</v>
      </c>
      <c r="D26" s="526"/>
      <c r="E26" s="526"/>
      <c r="F26" s="526"/>
    </row>
    <row r="27" spans="2:7" ht="26.1" customHeight="1" x14ac:dyDescent="0.3">
      <c r="C27" s="526"/>
      <c r="D27" s="526"/>
      <c r="E27" s="526"/>
      <c r="F27" s="526"/>
    </row>
    <row r="28" spans="2:7" ht="26.1" customHeight="1" x14ac:dyDescent="0.3">
      <c r="C28" s="526"/>
      <c r="D28" s="526"/>
      <c r="E28" s="526"/>
      <c r="F28" s="526"/>
    </row>
    <row r="29" spans="2:7" ht="25.5" customHeight="1" thickBot="1" x14ac:dyDescent="0.35"/>
    <row r="30" spans="2:7" ht="45.75" customHeight="1" thickTop="1" thickBot="1" x14ac:dyDescent="0.35">
      <c r="C30" s="527" t="str">
        <f>IF(Planning!$C$10="","",Planning!$C$10)</f>
        <v>FC Barcelona</v>
      </c>
      <c r="D30" s="528"/>
      <c r="E30" s="528"/>
      <c r="F30" s="529"/>
    </row>
    <row r="31" spans="2:7" ht="26.1" customHeight="1" thickBot="1" x14ac:dyDescent="0.35">
      <c r="C31" s="216" t="str">
        <f>Language!$E$9</f>
        <v>No.</v>
      </c>
      <c r="D31" s="217" t="str">
        <f>Language!$E$39</f>
        <v>Start</v>
      </c>
      <c r="E31" s="245" t="str">
        <f>Language!$E$48</f>
        <v>Field</v>
      </c>
      <c r="F31" s="218" t="str">
        <f>Language!$E$46</f>
        <v>Match against</v>
      </c>
    </row>
    <row r="32" spans="2:7" ht="26.1" customHeight="1" x14ac:dyDescent="0.3">
      <c r="C32" s="214" t="s">
        <v>7</v>
      </c>
      <c r="D32" s="215">
        <f ca="1">IF(Planning!$AJ$7&lt;99999,Planning!$AJ$7,"")</f>
        <v>0.375</v>
      </c>
      <c r="E32" s="247">
        <f ca="1">IF(OR(Planning!$AK$7=0,Planning!$AK$7=""),"",Planning!$AK$7)</f>
        <v>1</v>
      </c>
      <c r="F32" s="246" t="str">
        <f ca="1">IF(OR(Planning!$AL$7=0,Planning!$AL$7=""),"",Planning!$AL$7)</f>
        <v>SSV Wildbach</v>
      </c>
    </row>
    <row r="33" spans="2:6" ht="26.1" customHeight="1" x14ac:dyDescent="0.3">
      <c r="C33" s="208" t="s">
        <v>8</v>
      </c>
      <c r="D33" s="209">
        <f ca="1">IF(Planning!$AJ$8&lt;99999,Planning!$AJ$8,"")</f>
        <v>0.3923611111111111</v>
      </c>
      <c r="E33" s="248">
        <f ca="1">IF(OR(Planning!$AK$8=0,Planning!$AK$8=""),"",Planning!$AK$8)</f>
        <v>2</v>
      </c>
      <c r="F33" s="210" t="str">
        <f ca="1">IF(OR(Planning!$AL$8=0,Planning!$AL$8=""),"",Planning!$AL$8)</f>
        <v>VFB Essenheim</v>
      </c>
    </row>
    <row r="34" spans="2:6" ht="26.1" customHeight="1" x14ac:dyDescent="0.3">
      <c r="C34" s="208" t="s">
        <v>9</v>
      </c>
      <c r="D34" s="209">
        <f ca="1">IF(Planning!$AJ$9&lt;99999,Planning!$AJ$9,"")</f>
        <v>0.40972222222222221</v>
      </c>
      <c r="E34" s="248">
        <f ca="1">IF(OR(Planning!$AK$9=0,Planning!$AK$9=""),"",Planning!$AK$9)</f>
        <v>3</v>
      </c>
      <c r="F34" s="210" t="str">
        <f ca="1">IF(OR(Planning!$AL$9=0,Planning!$AL$9=""),"",Planning!$AL$9)</f>
        <v>Eintracht Frankfurt</v>
      </c>
    </row>
    <row r="35" spans="2:6" ht="26.1" customHeight="1" x14ac:dyDescent="0.3">
      <c r="C35" s="208" t="s">
        <v>10</v>
      </c>
      <c r="D35" s="209">
        <f ca="1">IF(Planning!$AJ$10&lt;99999,Planning!$AJ$10,"")</f>
        <v>0.44444444444444442</v>
      </c>
      <c r="E35" s="248">
        <f ca="1">IF(OR(Planning!$AK$10=0,Planning!$AK$10=""),"",Planning!$AK$10)</f>
        <v>3</v>
      </c>
      <c r="F35" s="210" t="str">
        <f ca="1">IF(OR(Planning!$AL$10=0,Planning!$AL$10=""),"",Planning!$AL$10)</f>
        <v>Inter Mailand</v>
      </c>
    </row>
    <row r="36" spans="2:6" ht="26.1" customHeight="1" x14ac:dyDescent="0.3">
      <c r="C36" s="208" t="s">
        <v>11</v>
      </c>
      <c r="D36" s="209">
        <f ca="1">IF(Planning!$AJ$11&lt;99999,Planning!$AJ$11,"")</f>
        <v>0.46180555555555558</v>
      </c>
      <c r="E36" s="248">
        <f ca="1">IF(OR(Planning!$AK$11=0,Planning!$AK$11=""),"",Planning!$AK$11)</f>
        <v>2</v>
      </c>
      <c r="F36" s="210" t="str">
        <f ca="1">IF(OR(Planning!$AL$11=0,Planning!$AL$11=""),"",Planning!$AL$11)</f>
        <v>Maibach 1822 eV</v>
      </c>
    </row>
    <row r="37" spans="2:6" ht="26.1" customHeight="1" x14ac:dyDescent="0.3">
      <c r="C37" s="208" t="s">
        <v>12</v>
      </c>
      <c r="D37" s="209">
        <f ca="1">IF(Planning!$AJ$12&lt;99999,Planning!$AJ$12,"")</f>
        <v>0.47916666666666669</v>
      </c>
      <c r="E37" s="248">
        <f ca="1">IF(OR(Planning!$AK$12=0,Planning!$AK$12=""),"",Planning!$AK$12)</f>
        <v>1</v>
      </c>
      <c r="F37" s="210" t="str">
        <f ca="1">IF(OR(Planning!$AL$12=0,Planning!$AL$12=""),"",Planning!$AL$12)</f>
        <v>1. FC Riedwald</v>
      </c>
    </row>
    <row r="38" spans="2:6" ht="26.1" customHeight="1" x14ac:dyDescent="0.3">
      <c r="C38" s="208" t="s">
        <v>17</v>
      </c>
      <c r="D38" s="209">
        <f ca="1">IF(Planning!$AJ$13&lt;99999,Planning!$AJ$13,"")</f>
        <v>0.49652777777777779</v>
      </c>
      <c r="E38" s="248">
        <f ca="1">IF(OR(Planning!$AK$13=0,Planning!$AK$13=""),"",Planning!$AK$13)</f>
        <v>1</v>
      </c>
      <c r="F38" s="210" t="str">
        <f ca="1">IF(OR(Planning!$AL$13=0,Planning!$AL$13=""),"",Planning!$AL$13)</f>
        <v>SSV Wildbach</v>
      </c>
    </row>
    <row r="39" spans="2:6" ht="26.1" customHeight="1" x14ac:dyDescent="0.3">
      <c r="C39" s="208" t="s">
        <v>18</v>
      </c>
      <c r="D39" s="209">
        <f ca="1">IF(Planning!$AJ$14&lt;99999,Planning!$AJ$14,"")</f>
        <v>0.51388888888888884</v>
      </c>
      <c r="E39" s="248">
        <f ca="1">IF(OR(Planning!$AK$14=0,Planning!$AK$14=""),"",Planning!$AK$14)</f>
        <v>2</v>
      </c>
      <c r="F39" s="210" t="str">
        <f ca="1">IF(OR(Planning!$AL$14=0,Planning!$AL$14=""),"",Planning!$AL$14)</f>
        <v>VFB Essenheim</v>
      </c>
    </row>
    <row r="40" spans="2:6" ht="26.1" customHeight="1" x14ac:dyDescent="0.3">
      <c r="C40" s="208" t="s">
        <v>19</v>
      </c>
      <c r="D40" s="209">
        <f ca="1">IF(Planning!$AJ$15&lt;99999,Planning!$AJ$15,"")</f>
        <v>0.53125</v>
      </c>
      <c r="E40" s="248">
        <f ca="1">IF(OR(Planning!$AK$15=0,Planning!$AK$15=""),"",Planning!$AK$15)</f>
        <v>3</v>
      </c>
      <c r="F40" s="210" t="str">
        <f ca="1">IF(OR(Planning!$AL$15=0,Planning!$AL$15=""),"",Planning!$AL$15)</f>
        <v>Eintracht Frankfurt</v>
      </c>
    </row>
    <row r="41" spans="2:6" ht="26.1" customHeight="1" x14ac:dyDescent="0.3">
      <c r="C41" s="208" t="s">
        <v>25</v>
      </c>
      <c r="D41" s="209">
        <f ca="1">IF(Planning!$AJ$16&lt;99999,Planning!$AJ$16,"")</f>
        <v>0.56597222222222221</v>
      </c>
      <c r="E41" s="248">
        <f ca="1">IF(OR(Planning!$AK$16=0,Planning!$AK$16=""),"",Planning!$AK$16)</f>
        <v>3</v>
      </c>
      <c r="F41" s="210" t="str">
        <f ca="1">IF(OR(Planning!$AL$16=0,Planning!$AL$16=""),"",Planning!$AL$16)</f>
        <v>Inter Mailand</v>
      </c>
    </row>
    <row r="42" spans="2:6" ht="26.1" customHeight="1" x14ac:dyDescent="0.3">
      <c r="C42" s="208" t="s">
        <v>26</v>
      </c>
      <c r="D42" s="209">
        <f ca="1">IF(Planning!$AJ$17&lt;99999,Planning!$AJ$17,"")</f>
        <v>0.58333333333333337</v>
      </c>
      <c r="E42" s="248">
        <f ca="1">IF(OR(Planning!$AK$17=0,Planning!$AK$17=""),"",Planning!$AK$17)</f>
        <v>2</v>
      </c>
      <c r="F42" s="210" t="str">
        <f ca="1">IF(OR(Planning!$AL$17=0,Planning!$AL$17=""),"",Planning!$AL$17)</f>
        <v>Maibach 1822 eV</v>
      </c>
    </row>
    <row r="43" spans="2:6" ht="26.1" customHeight="1" x14ac:dyDescent="0.3">
      <c r="C43" s="208" t="s">
        <v>27</v>
      </c>
      <c r="D43" s="209">
        <f ca="1">IF(Planning!$AJ$18&lt;99999,Planning!$AJ$18,"")</f>
        <v>0.60069444444444442</v>
      </c>
      <c r="E43" s="248">
        <f ca="1">IF(OR(Planning!$AK$18=0,Planning!$AK$18=""),"",Planning!$AK$18)</f>
        <v>1</v>
      </c>
      <c r="F43" s="210" t="str">
        <f ca="1">IF(OR(Planning!$AL$18=0,Planning!$AL$18=""),"",Planning!$AL$18)</f>
        <v>1. FC Riedwald</v>
      </c>
    </row>
    <row r="44" spans="2:6" ht="26.1" customHeight="1" x14ac:dyDescent="0.3">
      <c r="C44" s="208" t="s">
        <v>28</v>
      </c>
      <c r="D44" s="209" t="str">
        <f ca="1">IF(Planning!$AJ$19&lt;99999,Planning!$AJ$19,"")</f>
        <v/>
      </c>
      <c r="E44" s="248" t="str">
        <f ca="1">IF(OR(Planning!$AK$19=0,Planning!$AK$19=""),"",Planning!$AK$19)</f>
        <v/>
      </c>
      <c r="F44" s="210" t="str">
        <f ca="1">IF(OR(Planning!$AL$19=0,Planning!$AL$19=""),"",Planning!$AL$19)</f>
        <v/>
      </c>
    </row>
    <row r="45" spans="2:6" ht="26.1" customHeight="1" x14ac:dyDescent="0.3">
      <c r="C45" s="208" t="s">
        <v>29</v>
      </c>
      <c r="D45" s="209" t="str">
        <f ca="1">IF(Planning!$AJ$20&lt;99999,Planning!$AJ$20,"")</f>
        <v/>
      </c>
      <c r="E45" s="248" t="str">
        <f ca="1">IF(OR(Planning!$AK$20=0,Planning!$AK$20=""),"",Planning!$AK$20)</f>
        <v/>
      </c>
      <c r="F45" s="210" t="str">
        <f ca="1">IF(OR(Planning!$AL$20=0,Planning!$AL$20=""),"",Planning!$AL$20)</f>
        <v/>
      </c>
    </row>
    <row r="46" spans="2:6" ht="26.1" customHeight="1" x14ac:dyDescent="0.3">
      <c r="C46" s="208" t="s">
        <v>30</v>
      </c>
      <c r="D46" s="209" t="str">
        <f ca="1">IF(Planning!$AJ$21&lt;99999,Planning!$AJ$21,"")</f>
        <v/>
      </c>
      <c r="E46" s="248" t="str">
        <f ca="1">IF(OR(Planning!$AK$21=0,Planning!$AK$21=""),"",Planning!$AK$21)</f>
        <v/>
      </c>
      <c r="F46" s="210" t="str">
        <f ca="1">IF(OR(Planning!$AL$21=0,Planning!$AL$21=""),"",Planning!$AL$21)</f>
        <v/>
      </c>
    </row>
    <row r="47" spans="2:6" ht="26.1" customHeight="1" thickBot="1" x14ac:dyDescent="0.35">
      <c r="C47" s="211" t="s">
        <v>31</v>
      </c>
      <c r="D47" s="212" t="str">
        <f ca="1">IF(Planning!$AJ$22&lt;99999,Planning!$AJ$22,"")</f>
        <v/>
      </c>
      <c r="E47" s="249" t="str">
        <f ca="1">IF(OR(Planning!$AK$22=0,Planning!$AK$22=""),"",Planning!$AK$22)</f>
        <v/>
      </c>
      <c r="F47" s="213" t="str">
        <f ca="1">IF(OR(Planning!$AL$22=0,Planning!$AL$22=""),"",Planning!$AL$22)</f>
        <v/>
      </c>
    </row>
    <row r="48" spans="2:6" ht="26.1" customHeight="1" thickTop="1" x14ac:dyDescent="0.3">
      <c r="B48" s="219" t="str">
        <f>Language!$E$47</f>
        <v>Note</v>
      </c>
    </row>
    <row r="49" spans="2:7" ht="26.1" customHeight="1" x14ac:dyDescent="0.3">
      <c r="B49" s="530" t="str">
        <f>IF($B$24="","",$B$24)</f>
        <v/>
      </c>
      <c r="C49" s="531"/>
      <c r="D49" s="531"/>
      <c r="E49" s="531"/>
      <c r="F49" s="531"/>
      <c r="G49" s="532"/>
    </row>
    <row r="50" spans="2:7" ht="26.1" customHeight="1" x14ac:dyDescent="0.3">
      <c r="B50" s="533"/>
      <c r="C50" s="534"/>
      <c r="D50" s="534"/>
      <c r="E50" s="534"/>
      <c r="F50" s="534"/>
      <c r="G50" s="535"/>
    </row>
    <row r="51" spans="2:7" ht="26.1" customHeight="1" x14ac:dyDescent="0.3">
      <c r="C51" s="526" t="str">
        <f>Results!$F$2</f>
        <v>International tournament U10 on Apr. 25th, 2024</v>
      </c>
      <c r="D51" s="526"/>
      <c r="E51" s="526"/>
      <c r="F51" s="526"/>
    </row>
    <row r="52" spans="2:7" ht="26.1" customHeight="1" x14ac:dyDescent="0.3">
      <c r="C52" s="526"/>
      <c r="D52" s="526"/>
      <c r="E52" s="526"/>
      <c r="F52" s="526"/>
    </row>
    <row r="53" spans="2:7" ht="26.1" customHeight="1" x14ac:dyDescent="0.3">
      <c r="C53" s="526"/>
      <c r="D53" s="526"/>
      <c r="E53" s="526"/>
      <c r="F53" s="526"/>
    </row>
    <row r="54" spans="2:7" ht="25.5" customHeight="1" thickBot="1" x14ac:dyDescent="0.35"/>
    <row r="55" spans="2:7" ht="45.75" customHeight="1" thickTop="1" thickBot="1" x14ac:dyDescent="0.35">
      <c r="C55" s="527" t="str">
        <f>IF(Planning!$C$12="","",Planning!$C$12)</f>
        <v>Eintracht Frankfurt</v>
      </c>
      <c r="D55" s="528"/>
      <c r="E55" s="528"/>
      <c r="F55" s="529"/>
    </row>
    <row r="56" spans="2:7" ht="26.1" customHeight="1" thickBot="1" x14ac:dyDescent="0.35">
      <c r="C56" s="216" t="str">
        <f>Language!$E$9</f>
        <v>No.</v>
      </c>
      <c r="D56" s="217" t="str">
        <f>Language!$E$39</f>
        <v>Start</v>
      </c>
      <c r="E56" s="245" t="str">
        <f>Language!$E$48</f>
        <v>Field</v>
      </c>
      <c r="F56" s="218" t="str">
        <f>Language!$E$46</f>
        <v>Match against</v>
      </c>
    </row>
    <row r="57" spans="2:7" ht="26.1" customHeight="1" x14ac:dyDescent="0.3">
      <c r="C57" s="214" t="s">
        <v>7</v>
      </c>
      <c r="D57" s="215">
        <f ca="1">IF(Planning!$AR$7&lt;99999,Planning!$AR$7,"")</f>
        <v>0.375</v>
      </c>
      <c r="E57" s="247">
        <f ca="1">IF(OR(Planning!$AS$7=0,Planning!$AS$7=""),"",Planning!$AS$7)</f>
        <v>2</v>
      </c>
      <c r="F57" s="246" t="str">
        <f ca="1">IF(OR(Planning!$AT$7=0,Planning!$AT$7=""),"",Planning!$AT$7)</f>
        <v>Inter Mailand</v>
      </c>
    </row>
    <row r="58" spans="2:7" ht="26.1" customHeight="1" x14ac:dyDescent="0.3">
      <c r="C58" s="208" t="s">
        <v>8</v>
      </c>
      <c r="D58" s="209">
        <f ca="1">IF(Planning!$AR$8&lt;99999,Planning!$AR$8,"")</f>
        <v>0.3923611111111111</v>
      </c>
      <c r="E58" s="248">
        <f ca="1">IF(OR(Planning!$AS$8=0,Planning!$AS$8=""),"",Planning!$AS$8)</f>
        <v>3</v>
      </c>
      <c r="F58" s="210" t="str">
        <f ca="1">IF(OR(Planning!$AT$8=0,Planning!$AT$8=""),"",Planning!$AT$8)</f>
        <v>Maibach 1822 eV</v>
      </c>
    </row>
    <row r="59" spans="2:7" ht="26.1" customHeight="1" x14ac:dyDescent="0.3">
      <c r="C59" s="208" t="s">
        <v>9</v>
      </c>
      <c r="D59" s="209">
        <f ca="1">IF(Planning!$AR$9&lt;99999,Planning!$AR$9,"")</f>
        <v>0.40972222222222221</v>
      </c>
      <c r="E59" s="248">
        <f ca="1">IF(OR(Planning!$AS$9=0,Planning!$AS$9=""),"",Planning!$AS$9)</f>
        <v>3</v>
      </c>
      <c r="F59" s="210" t="str">
        <f ca="1">IF(OR(Planning!$AT$9=0,Planning!$AT$9=""),"",Planning!$AT$9)</f>
        <v>FC Barcelona</v>
      </c>
    </row>
    <row r="60" spans="2:7" ht="26.1" customHeight="1" x14ac:dyDescent="0.3">
      <c r="C60" s="208" t="s">
        <v>10</v>
      </c>
      <c r="D60" s="209">
        <f ca="1">IF(Planning!$AR$10&lt;99999,Planning!$AR$10,"")</f>
        <v>0.42708333333333331</v>
      </c>
      <c r="E60" s="248">
        <f ca="1">IF(OR(Planning!$AS$10=0,Planning!$AS$10=""),"",Planning!$AS$10)</f>
        <v>3</v>
      </c>
      <c r="F60" s="210" t="str">
        <f ca="1">IF(OR(Planning!$AT$10=0,Planning!$AT$10=""),"",Planning!$AT$10)</f>
        <v>SSV Wildbach</v>
      </c>
    </row>
    <row r="61" spans="2:7" ht="26.1" customHeight="1" x14ac:dyDescent="0.3">
      <c r="C61" s="208" t="s">
        <v>11</v>
      </c>
      <c r="D61" s="209">
        <f ca="1">IF(Planning!$AR$11&lt;99999,Planning!$AR$11,"")</f>
        <v>0.44444444444444442</v>
      </c>
      <c r="E61" s="248">
        <f ca="1">IF(OR(Planning!$AS$11=0,Planning!$AS$11=""),"",Planning!$AS$11)</f>
        <v>2</v>
      </c>
      <c r="F61" s="210" t="str">
        <f ca="1">IF(OR(Planning!$AT$11=0,Planning!$AT$11=""),"",Planning!$AT$11)</f>
        <v>VFB Essenheim</v>
      </c>
    </row>
    <row r="62" spans="2:7" ht="26.1" customHeight="1" x14ac:dyDescent="0.3">
      <c r="C62" s="208" t="s">
        <v>12</v>
      </c>
      <c r="D62" s="209">
        <f ca="1">IF(Planning!$AR$12&lt;99999,Planning!$AR$12,"")</f>
        <v>0.46180555555555558</v>
      </c>
      <c r="E62" s="248">
        <f ca="1">IF(OR(Planning!$AS$12=0,Planning!$AS$12=""),"",Planning!$AS$12)</f>
        <v>1</v>
      </c>
      <c r="F62" s="210" t="str">
        <f ca="1">IF(OR(Planning!$AT$12=0,Planning!$AT$12=""),"",Planning!$AT$12)</f>
        <v>1. FC Riedwald</v>
      </c>
    </row>
    <row r="63" spans="2:7" ht="26.1" customHeight="1" x14ac:dyDescent="0.3">
      <c r="C63" s="208" t="s">
        <v>17</v>
      </c>
      <c r="D63" s="209">
        <f ca="1">IF(Planning!$AR$13&lt;99999,Planning!$AR$13,"")</f>
        <v>0.49652777777777779</v>
      </c>
      <c r="E63" s="248">
        <f ca="1">IF(OR(Planning!$AS$13=0,Planning!$AS$13=""),"",Planning!$AS$13)</f>
        <v>2</v>
      </c>
      <c r="F63" s="210" t="str">
        <f ca="1">IF(OR(Planning!$AT$13=0,Planning!$AT$13=""),"",Planning!$AT$13)</f>
        <v>Inter Mailand</v>
      </c>
    </row>
    <row r="64" spans="2:7" ht="26.1" customHeight="1" x14ac:dyDescent="0.3">
      <c r="C64" s="208" t="s">
        <v>18</v>
      </c>
      <c r="D64" s="209">
        <f ca="1">IF(Planning!$AR$14&lt;99999,Planning!$AR$14,"")</f>
        <v>0.51388888888888884</v>
      </c>
      <c r="E64" s="248">
        <f ca="1">IF(OR(Planning!$AS$14=0,Planning!$AS$14=""),"",Planning!$AS$14)</f>
        <v>3</v>
      </c>
      <c r="F64" s="210" t="str">
        <f ca="1">IF(OR(Planning!$AT$14=0,Planning!$AT$14=""),"",Planning!$AT$14)</f>
        <v>Maibach 1822 eV</v>
      </c>
    </row>
    <row r="65" spans="2:7" ht="26.1" customHeight="1" x14ac:dyDescent="0.3">
      <c r="C65" s="208" t="s">
        <v>19</v>
      </c>
      <c r="D65" s="209">
        <f ca="1">IF(Planning!$AR$15&lt;99999,Planning!$AR$15,"")</f>
        <v>0.53125</v>
      </c>
      <c r="E65" s="248">
        <f ca="1">IF(OR(Planning!$AS$15=0,Planning!$AS$15=""),"",Planning!$AS$15)</f>
        <v>3</v>
      </c>
      <c r="F65" s="210" t="str">
        <f ca="1">IF(OR(Planning!$AT$15=0,Planning!$AT$15=""),"",Planning!$AT$15)</f>
        <v>FC Barcelona</v>
      </c>
    </row>
    <row r="66" spans="2:7" ht="26.1" customHeight="1" x14ac:dyDescent="0.3">
      <c r="C66" s="208" t="s">
        <v>25</v>
      </c>
      <c r="D66" s="209">
        <f ca="1">IF(Planning!$AR$16&lt;99999,Planning!$AR$16,"")</f>
        <v>0.54861111111111116</v>
      </c>
      <c r="E66" s="248">
        <f ca="1">IF(OR(Planning!$AS$16=0,Planning!$AS$16=""),"",Planning!$AS$16)</f>
        <v>3</v>
      </c>
      <c r="F66" s="210" t="str">
        <f ca="1">IF(OR(Planning!$AT$16=0,Planning!$AT$16=""),"",Planning!$AT$16)</f>
        <v>SSV Wildbach</v>
      </c>
    </row>
    <row r="67" spans="2:7" ht="26.1" customHeight="1" x14ac:dyDescent="0.3">
      <c r="C67" s="208" t="s">
        <v>26</v>
      </c>
      <c r="D67" s="209">
        <f ca="1">IF(Planning!$AR$17&lt;99999,Planning!$AR$17,"")</f>
        <v>0.56597222222222221</v>
      </c>
      <c r="E67" s="248">
        <f ca="1">IF(OR(Planning!$AS$17=0,Planning!$AS$17=""),"",Planning!$AS$17)</f>
        <v>2</v>
      </c>
      <c r="F67" s="210" t="str">
        <f ca="1">IF(OR(Planning!$AT$17=0,Planning!$AT$17=""),"",Planning!$AT$17)</f>
        <v>VFB Essenheim</v>
      </c>
    </row>
    <row r="68" spans="2:7" ht="26.1" customHeight="1" x14ac:dyDescent="0.3">
      <c r="C68" s="208" t="s">
        <v>27</v>
      </c>
      <c r="D68" s="209">
        <f ca="1">IF(Planning!$AR$18&lt;99999,Planning!$AR$18,"")</f>
        <v>0.58333333333333337</v>
      </c>
      <c r="E68" s="248">
        <f ca="1">IF(OR(Planning!$AS$18=0,Planning!$AS$18=""),"",Planning!$AS$18)</f>
        <v>1</v>
      </c>
      <c r="F68" s="210" t="str">
        <f ca="1">IF(OR(Planning!$AT$18=0,Planning!$AT$18=""),"",Planning!$AT$18)</f>
        <v>1. FC Riedwald</v>
      </c>
    </row>
    <row r="69" spans="2:7" ht="26.1" customHeight="1" x14ac:dyDescent="0.3">
      <c r="C69" s="208" t="s">
        <v>28</v>
      </c>
      <c r="D69" s="209" t="str">
        <f ca="1">IF(Planning!$AR$19&lt;99999,Planning!$AR$19,"")</f>
        <v/>
      </c>
      <c r="E69" s="248" t="str">
        <f ca="1">IF(OR(Planning!$AS$19=0,Planning!$AS$19=""),"",Planning!$AS$19)</f>
        <v/>
      </c>
      <c r="F69" s="210" t="str">
        <f ca="1">IF(OR(Planning!$AT$19=0,Planning!$AT$19=""),"",Planning!$AT$19)</f>
        <v/>
      </c>
    </row>
    <row r="70" spans="2:7" ht="26.1" customHeight="1" x14ac:dyDescent="0.3">
      <c r="C70" s="208" t="s">
        <v>29</v>
      </c>
      <c r="D70" s="209" t="str">
        <f ca="1">IF(Planning!$AR$20&lt;99999,Planning!$AR$20,"")</f>
        <v/>
      </c>
      <c r="E70" s="248" t="str">
        <f ca="1">IF(OR(Planning!$AS$20=0,Planning!$AS$20=""),"",Planning!$AS$20)</f>
        <v/>
      </c>
      <c r="F70" s="210" t="str">
        <f ca="1">IF(OR(Planning!$AT$20=0,Planning!$AT$20=""),"",Planning!$AT$20)</f>
        <v/>
      </c>
    </row>
    <row r="71" spans="2:7" ht="26.1" customHeight="1" x14ac:dyDescent="0.3">
      <c r="C71" s="208" t="s">
        <v>30</v>
      </c>
      <c r="D71" s="209" t="str">
        <f ca="1">IF(Planning!$AR$21&lt;99999,Planning!$AR$21,"")</f>
        <v/>
      </c>
      <c r="E71" s="248" t="str">
        <f ca="1">IF(OR(Planning!$AS$21=0,Planning!$AS$21=""),"",Planning!$AS$21)</f>
        <v/>
      </c>
      <c r="F71" s="210" t="str">
        <f ca="1">IF(OR(Planning!$AT$21=0,Planning!$AT$21=""),"",Planning!$AT$21)</f>
        <v/>
      </c>
    </row>
    <row r="72" spans="2:7" ht="26.1" customHeight="1" thickBot="1" x14ac:dyDescent="0.35">
      <c r="C72" s="211" t="s">
        <v>31</v>
      </c>
      <c r="D72" s="212" t="str">
        <f ca="1">IF(Planning!$AR$22&lt;99999,Planning!$AR$22,"")</f>
        <v/>
      </c>
      <c r="E72" s="249" t="str">
        <f ca="1">IF(OR(Planning!$AS$22=0,Planning!$AS$22=""),"",Planning!$AS$22)</f>
        <v/>
      </c>
      <c r="F72" s="213" t="str">
        <f ca="1">IF(OR(Planning!$AT$22=0,Planning!$AT$22=""),"",Planning!$AT$22)</f>
        <v/>
      </c>
    </row>
    <row r="73" spans="2:7" ht="26.1" customHeight="1" thickTop="1" x14ac:dyDescent="0.3">
      <c r="B73" s="219" t="str">
        <f>Language!$E$47</f>
        <v>Note</v>
      </c>
    </row>
    <row r="74" spans="2:7" ht="26.1" customHeight="1" x14ac:dyDescent="0.3">
      <c r="B74" s="530" t="str">
        <f>IF($B$24="","",$B$24)</f>
        <v/>
      </c>
      <c r="C74" s="531"/>
      <c r="D74" s="531"/>
      <c r="E74" s="531"/>
      <c r="F74" s="531"/>
      <c r="G74" s="532"/>
    </row>
    <row r="75" spans="2:7" ht="26.1" customHeight="1" x14ac:dyDescent="0.3">
      <c r="B75" s="533"/>
      <c r="C75" s="534"/>
      <c r="D75" s="534"/>
      <c r="E75" s="534"/>
      <c r="F75" s="534"/>
      <c r="G75" s="535"/>
    </row>
    <row r="76" spans="2:7" ht="26.1" customHeight="1" x14ac:dyDescent="0.3">
      <c r="C76" s="526" t="str">
        <f>Results!$F$2</f>
        <v>International tournament U10 on Apr. 25th, 2024</v>
      </c>
      <c r="D76" s="526"/>
      <c r="E76" s="526"/>
      <c r="F76" s="526"/>
    </row>
    <row r="77" spans="2:7" ht="26.1" customHeight="1" x14ac:dyDescent="0.3">
      <c r="C77" s="526"/>
      <c r="D77" s="526"/>
      <c r="E77" s="526"/>
      <c r="F77" s="526"/>
    </row>
    <row r="78" spans="2:7" ht="26.1" customHeight="1" x14ac:dyDescent="0.3">
      <c r="C78" s="526"/>
      <c r="D78" s="526"/>
      <c r="E78" s="526"/>
      <c r="F78" s="526"/>
    </row>
    <row r="79" spans="2:7" ht="25.5" customHeight="1" thickBot="1" x14ac:dyDescent="0.35"/>
    <row r="80" spans="2:7" ht="45.75" customHeight="1" thickTop="1" thickBot="1" x14ac:dyDescent="0.35">
      <c r="C80" s="527" t="str">
        <f>IF(Planning!$C$14="","",Planning!$C$14)</f>
        <v>Maibach 1822 eV</v>
      </c>
      <c r="D80" s="528"/>
      <c r="E80" s="528"/>
      <c r="F80" s="529"/>
    </row>
    <row r="81" spans="3:6" ht="26.1" customHeight="1" thickBot="1" x14ac:dyDescent="0.35">
      <c r="C81" s="216" t="str">
        <f>Language!$E$9</f>
        <v>No.</v>
      </c>
      <c r="D81" s="217" t="str">
        <f>Language!$E$39</f>
        <v>Start</v>
      </c>
      <c r="E81" s="245" t="str">
        <f>Language!$E$48</f>
        <v>Field</v>
      </c>
      <c r="F81" s="218" t="str">
        <f>Language!$E$46</f>
        <v>Match against</v>
      </c>
    </row>
    <row r="82" spans="3:6" ht="26.1" customHeight="1" x14ac:dyDescent="0.3">
      <c r="C82" s="214" t="s">
        <v>7</v>
      </c>
      <c r="D82" s="215">
        <f ca="1">IF(Planning!$AZ$7&lt;99999,Planning!$AZ$7,"")</f>
        <v>0.375</v>
      </c>
      <c r="E82" s="247">
        <f ca="1">IF(OR(Planning!$BA$7=0,Planning!$BA$7=""),"",Planning!$BA$7)</f>
        <v>3</v>
      </c>
      <c r="F82" s="246" t="str">
        <f ca="1">IF(OR(Planning!$BB$7=0,Planning!$BB$7=""),"",Planning!$BB$7)</f>
        <v>VFB Essenheim</v>
      </c>
    </row>
    <row r="83" spans="3:6" ht="26.1" customHeight="1" x14ac:dyDescent="0.3">
      <c r="C83" s="208" t="s">
        <v>8</v>
      </c>
      <c r="D83" s="209">
        <f ca="1">IF(Planning!$AZ$8&lt;99999,Planning!$AZ$8,"")</f>
        <v>0.3923611111111111</v>
      </c>
      <c r="E83" s="248">
        <f ca="1">IF(OR(Planning!$BA$8=0,Planning!$BA$8=""),"",Planning!$BA$8)</f>
        <v>3</v>
      </c>
      <c r="F83" s="210" t="str">
        <f ca="1">IF(OR(Planning!$BB$8=0,Planning!$BB$8=""),"",Planning!$BB$8)</f>
        <v>Eintracht Frankfurt</v>
      </c>
    </row>
    <row r="84" spans="3:6" ht="26.1" customHeight="1" x14ac:dyDescent="0.3">
      <c r="C84" s="208" t="s">
        <v>9</v>
      </c>
      <c r="D84" s="209">
        <f ca="1">IF(Planning!$AZ$9&lt;99999,Planning!$AZ$9,"")</f>
        <v>0.42708333333333331</v>
      </c>
      <c r="E84" s="248">
        <f ca="1">IF(OR(Planning!$BA$9=0,Planning!$BA$9=""),"",Planning!$BA$9)</f>
        <v>2</v>
      </c>
      <c r="F84" s="210" t="str">
        <f ca="1">IF(OR(Planning!$BB$9=0,Planning!$BB$9=""),"",Planning!$BB$9)</f>
        <v>Inter Mailand</v>
      </c>
    </row>
    <row r="85" spans="3:6" ht="26.1" customHeight="1" x14ac:dyDescent="0.3">
      <c r="C85" s="208" t="s">
        <v>10</v>
      </c>
      <c r="D85" s="209">
        <f ca="1">IF(Planning!$AZ$10&lt;99999,Planning!$AZ$10,"")</f>
        <v>0.44444444444444442</v>
      </c>
      <c r="E85" s="248">
        <f ca="1">IF(OR(Planning!$BA$10=0,Planning!$BA$10=""),"",Planning!$BA$10)</f>
        <v>1</v>
      </c>
      <c r="F85" s="210" t="str">
        <f ca="1">IF(OR(Planning!$BB$10=0,Planning!$BB$10=""),"",Planning!$BB$10)</f>
        <v>1. FC Riedwald</v>
      </c>
    </row>
    <row r="86" spans="3:6" ht="26.1" customHeight="1" x14ac:dyDescent="0.3">
      <c r="C86" s="208" t="s">
        <v>11</v>
      </c>
      <c r="D86" s="209">
        <f ca="1">IF(Planning!$AZ$11&lt;99999,Planning!$AZ$11,"")</f>
        <v>0.46180555555555558</v>
      </c>
      <c r="E86" s="248">
        <f ca="1">IF(OR(Planning!$BA$11=0,Planning!$BA$11=""),"",Planning!$BA$11)</f>
        <v>2</v>
      </c>
      <c r="F86" s="210" t="str">
        <f ca="1">IF(OR(Planning!$BB$11=0,Planning!$BB$11=""),"",Planning!$BB$11)</f>
        <v>FC Barcelona</v>
      </c>
    </row>
    <row r="87" spans="3:6" ht="26.1" customHeight="1" x14ac:dyDescent="0.3">
      <c r="C87" s="208" t="s">
        <v>12</v>
      </c>
      <c r="D87" s="209">
        <f ca="1">IF(Planning!$AZ$12&lt;99999,Planning!$AZ$12,"")</f>
        <v>0.47916666666666669</v>
      </c>
      <c r="E87" s="248">
        <f ca="1">IF(OR(Planning!$BA$12=0,Planning!$BA$12=""),"",Planning!$BA$12)</f>
        <v>2</v>
      </c>
      <c r="F87" s="210" t="str">
        <f ca="1">IF(OR(Planning!$BB$12=0,Planning!$BB$12=""),"",Planning!$BB$12)</f>
        <v>SSV Wildbach</v>
      </c>
    </row>
    <row r="88" spans="3:6" ht="26.1" customHeight="1" x14ac:dyDescent="0.3">
      <c r="C88" s="208" t="s">
        <v>17</v>
      </c>
      <c r="D88" s="209">
        <f ca="1">IF(Planning!$AZ$13&lt;99999,Planning!$AZ$13,"")</f>
        <v>0.49652777777777779</v>
      </c>
      <c r="E88" s="248">
        <f ca="1">IF(OR(Planning!$BA$13=0,Planning!$BA$13=""),"",Planning!$BA$13)</f>
        <v>3</v>
      </c>
      <c r="F88" s="210" t="str">
        <f ca="1">IF(OR(Planning!$BB$13=0,Planning!$BB$13=""),"",Planning!$BB$13)</f>
        <v>VFB Essenheim</v>
      </c>
    </row>
    <row r="89" spans="3:6" ht="26.1" customHeight="1" x14ac:dyDescent="0.3">
      <c r="C89" s="208" t="s">
        <v>18</v>
      </c>
      <c r="D89" s="209">
        <f ca="1">IF(Planning!$AZ$14&lt;99999,Planning!$AZ$14,"")</f>
        <v>0.51388888888888884</v>
      </c>
      <c r="E89" s="248">
        <f ca="1">IF(OR(Planning!$BA$14=0,Planning!$BA$14=""),"",Planning!$BA$14)</f>
        <v>3</v>
      </c>
      <c r="F89" s="210" t="str">
        <f ca="1">IF(OR(Planning!$BB$14=0,Planning!$BB$14=""),"",Planning!$BB$14)</f>
        <v>Eintracht Frankfurt</v>
      </c>
    </row>
    <row r="90" spans="3:6" ht="26.1" customHeight="1" x14ac:dyDescent="0.3">
      <c r="C90" s="208" t="s">
        <v>19</v>
      </c>
      <c r="D90" s="209">
        <f ca="1">IF(Planning!$AZ$15&lt;99999,Planning!$AZ$15,"")</f>
        <v>0.54861111111111116</v>
      </c>
      <c r="E90" s="248">
        <f ca="1">IF(OR(Planning!$BA$15=0,Planning!$BA$15=""),"",Planning!$BA$15)</f>
        <v>2</v>
      </c>
      <c r="F90" s="210" t="str">
        <f ca="1">IF(OR(Planning!$BB$15=0,Planning!$BB$15=""),"",Planning!$BB$15)</f>
        <v>Inter Mailand</v>
      </c>
    </row>
    <row r="91" spans="3:6" ht="26.1" customHeight="1" x14ac:dyDescent="0.3">
      <c r="C91" s="208" t="s">
        <v>25</v>
      </c>
      <c r="D91" s="209">
        <f ca="1">IF(Planning!$AZ$16&lt;99999,Planning!$AZ$16,"")</f>
        <v>0.56597222222222221</v>
      </c>
      <c r="E91" s="248">
        <f ca="1">IF(OR(Planning!$BA$16=0,Planning!$BA$16=""),"",Planning!$BA$16)</f>
        <v>1</v>
      </c>
      <c r="F91" s="210" t="str">
        <f ca="1">IF(OR(Planning!$BB$16=0,Planning!$BB$16=""),"",Planning!$BB$16)</f>
        <v>1. FC Riedwald</v>
      </c>
    </row>
    <row r="92" spans="3:6" ht="26.1" customHeight="1" x14ac:dyDescent="0.3">
      <c r="C92" s="208" t="s">
        <v>26</v>
      </c>
      <c r="D92" s="209">
        <f ca="1">IF(Planning!$AZ$17&lt;99999,Planning!$AZ$17,"")</f>
        <v>0.58333333333333337</v>
      </c>
      <c r="E92" s="248">
        <f ca="1">IF(OR(Planning!$BA$17=0,Planning!$BA$17=""),"",Planning!$BA$17)</f>
        <v>2</v>
      </c>
      <c r="F92" s="210" t="str">
        <f ca="1">IF(OR(Planning!$BB$17=0,Planning!$BB$17=""),"",Planning!$BB$17)</f>
        <v>FC Barcelona</v>
      </c>
    </row>
    <row r="93" spans="3:6" ht="26.1" customHeight="1" x14ac:dyDescent="0.3">
      <c r="C93" s="208" t="s">
        <v>27</v>
      </c>
      <c r="D93" s="209">
        <f ca="1">IF(Planning!$AZ$18&lt;99999,Planning!$AZ$18,"")</f>
        <v>0.60069444444444442</v>
      </c>
      <c r="E93" s="248">
        <f ca="1">IF(OR(Planning!$BA$18=0,Planning!$BA$18=""),"",Planning!$BA$18)</f>
        <v>2</v>
      </c>
      <c r="F93" s="210" t="str">
        <f ca="1">IF(OR(Planning!$BB$18=0,Planning!$BB$18=""),"",Planning!$BB$18)</f>
        <v>SSV Wildbach</v>
      </c>
    </row>
    <row r="94" spans="3:6" ht="26.1" customHeight="1" x14ac:dyDescent="0.3">
      <c r="C94" s="208" t="s">
        <v>28</v>
      </c>
      <c r="D94" s="209" t="str">
        <f ca="1">IF(Planning!$AZ$19&lt;99999,Planning!$AZ$19,"")</f>
        <v/>
      </c>
      <c r="E94" s="248" t="str">
        <f ca="1">IF(OR(Planning!$BA$19=0,Planning!$BA$19=""),"",Planning!$BA$19)</f>
        <v/>
      </c>
      <c r="F94" s="210" t="str">
        <f ca="1">IF(OR(Planning!$BB$19=0,Planning!$BB$19=""),"",Planning!$BB$19)</f>
        <v/>
      </c>
    </row>
    <row r="95" spans="3:6" ht="26.1" customHeight="1" x14ac:dyDescent="0.3">
      <c r="C95" s="208" t="s">
        <v>29</v>
      </c>
      <c r="D95" s="209" t="str">
        <f ca="1">IF(Planning!$AZ$20&lt;99999,Planning!$AZ$20,"")</f>
        <v/>
      </c>
      <c r="E95" s="248" t="str">
        <f ca="1">IF(OR(Planning!$BA$20=0,Planning!$BA$20=""),"",Planning!$BA$20)</f>
        <v/>
      </c>
      <c r="F95" s="210" t="str">
        <f ca="1">IF(OR(Planning!$BB$20=0,Planning!$BB$20=""),"",Planning!$BB$20)</f>
        <v/>
      </c>
    </row>
    <row r="96" spans="3:6" ht="26.1" customHeight="1" x14ac:dyDescent="0.3">
      <c r="C96" s="208" t="s">
        <v>30</v>
      </c>
      <c r="D96" s="209" t="str">
        <f ca="1">IF(Planning!$AZ$21&lt;99999,Planning!$AZ$21,"")</f>
        <v/>
      </c>
      <c r="E96" s="248" t="str">
        <f ca="1">IF(OR(Planning!$BA$21=0,Planning!$BA$21=""),"",Planning!$BA$21)</f>
        <v/>
      </c>
      <c r="F96" s="210" t="str">
        <f ca="1">IF(OR(Planning!$BB$21=0,Planning!$BB$21=""),"",Planning!$BB$21)</f>
        <v/>
      </c>
    </row>
    <row r="97" spans="2:7" ht="26.1" customHeight="1" thickBot="1" x14ac:dyDescent="0.35">
      <c r="C97" s="211" t="s">
        <v>31</v>
      </c>
      <c r="D97" s="212" t="str">
        <f ca="1">IF(Planning!$AZ$22&lt;99999,Planning!$AZ$22,"")</f>
        <v/>
      </c>
      <c r="E97" s="249" t="str">
        <f ca="1">IF(OR(Planning!$BA$22=0,Planning!$BA$22=""),"",Planning!$BA$22)</f>
        <v/>
      </c>
      <c r="F97" s="213" t="str">
        <f ca="1">IF(OR(Planning!$BB$22=0,Planning!$BB$22=""),"",Planning!$BB$22)</f>
        <v/>
      </c>
    </row>
    <row r="98" spans="2:7" ht="26.1" customHeight="1" thickTop="1" x14ac:dyDescent="0.3">
      <c r="B98" s="219" t="str">
        <f>Language!$E$47</f>
        <v>Note</v>
      </c>
    </row>
    <row r="99" spans="2:7" ht="26.1" customHeight="1" x14ac:dyDescent="0.3">
      <c r="B99" s="530" t="str">
        <f>IF($B$24="","",$B$24)</f>
        <v/>
      </c>
      <c r="C99" s="531"/>
      <c r="D99" s="531"/>
      <c r="E99" s="531"/>
      <c r="F99" s="531"/>
      <c r="G99" s="532"/>
    </row>
    <row r="100" spans="2:7" ht="26.1" customHeight="1" x14ac:dyDescent="0.3">
      <c r="B100" s="533"/>
      <c r="C100" s="534"/>
      <c r="D100" s="534"/>
      <c r="E100" s="534"/>
      <c r="F100" s="534"/>
      <c r="G100" s="535"/>
    </row>
    <row r="101" spans="2:7" ht="26.1" customHeight="1" x14ac:dyDescent="0.3">
      <c r="C101" s="526" t="str">
        <f>Results!$F$2</f>
        <v>International tournament U10 on Apr. 25th, 2024</v>
      </c>
      <c r="D101" s="526"/>
      <c r="E101" s="526"/>
      <c r="F101" s="526"/>
    </row>
    <row r="102" spans="2:7" ht="26.1" customHeight="1" x14ac:dyDescent="0.3">
      <c r="C102" s="526"/>
      <c r="D102" s="526"/>
      <c r="E102" s="526"/>
      <c r="F102" s="526"/>
    </row>
    <row r="103" spans="2:7" ht="26.1" customHeight="1" x14ac:dyDescent="0.3">
      <c r="C103" s="526"/>
      <c r="D103" s="526"/>
      <c r="E103" s="526"/>
      <c r="F103" s="526"/>
    </row>
    <row r="104" spans="2:7" ht="25.5" customHeight="1" thickBot="1" x14ac:dyDescent="0.35"/>
    <row r="105" spans="2:7" ht="45.75" customHeight="1" thickTop="1" thickBot="1" x14ac:dyDescent="0.35">
      <c r="C105" s="527" t="str">
        <f>IF(Planning!$C$16="","",Planning!$C$16)</f>
        <v>VFB Essenheim</v>
      </c>
      <c r="D105" s="528"/>
      <c r="E105" s="528"/>
      <c r="F105" s="529"/>
    </row>
    <row r="106" spans="2:7" ht="26.1" customHeight="1" thickBot="1" x14ac:dyDescent="0.35">
      <c r="C106" s="216" t="str">
        <f>Language!$E$9</f>
        <v>No.</v>
      </c>
      <c r="D106" s="217" t="str">
        <f>Language!$E$39</f>
        <v>Start</v>
      </c>
      <c r="E106" s="245" t="str">
        <f>Language!$E$48</f>
        <v>Field</v>
      </c>
      <c r="F106" s="218" t="str">
        <f>Language!$E$46</f>
        <v>Match against</v>
      </c>
    </row>
    <row r="107" spans="2:7" ht="26.1" customHeight="1" x14ac:dyDescent="0.3">
      <c r="C107" s="214" t="s">
        <v>7</v>
      </c>
      <c r="D107" s="215">
        <f ca="1">IF(Planning!$BH$7&lt;99999,Planning!$BH$7,"")</f>
        <v>0.375</v>
      </c>
      <c r="E107" s="247">
        <f ca="1">IF(OR(Planning!$BI$7=0,Planning!$BI$7=""),"",Planning!$BI$7)</f>
        <v>3</v>
      </c>
      <c r="F107" s="246" t="str">
        <f ca="1">IF(OR(Planning!$BJ$7=0,Planning!$BJ$7=""),"",Planning!$BJ$7)</f>
        <v>Maibach 1822 eV</v>
      </c>
    </row>
    <row r="108" spans="2:7" ht="26.1" customHeight="1" x14ac:dyDescent="0.3">
      <c r="C108" s="208" t="s">
        <v>8</v>
      </c>
      <c r="D108" s="209">
        <f ca="1">IF(Planning!$BH$8&lt;99999,Planning!$BH$8,"")</f>
        <v>0.3923611111111111</v>
      </c>
      <c r="E108" s="248">
        <f ca="1">IF(OR(Planning!$BI$8=0,Planning!$BI$8=""),"",Planning!$BI$8)</f>
        <v>2</v>
      </c>
      <c r="F108" s="210" t="str">
        <f ca="1">IF(OR(Planning!$BJ$8=0,Planning!$BJ$8=""),"",Planning!$BJ$8)</f>
        <v>FC Barcelona</v>
      </c>
    </row>
    <row r="109" spans="2:7" ht="26.1" customHeight="1" x14ac:dyDescent="0.3">
      <c r="C109" s="208" t="s">
        <v>9</v>
      </c>
      <c r="D109" s="209">
        <f ca="1">IF(Planning!$BH$9&lt;99999,Planning!$BH$9,"")</f>
        <v>0.40972222222222221</v>
      </c>
      <c r="E109" s="248">
        <f ca="1">IF(OR(Planning!$BI$9=0,Planning!$BI$9=""),"",Planning!$BI$9)</f>
        <v>2</v>
      </c>
      <c r="F109" s="210" t="str">
        <f ca="1">IF(OR(Planning!$BJ$9=0,Planning!$BJ$9=""),"",Planning!$BJ$9)</f>
        <v>SSV Wildbach</v>
      </c>
    </row>
    <row r="110" spans="2:7" ht="26.1" customHeight="1" x14ac:dyDescent="0.3">
      <c r="C110" s="208" t="s">
        <v>10</v>
      </c>
      <c r="D110" s="209">
        <f ca="1">IF(Planning!$BH$10&lt;99999,Planning!$BH$10,"")</f>
        <v>0.42708333333333331</v>
      </c>
      <c r="E110" s="248">
        <f ca="1">IF(OR(Planning!$BI$10=0,Planning!$BI$10=""),"",Planning!$BI$10)</f>
        <v>1</v>
      </c>
      <c r="F110" s="210" t="str">
        <f ca="1">IF(OR(Planning!$BJ$10=0,Planning!$BJ$10=""),"",Planning!$BJ$10)</f>
        <v>1. FC Riedwald</v>
      </c>
    </row>
    <row r="111" spans="2:7" ht="26.1" customHeight="1" x14ac:dyDescent="0.3">
      <c r="C111" s="208" t="s">
        <v>11</v>
      </c>
      <c r="D111" s="209">
        <f ca="1">IF(Planning!$BH$11&lt;99999,Planning!$BH$11,"")</f>
        <v>0.44444444444444442</v>
      </c>
      <c r="E111" s="248">
        <f ca="1">IF(OR(Planning!$BI$11=0,Planning!$BI$11=""),"",Planning!$BI$11)</f>
        <v>2</v>
      </c>
      <c r="F111" s="210" t="str">
        <f ca="1">IF(OR(Planning!$BJ$11=0,Planning!$BJ$11=""),"",Planning!$BJ$11)</f>
        <v>Eintracht Frankfurt</v>
      </c>
    </row>
    <row r="112" spans="2:7" ht="26.1" customHeight="1" x14ac:dyDescent="0.3">
      <c r="C112" s="208" t="s">
        <v>12</v>
      </c>
      <c r="D112" s="209">
        <f ca="1">IF(Planning!$BH$12&lt;99999,Planning!$BH$12,"")</f>
        <v>0.47916666666666669</v>
      </c>
      <c r="E112" s="248">
        <f ca="1">IF(OR(Planning!$BI$12=0,Planning!$BI$12=""),"",Planning!$BI$12)</f>
        <v>3</v>
      </c>
      <c r="F112" s="210" t="str">
        <f ca="1">IF(OR(Planning!$BJ$12=0,Planning!$BJ$12=""),"",Planning!$BJ$12)</f>
        <v>Inter Mailand</v>
      </c>
    </row>
    <row r="113" spans="2:7" ht="26.1" customHeight="1" x14ac:dyDescent="0.3">
      <c r="C113" s="208" t="s">
        <v>17</v>
      </c>
      <c r="D113" s="209">
        <f ca="1">IF(Planning!$BH$13&lt;99999,Planning!$BH$13,"")</f>
        <v>0.49652777777777779</v>
      </c>
      <c r="E113" s="248">
        <f ca="1">IF(OR(Planning!$BI$13=0,Planning!$BI$13=""),"",Planning!$BI$13)</f>
        <v>3</v>
      </c>
      <c r="F113" s="210" t="str">
        <f ca="1">IF(OR(Planning!$BJ$13=0,Planning!$BJ$13=""),"",Planning!$BJ$13)</f>
        <v>Maibach 1822 eV</v>
      </c>
    </row>
    <row r="114" spans="2:7" ht="26.1" customHeight="1" x14ac:dyDescent="0.3">
      <c r="C114" s="208" t="s">
        <v>18</v>
      </c>
      <c r="D114" s="209">
        <f ca="1">IF(Planning!$BH$14&lt;99999,Planning!$BH$14,"")</f>
        <v>0.51388888888888884</v>
      </c>
      <c r="E114" s="248">
        <f ca="1">IF(OR(Planning!$BI$14=0,Planning!$BI$14=""),"",Planning!$BI$14)</f>
        <v>2</v>
      </c>
      <c r="F114" s="210" t="str">
        <f ca="1">IF(OR(Planning!$BJ$14=0,Planning!$BJ$14=""),"",Planning!$BJ$14)</f>
        <v>FC Barcelona</v>
      </c>
    </row>
    <row r="115" spans="2:7" ht="26.1" customHeight="1" x14ac:dyDescent="0.3">
      <c r="C115" s="208" t="s">
        <v>19</v>
      </c>
      <c r="D115" s="209">
        <f ca="1">IF(Planning!$BH$15&lt;99999,Planning!$BH$15,"")</f>
        <v>0.53125</v>
      </c>
      <c r="E115" s="248">
        <f ca="1">IF(OR(Planning!$BI$15=0,Planning!$BI$15=""),"",Planning!$BI$15)</f>
        <v>2</v>
      </c>
      <c r="F115" s="210" t="str">
        <f ca="1">IF(OR(Planning!$BJ$15=0,Planning!$BJ$15=""),"",Planning!$BJ$15)</f>
        <v>SSV Wildbach</v>
      </c>
    </row>
    <row r="116" spans="2:7" ht="26.1" customHeight="1" x14ac:dyDescent="0.3">
      <c r="C116" s="208" t="s">
        <v>25</v>
      </c>
      <c r="D116" s="209">
        <f ca="1">IF(Planning!$BH$16&lt;99999,Planning!$BH$16,"")</f>
        <v>0.54861111111111116</v>
      </c>
      <c r="E116" s="248">
        <f ca="1">IF(OR(Planning!$BI$16=0,Planning!$BI$16=""),"",Planning!$BI$16)</f>
        <v>1</v>
      </c>
      <c r="F116" s="210" t="str">
        <f ca="1">IF(OR(Planning!$BJ$16=0,Planning!$BJ$16=""),"",Planning!$BJ$16)</f>
        <v>1. FC Riedwald</v>
      </c>
    </row>
    <row r="117" spans="2:7" ht="26.1" customHeight="1" x14ac:dyDescent="0.3">
      <c r="C117" s="208" t="s">
        <v>26</v>
      </c>
      <c r="D117" s="209">
        <f ca="1">IF(Planning!$BH$17&lt;99999,Planning!$BH$17,"")</f>
        <v>0.56597222222222221</v>
      </c>
      <c r="E117" s="248">
        <f ca="1">IF(OR(Planning!$BI$17=0,Planning!$BI$17=""),"",Planning!$BI$17)</f>
        <v>2</v>
      </c>
      <c r="F117" s="210" t="str">
        <f ca="1">IF(OR(Planning!$BJ$17=0,Planning!$BJ$17=""),"",Planning!$BJ$17)</f>
        <v>Eintracht Frankfurt</v>
      </c>
    </row>
    <row r="118" spans="2:7" ht="26.1" customHeight="1" x14ac:dyDescent="0.3">
      <c r="C118" s="208" t="s">
        <v>27</v>
      </c>
      <c r="D118" s="209">
        <f ca="1">IF(Planning!$BH$18&lt;99999,Planning!$BH$18,"")</f>
        <v>0.60069444444444442</v>
      </c>
      <c r="E118" s="248">
        <f ca="1">IF(OR(Planning!$BI$18=0,Planning!$BI$18=""),"",Planning!$BI$18)</f>
        <v>3</v>
      </c>
      <c r="F118" s="210" t="str">
        <f ca="1">IF(OR(Planning!$BJ$18=0,Planning!$BJ$18=""),"",Planning!$BJ$18)</f>
        <v>Inter Mailand</v>
      </c>
    </row>
    <row r="119" spans="2:7" ht="26.1" customHeight="1" x14ac:dyDescent="0.3">
      <c r="C119" s="208" t="s">
        <v>28</v>
      </c>
      <c r="D119" s="209" t="str">
        <f ca="1">IF(Planning!$BH$19&lt;99999,Planning!$BH$19,"")</f>
        <v/>
      </c>
      <c r="E119" s="248" t="str">
        <f ca="1">IF(OR(Planning!$BI$19=0,Planning!$BI$19=""),"",Planning!$BI$19)</f>
        <v/>
      </c>
      <c r="F119" s="210" t="str">
        <f ca="1">IF(OR(Planning!$BJ$19=0,Planning!$BJ$19=""),"",Planning!$BJ$19)</f>
        <v/>
      </c>
    </row>
    <row r="120" spans="2:7" ht="26.1" customHeight="1" x14ac:dyDescent="0.3">
      <c r="C120" s="208" t="s">
        <v>29</v>
      </c>
      <c r="D120" s="209" t="str">
        <f ca="1">IF(Planning!$BH$20&lt;99999,Planning!$BH$20,"")</f>
        <v/>
      </c>
      <c r="E120" s="248" t="str">
        <f ca="1">IF(OR(Planning!$BI$20=0,Planning!$BI$20=""),"",Planning!$BI$20)</f>
        <v/>
      </c>
      <c r="F120" s="210" t="str">
        <f ca="1">IF(OR(Planning!$BJ$20=0,Planning!$BJ$20=""),"",Planning!$BJ$20)</f>
        <v/>
      </c>
    </row>
    <row r="121" spans="2:7" ht="26.1" customHeight="1" x14ac:dyDescent="0.3">
      <c r="C121" s="208" t="s">
        <v>30</v>
      </c>
      <c r="D121" s="209" t="str">
        <f ca="1">IF(Planning!$BH$21&lt;99999,Planning!$BH$21,"")</f>
        <v/>
      </c>
      <c r="E121" s="248" t="str">
        <f ca="1">IF(OR(Planning!$BI$21=0,Planning!$BI$21=""),"",Planning!$BI$21)</f>
        <v/>
      </c>
      <c r="F121" s="210" t="str">
        <f ca="1">IF(OR(Planning!$BJ$21=0,Planning!$BJ$21=""),"",Planning!$BJ$21)</f>
        <v/>
      </c>
    </row>
    <row r="122" spans="2:7" ht="26.1" customHeight="1" thickBot="1" x14ac:dyDescent="0.35">
      <c r="C122" s="211" t="s">
        <v>31</v>
      </c>
      <c r="D122" s="212" t="str">
        <f ca="1">IF(Planning!$BH$22&lt;99999,Planning!$BH$22,"")</f>
        <v/>
      </c>
      <c r="E122" s="249" t="str">
        <f ca="1">IF(OR(Planning!$BI$22=0,Planning!$BI$22=""),"",Planning!$BI$22)</f>
        <v/>
      </c>
      <c r="F122" s="213" t="str">
        <f ca="1">IF(OR(Planning!$BJ$22=0,Planning!$BJ$22=""),"",Planning!$BJ$22)</f>
        <v/>
      </c>
    </row>
    <row r="123" spans="2:7" ht="26.1" customHeight="1" thickTop="1" x14ac:dyDescent="0.3">
      <c r="B123" s="219" t="str">
        <f>Language!$E$47</f>
        <v>Note</v>
      </c>
    </row>
    <row r="124" spans="2:7" ht="26.1" customHeight="1" x14ac:dyDescent="0.3">
      <c r="B124" s="530" t="str">
        <f>IF($B$24="","",$B$24)</f>
        <v/>
      </c>
      <c r="C124" s="531"/>
      <c r="D124" s="531"/>
      <c r="E124" s="531"/>
      <c r="F124" s="531"/>
      <c r="G124" s="532"/>
    </row>
    <row r="125" spans="2:7" ht="26.1" customHeight="1" x14ac:dyDescent="0.3">
      <c r="B125" s="533"/>
      <c r="C125" s="534"/>
      <c r="D125" s="534"/>
      <c r="E125" s="534"/>
      <c r="F125" s="534"/>
      <c r="G125" s="535"/>
    </row>
    <row r="126" spans="2:7" ht="26.1" customHeight="1" x14ac:dyDescent="0.3">
      <c r="C126" s="526" t="str">
        <f>Results!$F$2</f>
        <v>International tournament U10 on Apr. 25th, 2024</v>
      </c>
      <c r="D126" s="526"/>
      <c r="E126" s="526"/>
      <c r="F126" s="526"/>
    </row>
    <row r="127" spans="2:7" ht="26.1" customHeight="1" x14ac:dyDescent="0.3">
      <c r="C127" s="526"/>
      <c r="D127" s="526"/>
      <c r="E127" s="526"/>
      <c r="F127" s="526"/>
    </row>
    <row r="128" spans="2:7" ht="26.1" customHeight="1" x14ac:dyDescent="0.3">
      <c r="C128" s="526"/>
      <c r="D128" s="526"/>
      <c r="E128" s="526"/>
      <c r="F128" s="526"/>
    </row>
    <row r="129" spans="3:6" ht="25.5" customHeight="1" thickBot="1" x14ac:dyDescent="0.35"/>
    <row r="130" spans="3:6" ht="45.75" customHeight="1" thickTop="1" thickBot="1" x14ac:dyDescent="0.35">
      <c r="C130" s="527" t="str">
        <f>IF(Planning!$C$18="","",Planning!$C$18)</f>
        <v>Inter Mailand</v>
      </c>
      <c r="D130" s="528"/>
      <c r="E130" s="528"/>
      <c r="F130" s="529"/>
    </row>
    <row r="131" spans="3:6" ht="26.1" customHeight="1" thickBot="1" x14ac:dyDescent="0.35">
      <c r="C131" s="216" t="str">
        <f>Language!$E$9</f>
        <v>No.</v>
      </c>
      <c r="D131" s="217" t="str">
        <f>Language!$E$39</f>
        <v>Start</v>
      </c>
      <c r="E131" s="245" t="str">
        <f>Language!$E$48</f>
        <v>Field</v>
      </c>
      <c r="F131" s="218" t="str">
        <f>Language!$E$46</f>
        <v>Match against</v>
      </c>
    </row>
    <row r="132" spans="3:6" ht="26.1" customHeight="1" x14ac:dyDescent="0.3">
      <c r="C132" s="214" t="s">
        <v>7</v>
      </c>
      <c r="D132" s="215">
        <f ca="1">IF(Planning!$BP$7&lt;99999,Planning!$BP$7,"")</f>
        <v>0.375</v>
      </c>
      <c r="E132" s="247">
        <f ca="1">IF(OR(Planning!$BQ$7=0,Planning!$BQ$7=""),"",Planning!$BQ$7)</f>
        <v>2</v>
      </c>
      <c r="F132" s="246" t="str">
        <f ca="1">IF(OR(Planning!$BR$7=0,Planning!$BR$7=""),"",Planning!$BR$7)</f>
        <v>Eintracht Frankfurt</v>
      </c>
    </row>
    <row r="133" spans="3:6" ht="26.1" customHeight="1" x14ac:dyDescent="0.3">
      <c r="C133" s="208" t="s">
        <v>8</v>
      </c>
      <c r="D133" s="209">
        <f ca="1">IF(Planning!$BP$8&lt;99999,Planning!$BP$8,"")</f>
        <v>0.40972222222222221</v>
      </c>
      <c r="E133" s="248">
        <f ca="1">IF(OR(Planning!$BQ$8=0,Planning!$BQ$8=""),"",Planning!$BQ$8)</f>
        <v>1</v>
      </c>
      <c r="F133" s="210" t="str">
        <f ca="1">IF(OR(Planning!$BR$8=0,Planning!$BR$8=""),"",Planning!$BR$8)</f>
        <v>1. FC Riedwald</v>
      </c>
    </row>
    <row r="134" spans="3:6" ht="26.1" customHeight="1" x14ac:dyDescent="0.3">
      <c r="C134" s="208" t="s">
        <v>9</v>
      </c>
      <c r="D134" s="209">
        <f ca="1">IF(Planning!$BP$9&lt;99999,Planning!$BP$9,"")</f>
        <v>0.42708333333333331</v>
      </c>
      <c r="E134" s="248">
        <f ca="1">IF(OR(Planning!$BQ$9=0,Planning!$BQ$9=""),"",Planning!$BQ$9)</f>
        <v>2</v>
      </c>
      <c r="F134" s="210" t="str">
        <f ca="1">IF(OR(Planning!$BR$9=0,Planning!$BR$9=""),"",Planning!$BR$9)</f>
        <v>Maibach 1822 eV</v>
      </c>
    </row>
    <row r="135" spans="3:6" ht="26.1" customHeight="1" x14ac:dyDescent="0.3">
      <c r="C135" s="208" t="s">
        <v>10</v>
      </c>
      <c r="D135" s="209">
        <f ca="1">IF(Planning!$BP$10&lt;99999,Planning!$BP$10,"")</f>
        <v>0.44444444444444442</v>
      </c>
      <c r="E135" s="248">
        <f ca="1">IF(OR(Planning!$BQ$10=0,Planning!$BQ$10=""),"",Planning!$BQ$10)</f>
        <v>3</v>
      </c>
      <c r="F135" s="210" t="str">
        <f ca="1">IF(OR(Planning!$BR$10=0,Planning!$BR$10=""),"",Planning!$BR$10)</f>
        <v>FC Barcelona</v>
      </c>
    </row>
    <row r="136" spans="3:6" ht="26.1" customHeight="1" x14ac:dyDescent="0.3">
      <c r="C136" s="208" t="s">
        <v>11</v>
      </c>
      <c r="D136" s="209">
        <f ca="1">IF(Planning!$BP$11&lt;99999,Planning!$BP$11,"")</f>
        <v>0.46180555555555558</v>
      </c>
      <c r="E136" s="248">
        <f ca="1">IF(OR(Planning!$BQ$11=0,Planning!$BQ$11=""),"",Planning!$BQ$11)</f>
        <v>3</v>
      </c>
      <c r="F136" s="210" t="str">
        <f ca="1">IF(OR(Planning!$BR$11=0,Planning!$BR$11=""),"",Planning!$BR$11)</f>
        <v>SSV Wildbach</v>
      </c>
    </row>
    <row r="137" spans="3:6" ht="26.1" customHeight="1" x14ac:dyDescent="0.3">
      <c r="C137" s="208" t="s">
        <v>12</v>
      </c>
      <c r="D137" s="209">
        <f ca="1">IF(Planning!$BP$12&lt;99999,Planning!$BP$12,"")</f>
        <v>0.47916666666666669</v>
      </c>
      <c r="E137" s="248">
        <f ca="1">IF(OR(Planning!$BQ$12=0,Planning!$BQ$12=""),"",Planning!$BQ$12)</f>
        <v>3</v>
      </c>
      <c r="F137" s="210" t="str">
        <f ca="1">IF(OR(Planning!$BR$12=0,Planning!$BR$12=""),"",Planning!$BR$12)</f>
        <v>VFB Essenheim</v>
      </c>
    </row>
    <row r="138" spans="3:6" ht="26.1" customHeight="1" x14ac:dyDescent="0.3">
      <c r="C138" s="208" t="s">
        <v>17</v>
      </c>
      <c r="D138" s="209">
        <f ca="1">IF(Planning!$BP$13&lt;99999,Planning!$BP$13,"")</f>
        <v>0.49652777777777779</v>
      </c>
      <c r="E138" s="248">
        <f ca="1">IF(OR(Planning!$BQ$13=0,Planning!$BQ$13=""),"",Planning!$BQ$13)</f>
        <v>2</v>
      </c>
      <c r="F138" s="210" t="str">
        <f ca="1">IF(OR(Planning!$BR$13=0,Planning!$BR$13=""),"",Planning!$BR$13)</f>
        <v>Eintracht Frankfurt</v>
      </c>
    </row>
    <row r="139" spans="3:6" ht="26.1" customHeight="1" x14ac:dyDescent="0.3">
      <c r="C139" s="208" t="s">
        <v>18</v>
      </c>
      <c r="D139" s="209">
        <f ca="1">IF(Planning!$BP$14&lt;99999,Planning!$BP$14,"")</f>
        <v>0.53125</v>
      </c>
      <c r="E139" s="248">
        <f ca="1">IF(OR(Planning!$BQ$14=0,Planning!$BQ$14=""),"",Planning!$BQ$14)</f>
        <v>1</v>
      </c>
      <c r="F139" s="210" t="str">
        <f ca="1">IF(OR(Planning!$BR$14=0,Planning!$BR$14=""),"",Planning!$BR$14)</f>
        <v>1. FC Riedwald</v>
      </c>
    </row>
    <row r="140" spans="3:6" ht="26.1" customHeight="1" x14ac:dyDescent="0.3">
      <c r="C140" s="208" t="s">
        <v>19</v>
      </c>
      <c r="D140" s="209">
        <f ca="1">IF(Planning!$BP$15&lt;99999,Planning!$BP$15,"")</f>
        <v>0.54861111111111116</v>
      </c>
      <c r="E140" s="248">
        <f ca="1">IF(OR(Planning!$BQ$15=0,Planning!$BQ$15=""),"",Planning!$BQ$15)</f>
        <v>2</v>
      </c>
      <c r="F140" s="210" t="str">
        <f ca="1">IF(OR(Planning!$BR$15=0,Planning!$BR$15=""),"",Planning!$BR$15)</f>
        <v>Maibach 1822 eV</v>
      </c>
    </row>
    <row r="141" spans="3:6" ht="26.1" customHeight="1" x14ac:dyDescent="0.3">
      <c r="C141" s="208" t="s">
        <v>25</v>
      </c>
      <c r="D141" s="209">
        <f ca="1">IF(Planning!$BP$16&lt;99999,Planning!$BP$16,"")</f>
        <v>0.56597222222222221</v>
      </c>
      <c r="E141" s="248">
        <f ca="1">IF(OR(Planning!$BQ$16=0,Planning!$BQ$16=""),"",Planning!$BQ$16)</f>
        <v>3</v>
      </c>
      <c r="F141" s="210" t="str">
        <f ca="1">IF(OR(Planning!$BR$16=0,Planning!$BR$16=""),"",Planning!$BR$16)</f>
        <v>FC Barcelona</v>
      </c>
    </row>
    <row r="142" spans="3:6" ht="26.1" customHeight="1" x14ac:dyDescent="0.3">
      <c r="C142" s="208" t="s">
        <v>26</v>
      </c>
      <c r="D142" s="209">
        <f ca="1">IF(Planning!$BP$17&lt;99999,Planning!$BP$17,"")</f>
        <v>0.58333333333333337</v>
      </c>
      <c r="E142" s="248">
        <f ca="1">IF(OR(Planning!$BQ$17=0,Planning!$BQ$17=""),"",Planning!$BQ$17)</f>
        <v>3</v>
      </c>
      <c r="F142" s="210" t="str">
        <f ca="1">IF(OR(Planning!$BR$17=0,Planning!$BR$17=""),"",Planning!$BR$17)</f>
        <v>SSV Wildbach</v>
      </c>
    </row>
    <row r="143" spans="3:6" ht="26.1" customHeight="1" x14ac:dyDescent="0.3">
      <c r="C143" s="208" t="s">
        <v>27</v>
      </c>
      <c r="D143" s="209">
        <f ca="1">IF(Planning!$BP$18&lt;99999,Planning!$BP$18,"")</f>
        <v>0.60069444444444442</v>
      </c>
      <c r="E143" s="248">
        <f ca="1">IF(OR(Planning!$BQ$18=0,Planning!$BQ$18=""),"",Planning!$BQ$18)</f>
        <v>3</v>
      </c>
      <c r="F143" s="210" t="str">
        <f ca="1">IF(OR(Planning!$BR$18=0,Planning!$BR$18=""),"",Planning!$BR$18)</f>
        <v>VFB Essenheim</v>
      </c>
    </row>
    <row r="144" spans="3:6" ht="26.1" customHeight="1" x14ac:dyDescent="0.3">
      <c r="C144" s="208" t="s">
        <v>28</v>
      </c>
      <c r="D144" s="209" t="str">
        <f ca="1">IF(Planning!$BP$19&lt;99999,Planning!$BP$19,"")</f>
        <v/>
      </c>
      <c r="E144" s="248" t="str">
        <f ca="1">IF(OR(Planning!$BQ$19=0,Planning!$BQ$19=""),"",Planning!$BQ$19)</f>
        <v/>
      </c>
      <c r="F144" s="210" t="str">
        <f ca="1">IF(OR(Planning!$BR$19=0,Planning!$BR$19=""),"",Planning!$BR$19)</f>
        <v/>
      </c>
    </row>
    <row r="145" spans="2:7" ht="26.1" customHeight="1" x14ac:dyDescent="0.3">
      <c r="C145" s="208" t="s">
        <v>29</v>
      </c>
      <c r="D145" s="209" t="str">
        <f ca="1">IF(Planning!$BP$20&lt;99999,Planning!$BP$20,"")</f>
        <v/>
      </c>
      <c r="E145" s="248" t="str">
        <f ca="1">IF(OR(Planning!$BQ$20=0,Planning!$BQ$20=""),"",Planning!$BQ$20)</f>
        <v/>
      </c>
      <c r="F145" s="210" t="str">
        <f ca="1">IF(OR(Planning!$BR$20=0,Planning!$BR$20=""),"",Planning!$BR$20)</f>
        <v/>
      </c>
    </row>
    <row r="146" spans="2:7" ht="26.1" customHeight="1" x14ac:dyDescent="0.3">
      <c r="C146" s="208" t="s">
        <v>30</v>
      </c>
      <c r="D146" s="209" t="str">
        <f ca="1">IF(Planning!$BP$21&lt;99999,Planning!$BP$21,"")</f>
        <v/>
      </c>
      <c r="E146" s="248" t="str">
        <f ca="1">IF(OR(Planning!$BQ$21=0,Planning!$BQ$21=""),"",Planning!$BQ$21)</f>
        <v/>
      </c>
      <c r="F146" s="210" t="str">
        <f ca="1">IF(OR(Planning!$BR$21=0,Planning!$BR$21=""),"",Planning!$BR$21)</f>
        <v/>
      </c>
    </row>
    <row r="147" spans="2:7" ht="26.1" customHeight="1" thickBot="1" x14ac:dyDescent="0.35">
      <c r="C147" s="211" t="s">
        <v>31</v>
      </c>
      <c r="D147" s="212" t="str">
        <f ca="1">IF(Planning!$BP$22&lt;99999,Planning!$BP$22,"")</f>
        <v/>
      </c>
      <c r="E147" s="249" t="str">
        <f ca="1">IF(OR(Planning!$BQ$22=0,Planning!$BQ$22=""),"",Planning!$BQ$22)</f>
        <v/>
      </c>
      <c r="F147" s="213" t="str">
        <f ca="1">IF(OR(Planning!$BR$22=0,Planning!$BR$22=""),"",Planning!$BR$22)</f>
        <v/>
      </c>
    </row>
    <row r="148" spans="2:7" ht="26.1" customHeight="1" thickTop="1" x14ac:dyDescent="0.3">
      <c r="B148" s="219" t="str">
        <f>Language!$E$47</f>
        <v>Note</v>
      </c>
    </row>
    <row r="149" spans="2:7" ht="26.1" customHeight="1" x14ac:dyDescent="0.3">
      <c r="B149" s="530" t="str">
        <f>IF($B$24="","",$B$24)</f>
        <v/>
      </c>
      <c r="C149" s="531"/>
      <c r="D149" s="531"/>
      <c r="E149" s="531"/>
      <c r="F149" s="531"/>
      <c r="G149" s="532"/>
    </row>
    <row r="150" spans="2:7" ht="26.1" customHeight="1" x14ac:dyDescent="0.3">
      <c r="B150" s="533"/>
      <c r="C150" s="534"/>
      <c r="D150" s="534"/>
      <c r="E150" s="534"/>
      <c r="F150" s="534"/>
      <c r="G150" s="535"/>
    </row>
    <row r="151" spans="2:7" ht="26.1" customHeight="1" x14ac:dyDescent="0.3">
      <c r="C151" s="526" t="str">
        <f>Results!$F$2</f>
        <v>International tournament U10 on Apr. 25th, 2024</v>
      </c>
      <c r="D151" s="526"/>
      <c r="E151" s="526"/>
      <c r="F151" s="526"/>
    </row>
    <row r="152" spans="2:7" ht="26.1" customHeight="1" x14ac:dyDescent="0.3">
      <c r="C152" s="526"/>
      <c r="D152" s="526"/>
      <c r="E152" s="526"/>
      <c r="F152" s="526"/>
    </row>
    <row r="153" spans="2:7" ht="26.1" customHeight="1" x14ac:dyDescent="0.3">
      <c r="C153" s="526"/>
      <c r="D153" s="526"/>
      <c r="E153" s="526"/>
      <c r="F153" s="526"/>
    </row>
    <row r="154" spans="2:7" ht="25.5" customHeight="1" thickBot="1" x14ac:dyDescent="0.35"/>
    <row r="155" spans="2:7" ht="45.75" customHeight="1" thickTop="1" thickBot="1" x14ac:dyDescent="0.35">
      <c r="C155" s="527" t="str">
        <f>IF(Planning!$C$20="","",Planning!$C$20)</f>
        <v>SSV Wildbach</v>
      </c>
      <c r="D155" s="528"/>
      <c r="E155" s="528"/>
      <c r="F155" s="529"/>
    </row>
    <row r="156" spans="2:7" ht="26.1" customHeight="1" thickBot="1" x14ac:dyDescent="0.35">
      <c r="C156" s="216" t="str">
        <f>Language!$E$9</f>
        <v>No.</v>
      </c>
      <c r="D156" s="217" t="str">
        <f>Language!$E$39</f>
        <v>Start</v>
      </c>
      <c r="E156" s="245" t="str">
        <f>Language!$E$48</f>
        <v>Field</v>
      </c>
      <c r="F156" s="218" t="str">
        <f>Language!$E$46</f>
        <v>Match against</v>
      </c>
    </row>
    <row r="157" spans="2:7" ht="26.1" customHeight="1" x14ac:dyDescent="0.3">
      <c r="C157" s="214" t="s">
        <v>7</v>
      </c>
      <c r="D157" s="215">
        <f ca="1">IF(Planning!$BX$7&lt;99999,Planning!$BX$7,"")</f>
        <v>0.375</v>
      </c>
      <c r="E157" s="247">
        <f ca="1">IF(OR(Planning!$BY$7=0,Planning!$BY$7=""),"",Planning!$BY$7)</f>
        <v>1</v>
      </c>
      <c r="F157" s="246" t="str">
        <f ca="1">IF(OR(Planning!$BZ$7=0,Planning!$BZ$7=""),"",Planning!$BZ$7)</f>
        <v>FC Barcelona</v>
      </c>
    </row>
    <row r="158" spans="2:7" ht="26.1" customHeight="1" x14ac:dyDescent="0.3">
      <c r="C158" s="208" t="s">
        <v>8</v>
      </c>
      <c r="D158" s="209">
        <f ca="1">IF(Planning!$BX$8&lt;99999,Planning!$BX$8,"")</f>
        <v>0.3923611111111111</v>
      </c>
      <c r="E158" s="248">
        <f ca="1">IF(OR(Planning!$BY$8=0,Planning!$BY$8=""),"",Planning!$BY$8)</f>
        <v>1</v>
      </c>
      <c r="F158" s="210" t="str">
        <f ca="1">IF(OR(Planning!$BZ$8=0,Planning!$BZ$8=""),"",Planning!$BZ$8)</f>
        <v>1. FC Riedwald</v>
      </c>
    </row>
    <row r="159" spans="2:7" ht="26.1" customHeight="1" x14ac:dyDescent="0.3">
      <c r="C159" s="208" t="s">
        <v>9</v>
      </c>
      <c r="D159" s="209">
        <f ca="1">IF(Planning!$BX$9&lt;99999,Planning!$BX$9,"")</f>
        <v>0.40972222222222221</v>
      </c>
      <c r="E159" s="248">
        <f ca="1">IF(OR(Planning!$BY$9=0,Planning!$BY$9=""),"",Planning!$BY$9)</f>
        <v>2</v>
      </c>
      <c r="F159" s="210" t="str">
        <f ca="1">IF(OR(Planning!$BZ$9=0,Planning!$BZ$9=""),"",Planning!$BZ$9)</f>
        <v>VFB Essenheim</v>
      </c>
    </row>
    <row r="160" spans="2:7" ht="26.1" customHeight="1" x14ac:dyDescent="0.3">
      <c r="C160" s="208" t="s">
        <v>10</v>
      </c>
      <c r="D160" s="209">
        <f ca="1">IF(Planning!$BX$10&lt;99999,Planning!$BX$10,"")</f>
        <v>0.42708333333333331</v>
      </c>
      <c r="E160" s="248">
        <f ca="1">IF(OR(Planning!$BY$10=0,Planning!$BY$10=""),"",Planning!$BY$10)</f>
        <v>3</v>
      </c>
      <c r="F160" s="210" t="str">
        <f ca="1">IF(OR(Planning!$BZ$10=0,Planning!$BZ$10=""),"",Planning!$BZ$10)</f>
        <v>Eintracht Frankfurt</v>
      </c>
    </row>
    <row r="161" spans="2:7" ht="26.1" customHeight="1" x14ac:dyDescent="0.3">
      <c r="C161" s="208" t="s">
        <v>11</v>
      </c>
      <c r="D161" s="209">
        <f ca="1">IF(Planning!$BX$11&lt;99999,Planning!$BX$11,"")</f>
        <v>0.46180555555555558</v>
      </c>
      <c r="E161" s="248">
        <f ca="1">IF(OR(Planning!$BY$11=0,Planning!$BY$11=""),"",Planning!$BY$11)</f>
        <v>3</v>
      </c>
      <c r="F161" s="210" t="str">
        <f ca="1">IF(OR(Planning!$BZ$11=0,Planning!$BZ$11=""),"",Planning!$BZ$11)</f>
        <v>Inter Mailand</v>
      </c>
    </row>
    <row r="162" spans="2:7" ht="26.1" customHeight="1" x14ac:dyDescent="0.3">
      <c r="C162" s="208" t="s">
        <v>12</v>
      </c>
      <c r="D162" s="209">
        <f ca="1">IF(Planning!$BX$12&lt;99999,Planning!$BX$12,"")</f>
        <v>0.47916666666666669</v>
      </c>
      <c r="E162" s="248">
        <f ca="1">IF(OR(Planning!$BY$12=0,Planning!$BY$12=""),"",Planning!$BY$12)</f>
        <v>2</v>
      </c>
      <c r="F162" s="210" t="str">
        <f ca="1">IF(OR(Planning!$BZ$12=0,Planning!$BZ$12=""),"",Planning!$BZ$12)</f>
        <v>Maibach 1822 eV</v>
      </c>
    </row>
    <row r="163" spans="2:7" ht="26.1" customHeight="1" x14ac:dyDescent="0.3">
      <c r="C163" s="208" t="s">
        <v>17</v>
      </c>
      <c r="D163" s="209">
        <f ca="1">IF(Planning!$BX$13&lt;99999,Planning!$BX$13,"")</f>
        <v>0.49652777777777779</v>
      </c>
      <c r="E163" s="248">
        <f ca="1">IF(OR(Planning!$BY$13=0,Planning!$BY$13=""),"",Planning!$BY$13)</f>
        <v>1</v>
      </c>
      <c r="F163" s="210" t="str">
        <f ca="1">IF(OR(Planning!$BZ$13=0,Planning!$BZ$13=""),"",Planning!$BZ$13)</f>
        <v>FC Barcelona</v>
      </c>
    </row>
    <row r="164" spans="2:7" ht="26.1" customHeight="1" x14ac:dyDescent="0.3">
      <c r="C164" s="208" t="s">
        <v>18</v>
      </c>
      <c r="D164" s="209">
        <f ca="1">IF(Planning!$BX$14&lt;99999,Planning!$BX$14,"")</f>
        <v>0.51388888888888884</v>
      </c>
      <c r="E164" s="248">
        <f ca="1">IF(OR(Planning!$BY$14=0,Planning!$BY$14=""),"",Planning!$BY$14)</f>
        <v>1</v>
      </c>
      <c r="F164" s="210" t="str">
        <f ca="1">IF(OR(Planning!$BZ$14=0,Planning!$BZ$14=""),"",Planning!$BZ$14)</f>
        <v>1. FC Riedwald</v>
      </c>
    </row>
    <row r="165" spans="2:7" ht="26.1" customHeight="1" x14ac:dyDescent="0.3">
      <c r="C165" s="208" t="s">
        <v>19</v>
      </c>
      <c r="D165" s="209">
        <f ca="1">IF(Planning!$BX$15&lt;99999,Planning!$BX$15,"")</f>
        <v>0.53125</v>
      </c>
      <c r="E165" s="248">
        <f ca="1">IF(OR(Planning!$BY$15=0,Planning!$BY$15=""),"",Planning!$BY$15)</f>
        <v>2</v>
      </c>
      <c r="F165" s="210" t="str">
        <f ca="1">IF(OR(Planning!$BZ$15=0,Planning!$BZ$15=""),"",Planning!$BZ$15)</f>
        <v>VFB Essenheim</v>
      </c>
    </row>
    <row r="166" spans="2:7" ht="26.1" customHeight="1" x14ac:dyDescent="0.3">
      <c r="C166" s="208" t="s">
        <v>25</v>
      </c>
      <c r="D166" s="209">
        <f ca="1">IF(Planning!$BX$16&lt;99999,Planning!$BX$16,"")</f>
        <v>0.54861111111111116</v>
      </c>
      <c r="E166" s="248">
        <f ca="1">IF(OR(Planning!$BY$16=0,Planning!$BY$16=""),"",Planning!$BY$16)</f>
        <v>3</v>
      </c>
      <c r="F166" s="210" t="str">
        <f ca="1">IF(OR(Planning!$BZ$16=0,Planning!$BZ$16=""),"",Planning!$BZ$16)</f>
        <v>Eintracht Frankfurt</v>
      </c>
    </row>
    <row r="167" spans="2:7" ht="26.1" customHeight="1" x14ac:dyDescent="0.3">
      <c r="C167" s="208" t="s">
        <v>26</v>
      </c>
      <c r="D167" s="209">
        <f ca="1">IF(Planning!$BX$17&lt;99999,Planning!$BX$17,"")</f>
        <v>0.58333333333333337</v>
      </c>
      <c r="E167" s="248">
        <f ca="1">IF(OR(Planning!$BY$17=0,Planning!$BY$17=""),"",Planning!$BY$17)</f>
        <v>3</v>
      </c>
      <c r="F167" s="210" t="str">
        <f ca="1">IF(OR(Planning!$BZ$17=0,Planning!$BZ$17=""),"",Planning!$BZ$17)</f>
        <v>Inter Mailand</v>
      </c>
    </row>
    <row r="168" spans="2:7" ht="26.1" customHeight="1" x14ac:dyDescent="0.3">
      <c r="C168" s="208" t="s">
        <v>27</v>
      </c>
      <c r="D168" s="209">
        <f ca="1">IF(Planning!$BX$18&lt;99999,Planning!$BX$18,"")</f>
        <v>0.60069444444444442</v>
      </c>
      <c r="E168" s="248">
        <f ca="1">IF(OR(Planning!$BY$18=0,Planning!$BY$18=""),"",Planning!$BY$18)</f>
        <v>2</v>
      </c>
      <c r="F168" s="210" t="str">
        <f ca="1">IF(OR(Planning!$BZ$18=0,Planning!$BZ$18=""),"",Planning!$BZ$18)</f>
        <v>Maibach 1822 eV</v>
      </c>
    </row>
    <row r="169" spans="2:7" ht="26.1" customHeight="1" x14ac:dyDescent="0.3">
      <c r="C169" s="208" t="s">
        <v>28</v>
      </c>
      <c r="D169" s="209" t="str">
        <f ca="1">IF(Planning!$BX$19&lt;99999,Planning!$BX$19,"")</f>
        <v/>
      </c>
      <c r="E169" s="248" t="str">
        <f ca="1">IF(OR(Planning!$BY$19=0,Planning!$BY$19=""),"",Planning!$BY$19)</f>
        <v/>
      </c>
      <c r="F169" s="210" t="str">
        <f ca="1">IF(OR(Planning!$BZ$19=0,Planning!$BZ$19=""),"",Planning!$BZ$19)</f>
        <v/>
      </c>
    </row>
    <row r="170" spans="2:7" ht="26.1" customHeight="1" x14ac:dyDescent="0.3">
      <c r="C170" s="208" t="s">
        <v>29</v>
      </c>
      <c r="D170" s="209" t="str">
        <f ca="1">IF(Planning!$BX$20&lt;99999,Planning!$BX$20,"")</f>
        <v/>
      </c>
      <c r="E170" s="248" t="str">
        <f ca="1">IF(OR(Planning!$BY$20=0,Planning!$BY$20=""),"",Planning!$BY$20)</f>
        <v/>
      </c>
      <c r="F170" s="210" t="str">
        <f ca="1">IF(OR(Planning!$BZ$20=0,Planning!$BZ$20=""),"",Planning!$BZ$20)</f>
        <v/>
      </c>
    </row>
    <row r="171" spans="2:7" ht="26.1" customHeight="1" x14ac:dyDescent="0.3">
      <c r="C171" s="208" t="s">
        <v>30</v>
      </c>
      <c r="D171" s="209" t="str">
        <f ca="1">IF(Planning!$BX$21&lt;99999,Planning!$BX$21,"")</f>
        <v/>
      </c>
      <c r="E171" s="248" t="str">
        <f ca="1">IF(OR(Planning!$BY$21=0,Planning!$BY$21=""),"",Planning!$BY$21)</f>
        <v/>
      </c>
      <c r="F171" s="210" t="str">
        <f ca="1">IF(OR(Planning!$BZ$21=0,Planning!$BZ$21=""),"",Planning!$BZ$21)</f>
        <v/>
      </c>
    </row>
    <row r="172" spans="2:7" ht="26.1" customHeight="1" thickBot="1" x14ac:dyDescent="0.35">
      <c r="C172" s="211" t="s">
        <v>31</v>
      </c>
      <c r="D172" s="212" t="str">
        <f ca="1">IF(Planning!$BX$22&lt;99999,Planning!$BX$22,"")</f>
        <v/>
      </c>
      <c r="E172" s="249" t="str">
        <f ca="1">IF(OR(Planning!$BY$22=0,Planning!$BY$22=""),"",Planning!$BY$22)</f>
        <v/>
      </c>
      <c r="F172" s="213" t="str">
        <f ca="1">IF(OR(Planning!$BZ$22=0,Planning!$BZ$22=""),"",Planning!$BZ$22)</f>
        <v/>
      </c>
    </row>
    <row r="173" spans="2:7" ht="26.1" customHeight="1" thickTop="1" x14ac:dyDescent="0.3">
      <c r="B173" s="219" t="str">
        <f>Language!$E$47</f>
        <v>Note</v>
      </c>
    </row>
    <row r="174" spans="2:7" ht="26.1" customHeight="1" x14ac:dyDescent="0.3">
      <c r="B174" s="530" t="str">
        <f>IF($B$24="","",$B$24)</f>
        <v/>
      </c>
      <c r="C174" s="531"/>
      <c r="D174" s="531"/>
      <c r="E174" s="531"/>
      <c r="F174" s="531"/>
      <c r="G174" s="532"/>
    </row>
    <row r="175" spans="2:7" ht="26.1" customHeight="1" x14ac:dyDescent="0.3">
      <c r="B175" s="533"/>
      <c r="C175" s="534"/>
      <c r="D175" s="534"/>
      <c r="E175" s="534"/>
      <c r="F175" s="534"/>
      <c r="G175" s="535"/>
    </row>
    <row r="176" spans="2:7" ht="26.1" customHeight="1" x14ac:dyDescent="0.3">
      <c r="C176" s="526" t="str">
        <f>Results!$F$2</f>
        <v>International tournament U10 on Apr. 25th, 2024</v>
      </c>
      <c r="D176" s="526"/>
      <c r="E176" s="526"/>
      <c r="F176" s="526"/>
    </row>
    <row r="177" spans="3:6" ht="26.1" customHeight="1" x14ac:dyDescent="0.3">
      <c r="C177" s="526"/>
      <c r="D177" s="526"/>
      <c r="E177" s="526"/>
      <c r="F177" s="526"/>
    </row>
    <row r="178" spans="3:6" ht="26.1" customHeight="1" x14ac:dyDescent="0.3">
      <c r="C178" s="526"/>
      <c r="D178" s="526"/>
      <c r="E178" s="526"/>
      <c r="F178" s="526"/>
    </row>
    <row r="179" spans="3:6" ht="25.5" customHeight="1" thickBot="1" x14ac:dyDescent="0.35"/>
    <row r="180" spans="3:6" ht="45.75" customHeight="1" thickTop="1" thickBot="1" x14ac:dyDescent="0.35">
      <c r="C180" s="527" t="str">
        <f>IF(Planning!$C$22="","",Planning!$C$22)</f>
        <v/>
      </c>
      <c r="D180" s="528"/>
      <c r="E180" s="528"/>
      <c r="F180" s="529"/>
    </row>
    <row r="181" spans="3:6" ht="26.1" customHeight="1" thickBot="1" x14ac:dyDescent="0.35">
      <c r="C181" s="216" t="str">
        <f>Language!$E$9</f>
        <v>No.</v>
      </c>
      <c r="D181" s="217" t="str">
        <f>Language!$E$39</f>
        <v>Start</v>
      </c>
      <c r="E181" s="245" t="str">
        <f>Language!$E$48</f>
        <v>Field</v>
      </c>
      <c r="F181" s="218" t="str">
        <f>Language!$E$46</f>
        <v>Match against</v>
      </c>
    </row>
    <row r="182" spans="3:6" ht="26.1" customHeight="1" x14ac:dyDescent="0.3">
      <c r="C182" s="214" t="s">
        <v>7</v>
      </c>
      <c r="D182" s="215" t="str">
        <f ca="1">IF(Planning!$CF$7&lt;99999,Planning!$CF$7,"")</f>
        <v/>
      </c>
      <c r="E182" s="247" t="str">
        <f ca="1">IF(OR(Planning!$CG$7=0,Planning!$CG$7=""),"",Planning!$CG$7)</f>
        <v/>
      </c>
      <c r="F182" s="246" t="str">
        <f ca="1">IF(OR(Planning!$CH$7=0,Planning!$CH$7=""),"",Planning!$CH$7)</f>
        <v/>
      </c>
    </row>
    <row r="183" spans="3:6" ht="26.1" customHeight="1" x14ac:dyDescent="0.3">
      <c r="C183" s="208" t="s">
        <v>8</v>
      </c>
      <c r="D183" s="209" t="str">
        <f ca="1">IF(Planning!$CF$8&lt;99999,Planning!$CF$8,"")</f>
        <v/>
      </c>
      <c r="E183" s="248" t="str">
        <f ca="1">IF(OR(Planning!$CG$8=0,Planning!$CG$8=""),"",Planning!$CG$8)</f>
        <v/>
      </c>
      <c r="F183" s="210" t="str">
        <f ca="1">IF(OR(Planning!$CH$8=0,Planning!$CH$8=""),"",Planning!$CH$8)</f>
        <v/>
      </c>
    </row>
    <row r="184" spans="3:6" ht="26.1" customHeight="1" x14ac:dyDescent="0.3">
      <c r="C184" s="208" t="s">
        <v>9</v>
      </c>
      <c r="D184" s="209" t="str">
        <f ca="1">IF(Planning!$CF$9&lt;99999,Planning!$CF$9,"")</f>
        <v/>
      </c>
      <c r="E184" s="248" t="str">
        <f ca="1">IF(OR(Planning!$CG$9=0,Planning!$CG$9=""),"",Planning!$CG$9)</f>
        <v/>
      </c>
      <c r="F184" s="210" t="str">
        <f ca="1">IF(OR(Planning!$CH$9=0,Planning!$CH$9=""),"",Planning!$CH$9)</f>
        <v/>
      </c>
    </row>
    <row r="185" spans="3:6" ht="26.1" customHeight="1" x14ac:dyDescent="0.3">
      <c r="C185" s="208" t="s">
        <v>10</v>
      </c>
      <c r="D185" s="209" t="str">
        <f ca="1">IF(Planning!$CF$10&lt;99999,Planning!$CF$10,"")</f>
        <v/>
      </c>
      <c r="E185" s="248" t="str">
        <f ca="1">IF(OR(Planning!$CG$10=0,Planning!$CG$10=""),"",Planning!$CG$10)</f>
        <v/>
      </c>
      <c r="F185" s="210" t="str">
        <f ca="1">IF(OR(Planning!$CH$10=0,Planning!$CH$10=""),"",Planning!$CH$10)</f>
        <v/>
      </c>
    </row>
    <row r="186" spans="3:6" ht="26.1" customHeight="1" x14ac:dyDescent="0.3">
      <c r="C186" s="208" t="s">
        <v>11</v>
      </c>
      <c r="D186" s="209" t="str">
        <f ca="1">IF(Planning!$CF$11&lt;99999,Planning!$CF$11,"")</f>
        <v/>
      </c>
      <c r="E186" s="248" t="str">
        <f ca="1">IF(OR(Planning!$CG$11=0,Planning!$CG$11=""),"",Planning!$CG$11)</f>
        <v/>
      </c>
      <c r="F186" s="210" t="str">
        <f ca="1">IF(OR(Planning!$CH$11=0,Planning!$CH$11=""),"",Planning!$CH$11)</f>
        <v/>
      </c>
    </row>
    <row r="187" spans="3:6" ht="26.1" customHeight="1" x14ac:dyDescent="0.3">
      <c r="C187" s="208" t="s">
        <v>12</v>
      </c>
      <c r="D187" s="209" t="str">
        <f ca="1">IF(Planning!$CF$12&lt;99999,Planning!$CF$12,"")</f>
        <v/>
      </c>
      <c r="E187" s="248" t="str">
        <f ca="1">IF(OR(Planning!$CG$12=0,Planning!$CG$12=""),"",Planning!$CG$12)</f>
        <v/>
      </c>
      <c r="F187" s="210" t="str">
        <f ca="1">IF(OR(Planning!$CH$12=0,Planning!$CH$12=""),"",Planning!$CH$12)</f>
        <v/>
      </c>
    </row>
    <row r="188" spans="3:6" ht="26.1" customHeight="1" x14ac:dyDescent="0.3">
      <c r="C188" s="208" t="s">
        <v>17</v>
      </c>
      <c r="D188" s="209" t="str">
        <f ca="1">IF(Planning!$CF$13&lt;99999,Planning!$CF$13,"")</f>
        <v/>
      </c>
      <c r="E188" s="248" t="str">
        <f ca="1">IF(OR(Planning!$CG$13=0,Planning!$CG$13=""),"",Planning!$CG$13)</f>
        <v/>
      </c>
      <c r="F188" s="210" t="str">
        <f ca="1">IF(OR(Planning!$CH$13=0,Planning!$CH$13=""),"",Planning!$CH$13)</f>
        <v/>
      </c>
    </row>
    <row r="189" spans="3:6" ht="26.1" customHeight="1" x14ac:dyDescent="0.3">
      <c r="C189" s="208" t="s">
        <v>18</v>
      </c>
      <c r="D189" s="209" t="str">
        <f ca="1">IF(Planning!$CF$14&lt;99999,Planning!$CF$14,"")</f>
        <v/>
      </c>
      <c r="E189" s="248" t="str">
        <f ca="1">IF(OR(Planning!$CG$14=0,Planning!$CG$14=""),"",Planning!$CG$14)</f>
        <v/>
      </c>
      <c r="F189" s="210" t="str">
        <f ca="1">IF(OR(Planning!$CH$14=0,Planning!$CH$14=""),"",Planning!$CH$14)</f>
        <v/>
      </c>
    </row>
    <row r="190" spans="3:6" ht="26.1" customHeight="1" x14ac:dyDescent="0.3">
      <c r="C190" s="208" t="s">
        <v>19</v>
      </c>
      <c r="D190" s="209" t="str">
        <f ca="1">IF(Planning!$CF$15&lt;99999,Planning!$CF$15,"")</f>
        <v/>
      </c>
      <c r="E190" s="248" t="str">
        <f ca="1">IF(OR(Planning!$CG$15=0,Planning!$CG$15=""),"",Planning!$CG$15)</f>
        <v/>
      </c>
      <c r="F190" s="210" t="str">
        <f ca="1">IF(OR(Planning!$CH$15=0,Planning!$CH$15=""),"",Planning!$CH$15)</f>
        <v/>
      </c>
    </row>
    <row r="191" spans="3:6" ht="26.1" customHeight="1" x14ac:dyDescent="0.3">
      <c r="C191" s="208" t="s">
        <v>25</v>
      </c>
      <c r="D191" s="209" t="str">
        <f ca="1">IF(Planning!$CF$16&lt;99999,Planning!$CF$16,"")</f>
        <v/>
      </c>
      <c r="E191" s="248" t="str">
        <f ca="1">IF(OR(Planning!$CG$16=0,Planning!$CG$16=""),"",Planning!$CG$16)</f>
        <v/>
      </c>
      <c r="F191" s="210" t="str">
        <f ca="1">IF(OR(Planning!$CH$16=0,Planning!$CH$16=""),"",Planning!$CH$16)</f>
        <v/>
      </c>
    </row>
    <row r="192" spans="3:6" ht="26.1" customHeight="1" x14ac:dyDescent="0.3">
      <c r="C192" s="208" t="s">
        <v>26</v>
      </c>
      <c r="D192" s="209" t="str">
        <f ca="1">IF(Planning!$CF$17&lt;99999,Planning!$CF$17,"")</f>
        <v/>
      </c>
      <c r="E192" s="248" t="str">
        <f ca="1">IF(OR(Planning!$CG$17=0,Planning!$CG$17=""),"",Planning!$CG$17)</f>
        <v/>
      </c>
      <c r="F192" s="210" t="str">
        <f ca="1">IF(OR(Planning!$CH$17=0,Planning!$CH$17=""),"",Planning!$CH$17)</f>
        <v/>
      </c>
    </row>
    <row r="193" spans="2:7" ht="26.1" customHeight="1" x14ac:dyDescent="0.3">
      <c r="C193" s="208" t="s">
        <v>27</v>
      </c>
      <c r="D193" s="209" t="str">
        <f ca="1">IF(Planning!$CF$18&lt;99999,Planning!$CF$18,"")</f>
        <v/>
      </c>
      <c r="E193" s="248" t="str">
        <f ca="1">IF(OR(Planning!$CG$18=0,Planning!$CG$18=""),"",Planning!$CG$18)</f>
        <v/>
      </c>
      <c r="F193" s="210" t="str">
        <f ca="1">IF(OR(Planning!$CH$18=0,Planning!$CH$18=""),"",Planning!$CH$18)</f>
        <v/>
      </c>
    </row>
    <row r="194" spans="2:7" ht="26.1" customHeight="1" x14ac:dyDescent="0.3">
      <c r="C194" s="208" t="s">
        <v>28</v>
      </c>
      <c r="D194" s="209" t="str">
        <f ca="1">IF(Planning!$CF$19&lt;99999,Planning!$CF$19,"")</f>
        <v/>
      </c>
      <c r="E194" s="248" t="str">
        <f ca="1">IF(OR(Planning!$CG$19=0,Planning!$CG$19=""),"",Planning!$CG$19)</f>
        <v/>
      </c>
      <c r="F194" s="210" t="str">
        <f ca="1">IF(OR(Planning!$CH$19=0,Planning!$CH$19=""),"",Planning!$CH$19)</f>
        <v/>
      </c>
    </row>
    <row r="195" spans="2:7" ht="26.1" customHeight="1" x14ac:dyDescent="0.3">
      <c r="C195" s="208" t="s">
        <v>29</v>
      </c>
      <c r="D195" s="209" t="str">
        <f ca="1">IF(Planning!$CF$20&lt;99999,Planning!$CF$20,"")</f>
        <v/>
      </c>
      <c r="E195" s="248" t="str">
        <f ca="1">IF(OR(Planning!$CG$20=0,Planning!$CG$20=""),"",Planning!$CG$20)</f>
        <v/>
      </c>
      <c r="F195" s="210" t="str">
        <f ca="1">IF(OR(Planning!$CH$20=0,Planning!$CH$20=""),"",Planning!$CH$20)</f>
        <v/>
      </c>
    </row>
    <row r="196" spans="2:7" ht="26.1" customHeight="1" x14ac:dyDescent="0.3">
      <c r="C196" s="208" t="s">
        <v>30</v>
      </c>
      <c r="D196" s="209" t="str">
        <f ca="1">IF(Planning!$CF$21&lt;99999,Planning!$CF$21,"")</f>
        <v/>
      </c>
      <c r="E196" s="248" t="str">
        <f ca="1">IF(OR(Planning!$CG$21=0,Planning!$CG$21=""),"",Planning!$CG$21)</f>
        <v/>
      </c>
      <c r="F196" s="210" t="str">
        <f ca="1">IF(OR(Planning!$CH$21=0,Planning!$CH$21=""),"",Planning!$CH$21)</f>
        <v/>
      </c>
    </row>
    <row r="197" spans="2:7" ht="26.1" customHeight="1" thickBot="1" x14ac:dyDescent="0.35">
      <c r="C197" s="211" t="s">
        <v>31</v>
      </c>
      <c r="D197" s="212" t="str">
        <f ca="1">IF(Planning!$CF$22&lt;99999,Planning!$CF$22,"")</f>
        <v/>
      </c>
      <c r="E197" s="249" t="str">
        <f ca="1">IF(OR(Planning!$CG$22=0,Planning!$CG$22=""),"",Planning!$CG$22)</f>
        <v/>
      </c>
      <c r="F197" s="213" t="str">
        <f ca="1">IF(OR(Planning!$CH$22=0,Planning!$CH$22=""),"",Planning!$CH$22)</f>
        <v/>
      </c>
    </row>
    <row r="198" spans="2:7" ht="26.1" customHeight="1" thickTop="1" x14ac:dyDescent="0.3">
      <c r="B198" s="219" t="str">
        <f>Language!$E$47</f>
        <v>Note</v>
      </c>
    </row>
    <row r="199" spans="2:7" ht="26.1" customHeight="1" x14ac:dyDescent="0.3">
      <c r="B199" s="530" t="str">
        <f>IF($B$24="","",$B$24)</f>
        <v/>
      </c>
      <c r="C199" s="531"/>
      <c r="D199" s="531"/>
      <c r="E199" s="531"/>
      <c r="F199" s="531"/>
      <c r="G199" s="532"/>
    </row>
    <row r="200" spans="2:7" ht="26.1" customHeight="1" x14ac:dyDescent="0.3">
      <c r="B200" s="533"/>
      <c r="C200" s="534"/>
      <c r="D200" s="534"/>
      <c r="E200" s="534"/>
      <c r="F200" s="534"/>
      <c r="G200" s="535"/>
    </row>
    <row r="201" spans="2:7" ht="26.1" customHeight="1" x14ac:dyDescent="0.3">
      <c r="C201" s="526" t="str">
        <f>Results!$F$2</f>
        <v>International tournament U10 on Apr. 25th, 2024</v>
      </c>
      <c r="D201" s="526"/>
      <c r="E201" s="526"/>
      <c r="F201" s="526"/>
    </row>
    <row r="202" spans="2:7" ht="26.1" customHeight="1" x14ac:dyDescent="0.3">
      <c r="C202" s="526"/>
      <c r="D202" s="526"/>
      <c r="E202" s="526"/>
      <c r="F202" s="526"/>
    </row>
    <row r="203" spans="2:7" ht="26.1" customHeight="1" x14ac:dyDescent="0.3">
      <c r="C203" s="526"/>
      <c r="D203" s="526"/>
      <c r="E203" s="526"/>
      <c r="F203" s="526"/>
    </row>
    <row r="204" spans="2:7" ht="25.5" customHeight="1" thickBot="1" x14ac:dyDescent="0.35"/>
    <row r="205" spans="2:7" ht="45.75" customHeight="1" thickTop="1" thickBot="1" x14ac:dyDescent="0.35">
      <c r="C205" s="527" t="str">
        <f>IF(Planning!$C$24="","",Planning!$C$24)</f>
        <v/>
      </c>
      <c r="D205" s="528"/>
      <c r="E205" s="528"/>
      <c r="F205" s="529"/>
    </row>
    <row r="206" spans="2:7" ht="26.1" customHeight="1" thickBot="1" x14ac:dyDescent="0.35">
      <c r="C206" s="216" t="str">
        <f>Language!$E$9</f>
        <v>No.</v>
      </c>
      <c r="D206" s="217" t="str">
        <f>Language!$E$39</f>
        <v>Start</v>
      </c>
      <c r="E206" s="245" t="str">
        <f>Language!$E$48</f>
        <v>Field</v>
      </c>
      <c r="F206" s="218" t="str">
        <f>Language!$E$46</f>
        <v>Match against</v>
      </c>
    </row>
    <row r="207" spans="2:7" ht="26.1" customHeight="1" x14ac:dyDescent="0.3">
      <c r="C207" s="214" t="s">
        <v>7</v>
      </c>
      <c r="D207" s="215" t="str">
        <f ca="1">IF(Planning!$CN$7&lt;99999,Planning!$CN$7,"")</f>
        <v/>
      </c>
      <c r="E207" s="247" t="str">
        <f ca="1">IF(OR(Planning!$CO$7=0,Planning!$CO$7=""),"",Planning!$CO$7)</f>
        <v/>
      </c>
      <c r="F207" s="246" t="str">
        <f ca="1">IF(OR(Planning!$CP$7=0,Planning!$CP$7=""),"",Planning!$CP$7)</f>
        <v/>
      </c>
    </row>
    <row r="208" spans="2:7" ht="26.1" customHeight="1" x14ac:dyDescent="0.3">
      <c r="C208" s="208" t="s">
        <v>8</v>
      </c>
      <c r="D208" s="209" t="str">
        <f ca="1">IF(Planning!$CN$8&lt;99999,Planning!$CN$8,"")</f>
        <v/>
      </c>
      <c r="E208" s="248" t="str">
        <f ca="1">IF(OR(Planning!$CO$8=0,Planning!$CO$8=""),"",Planning!$CO$8)</f>
        <v/>
      </c>
      <c r="F208" s="210" t="str">
        <f ca="1">IF(OR(Planning!$CP$8=0,Planning!$CP$8=""),"",Planning!$CP$8)</f>
        <v/>
      </c>
    </row>
    <row r="209" spans="2:7" ht="26.1" customHeight="1" x14ac:dyDescent="0.3">
      <c r="C209" s="208" t="s">
        <v>9</v>
      </c>
      <c r="D209" s="209" t="str">
        <f ca="1">IF(Planning!$CN$9&lt;99999,Planning!$CN$9,"")</f>
        <v/>
      </c>
      <c r="E209" s="248" t="str">
        <f ca="1">IF(OR(Planning!$CO$9=0,Planning!$CO$9=""),"",Planning!$CO$9)</f>
        <v/>
      </c>
      <c r="F209" s="210" t="str">
        <f ca="1">IF(OR(Planning!$CP$9=0,Planning!$CP$9=""),"",Planning!$CP$9)</f>
        <v/>
      </c>
    </row>
    <row r="210" spans="2:7" ht="26.1" customHeight="1" x14ac:dyDescent="0.3">
      <c r="C210" s="208" t="s">
        <v>10</v>
      </c>
      <c r="D210" s="209" t="str">
        <f ca="1">IF(Planning!$CN$10&lt;99999,Planning!$CN$10,"")</f>
        <v/>
      </c>
      <c r="E210" s="248" t="str">
        <f ca="1">IF(OR(Planning!$CO$10=0,Planning!$CO$10=""),"",Planning!$CO$10)</f>
        <v/>
      </c>
      <c r="F210" s="210" t="str">
        <f ca="1">IF(OR(Planning!$CP$10=0,Planning!$CP$10=""),"",Planning!$CP$10)</f>
        <v/>
      </c>
    </row>
    <row r="211" spans="2:7" ht="26.1" customHeight="1" x14ac:dyDescent="0.3">
      <c r="C211" s="208" t="s">
        <v>11</v>
      </c>
      <c r="D211" s="209" t="str">
        <f ca="1">IF(Planning!$CN$11&lt;99999,Planning!$CN$11,"")</f>
        <v/>
      </c>
      <c r="E211" s="248" t="str">
        <f ca="1">IF(OR(Planning!$CO$11=0,Planning!$CO$11=""),"",Planning!$CO$11)</f>
        <v/>
      </c>
      <c r="F211" s="210" t="str">
        <f ca="1">IF(OR(Planning!$CP$11=0,Planning!$CP$11=""),"",Planning!$CP$11)</f>
        <v/>
      </c>
    </row>
    <row r="212" spans="2:7" ht="26.1" customHeight="1" x14ac:dyDescent="0.3">
      <c r="C212" s="208" t="s">
        <v>12</v>
      </c>
      <c r="D212" s="209" t="str">
        <f ca="1">IF(Planning!$CN$12&lt;99999,Planning!$CN$12,"")</f>
        <v/>
      </c>
      <c r="E212" s="248" t="str">
        <f ca="1">IF(OR(Planning!$CO$12=0,Planning!$CO$12=""),"",Planning!$CO$12)</f>
        <v/>
      </c>
      <c r="F212" s="210" t="str">
        <f ca="1">IF(OR(Planning!$CP$12=0,Planning!$CP$12=""),"",Planning!$CP$12)</f>
        <v/>
      </c>
    </row>
    <row r="213" spans="2:7" ht="26.1" customHeight="1" x14ac:dyDescent="0.3">
      <c r="C213" s="208" t="s">
        <v>17</v>
      </c>
      <c r="D213" s="209" t="str">
        <f ca="1">IF(Planning!$CN$13&lt;99999,Planning!$CN$13,"")</f>
        <v/>
      </c>
      <c r="E213" s="248" t="str">
        <f ca="1">IF(OR(Planning!$CO$13=0,Planning!$CO$13=""),"",Planning!$CO$13)</f>
        <v/>
      </c>
      <c r="F213" s="210" t="str">
        <f ca="1">IF(OR(Planning!$CP$13=0,Planning!$CP$13=""),"",Planning!$CP$13)</f>
        <v/>
      </c>
    </row>
    <row r="214" spans="2:7" ht="26.1" customHeight="1" x14ac:dyDescent="0.3">
      <c r="C214" s="208" t="s">
        <v>18</v>
      </c>
      <c r="D214" s="209" t="str">
        <f ca="1">IF(Planning!$CN$14&lt;99999,Planning!$CN$14,"")</f>
        <v/>
      </c>
      <c r="E214" s="248" t="str">
        <f ca="1">IF(OR(Planning!$CO$14=0,Planning!$CO$14=""),"",Planning!$CO$14)</f>
        <v/>
      </c>
      <c r="F214" s="210" t="str">
        <f ca="1">IF(OR(Planning!$CP$14=0,Planning!$CP$14=""),"",Planning!$CP$14)</f>
        <v/>
      </c>
    </row>
    <row r="215" spans="2:7" ht="26.1" customHeight="1" x14ac:dyDescent="0.3">
      <c r="C215" s="208" t="s">
        <v>19</v>
      </c>
      <c r="D215" s="209" t="str">
        <f ca="1">IF(Planning!$CN$15&lt;99999,Planning!$CN$15,"")</f>
        <v/>
      </c>
      <c r="E215" s="248" t="str">
        <f ca="1">IF(OR(Planning!$CO$15=0,Planning!$CO$15=""),"",Planning!$CO$15)</f>
        <v/>
      </c>
      <c r="F215" s="210" t="str">
        <f ca="1">IF(OR(Planning!$CP$15=0,Planning!$CP$15=""),"",Planning!$CP$15)</f>
        <v/>
      </c>
    </row>
    <row r="216" spans="2:7" ht="26.1" customHeight="1" x14ac:dyDescent="0.3">
      <c r="C216" s="208" t="s">
        <v>25</v>
      </c>
      <c r="D216" s="209" t="str">
        <f ca="1">IF(Planning!$CN$16&lt;99999,Planning!$CN$16,"")</f>
        <v/>
      </c>
      <c r="E216" s="248" t="str">
        <f ca="1">IF(OR(Planning!$CO$16=0,Planning!$CO$16=""),"",Planning!$CO$16)</f>
        <v/>
      </c>
      <c r="F216" s="210" t="str">
        <f ca="1">IF(OR(Planning!$CP$16=0,Planning!$CP$16=""),"",Planning!$CP$16)</f>
        <v/>
      </c>
    </row>
    <row r="217" spans="2:7" ht="26.1" customHeight="1" x14ac:dyDescent="0.3">
      <c r="C217" s="208" t="s">
        <v>26</v>
      </c>
      <c r="D217" s="209" t="str">
        <f ca="1">IF(Planning!$CN$17&lt;99999,Planning!$CN$17,"")</f>
        <v/>
      </c>
      <c r="E217" s="248" t="str">
        <f ca="1">IF(OR(Planning!$CO$17=0,Planning!$CO$17=""),"",Planning!$CO$17)</f>
        <v/>
      </c>
      <c r="F217" s="210" t="str">
        <f ca="1">IF(OR(Planning!$CP$17=0,Planning!$CP$17=""),"",Planning!$CP$17)</f>
        <v/>
      </c>
    </row>
    <row r="218" spans="2:7" ht="26.1" customHeight="1" x14ac:dyDescent="0.3">
      <c r="C218" s="208" t="s">
        <v>27</v>
      </c>
      <c r="D218" s="209" t="str">
        <f ca="1">IF(Planning!$CN$18&lt;99999,Planning!$CN$18,"")</f>
        <v/>
      </c>
      <c r="E218" s="248" t="str">
        <f ca="1">IF(OR(Planning!$CO$18=0,Planning!$CO$18=""),"",Planning!$CO$18)</f>
        <v/>
      </c>
      <c r="F218" s="210" t="str">
        <f ca="1">IF(OR(Planning!$CP$18=0,Planning!$CP$18=""),"",Planning!$CP$18)</f>
        <v/>
      </c>
    </row>
    <row r="219" spans="2:7" ht="26.1" customHeight="1" x14ac:dyDescent="0.3">
      <c r="C219" s="208" t="s">
        <v>28</v>
      </c>
      <c r="D219" s="209" t="str">
        <f ca="1">IF(Planning!$CN$19&lt;99999,Planning!$CN$19,"")</f>
        <v/>
      </c>
      <c r="E219" s="248" t="str">
        <f ca="1">IF(OR(Planning!$CO$19=0,Planning!$CO$19=""),"",Planning!$CO$19)</f>
        <v/>
      </c>
      <c r="F219" s="210" t="str">
        <f ca="1">IF(OR(Planning!$CP$19=0,Planning!$CP$19=""),"",Planning!$CP$19)</f>
        <v/>
      </c>
    </row>
    <row r="220" spans="2:7" ht="26.1" customHeight="1" x14ac:dyDescent="0.3">
      <c r="C220" s="208" t="s">
        <v>29</v>
      </c>
      <c r="D220" s="209" t="str">
        <f ca="1">IF(Planning!$CN$20&lt;99999,Planning!$CN$20,"")</f>
        <v/>
      </c>
      <c r="E220" s="248" t="str">
        <f ca="1">IF(OR(Planning!$CO$20=0,Planning!$CO$20=""),"",Planning!$CO$20)</f>
        <v/>
      </c>
      <c r="F220" s="210" t="str">
        <f ca="1">IF(OR(Planning!$CP$20=0,Planning!$CP$20=""),"",Planning!$CP$20)</f>
        <v/>
      </c>
    </row>
    <row r="221" spans="2:7" ht="26.1" customHeight="1" x14ac:dyDescent="0.3">
      <c r="C221" s="208" t="s">
        <v>30</v>
      </c>
      <c r="D221" s="209" t="str">
        <f ca="1">IF(Planning!$CN$21&lt;99999,Planning!$CN$21,"")</f>
        <v/>
      </c>
      <c r="E221" s="248" t="str">
        <f ca="1">IF(OR(Planning!$CO$21=0,Planning!$CO$21=""),"",Planning!$CO$21)</f>
        <v/>
      </c>
      <c r="F221" s="210" t="str">
        <f ca="1">IF(OR(Planning!$CP$21=0,Planning!$CP$21=""),"",Planning!$CP$21)</f>
        <v/>
      </c>
    </row>
    <row r="222" spans="2:7" ht="26.1" customHeight="1" thickBot="1" x14ac:dyDescent="0.35">
      <c r="C222" s="211" t="s">
        <v>31</v>
      </c>
      <c r="D222" s="212" t="str">
        <f ca="1">IF(Planning!$CN$22&lt;99999,Planning!$CN$22,"")</f>
        <v/>
      </c>
      <c r="E222" s="249" t="str">
        <f ca="1">IF(OR(Planning!$CO$22=0,Planning!$CO$22=""),"",Planning!$CO$22)</f>
        <v/>
      </c>
      <c r="F222" s="213" t="str">
        <f ca="1">IF(OR(Planning!$CP$22=0,Planning!$CP$22=""),"",Planning!$CP$22)</f>
        <v/>
      </c>
    </row>
    <row r="223" spans="2:7" ht="26.1" customHeight="1" thickTop="1" x14ac:dyDescent="0.3">
      <c r="B223" s="219" t="str">
        <f>Language!$E$47</f>
        <v>Note</v>
      </c>
    </row>
    <row r="224" spans="2:7" ht="26.1" customHeight="1" x14ac:dyDescent="0.3">
      <c r="B224" s="530" t="str">
        <f>IF($B$24="","",$B$24)</f>
        <v/>
      </c>
      <c r="C224" s="531"/>
      <c r="D224" s="531"/>
      <c r="E224" s="531"/>
      <c r="F224" s="531"/>
      <c r="G224" s="532"/>
    </row>
    <row r="225" spans="2:7" ht="26.1" customHeight="1" x14ac:dyDescent="0.3">
      <c r="B225" s="533"/>
      <c r="C225" s="534"/>
      <c r="D225" s="534"/>
      <c r="E225" s="534"/>
      <c r="F225" s="534"/>
      <c r="G225" s="535"/>
    </row>
    <row r="226" spans="2:7" x14ac:dyDescent="0.3"/>
    <row r="227" spans="2:7" x14ac:dyDescent="0.3"/>
  </sheetData>
  <sheetProtection sheet="1" objects="1" scenarios="1" selectLockedCells="1"/>
  <mergeCells count="27">
    <mergeCell ref="C151:F153"/>
    <mergeCell ref="C176:F178"/>
    <mergeCell ref="B224:G225"/>
    <mergeCell ref="B74:G75"/>
    <mergeCell ref="B99:G100"/>
    <mergeCell ref="B124:G125"/>
    <mergeCell ref="B149:G150"/>
    <mergeCell ref="B174:G175"/>
    <mergeCell ref="B199:G200"/>
    <mergeCell ref="C180:F180"/>
    <mergeCell ref="C205:F205"/>
    <mergeCell ref="C201:F203"/>
    <mergeCell ref="C101:F103"/>
    <mergeCell ref="C155:F155"/>
    <mergeCell ref="C105:F105"/>
    <mergeCell ref="C130:F130"/>
    <mergeCell ref="B24:G25"/>
    <mergeCell ref="C5:F5"/>
    <mergeCell ref="C1:F3"/>
    <mergeCell ref="C26:F28"/>
    <mergeCell ref="C30:F30"/>
    <mergeCell ref="C126:F128"/>
    <mergeCell ref="C55:F55"/>
    <mergeCell ref="B49:G50"/>
    <mergeCell ref="C80:F80"/>
    <mergeCell ref="C51:F53"/>
    <mergeCell ref="C76:F78"/>
  </mergeCells>
  <conditionalFormatting sqref="D8:D22">
    <cfRule type="expression" dxfId="21" priority="18">
      <formula>($D8=$D7)</formula>
    </cfRule>
  </conditionalFormatting>
  <conditionalFormatting sqref="E8:F22">
    <cfRule type="expression" dxfId="20" priority="17">
      <formula>($D8=$D7)</formula>
    </cfRule>
  </conditionalFormatting>
  <conditionalFormatting sqref="D33:D47">
    <cfRule type="expression" dxfId="19" priority="16">
      <formula>($D33=$D32)</formula>
    </cfRule>
  </conditionalFormatting>
  <conditionalFormatting sqref="E33:F47">
    <cfRule type="expression" dxfId="18" priority="15">
      <formula>($D33=$D32)</formula>
    </cfRule>
  </conditionalFormatting>
  <conditionalFormatting sqref="D58:D72">
    <cfRule type="expression" dxfId="17" priority="14">
      <formula>($D58=$D57)</formula>
    </cfRule>
  </conditionalFormatting>
  <conditionalFormatting sqref="E58:F72">
    <cfRule type="expression" dxfId="16" priority="13">
      <formula>($D58=$D57)</formula>
    </cfRule>
  </conditionalFormatting>
  <conditionalFormatting sqref="D83:D97">
    <cfRule type="expression" dxfId="15" priority="12">
      <formula>($D83=$D82)</formula>
    </cfRule>
  </conditionalFormatting>
  <conditionalFormatting sqref="E83:F97">
    <cfRule type="expression" dxfId="14" priority="11">
      <formula>($D83=$D82)</formula>
    </cfRule>
  </conditionalFormatting>
  <conditionalFormatting sqref="D108:D122">
    <cfRule type="expression" dxfId="13" priority="10">
      <formula>($D108=$D107)</formula>
    </cfRule>
  </conditionalFormatting>
  <conditionalFormatting sqref="E108:F122">
    <cfRule type="expression" dxfId="12" priority="9">
      <formula>($D108=$D107)</formula>
    </cfRule>
  </conditionalFormatting>
  <conditionalFormatting sqref="D133:D147">
    <cfRule type="expression" dxfId="11" priority="8">
      <formula>($D133=$D132)</formula>
    </cfRule>
  </conditionalFormatting>
  <conditionalFormatting sqref="E133:F147">
    <cfRule type="expression" dxfId="10" priority="7">
      <formula>($D133=$D132)</formula>
    </cfRule>
  </conditionalFormatting>
  <conditionalFormatting sqref="D158:D172">
    <cfRule type="expression" dxfId="9" priority="6">
      <formula>($D158=$D157)</formula>
    </cfRule>
  </conditionalFormatting>
  <conditionalFormatting sqref="E158:F172">
    <cfRule type="expression" dxfId="8" priority="5">
      <formula>($D158=$D157)</formula>
    </cfRule>
  </conditionalFormatting>
  <conditionalFormatting sqref="D183:D197">
    <cfRule type="expression" dxfId="7" priority="4">
      <formula>($D183=$D182)</formula>
    </cfRule>
  </conditionalFormatting>
  <conditionalFormatting sqref="E183:F197">
    <cfRule type="expression" dxfId="6" priority="3">
      <formula>($D183=$D182)</formula>
    </cfRule>
  </conditionalFormatting>
  <conditionalFormatting sqref="D208:D222">
    <cfRule type="expression" dxfId="5" priority="2">
      <formula>($D208=$D207)</formula>
    </cfRule>
  </conditionalFormatting>
  <conditionalFormatting sqref="E208:F222">
    <cfRule type="expression" dxfId="4" priority="1">
      <formula>($D208=$D207)</formula>
    </cfRule>
  </conditionalFormatting>
  <pageMargins left="1.21875" right="0.42708333333333331" top="0.78740157499999996" bottom="0.78740157499999996" header="0.3" footer="0.3"/>
  <pageSetup paperSize="9" orientation="portrait" horizontalDpi="0" verticalDpi="0" r:id="rId1"/>
  <rowBreaks count="8" manualBreakCount="8">
    <brk id="25" max="16383" man="1"/>
    <brk id="50" max="16383" man="1"/>
    <brk id="75" max="16383" man="1"/>
    <brk id="100" max="16383" man="1"/>
    <brk id="125" max="16383" man="1"/>
    <brk id="150" max="16383" man="1"/>
    <brk id="175" max="16383" man="1"/>
    <brk id="20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88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78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97"/>
      <c r="F1" s="473" t="str">
        <f>$E$35</f>
        <v>Choose language</v>
      </c>
      <c r="G1" s="473"/>
      <c r="H1" s="473"/>
      <c r="I1" s="114"/>
      <c r="J1" s="116" t="s">
        <v>119</v>
      </c>
      <c r="K1" s="226" t="str">
        <f>_xlfn.UNICHAR(8592)</f>
        <v>←</v>
      </c>
      <c r="L1" s="225" t="str">
        <f>$E$62</f>
        <v>Click here and choose language</v>
      </c>
    </row>
    <row r="2" spans="2:12" ht="11.25" customHeight="1" thickBot="1" x14ac:dyDescent="0.25">
      <c r="F2" s="538"/>
      <c r="G2" s="538"/>
      <c r="I2" s="79"/>
      <c r="J2" s="80"/>
    </row>
    <row r="3" spans="2:12" ht="13.5" thickTop="1" x14ac:dyDescent="0.2">
      <c r="B3" s="81" t="s">
        <v>119</v>
      </c>
      <c r="C3" s="82">
        <f>IF(AND($J$1&lt;&gt;B4,$J$1&lt;&gt;B5),1,0)</f>
        <v>1</v>
      </c>
      <c r="D3" s="539"/>
      <c r="E3" s="541"/>
      <c r="F3" s="542" t="s">
        <v>119</v>
      </c>
      <c r="G3" s="544" t="s">
        <v>165</v>
      </c>
      <c r="H3" s="536" t="s">
        <v>118</v>
      </c>
      <c r="I3" s="83"/>
    </row>
    <row r="4" spans="2:12" ht="13.5" thickBot="1" x14ac:dyDescent="0.25">
      <c r="B4" s="81" t="s">
        <v>165</v>
      </c>
      <c r="C4" s="82">
        <f>IF($J$1=B4,1,0)</f>
        <v>0</v>
      </c>
      <c r="D4" s="540"/>
      <c r="E4" s="541"/>
      <c r="F4" s="543"/>
      <c r="G4" s="545"/>
      <c r="H4" s="537"/>
      <c r="I4" s="84"/>
      <c r="J4" s="85"/>
    </row>
    <row r="5" spans="2:12" ht="29.25" thickTop="1" x14ac:dyDescent="0.45">
      <c r="B5" s="81" t="s">
        <v>118</v>
      </c>
      <c r="C5" s="82">
        <f>IF($J$1=B5,1,0)</f>
        <v>0</v>
      </c>
      <c r="E5" s="81"/>
      <c r="F5" s="89" t="str">
        <f>$E$36</f>
        <v>Captions</v>
      </c>
      <c r="G5" s="90"/>
      <c r="H5" s="91"/>
      <c r="I5" s="84"/>
      <c r="J5" s="85"/>
    </row>
    <row r="6" spans="2:12" x14ac:dyDescent="0.2">
      <c r="E6" s="81" t="str">
        <f>IF($C$3,F6,IF($C$4,G6,IF($H6&lt;&gt;"",$H6,$F6)))</f>
        <v>Fair play - lot</v>
      </c>
      <c r="F6" s="88" t="s">
        <v>125</v>
      </c>
      <c r="G6" s="86" t="s">
        <v>168</v>
      </c>
      <c r="H6" s="109"/>
    </row>
    <row r="7" spans="2:12" x14ac:dyDescent="0.2">
      <c r="E7" s="81" t="str">
        <f t="shared" ref="E7:E83" si="0">IF($C$3,F7,IF($C$4,G7,IF($H7&lt;&gt;"",$H7,$F7)))</f>
        <v>Direct comparisons</v>
      </c>
      <c r="F7" s="88" t="s">
        <v>120</v>
      </c>
      <c r="G7" s="86" t="s">
        <v>13</v>
      </c>
      <c r="H7" s="87"/>
    </row>
    <row r="8" spans="2:12" x14ac:dyDescent="0.2">
      <c r="E8" s="81" t="str">
        <f t="shared" si="0"/>
        <v>Your date</v>
      </c>
      <c r="F8" s="107" t="s">
        <v>160</v>
      </c>
      <c r="G8" s="106" t="s">
        <v>159</v>
      </c>
      <c r="H8" s="87"/>
    </row>
    <row r="9" spans="2:12" ht="15" customHeight="1" x14ac:dyDescent="0.45">
      <c r="E9" s="81" t="str">
        <f t="shared" si="0"/>
        <v>No.</v>
      </c>
      <c r="F9" s="104" t="s">
        <v>127</v>
      </c>
      <c r="G9" s="103" t="s">
        <v>0</v>
      </c>
      <c r="H9" s="87"/>
      <c r="I9" s="95"/>
    </row>
    <row r="10" spans="2:12" ht="15" customHeight="1" x14ac:dyDescent="0.45">
      <c r="E10" s="81" t="str">
        <f t="shared" si="0"/>
        <v>Participant or team</v>
      </c>
      <c r="F10" s="104" t="s">
        <v>128</v>
      </c>
      <c r="G10" s="103" t="s">
        <v>22</v>
      </c>
      <c r="H10" s="87"/>
      <c r="I10" s="95"/>
    </row>
    <row r="11" spans="2:12" ht="15" customHeight="1" x14ac:dyDescent="0.45">
      <c r="E11" s="81" t="str">
        <f t="shared" si="0"/>
        <v>Results</v>
      </c>
      <c r="F11" s="104" t="s">
        <v>129</v>
      </c>
      <c r="G11" s="103" t="s">
        <v>23</v>
      </c>
      <c r="H11" s="87"/>
      <c r="I11" s="95"/>
    </row>
    <row r="12" spans="2:12" ht="15" customHeight="1" x14ac:dyDescent="0.45">
      <c r="E12" s="81" t="str">
        <f t="shared" si="0"/>
        <v>Total table</v>
      </c>
      <c r="F12" s="104" t="s">
        <v>130</v>
      </c>
      <c r="G12" s="103" t="s">
        <v>14</v>
      </c>
      <c r="H12" s="87"/>
      <c r="I12" s="95"/>
    </row>
    <row r="13" spans="2:12" ht="15" customHeight="1" x14ac:dyDescent="0.45">
      <c r="E13" s="81" t="str">
        <f t="shared" si="0"/>
        <v>Total table (copy)</v>
      </c>
      <c r="F13" s="104" t="s">
        <v>131</v>
      </c>
      <c r="G13" s="103" t="s">
        <v>53</v>
      </c>
      <c r="H13" s="87"/>
      <c r="I13" s="95"/>
    </row>
    <row r="14" spans="2:12" ht="15" customHeight="1" x14ac:dyDescent="0.45">
      <c r="E14" s="81" t="str">
        <f t="shared" si="0"/>
        <v>Match pairing</v>
      </c>
      <c r="F14" s="104" t="s">
        <v>134</v>
      </c>
      <c r="G14" s="103" t="s">
        <v>1</v>
      </c>
      <c r="H14" s="87"/>
      <c r="I14" s="95"/>
    </row>
    <row r="15" spans="2:12" ht="15" customHeight="1" x14ac:dyDescent="0.45">
      <c r="E15" s="81" t="str">
        <f t="shared" si="0"/>
        <v>Result</v>
      </c>
      <c r="F15" s="104" t="s">
        <v>135</v>
      </c>
      <c r="G15" s="103" t="s">
        <v>2</v>
      </c>
      <c r="H15" s="87"/>
      <c r="I15" s="95"/>
    </row>
    <row r="16" spans="2:12" ht="15" customHeight="1" x14ac:dyDescent="0.45">
      <c r="E16" s="81" t="str">
        <f t="shared" si="0"/>
        <v>Complete</v>
      </c>
      <c r="F16" s="104" t="s">
        <v>139</v>
      </c>
      <c r="G16" s="103" t="s">
        <v>136</v>
      </c>
      <c r="H16" s="87"/>
      <c r="I16" s="95"/>
    </row>
    <row r="17" spans="5:13" ht="15" customHeight="1" x14ac:dyDescent="0.45">
      <c r="E17" s="81" t="str">
        <f t="shared" si="0"/>
        <v>Still incomplete</v>
      </c>
      <c r="F17" s="104" t="s">
        <v>138</v>
      </c>
      <c r="G17" s="103" t="s">
        <v>137</v>
      </c>
      <c r="H17" s="87"/>
      <c r="I17" s="95"/>
    </row>
    <row r="18" spans="5:13" ht="15" customHeight="1" x14ac:dyDescent="0.45">
      <c r="E18" s="81" t="str">
        <f t="shared" si="0"/>
        <v>First legs</v>
      </c>
      <c r="F18" s="104" t="s">
        <v>179</v>
      </c>
      <c r="G18" s="103" t="s">
        <v>177</v>
      </c>
      <c r="H18" s="87"/>
      <c r="I18" s="95"/>
    </row>
    <row r="19" spans="5:13" ht="15" customHeight="1" x14ac:dyDescent="0.45">
      <c r="E19" s="81" t="str">
        <f t="shared" si="0"/>
        <v>Second legs</v>
      </c>
      <c r="F19" s="104" t="s">
        <v>180</v>
      </c>
      <c r="G19" s="103" t="s">
        <v>178</v>
      </c>
      <c r="H19" s="87"/>
      <c r="I19" s="95"/>
    </row>
    <row r="20" spans="5:13" ht="15" x14ac:dyDescent="0.25">
      <c r="E20" s="81" t="str">
        <f t="shared" si="0"/>
        <v>With second legs</v>
      </c>
      <c r="F20" s="107" t="s">
        <v>221</v>
      </c>
      <c r="G20" s="106" t="s">
        <v>61</v>
      </c>
      <c r="H20" s="87"/>
      <c r="I20" s="96"/>
      <c r="J20" s="96"/>
      <c r="K20" s="96"/>
      <c r="L20" s="96"/>
      <c r="M20" s="96"/>
    </row>
    <row r="21" spans="5:13" ht="15" x14ac:dyDescent="0.25">
      <c r="E21" s="81" t="str">
        <f t="shared" si="0"/>
        <v>Pld</v>
      </c>
      <c r="F21" s="107" t="s">
        <v>108</v>
      </c>
      <c r="G21" s="106" t="s">
        <v>140</v>
      </c>
      <c r="H21" s="87"/>
      <c r="I21" s="96"/>
      <c r="J21" s="96"/>
      <c r="K21" s="96"/>
      <c r="L21" s="96"/>
      <c r="M21" s="96"/>
    </row>
    <row r="22" spans="5:13" ht="15" x14ac:dyDescent="0.25">
      <c r="E22" s="81" t="str">
        <f t="shared" si="0"/>
        <v>W</v>
      </c>
      <c r="F22" s="107" t="s">
        <v>109</v>
      </c>
      <c r="G22" s="106" t="s">
        <v>141</v>
      </c>
      <c r="H22" s="87"/>
      <c r="I22" s="96"/>
      <c r="J22" s="96"/>
      <c r="K22" s="96"/>
      <c r="L22" s="96"/>
      <c r="M22" s="96"/>
    </row>
    <row r="23" spans="5:13" ht="15" x14ac:dyDescent="0.25">
      <c r="E23" s="81" t="str">
        <f t="shared" si="0"/>
        <v>D</v>
      </c>
      <c r="F23" s="107" t="s">
        <v>110</v>
      </c>
      <c r="G23" s="106" t="s">
        <v>142</v>
      </c>
      <c r="H23" s="87"/>
      <c r="I23" s="96"/>
      <c r="J23" s="96"/>
      <c r="K23" s="96"/>
      <c r="L23" s="96"/>
      <c r="M23" s="96"/>
    </row>
    <row r="24" spans="5:13" ht="15" x14ac:dyDescent="0.25">
      <c r="E24" s="81" t="str">
        <f t="shared" si="0"/>
        <v>L</v>
      </c>
      <c r="F24" s="107" t="s">
        <v>111</v>
      </c>
      <c r="G24" s="106" t="s">
        <v>143</v>
      </c>
      <c r="H24" s="87"/>
      <c r="I24" s="96"/>
      <c r="J24" s="96"/>
      <c r="K24" s="96"/>
      <c r="L24" s="96"/>
      <c r="M24" s="96"/>
    </row>
    <row r="25" spans="5:13" ht="15" x14ac:dyDescent="0.25">
      <c r="E25" s="81" t="str">
        <f t="shared" si="0"/>
        <v>Goals</v>
      </c>
      <c r="F25" s="107" t="s">
        <v>98</v>
      </c>
      <c r="G25" s="106" t="s">
        <v>3</v>
      </c>
      <c r="H25" s="87"/>
      <c r="I25" s="96"/>
      <c r="J25" s="96"/>
      <c r="K25" s="96"/>
      <c r="L25" s="96"/>
      <c r="M25" s="96"/>
    </row>
    <row r="26" spans="5:13" ht="15" x14ac:dyDescent="0.25">
      <c r="E26" s="81" t="str">
        <f t="shared" si="0"/>
        <v>GD</v>
      </c>
      <c r="F26" s="107" t="s">
        <v>114</v>
      </c>
      <c r="G26" s="106" t="s">
        <v>4</v>
      </c>
      <c r="H26" s="87"/>
      <c r="I26" s="96"/>
      <c r="J26" s="96"/>
      <c r="K26" s="96"/>
      <c r="L26" s="96"/>
      <c r="M26" s="96"/>
    </row>
    <row r="27" spans="5:13" ht="15" x14ac:dyDescent="0.25">
      <c r="E27" s="81" t="str">
        <f t="shared" si="0"/>
        <v>Pts</v>
      </c>
      <c r="F27" s="107" t="s">
        <v>115</v>
      </c>
      <c r="G27" s="106" t="s">
        <v>144</v>
      </c>
      <c r="H27" s="87"/>
      <c r="I27" s="96"/>
      <c r="J27" s="96"/>
      <c r="K27" s="96"/>
      <c r="L27" s="96"/>
      <c r="M27" s="96"/>
    </row>
    <row r="28" spans="5:13" ht="15" x14ac:dyDescent="0.25">
      <c r="E28" s="81" t="str">
        <f t="shared" si="0"/>
        <v>GF</v>
      </c>
      <c r="F28" s="107" t="s">
        <v>112</v>
      </c>
      <c r="G28" s="106" t="s">
        <v>170</v>
      </c>
      <c r="H28" s="87"/>
      <c r="I28" s="96"/>
      <c r="J28" s="96"/>
      <c r="K28" s="96"/>
      <c r="L28" s="96"/>
      <c r="M28" s="96"/>
    </row>
    <row r="29" spans="5:13" x14ac:dyDescent="0.2">
      <c r="E29" s="81" t="str">
        <f t="shared" si="0"/>
        <v>INVALID TABLE</v>
      </c>
      <c r="F29" s="107" t="s">
        <v>146</v>
      </c>
      <c r="G29" s="106" t="s">
        <v>145</v>
      </c>
      <c r="H29" s="87"/>
    </row>
    <row r="30" spans="5:13" x14ac:dyDescent="0.2">
      <c r="E30" s="81" t="str">
        <f t="shared" si="0"/>
        <v>Participants and schedule</v>
      </c>
      <c r="F30" s="107" t="s">
        <v>147</v>
      </c>
      <c r="G30" s="106" t="s">
        <v>20</v>
      </c>
      <c r="H30" s="87"/>
    </row>
    <row r="31" spans="5:13" x14ac:dyDescent="0.2">
      <c r="E31" s="81" t="str">
        <f t="shared" si="0"/>
        <v>Participants</v>
      </c>
      <c r="F31" s="108" t="s">
        <v>148</v>
      </c>
      <c r="G31" s="106" t="s">
        <v>21</v>
      </c>
      <c r="H31" s="87"/>
    </row>
    <row r="32" spans="5:13" x14ac:dyDescent="0.2">
      <c r="E32" s="81" t="str">
        <f t="shared" si="0"/>
        <v>Schedule</v>
      </c>
      <c r="F32" s="108" t="s">
        <v>149</v>
      </c>
      <c r="G32" s="106" t="s">
        <v>24</v>
      </c>
      <c r="H32" s="87"/>
    </row>
    <row r="33" spans="5:8" x14ac:dyDescent="0.2">
      <c r="E33" s="81" t="str">
        <f t="shared" si="0"/>
        <v>Game no.</v>
      </c>
      <c r="F33" s="108" t="s">
        <v>150</v>
      </c>
      <c r="G33" s="106" t="s">
        <v>52</v>
      </c>
      <c r="H33" s="87"/>
    </row>
    <row r="34" spans="5:8" x14ac:dyDescent="0.2">
      <c r="E34" s="81" t="str">
        <f t="shared" si="0"/>
        <v>Pairings</v>
      </c>
      <c r="F34" s="108" t="s">
        <v>153</v>
      </c>
      <c r="G34" s="106" t="s">
        <v>54</v>
      </c>
      <c r="H34" s="87"/>
    </row>
    <row r="35" spans="5:8" x14ac:dyDescent="0.2">
      <c r="E35" s="81" t="str">
        <f t="shared" si="0"/>
        <v>Choose language</v>
      </c>
      <c r="F35" s="107" t="s">
        <v>117</v>
      </c>
      <c r="G35" s="106" t="s">
        <v>158</v>
      </c>
      <c r="H35" s="87"/>
    </row>
    <row r="36" spans="5:8" x14ac:dyDescent="0.2">
      <c r="E36" s="81" t="str">
        <f t="shared" si="0"/>
        <v>Captions</v>
      </c>
      <c r="F36" s="107" t="s">
        <v>121</v>
      </c>
      <c r="G36" s="106" t="s">
        <v>155</v>
      </c>
      <c r="H36" s="87"/>
    </row>
    <row r="37" spans="5:8" x14ac:dyDescent="0.2">
      <c r="E37" s="81" t="str">
        <f t="shared" si="0"/>
        <v>Messages</v>
      </c>
      <c r="F37" s="107" t="s">
        <v>156</v>
      </c>
      <c r="G37" s="106" t="s">
        <v>157</v>
      </c>
      <c r="H37" s="87"/>
    </row>
    <row r="38" spans="5:8" x14ac:dyDescent="0.2">
      <c r="E38" s="81" t="str">
        <f t="shared" si="0"/>
        <v>Your captions</v>
      </c>
      <c r="F38" s="107" t="s">
        <v>163</v>
      </c>
      <c r="G38" s="106" t="s">
        <v>162</v>
      </c>
      <c r="H38" s="87"/>
    </row>
    <row r="39" spans="5:8" x14ac:dyDescent="0.2">
      <c r="E39" s="81" t="str">
        <f t="shared" si="0"/>
        <v>Start</v>
      </c>
      <c r="F39" s="107" t="s">
        <v>184</v>
      </c>
      <c r="G39" s="106" t="s">
        <v>183</v>
      </c>
      <c r="H39" s="87"/>
    </row>
    <row r="40" spans="5:8" x14ac:dyDescent="0.2">
      <c r="E40" s="81" t="str">
        <f t="shared" si="0"/>
        <v>End</v>
      </c>
      <c r="F40" s="107" t="s">
        <v>186</v>
      </c>
      <c r="G40" s="106" t="s">
        <v>185</v>
      </c>
      <c r="H40" s="87"/>
    </row>
    <row r="41" spans="5:8" x14ac:dyDescent="0.2">
      <c r="E41" s="81" t="str">
        <f t="shared" si="0"/>
        <v>Playing times</v>
      </c>
      <c r="F41" s="107" t="s">
        <v>202</v>
      </c>
      <c r="G41" s="106" t="s">
        <v>201</v>
      </c>
      <c r="H41" s="87"/>
    </row>
    <row r="42" spans="5:8" x14ac:dyDescent="0.2">
      <c r="E42" s="81" t="str">
        <f t="shared" si="0"/>
        <v>Playing time per match</v>
      </c>
      <c r="F42" s="107" t="s">
        <v>192</v>
      </c>
      <c r="G42" s="106" t="s">
        <v>190</v>
      </c>
      <c r="H42" s="87"/>
    </row>
    <row r="43" spans="5:8" x14ac:dyDescent="0.2">
      <c r="E43" s="81" t="str">
        <f t="shared" si="0"/>
        <v>Change time</v>
      </c>
      <c r="F43" s="107" t="s">
        <v>193</v>
      </c>
      <c r="G43" s="106" t="s">
        <v>191</v>
      </c>
      <c r="H43" s="87"/>
    </row>
    <row r="44" spans="5:8" x14ac:dyDescent="0.2">
      <c r="E44" s="81" t="str">
        <f t="shared" si="0"/>
        <v>Number of fields</v>
      </c>
      <c r="F44" s="107" t="s">
        <v>236</v>
      </c>
      <c r="G44" s="106" t="s">
        <v>235</v>
      </c>
      <c r="H44" s="87"/>
    </row>
    <row r="45" spans="5:8" x14ac:dyDescent="0.2">
      <c r="E45" s="81" t="str">
        <f t="shared" si="0"/>
        <v xml:space="preserve"> </v>
      </c>
      <c r="F45" s="107" t="s">
        <v>194</v>
      </c>
      <c r="G45" s="106" t="s">
        <v>189</v>
      </c>
      <c r="H45" s="87"/>
    </row>
    <row r="46" spans="5:8" x14ac:dyDescent="0.2">
      <c r="E46" s="81" t="str">
        <f t="shared" si="0"/>
        <v>Match against</v>
      </c>
      <c r="F46" s="107" t="s">
        <v>198</v>
      </c>
      <c r="G46" s="106" t="s">
        <v>197</v>
      </c>
      <c r="H46" s="87"/>
    </row>
    <row r="47" spans="5:8" x14ac:dyDescent="0.2">
      <c r="E47" s="81" t="str">
        <f t="shared" si="0"/>
        <v>Note</v>
      </c>
      <c r="F47" s="107" t="s">
        <v>199</v>
      </c>
      <c r="G47" s="106" t="s">
        <v>200</v>
      </c>
      <c r="H47" s="87"/>
    </row>
    <row r="48" spans="5:8" x14ac:dyDescent="0.2">
      <c r="E48" s="81" t="str">
        <f t="shared" si="0"/>
        <v>Field</v>
      </c>
      <c r="F48" s="107" t="s">
        <v>237</v>
      </c>
      <c r="G48" s="106" t="s">
        <v>238</v>
      </c>
      <c r="H48" s="87"/>
    </row>
    <row r="49" spans="5:8" x14ac:dyDescent="0.2">
      <c r="E49" s="81" t="str">
        <f t="shared" si="0"/>
        <v>bonus</v>
      </c>
      <c r="F49" s="88" t="s">
        <v>122</v>
      </c>
      <c r="G49" s="86" t="s">
        <v>59</v>
      </c>
      <c r="H49" s="87"/>
    </row>
    <row r="50" spans="5:8" x14ac:dyDescent="0.2">
      <c r="E50" s="81" t="str">
        <f t="shared" si="0"/>
        <v>Matchups</v>
      </c>
      <c r="F50" s="104" t="s">
        <v>212</v>
      </c>
      <c r="G50" s="103" t="s">
        <v>213</v>
      </c>
      <c r="H50" s="321"/>
    </row>
    <row r="51" spans="5:8" x14ac:dyDescent="0.2">
      <c r="E51" s="81" t="str">
        <f t="shared" si="0"/>
        <v>Settings</v>
      </c>
      <c r="F51" s="104" t="s">
        <v>217</v>
      </c>
      <c r="G51" s="103" t="s">
        <v>216</v>
      </c>
      <c r="H51" s="321"/>
    </row>
    <row r="52" spans="5:8" x14ac:dyDescent="0.2">
      <c r="E52" s="81" t="str">
        <f t="shared" si="0"/>
        <v>Number of points for a win:</v>
      </c>
      <c r="F52" s="104" t="s">
        <v>219</v>
      </c>
      <c r="G52" s="103" t="s">
        <v>218</v>
      </c>
      <c r="H52" s="321"/>
    </row>
    <row r="53" spans="5:8" x14ac:dyDescent="0.2">
      <c r="E53" s="81" t="str">
        <f t="shared" si="0"/>
        <v>Addit. Pause (min)</v>
      </c>
      <c r="F53" s="104" t="s">
        <v>253</v>
      </c>
      <c r="G53" s="103" t="s">
        <v>254</v>
      </c>
      <c r="H53" s="321"/>
    </row>
    <row r="54" spans="5:8" x14ac:dyDescent="0.2">
      <c r="E54" s="81">
        <f t="shared" si="0"/>
        <v>0</v>
      </c>
      <c r="F54" s="104"/>
      <c r="G54" s="103"/>
      <c r="H54" s="321"/>
    </row>
    <row r="55" spans="5:8" x14ac:dyDescent="0.2">
      <c r="E55" s="81">
        <f t="shared" si="0"/>
        <v>0</v>
      </c>
      <c r="F55" s="104"/>
      <c r="G55" s="103"/>
      <c r="H55" s="321"/>
    </row>
    <row r="56" spans="5:8" x14ac:dyDescent="0.2">
      <c r="E56" s="81">
        <f t="shared" si="0"/>
        <v>0</v>
      </c>
      <c r="F56" s="88"/>
      <c r="G56" s="86"/>
      <c r="H56" s="321"/>
    </row>
    <row r="57" spans="5:8" ht="28.5" x14ac:dyDescent="0.45">
      <c r="E57" s="81"/>
      <c r="F57" s="92" t="str">
        <f>$E$37</f>
        <v>Messages</v>
      </c>
      <c r="G57" s="93"/>
      <c r="H57" s="94"/>
    </row>
    <row r="58" spans="5:8" ht="79.5" customHeight="1" x14ac:dyDescent="0.2">
      <c r="E58" s="81" t="str">
        <f t="shared" si="0"/>
        <v>If two or more teams cannot be distinguished and fair play or lot decides, it is sufficient to enter a bonus point for the preferred team.</v>
      </c>
      <c r="F58" s="98" t="s">
        <v>126</v>
      </c>
      <c r="G58" s="99" t="s">
        <v>60</v>
      </c>
      <c r="H58" s="100"/>
    </row>
    <row r="59" spans="5:8" ht="51.75" customHeight="1" x14ac:dyDescent="0.2">
      <c r="E59" s="81" t="str">
        <f t="shared" si="0"/>
        <v>Double match pairings and matches against oneself
lead to incorrect values in the overall table!</v>
      </c>
      <c r="F59" s="105" t="s">
        <v>173</v>
      </c>
      <c r="G59" s="162" t="s">
        <v>56</v>
      </c>
      <c r="H59" s="100"/>
    </row>
    <row r="60" spans="5:8" ht="51.75" customHeight="1" x14ac:dyDescent="0.2">
      <c r="E60" s="81" t="str">
        <f t="shared" si="0"/>
        <v>Change of the fixtures only on the sheet 'Planning'! Just enter the results here!</v>
      </c>
      <c r="F60" s="105" t="s">
        <v>133</v>
      </c>
      <c r="G60" s="99" t="s">
        <v>132</v>
      </c>
      <c r="H60" s="100"/>
    </row>
    <row r="61" spans="5:8" ht="16.5" customHeight="1" x14ac:dyDescent="0.2">
      <c r="E61" s="81" t="str">
        <f t="shared" si="0"/>
        <v>Hint may be deleted   →</v>
      </c>
      <c r="F61" s="111" t="s">
        <v>164</v>
      </c>
      <c r="G61" s="110" t="s">
        <v>161</v>
      </c>
      <c r="H61" s="101"/>
    </row>
    <row r="62" spans="5:8" ht="20.25" customHeight="1" x14ac:dyDescent="0.2">
      <c r="E62" s="81" t="str">
        <f t="shared" si="0"/>
        <v>Click here and choose language</v>
      </c>
      <c r="F62" s="117" t="s">
        <v>167</v>
      </c>
      <c r="G62" s="115" t="s">
        <v>166</v>
      </c>
      <c r="H62" s="102"/>
    </row>
    <row r="63" spans="5:8" ht="32.25" customHeight="1" x14ac:dyDescent="0.2">
      <c r="E63" s="81" t="str">
        <f t="shared" si="0"/>
        <v>Duplicate names lead to
incorrect table values</v>
      </c>
      <c r="F63" s="188" t="s">
        <v>187</v>
      </c>
      <c r="G63" s="187" t="s">
        <v>55</v>
      </c>
      <c r="H63" s="102"/>
    </row>
    <row r="64" spans="5:8" ht="51.75" customHeight="1" x14ac:dyDescent="0.2">
      <c r="E64" s="81" t="str">
        <f t="shared" si="0"/>
        <v>Red font means that the ranking is not clear even with the direct comparison. Fair play or lot has to decide here.</v>
      </c>
      <c r="F64" s="341" t="s">
        <v>172</v>
      </c>
      <c r="G64" s="342" t="s">
        <v>171</v>
      </c>
      <c r="H64" s="101"/>
    </row>
    <row r="65" spans="5:8" ht="17.25" customHeight="1" x14ac:dyDescent="0.2">
      <c r="E65" s="81" t="str">
        <f t="shared" si="0"/>
        <v>Time conflict</v>
      </c>
      <c r="F65" s="343" t="s">
        <v>196</v>
      </c>
      <c r="G65" s="344" t="s">
        <v>195</v>
      </c>
      <c r="H65" s="345"/>
    </row>
    <row r="66" spans="5:8" ht="16.5" customHeight="1" x14ac:dyDescent="0.2">
      <c r="E66" s="81" t="str">
        <f t="shared" si="0"/>
        <v xml:space="preserve"> - </v>
      </c>
      <c r="F66" s="346" t="s">
        <v>123</v>
      </c>
      <c r="G66" s="363" t="s">
        <v>124</v>
      </c>
      <c r="H66" s="345"/>
    </row>
    <row r="67" spans="5:8" ht="33" customHeight="1" x14ac:dyDescent="0.2">
      <c r="E67" s="81" t="str">
        <f t="shared" si="0"/>
        <v>Direct comparisons in case of a tie in points, goal difference and goals scored (FIFA mode)</v>
      </c>
      <c r="F67" s="351" t="s">
        <v>228</v>
      </c>
      <c r="G67" s="352" t="s">
        <v>225</v>
      </c>
      <c r="H67" s="348"/>
    </row>
    <row r="68" spans="5:8" ht="32.25" customHeight="1" x14ac:dyDescent="0.2">
      <c r="E68" s="81" t="str">
        <f t="shared" si="0"/>
        <v>Direct comparisons in case of a tie in points (UEFA mode)</v>
      </c>
      <c r="F68" s="351" t="s">
        <v>226</v>
      </c>
      <c r="G68" s="352" t="s">
        <v>227</v>
      </c>
      <c r="H68" s="348"/>
    </row>
    <row r="69" spans="5:8" ht="18" customHeight="1" x14ac:dyDescent="0.2">
      <c r="E69" s="81" t="str">
        <f t="shared" si="0"/>
        <v>Direct comparison mode:</v>
      </c>
      <c r="F69" s="354" t="s">
        <v>230</v>
      </c>
      <c r="G69" s="355" t="s">
        <v>229</v>
      </c>
      <c r="H69" s="356"/>
    </row>
    <row r="70" spans="5:8" ht="18" customHeight="1" x14ac:dyDescent="0.2">
      <c r="E70" s="81" t="str">
        <f t="shared" si="0"/>
        <v>Mode 1</v>
      </c>
      <c r="F70" s="354" t="s">
        <v>233</v>
      </c>
      <c r="G70" s="355" t="s">
        <v>231</v>
      </c>
      <c r="H70" s="356"/>
    </row>
    <row r="71" spans="5:8" ht="20.25" customHeight="1" x14ac:dyDescent="0.2">
      <c r="E71" s="81" t="str">
        <f t="shared" si="0"/>
        <v>Mode 2</v>
      </c>
      <c r="F71" s="354" t="s">
        <v>234</v>
      </c>
      <c r="G71" s="355" t="s">
        <v>232</v>
      </c>
      <c r="H71" s="356"/>
    </row>
    <row r="72" spans="5:8" ht="18" customHeight="1" x14ac:dyDescent="0.2">
      <c r="E72" s="81" t="str">
        <f t="shared" si="0"/>
        <v xml:space="preserve">TIME CONFLICT for </v>
      </c>
      <c r="F72" s="354" t="s">
        <v>247</v>
      </c>
      <c r="G72" s="355" t="s">
        <v>246</v>
      </c>
      <c r="H72" s="356"/>
    </row>
    <row r="73" spans="5:8" ht="18" customHeight="1" x14ac:dyDescent="0.2">
      <c r="E73" s="81" t="str">
        <f t="shared" si="0"/>
        <v xml:space="preserve">in matches </v>
      </c>
      <c r="F73" s="354" t="s">
        <v>242</v>
      </c>
      <c r="G73" s="355" t="s">
        <v>243</v>
      </c>
      <c r="H73" s="356"/>
    </row>
    <row r="74" spans="5:8" ht="18" customHeight="1" x14ac:dyDescent="0.2">
      <c r="E74" s="81" t="str">
        <f t="shared" si="0"/>
        <v xml:space="preserve"> and </v>
      </c>
      <c r="F74" s="354" t="s">
        <v>244</v>
      </c>
      <c r="G74" s="355" t="s">
        <v>245</v>
      </c>
      <c r="H74" s="356"/>
    </row>
    <row r="75" spans="5:8" ht="32.25" customHeight="1" x14ac:dyDescent="0.2">
      <c r="E75" s="81" t="str">
        <f t="shared" si="0"/>
        <v xml:space="preserve">Due to time conflicts, you can only play on a maximum of </v>
      </c>
      <c r="F75" s="354" t="s">
        <v>249</v>
      </c>
      <c r="G75" s="355" t="s">
        <v>250</v>
      </c>
      <c r="H75" s="356"/>
    </row>
    <row r="76" spans="5:8" ht="32.25" customHeight="1" x14ac:dyDescent="0.2">
      <c r="E76" s="81" t="str">
        <f t="shared" si="0"/>
        <v xml:space="preserve"> pitches at the same time.</v>
      </c>
      <c r="F76" s="354" t="s">
        <v>251</v>
      </c>
      <c r="G76" s="355" t="s">
        <v>252</v>
      </c>
      <c r="H76" s="356"/>
    </row>
    <row r="77" spans="5:8" ht="32.25" customHeight="1" x14ac:dyDescent="0.2">
      <c r="E77" s="81" t="str">
        <f t="shared" si="0"/>
        <v xml:space="preserve"> pitch.</v>
      </c>
      <c r="F77" s="354" t="s">
        <v>275</v>
      </c>
      <c r="G77" s="355" t="s">
        <v>274</v>
      </c>
      <c r="H77" s="356"/>
    </row>
    <row r="78" spans="5:8" ht="32.25" customHeight="1" x14ac:dyDescent="0.2">
      <c r="E78" s="81" t="str">
        <f t="shared" si="0"/>
        <v>Abbreviations of the team names:</v>
      </c>
      <c r="F78" s="354" t="s">
        <v>255</v>
      </c>
      <c r="G78" s="355" t="s">
        <v>256</v>
      </c>
      <c r="H78" s="356"/>
    </row>
    <row r="79" spans="5:8" ht="32.25" customHeight="1" x14ac:dyDescent="0.2">
      <c r="E79" s="81" t="str">
        <f t="shared" si="0"/>
        <v>letters</v>
      </c>
      <c r="F79" s="354" t="s">
        <v>257</v>
      </c>
      <c r="G79" s="355" t="s">
        <v>258</v>
      </c>
      <c r="H79" s="356"/>
    </row>
    <row r="80" spans="5:8" ht="32.25" customHeight="1" x14ac:dyDescent="0.2">
      <c r="E80" s="81" t="str">
        <f t="shared" si="0"/>
        <v>(max. 4)</v>
      </c>
      <c r="F80" s="354" t="s">
        <v>264</v>
      </c>
      <c r="G80" s="355" t="s">
        <v>264</v>
      </c>
      <c r="H80" s="356"/>
    </row>
    <row r="81" spans="5:9" ht="32.25" customHeight="1" x14ac:dyDescent="0.2">
      <c r="E81" s="81">
        <f t="shared" si="0"/>
        <v>0</v>
      </c>
      <c r="F81" s="354"/>
      <c r="G81" s="355"/>
      <c r="H81" s="356"/>
    </row>
    <row r="82" spans="5:9" ht="32.25" customHeight="1" x14ac:dyDescent="0.2">
      <c r="E82" s="81">
        <f t="shared" si="0"/>
        <v>0</v>
      </c>
      <c r="F82" s="354"/>
      <c r="G82" s="355"/>
      <c r="H82" s="356"/>
    </row>
    <row r="83" spans="5:9" ht="16.5" customHeight="1" thickBot="1" x14ac:dyDescent="0.25">
      <c r="E83" s="81">
        <f t="shared" si="0"/>
        <v>0</v>
      </c>
      <c r="F83" s="349"/>
      <c r="G83" s="347"/>
      <c r="H83" s="350"/>
    </row>
    <row r="84" spans="5:9" ht="13.5" thickTop="1" x14ac:dyDescent="0.2"/>
    <row r="85" spans="5:9" x14ac:dyDescent="0.2"/>
    <row r="86" spans="5:9" x14ac:dyDescent="0.2"/>
    <row r="87" spans="5:9" x14ac:dyDescent="0.2"/>
    <row r="88" spans="5:9" hidden="1" x14ac:dyDescent="0.2">
      <c r="I88" s="112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3EEF-2674-475D-978A-9F01AFF94912}">
  <sheetPr codeName="Tabelle7"/>
  <dimension ref="A1:E18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357" customWidth="1"/>
    <col min="2" max="2" width="33.140625" customWidth="1"/>
    <col min="3" max="3" width="7.28515625" customWidth="1"/>
    <col min="4" max="5" width="11.42578125" customWidth="1"/>
    <col min="6" max="16384" width="11.42578125" hidden="1"/>
  </cols>
  <sheetData>
    <row r="1" spans="1:4" ht="26.25" x14ac:dyDescent="0.4">
      <c r="B1" s="326" t="str">
        <f>Language!$E$51</f>
        <v>Settings</v>
      </c>
    </row>
    <row r="2" spans="1:4" x14ac:dyDescent="0.2"/>
    <row r="3" spans="1:4" x14ac:dyDescent="0.2"/>
    <row r="4" spans="1:4" x14ac:dyDescent="0.2">
      <c r="A4" s="361" t="s">
        <v>7</v>
      </c>
      <c r="B4" s="359" t="str">
        <f>Language!$E$52</f>
        <v>Number of points for a win:</v>
      </c>
      <c r="C4" s="327">
        <v>3</v>
      </c>
    </row>
    <row r="5" spans="1:4" x14ac:dyDescent="0.2"/>
    <row r="6" spans="1:4" x14ac:dyDescent="0.2"/>
    <row r="7" spans="1:4" x14ac:dyDescent="0.2">
      <c r="A7" s="361" t="s">
        <v>8</v>
      </c>
      <c r="B7" s="360" t="str">
        <f>Language!E69</f>
        <v>Direct comparison mode:</v>
      </c>
      <c r="C7" s="353"/>
    </row>
    <row r="8" spans="1:4" x14ac:dyDescent="0.2">
      <c r="B8" s="353"/>
      <c r="C8" s="353"/>
    </row>
    <row r="9" spans="1:4" ht="21.75" customHeight="1" x14ac:dyDescent="0.2">
      <c r="B9" s="358" t="s">
        <v>233</v>
      </c>
      <c r="C9" s="353"/>
    </row>
    <row r="10" spans="1:4" x14ac:dyDescent="0.2"/>
    <row r="11" spans="1:4" x14ac:dyDescent="0.2">
      <c r="B11" s="362" t="str">
        <f>Language!E70</f>
        <v>Mode 1</v>
      </c>
    </row>
    <row r="12" spans="1:4" ht="27.75" customHeight="1" x14ac:dyDescent="0.2">
      <c r="B12" s="546" t="str">
        <f>Language!E67</f>
        <v>Direct comparisons in case of a tie in points, goal difference and goals scored (FIFA mode)</v>
      </c>
      <c r="C12" s="546"/>
      <c r="D12" s="546"/>
    </row>
    <row r="13" spans="1:4" x14ac:dyDescent="0.2"/>
    <row r="14" spans="1:4" x14ac:dyDescent="0.2">
      <c r="B14" s="362" t="str">
        <f>Language!E71</f>
        <v>Mode 2</v>
      </c>
    </row>
    <row r="15" spans="1:4" ht="28.5" customHeight="1" x14ac:dyDescent="0.2">
      <c r="B15" s="546" t="str">
        <f>Language!E68</f>
        <v>Direct comparisons in case of a tie in points (UEFA mode)</v>
      </c>
      <c r="C15" s="546"/>
      <c r="D15" s="546"/>
    </row>
    <row r="16" spans="1:4" x14ac:dyDescent="0.2"/>
    <row r="17" spans="1:4" x14ac:dyDescent="0.2">
      <c r="A17" s="361" t="s">
        <v>8</v>
      </c>
      <c r="B17" t="str">
        <f>Language!$E$78</f>
        <v>Abbreviations of the team names:</v>
      </c>
      <c r="C17" s="327">
        <v>7</v>
      </c>
      <c r="D17" t="str">
        <f>Language!$E$79</f>
        <v>letters</v>
      </c>
    </row>
    <row r="18" spans="1:4" x14ac:dyDescent="0.2"/>
  </sheetData>
  <sheetProtection sheet="1" objects="1" scenarios="1" selectLockedCells="1"/>
  <mergeCells count="2">
    <mergeCell ref="B12:D12"/>
    <mergeCell ref="B15:D15"/>
  </mergeCell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0244CF-378A-41D6-977C-30F67A3A961B}">
          <x14:formula1>
            <xm:f>Language!$E$70:$E$71</xm:f>
          </x14:formula1>
          <xm:sqref>B9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BG7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0" width="8.85546875" customWidth="1"/>
    <col min="31" max="31" width="51.5703125" customWidth="1"/>
    <col min="33" max="33" width="8.85546875" customWidth="1"/>
    <col min="34" max="35" width="5.7109375" customWidth="1"/>
    <col min="36" max="37" width="8.85546875" customWidth="1"/>
    <col min="38" max="39" width="5.7109375" customWidth="1"/>
    <col min="40" max="41" width="8.85546875" customWidth="1"/>
    <col min="42" max="43" width="5.7109375" customWidth="1"/>
    <col min="44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</cols>
  <sheetData>
    <row r="1" spans="1:59" x14ac:dyDescent="0.2">
      <c r="A1" s="548" t="str">
        <f>Language!$E$50</f>
        <v>Matchups</v>
      </c>
      <c r="C1" s="320" t="s">
        <v>220</v>
      </c>
      <c r="D1" s="330">
        <v>3</v>
      </c>
      <c r="E1" s="330">
        <v>2</v>
      </c>
      <c r="G1" s="320" t="s">
        <v>206</v>
      </c>
      <c r="H1" s="82">
        <v>1</v>
      </c>
      <c r="I1" s="82">
        <v>4</v>
      </c>
      <c r="K1" s="320" t="s">
        <v>207</v>
      </c>
      <c r="L1" s="82">
        <v>5</v>
      </c>
      <c r="M1" s="82">
        <v>2</v>
      </c>
      <c r="O1" s="320" t="s">
        <v>208</v>
      </c>
      <c r="P1" s="82">
        <v>1</v>
      </c>
      <c r="Q1" s="82">
        <v>6</v>
      </c>
      <c r="S1" s="320" t="s">
        <v>209</v>
      </c>
      <c r="T1" s="82">
        <v>7</v>
      </c>
      <c r="U1" s="82">
        <v>2</v>
      </c>
      <c r="W1" s="320" t="s">
        <v>210</v>
      </c>
      <c r="X1" s="82">
        <v>1</v>
      </c>
      <c r="Y1" s="82">
        <v>8</v>
      </c>
      <c r="AA1" s="320" t="s">
        <v>211</v>
      </c>
      <c r="AB1" s="82">
        <v>9</v>
      </c>
      <c r="AC1" s="82">
        <v>2</v>
      </c>
      <c r="AG1" s="320" t="s">
        <v>220</v>
      </c>
      <c r="AH1" s="330">
        <v>2</v>
      </c>
      <c r="AI1" s="330">
        <v>3</v>
      </c>
      <c r="AK1" s="320" t="s">
        <v>206</v>
      </c>
      <c r="AL1" s="82">
        <v>1</v>
      </c>
      <c r="AM1" s="82">
        <v>4</v>
      </c>
      <c r="AO1" s="320" t="s">
        <v>207</v>
      </c>
      <c r="AP1" s="82">
        <v>5</v>
      </c>
      <c r="AQ1" s="82">
        <v>2</v>
      </c>
      <c r="AS1" s="320" t="s">
        <v>208</v>
      </c>
      <c r="AT1" s="82">
        <v>1</v>
      </c>
      <c r="AU1" s="82">
        <v>6</v>
      </c>
      <c r="AW1" s="320" t="s">
        <v>209</v>
      </c>
      <c r="AX1" s="82">
        <v>7</v>
      </c>
      <c r="AY1" s="82">
        <v>2</v>
      </c>
      <c r="BA1" s="320" t="s">
        <v>210</v>
      </c>
      <c r="BB1" s="82">
        <v>1</v>
      </c>
      <c r="BC1" s="82">
        <v>8</v>
      </c>
      <c r="BE1" s="320" t="s">
        <v>211</v>
      </c>
      <c r="BF1" s="82">
        <v>9</v>
      </c>
      <c r="BG1" s="82">
        <v>2</v>
      </c>
    </row>
    <row r="2" spans="1:59" ht="12.75" customHeight="1" x14ac:dyDescent="0.2">
      <c r="A2" s="548"/>
      <c r="C2" s="550" t="str">
        <f>Language!$E$18</f>
        <v>First legs</v>
      </c>
      <c r="D2" s="330">
        <v>3</v>
      </c>
      <c r="E2" s="330">
        <v>1</v>
      </c>
      <c r="G2" s="547" t="str">
        <f>Language!$E$18</f>
        <v>First legs</v>
      </c>
      <c r="H2" s="82">
        <v>3</v>
      </c>
      <c r="I2" s="82">
        <v>2</v>
      </c>
      <c r="K2" s="189"/>
      <c r="L2" s="82">
        <v>3</v>
      </c>
      <c r="M2" s="82">
        <v>4</v>
      </c>
      <c r="O2" s="189"/>
      <c r="P2" s="82">
        <v>5</v>
      </c>
      <c r="Q2" s="82">
        <v>2</v>
      </c>
      <c r="S2" s="189"/>
      <c r="T2" s="82">
        <v>3</v>
      </c>
      <c r="U2" s="82">
        <v>6</v>
      </c>
      <c r="W2" s="189"/>
      <c r="X2" s="82">
        <v>7</v>
      </c>
      <c r="Y2" s="82">
        <v>2</v>
      </c>
      <c r="AA2" s="189"/>
      <c r="AB2" s="82">
        <v>3</v>
      </c>
      <c r="AC2" s="82">
        <v>8</v>
      </c>
      <c r="AE2" t="s">
        <v>214</v>
      </c>
      <c r="AG2" s="550" t="str">
        <f>Language!$E$18</f>
        <v>First legs</v>
      </c>
      <c r="AH2" s="330">
        <v>3</v>
      </c>
      <c r="AI2" s="330">
        <v>1</v>
      </c>
      <c r="AK2" s="547" t="str">
        <f>Language!$E$18</f>
        <v>First legs</v>
      </c>
      <c r="AL2" s="82">
        <v>3</v>
      </c>
      <c r="AM2" s="82">
        <v>2</v>
      </c>
      <c r="AO2" s="189"/>
      <c r="AP2" s="82">
        <v>3</v>
      </c>
      <c r="AQ2" s="82">
        <v>4</v>
      </c>
      <c r="AS2" s="189"/>
      <c r="AT2" s="82">
        <v>5</v>
      </c>
      <c r="AU2" s="82">
        <v>2</v>
      </c>
      <c r="AW2" s="189"/>
      <c r="AX2" s="82">
        <v>3</v>
      </c>
      <c r="AY2" s="82">
        <v>6</v>
      </c>
      <c r="BA2" s="189"/>
      <c r="BB2" s="82">
        <v>7</v>
      </c>
      <c r="BC2" s="82">
        <v>2</v>
      </c>
      <c r="BE2" s="189"/>
      <c r="BF2" s="82">
        <v>3</v>
      </c>
      <c r="BG2" s="82">
        <v>8</v>
      </c>
    </row>
    <row r="3" spans="1:59" ht="13.5" thickBot="1" x14ac:dyDescent="0.25">
      <c r="A3" s="548"/>
      <c r="C3" s="551"/>
      <c r="D3" s="330">
        <v>1</v>
      </c>
      <c r="E3" s="330">
        <v>2</v>
      </c>
      <c r="G3" s="547"/>
      <c r="H3" s="82">
        <v>3</v>
      </c>
      <c r="I3" s="82">
        <v>1</v>
      </c>
      <c r="L3" s="82">
        <v>5</v>
      </c>
      <c r="M3" s="82">
        <v>1</v>
      </c>
      <c r="P3" s="82">
        <v>3</v>
      </c>
      <c r="Q3" s="82">
        <v>4</v>
      </c>
      <c r="T3" s="82">
        <v>5</v>
      </c>
      <c r="U3" s="82">
        <v>4</v>
      </c>
      <c r="X3" s="82">
        <v>3</v>
      </c>
      <c r="Y3" s="82">
        <v>6</v>
      </c>
      <c r="AB3" s="82">
        <v>7</v>
      </c>
      <c r="AC3" s="82">
        <v>4</v>
      </c>
      <c r="AE3" s="322" t="s">
        <v>215</v>
      </c>
      <c r="AG3" s="551"/>
      <c r="AH3" s="330">
        <v>1</v>
      </c>
      <c r="AI3" s="330">
        <v>2</v>
      </c>
      <c r="AK3" s="547"/>
      <c r="AL3" s="82">
        <v>3</v>
      </c>
      <c r="AM3" s="82">
        <v>1</v>
      </c>
      <c r="AP3" s="82">
        <v>5</v>
      </c>
      <c r="AQ3" s="82">
        <v>1</v>
      </c>
      <c r="AT3" s="82">
        <v>3</v>
      </c>
      <c r="AU3" s="82">
        <v>4</v>
      </c>
      <c r="AX3" s="82">
        <v>5</v>
      </c>
      <c r="AY3" s="82">
        <v>4</v>
      </c>
      <c r="BB3" s="82">
        <v>3</v>
      </c>
      <c r="BC3" s="82">
        <v>6</v>
      </c>
      <c r="BF3" s="82">
        <v>7</v>
      </c>
      <c r="BG3" s="82">
        <v>4</v>
      </c>
    </row>
    <row r="4" spans="1:59" ht="12.75" customHeight="1" x14ac:dyDescent="0.2">
      <c r="A4" s="548"/>
      <c r="C4" s="552" t="str">
        <f>Language!$E$19</f>
        <v>Second legs</v>
      </c>
      <c r="D4" s="330">
        <v>2</v>
      </c>
      <c r="E4" s="330">
        <v>3</v>
      </c>
      <c r="G4" s="547"/>
      <c r="H4" s="82">
        <v>2</v>
      </c>
      <c r="I4" s="82">
        <v>4</v>
      </c>
      <c r="L4" s="82">
        <v>2</v>
      </c>
      <c r="M4" s="82">
        <v>3</v>
      </c>
      <c r="P4" s="82">
        <v>5</v>
      </c>
      <c r="Q4" s="82">
        <v>1</v>
      </c>
      <c r="T4" s="82">
        <v>7</v>
      </c>
      <c r="U4" s="82">
        <v>1</v>
      </c>
      <c r="X4" s="82">
        <v>5</v>
      </c>
      <c r="Y4" s="82">
        <v>4</v>
      </c>
      <c r="AB4" s="82">
        <v>5</v>
      </c>
      <c r="AC4" s="82">
        <v>6</v>
      </c>
      <c r="AG4" s="552" t="str">
        <f>Language!$E$19</f>
        <v>Second legs</v>
      </c>
      <c r="AH4" s="330"/>
      <c r="AI4" s="330"/>
      <c r="AK4" s="547"/>
      <c r="AL4" s="82">
        <v>2</v>
      </c>
      <c r="AM4" s="82">
        <v>4</v>
      </c>
      <c r="AP4" s="82">
        <v>2</v>
      </c>
      <c r="AQ4" s="82">
        <v>3</v>
      </c>
      <c r="AT4" s="82">
        <v>5</v>
      </c>
      <c r="AU4" s="82">
        <v>1</v>
      </c>
      <c r="AX4" s="82">
        <v>7</v>
      </c>
      <c r="AY4" s="82">
        <v>1</v>
      </c>
      <c r="BB4" s="82">
        <v>5</v>
      </c>
      <c r="BC4" s="82">
        <v>4</v>
      </c>
      <c r="BF4" s="82">
        <v>5</v>
      </c>
      <c r="BG4" s="82">
        <v>6</v>
      </c>
    </row>
    <row r="5" spans="1:59" x14ac:dyDescent="0.2">
      <c r="A5" s="548"/>
      <c r="C5" s="550"/>
      <c r="D5" s="330">
        <v>1</v>
      </c>
      <c r="E5" s="330">
        <v>3</v>
      </c>
      <c r="G5" s="547"/>
      <c r="H5" s="82">
        <v>1</v>
      </c>
      <c r="I5" s="82">
        <v>2</v>
      </c>
      <c r="L5" s="82">
        <v>1</v>
      </c>
      <c r="M5" s="82">
        <v>4</v>
      </c>
      <c r="P5" s="82">
        <v>4</v>
      </c>
      <c r="Q5" s="82">
        <v>6</v>
      </c>
      <c r="T5" s="82">
        <v>2</v>
      </c>
      <c r="U5" s="82">
        <v>5</v>
      </c>
      <c r="X5" s="82">
        <v>7</v>
      </c>
      <c r="Y5" s="82">
        <v>1</v>
      </c>
      <c r="AB5" s="82">
        <v>9</v>
      </c>
      <c r="AC5" s="82">
        <v>1</v>
      </c>
      <c r="AG5" s="550"/>
      <c r="AH5" s="330"/>
      <c r="AI5" s="330"/>
      <c r="AK5" s="547"/>
      <c r="AL5" s="82">
        <v>1</v>
      </c>
      <c r="AM5" s="82">
        <v>2</v>
      </c>
      <c r="AP5" s="82">
        <v>1</v>
      </c>
      <c r="AQ5" s="82">
        <v>4</v>
      </c>
      <c r="AT5" s="82">
        <v>4</v>
      </c>
      <c r="AU5" s="82">
        <v>6</v>
      </c>
      <c r="AX5" s="82">
        <v>2</v>
      </c>
      <c r="AY5" s="82">
        <v>5</v>
      </c>
      <c r="BB5" s="82">
        <v>7</v>
      </c>
      <c r="BC5" s="82">
        <v>1</v>
      </c>
      <c r="BF5" s="82">
        <v>9</v>
      </c>
      <c r="BG5" s="82">
        <v>1</v>
      </c>
    </row>
    <row r="6" spans="1:59" ht="13.5" customHeight="1" thickBot="1" x14ac:dyDescent="0.25">
      <c r="A6" s="548"/>
      <c r="C6" s="550"/>
      <c r="D6" s="330">
        <v>2</v>
      </c>
      <c r="E6" s="330">
        <v>1</v>
      </c>
      <c r="G6" s="549"/>
      <c r="H6" s="82">
        <v>4</v>
      </c>
      <c r="I6" s="82">
        <v>3</v>
      </c>
      <c r="K6" s="547" t="str">
        <f>Language!$E$18</f>
        <v>First legs</v>
      </c>
      <c r="L6" s="82">
        <v>3</v>
      </c>
      <c r="M6" s="82">
        <v>5</v>
      </c>
      <c r="P6" s="82">
        <v>2</v>
      </c>
      <c r="Q6" s="82">
        <v>3</v>
      </c>
      <c r="T6" s="82">
        <v>4</v>
      </c>
      <c r="U6" s="82">
        <v>3</v>
      </c>
      <c r="X6" s="82">
        <v>6</v>
      </c>
      <c r="Y6" s="82">
        <v>8</v>
      </c>
      <c r="AB6" s="82">
        <v>2</v>
      </c>
      <c r="AC6" s="82">
        <v>7</v>
      </c>
      <c r="AG6" s="550"/>
      <c r="AH6" s="330"/>
      <c r="AI6" s="330"/>
      <c r="AK6" s="549"/>
      <c r="AL6" s="82">
        <v>4</v>
      </c>
      <c r="AM6" s="82">
        <v>3</v>
      </c>
      <c r="AO6" s="547" t="str">
        <f>Language!$E$18</f>
        <v>First legs</v>
      </c>
      <c r="AP6" s="82">
        <v>3</v>
      </c>
      <c r="AQ6" s="82">
        <v>5</v>
      </c>
      <c r="AT6" s="82">
        <v>2</v>
      </c>
      <c r="AU6" s="82">
        <v>3</v>
      </c>
      <c r="AX6" s="82">
        <v>4</v>
      </c>
      <c r="AY6" s="82">
        <v>3</v>
      </c>
      <c r="BB6" s="82">
        <v>6</v>
      </c>
      <c r="BC6" s="82">
        <v>8</v>
      </c>
      <c r="BF6" s="82">
        <v>2</v>
      </c>
      <c r="BG6" s="82">
        <v>7</v>
      </c>
    </row>
    <row r="7" spans="1:59" ht="12.75" customHeight="1" x14ac:dyDescent="0.2">
      <c r="A7" s="548"/>
      <c r="D7" s="82"/>
      <c r="E7" s="82"/>
      <c r="G7" s="547" t="str">
        <f>Language!$E$19</f>
        <v>Second legs</v>
      </c>
      <c r="H7" s="82">
        <v>4</v>
      </c>
      <c r="I7" s="82">
        <v>1</v>
      </c>
      <c r="K7" s="547"/>
      <c r="L7" s="82">
        <v>2</v>
      </c>
      <c r="M7" s="82">
        <v>4</v>
      </c>
      <c r="P7" s="82">
        <v>1</v>
      </c>
      <c r="Q7" s="82">
        <v>4</v>
      </c>
      <c r="T7" s="82">
        <v>1</v>
      </c>
      <c r="U7" s="82">
        <v>6</v>
      </c>
      <c r="X7" s="82">
        <v>2</v>
      </c>
      <c r="Y7" s="82">
        <v>5</v>
      </c>
      <c r="AB7" s="82">
        <v>6</v>
      </c>
      <c r="AC7" s="82">
        <v>3</v>
      </c>
      <c r="AH7" s="82"/>
      <c r="AI7" s="82"/>
      <c r="AK7" s="547" t="str">
        <f>Language!$E$19</f>
        <v>Second legs</v>
      </c>
      <c r="AL7" s="82"/>
      <c r="AM7" s="82"/>
      <c r="AO7" s="547"/>
      <c r="AP7" s="82">
        <v>2</v>
      </c>
      <c r="AQ7" s="82">
        <v>4</v>
      </c>
      <c r="AT7" s="82">
        <v>1</v>
      </c>
      <c r="AU7" s="82">
        <v>4</v>
      </c>
      <c r="AX7" s="82">
        <v>1</v>
      </c>
      <c r="AY7" s="82">
        <v>6</v>
      </c>
      <c r="BB7" s="82">
        <v>2</v>
      </c>
      <c r="BC7" s="82">
        <v>5</v>
      </c>
      <c r="BF7" s="82">
        <v>6</v>
      </c>
      <c r="BG7" s="82">
        <v>3</v>
      </c>
    </row>
    <row r="8" spans="1:59" x14ac:dyDescent="0.2">
      <c r="A8" s="548"/>
      <c r="C8" s="331"/>
      <c r="D8" s="82"/>
      <c r="E8" s="82"/>
      <c r="G8" s="547"/>
      <c r="H8" s="82">
        <v>2</v>
      </c>
      <c r="I8" s="82">
        <v>3</v>
      </c>
      <c r="K8" s="547"/>
      <c r="L8" s="82">
        <v>3</v>
      </c>
      <c r="M8" s="82">
        <v>1</v>
      </c>
      <c r="P8" s="82">
        <v>3</v>
      </c>
      <c r="Q8" s="82">
        <v>5</v>
      </c>
      <c r="T8" s="82">
        <v>5</v>
      </c>
      <c r="U8" s="82">
        <v>7</v>
      </c>
      <c r="X8" s="82">
        <v>4</v>
      </c>
      <c r="Y8" s="82">
        <v>3</v>
      </c>
      <c r="AB8" s="82">
        <v>4</v>
      </c>
      <c r="AC8" s="82">
        <v>5</v>
      </c>
      <c r="AG8" s="331"/>
      <c r="AH8" s="82"/>
      <c r="AI8" s="82"/>
      <c r="AK8" s="547"/>
      <c r="AL8" s="82"/>
      <c r="AM8" s="82"/>
      <c r="AO8" s="547"/>
      <c r="AP8" s="82">
        <v>3</v>
      </c>
      <c r="AQ8" s="82">
        <v>1</v>
      </c>
      <c r="AT8" s="82">
        <v>3</v>
      </c>
      <c r="AU8" s="82">
        <v>5</v>
      </c>
      <c r="AX8" s="82">
        <v>5</v>
      </c>
      <c r="AY8" s="82">
        <v>7</v>
      </c>
      <c r="BB8" s="82">
        <v>4</v>
      </c>
      <c r="BC8" s="82">
        <v>3</v>
      </c>
      <c r="BF8" s="82">
        <v>4</v>
      </c>
      <c r="BG8" s="82">
        <v>5</v>
      </c>
    </row>
    <row r="9" spans="1:59" x14ac:dyDescent="0.2">
      <c r="A9" s="548"/>
      <c r="C9" s="331"/>
      <c r="D9" s="82"/>
      <c r="E9" s="82"/>
      <c r="G9" s="547"/>
      <c r="H9" s="82">
        <v>1</v>
      </c>
      <c r="I9" s="82">
        <v>3</v>
      </c>
      <c r="K9" s="547"/>
      <c r="L9" s="82">
        <v>4</v>
      </c>
      <c r="M9" s="82">
        <v>5</v>
      </c>
      <c r="P9" s="82">
        <v>6</v>
      </c>
      <c r="Q9" s="82">
        <v>2</v>
      </c>
      <c r="T9" s="82">
        <v>3</v>
      </c>
      <c r="U9" s="82">
        <v>2</v>
      </c>
      <c r="X9" s="82">
        <v>1</v>
      </c>
      <c r="Y9" s="82">
        <v>6</v>
      </c>
      <c r="AB9" s="82">
        <v>1</v>
      </c>
      <c r="AC9" s="82">
        <v>8</v>
      </c>
      <c r="AG9" s="331"/>
      <c r="AH9" s="82"/>
      <c r="AI9" s="82"/>
      <c r="AK9" s="547"/>
      <c r="AL9" s="82"/>
      <c r="AM9" s="82"/>
      <c r="AO9" s="547"/>
      <c r="AP9" s="82">
        <v>4</v>
      </c>
      <c r="AQ9" s="82">
        <v>5</v>
      </c>
      <c r="AT9" s="82">
        <v>6</v>
      </c>
      <c r="AU9" s="82">
        <v>2</v>
      </c>
      <c r="AX9" s="82">
        <v>3</v>
      </c>
      <c r="AY9" s="82">
        <v>2</v>
      </c>
      <c r="BB9" s="82">
        <v>1</v>
      </c>
      <c r="BC9" s="82">
        <v>6</v>
      </c>
      <c r="BF9" s="82">
        <v>1</v>
      </c>
      <c r="BG9" s="82">
        <v>8</v>
      </c>
    </row>
    <row r="10" spans="1:59" ht="13.5" thickBot="1" x14ac:dyDescent="0.25">
      <c r="A10" s="548"/>
      <c r="C10" s="331"/>
      <c r="D10" s="82"/>
      <c r="E10" s="82"/>
      <c r="G10" s="547"/>
      <c r="H10" s="82">
        <v>4</v>
      </c>
      <c r="I10" s="82">
        <v>2</v>
      </c>
      <c r="K10" s="549"/>
      <c r="L10" s="82">
        <v>1</v>
      </c>
      <c r="M10" s="82">
        <v>2</v>
      </c>
      <c r="P10" s="82">
        <v>3</v>
      </c>
      <c r="Q10" s="82">
        <v>1</v>
      </c>
      <c r="T10" s="82">
        <v>5</v>
      </c>
      <c r="U10" s="82">
        <v>1</v>
      </c>
      <c r="X10" s="82">
        <v>5</v>
      </c>
      <c r="Y10" s="82">
        <v>7</v>
      </c>
      <c r="AB10" s="82">
        <v>7</v>
      </c>
      <c r="AC10" s="82">
        <v>9</v>
      </c>
      <c r="AG10" s="331"/>
      <c r="AH10" s="82"/>
      <c r="AI10" s="82"/>
      <c r="AK10" s="547"/>
      <c r="AL10" s="82"/>
      <c r="AM10" s="82"/>
      <c r="AO10" s="549"/>
      <c r="AP10" s="82">
        <v>1</v>
      </c>
      <c r="AQ10" s="82">
        <v>2</v>
      </c>
      <c r="AT10" s="82">
        <v>3</v>
      </c>
      <c r="AU10" s="82">
        <v>1</v>
      </c>
      <c r="AX10" s="82">
        <v>5</v>
      </c>
      <c r="AY10" s="82">
        <v>1</v>
      </c>
      <c r="BB10" s="82">
        <v>5</v>
      </c>
      <c r="BC10" s="82">
        <v>7</v>
      </c>
      <c r="BF10" s="82">
        <v>7</v>
      </c>
      <c r="BG10" s="82">
        <v>9</v>
      </c>
    </row>
    <row r="11" spans="1:59" x14ac:dyDescent="0.2">
      <c r="A11" s="548"/>
      <c r="C11" s="331"/>
      <c r="D11" s="82"/>
      <c r="E11" s="82"/>
      <c r="G11" s="547"/>
      <c r="H11" s="82">
        <v>2</v>
      </c>
      <c r="I11" s="82">
        <v>1</v>
      </c>
      <c r="K11" s="547" t="str">
        <f>Language!$E$19</f>
        <v>Second legs</v>
      </c>
      <c r="L11" s="82">
        <v>2</v>
      </c>
      <c r="M11" s="82">
        <v>5</v>
      </c>
      <c r="O11" s="547" t="str">
        <f>Language!$E$18</f>
        <v>First legs</v>
      </c>
      <c r="P11" s="82">
        <v>2</v>
      </c>
      <c r="Q11" s="82">
        <v>4</v>
      </c>
      <c r="T11" s="82">
        <v>4</v>
      </c>
      <c r="U11" s="82">
        <v>6</v>
      </c>
      <c r="X11" s="82">
        <v>8</v>
      </c>
      <c r="Y11" s="82">
        <v>4</v>
      </c>
      <c r="AB11" s="82">
        <v>5</v>
      </c>
      <c r="AC11" s="82">
        <v>2</v>
      </c>
      <c r="AG11" s="331"/>
      <c r="AH11" s="82"/>
      <c r="AI11" s="82"/>
      <c r="AK11" s="547"/>
      <c r="AL11" s="82"/>
      <c r="AM11" s="82"/>
      <c r="AO11" s="547" t="str">
        <f>Language!$E$19</f>
        <v>Second legs</v>
      </c>
      <c r="AP11" s="82"/>
      <c r="AQ11" s="82"/>
      <c r="AS11" s="547" t="str">
        <f>Language!$E$18</f>
        <v>First legs</v>
      </c>
      <c r="AT11" s="82">
        <v>2</v>
      </c>
      <c r="AU11" s="82">
        <v>4</v>
      </c>
      <c r="AX11" s="82">
        <v>4</v>
      </c>
      <c r="AY11" s="82">
        <v>6</v>
      </c>
      <c r="BB11" s="82">
        <v>8</v>
      </c>
      <c r="BC11" s="82">
        <v>4</v>
      </c>
      <c r="BF11" s="82">
        <v>5</v>
      </c>
      <c r="BG11" s="82">
        <v>2</v>
      </c>
    </row>
    <row r="12" spans="1:59" x14ac:dyDescent="0.2">
      <c r="A12" s="548"/>
      <c r="D12" s="82"/>
      <c r="E12" s="82"/>
      <c r="H12" s="82">
        <v>3</v>
      </c>
      <c r="I12" s="82">
        <v>4</v>
      </c>
      <c r="K12" s="547"/>
      <c r="L12" s="82">
        <v>4</v>
      </c>
      <c r="M12" s="82">
        <v>3</v>
      </c>
      <c r="O12" s="547"/>
      <c r="P12" s="82">
        <v>5</v>
      </c>
      <c r="Q12" s="82">
        <v>6</v>
      </c>
      <c r="T12" s="82">
        <v>7</v>
      </c>
      <c r="U12" s="82">
        <v>3</v>
      </c>
      <c r="X12" s="82">
        <v>3</v>
      </c>
      <c r="Y12" s="82">
        <v>2</v>
      </c>
      <c r="AB12" s="82">
        <v>3</v>
      </c>
      <c r="AC12" s="82">
        <v>4</v>
      </c>
      <c r="AH12" s="82"/>
      <c r="AI12" s="82"/>
      <c r="AL12" s="82"/>
      <c r="AM12" s="82"/>
      <c r="AO12" s="547"/>
      <c r="AP12" s="82"/>
      <c r="AQ12" s="82"/>
      <c r="AS12" s="547"/>
      <c r="AT12" s="82">
        <v>5</v>
      </c>
      <c r="AU12" s="82">
        <v>6</v>
      </c>
      <c r="AX12" s="82">
        <v>7</v>
      </c>
      <c r="AY12" s="82">
        <v>3</v>
      </c>
      <c r="BB12" s="82">
        <v>3</v>
      </c>
      <c r="BC12" s="82">
        <v>2</v>
      </c>
      <c r="BF12" s="82">
        <v>3</v>
      </c>
      <c r="BG12" s="82">
        <v>4</v>
      </c>
    </row>
    <row r="13" spans="1:59" x14ac:dyDescent="0.2">
      <c r="A13" s="548"/>
      <c r="K13" s="547"/>
      <c r="L13" s="82">
        <v>1</v>
      </c>
      <c r="M13" s="82">
        <v>5</v>
      </c>
      <c r="O13" s="547"/>
      <c r="P13" s="82">
        <v>1</v>
      </c>
      <c r="Q13" s="82">
        <v>2</v>
      </c>
      <c r="T13" s="82">
        <v>1</v>
      </c>
      <c r="U13" s="82">
        <v>4</v>
      </c>
      <c r="X13" s="82">
        <v>5</v>
      </c>
      <c r="Y13" s="82">
        <v>1</v>
      </c>
      <c r="AB13" s="82">
        <v>7</v>
      </c>
      <c r="AC13" s="82">
        <v>1</v>
      </c>
      <c r="AO13" s="547"/>
      <c r="AP13" s="82"/>
      <c r="AQ13" s="82"/>
      <c r="AS13" s="547"/>
      <c r="AT13" s="82">
        <v>1</v>
      </c>
      <c r="AU13" s="82">
        <v>2</v>
      </c>
      <c r="AX13" s="82">
        <v>1</v>
      </c>
      <c r="AY13" s="82">
        <v>4</v>
      </c>
      <c r="BB13" s="82">
        <v>5</v>
      </c>
      <c r="BC13" s="82">
        <v>1</v>
      </c>
      <c r="BF13" s="82">
        <v>7</v>
      </c>
      <c r="BG13" s="82">
        <v>1</v>
      </c>
    </row>
    <row r="14" spans="1:59" x14ac:dyDescent="0.2">
      <c r="A14" s="548"/>
      <c r="K14" s="547"/>
      <c r="L14" s="82">
        <v>3</v>
      </c>
      <c r="M14" s="82">
        <v>2</v>
      </c>
      <c r="O14" s="547"/>
      <c r="P14" s="82">
        <v>6</v>
      </c>
      <c r="Q14" s="82">
        <v>3</v>
      </c>
      <c r="T14" s="82">
        <v>3</v>
      </c>
      <c r="U14" s="82">
        <v>5</v>
      </c>
      <c r="X14" s="82">
        <v>4</v>
      </c>
      <c r="Y14" s="82">
        <v>6</v>
      </c>
      <c r="AB14" s="82">
        <v>6</v>
      </c>
      <c r="AC14" s="82">
        <v>8</v>
      </c>
      <c r="AO14" s="547"/>
      <c r="AP14" s="82"/>
      <c r="AQ14" s="82"/>
      <c r="AS14" s="547"/>
      <c r="AT14" s="82">
        <v>6</v>
      </c>
      <c r="AU14" s="82">
        <v>3</v>
      </c>
      <c r="AX14" s="82">
        <v>3</v>
      </c>
      <c r="AY14" s="82">
        <v>5</v>
      </c>
      <c r="BB14" s="82">
        <v>4</v>
      </c>
      <c r="BC14" s="82">
        <v>6</v>
      </c>
      <c r="BF14" s="82">
        <v>6</v>
      </c>
      <c r="BG14" s="82">
        <v>8</v>
      </c>
    </row>
    <row r="15" spans="1:59" ht="13.5" thickBot="1" x14ac:dyDescent="0.25">
      <c r="A15" s="548"/>
      <c r="K15" s="547"/>
      <c r="L15" s="82">
        <v>4</v>
      </c>
      <c r="M15" s="82">
        <v>1</v>
      </c>
      <c r="O15" s="549"/>
      <c r="P15" s="82">
        <v>4</v>
      </c>
      <c r="Q15" s="82">
        <v>5</v>
      </c>
      <c r="T15" s="82">
        <v>6</v>
      </c>
      <c r="U15" s="82">
        <v>2</v>
      </c>
      <c r="X15" s="82">
        <v>7</v>
      </c>
      <c r="Y15" s="82">
        <v>3</v>
      </c>
      <c r="AB15" s="82">
        <v>9</v>
      </c>
      <c r="AC15" s="82">
        <v>5</v>
      </c>
      <c r="AO15" s="547"/>
      <c r="AP15" s="82"/>
      <c r="AQ15" s="82"/>
      <c r="AS15" s="549"/>
      <c r="AT15" s="82">
        <v>4</v>
      </c>
      <c r="AU15" s="82">
        <v>5</v>
      </c>
      <c r="AX15" s="82">
        <v>6</v>
      </c>
      <c r="AY15" s="82">
        <v>2</v>
      </c>
      <c r="BB15" s="82">
        <v>7</v>
      </c>
      <c r="BC15" s="82">
        <v>3</v>
      </c>
      <c r="BF15" s="82">
        <v>9</v>
      </c>
      <c r="BG15" s="82">
        <v>5</v>
      </c>
    </row>
    <row r="16" spans="1:59" x14ac:dyDescent="0.2">
      <c r="A16" s="548"/>
      <c r="L16" s="82">
        <v>5</v>
      </c>
      <c r="M16" s="82">
        <v>3</v>
      </c>
      <c r="O16" s="547" t="str">
        <f>Language!$E$19</f>
        <v>Second legs</v>
      </c>
      <c r="P16" s="82">
        <v>6</v>
      </c>
      <c r="Q16" s="82">
        <v>1</v>
      </c>
      <c r="T16" s="82">
        <v>3</v>
      </c>
      <c r="U16" s="82">
        <v>1</v>
      </c>
      <c r="X16" s="82">
        <v>2</v>
      </c>
      <c r="Y16" s="82">
        <v>8</v>
      </c>
      <c r="AB16" s="82">
        <v>2</v>
      </c>
      <c r="AC16" s="82">
        <v>3</v>
      </c>
      <c r="AP16" s="82"/>
      <c r="AQ16" s="82"/>
      <c r="AS16" s="547" t="str">
        <f>Language!$E$19</f>
        <v>Second legs</v>
      </c>
      <c r="AT16" s="82"/>
      <c r="AU16" s="82"/>
      <c r="AX16" s="82">
        <v>3</v>
      </c>
      <c r="AY16" s="82">
        <v>1</v>
      </c>
      <c r="BB16" s="82">
        <v>2</v>
      </c>
      <c r="BC16" s="82">
        <v>8</v>
      </c>
      <c r="BF16" s="82">
        <v>2</v>
      </c>
      <c r="BG16" s="82">
        <v>3</v>
      </c>
    </row>
    <row r="17" spans="1:59" x14ac:dyDescent="0.2">
      <c r="A17" s="548"/>
      <c r="L17" s="82">
        <v>4</v>
      </c>
      <c r="M17" s="82">
        <v>2</v>
      </c>
      <c r="O17" s="547"/>
      <c r="P17" s="82">
        <v>2</v>
      </c>
      <c r="Q17" s="82">
        <v>5</v>
      </c>
      <c r="S17" s="547" t="str">
        <f>Language!$E$18</f>
        <v>First legs</v>
      </c>
      <c r="T17" s="82">
        <v>2</v>
      </c>
      <c r="U17" s="82">
        <v>4</v>
      </c>
      <c r="X17" s="82">
        <v>1</v>
      </c>
      <c r="Y17" s="82">
        <v>4</v>
      </c>
      <c r="AB17" s="82">
        <v>1</v>
      </c>
      <c r="AC17" s="82">
        <v>6</v>
      </c>
      <c r="AP17" s="82"/>
      <c r="AQ17" s="82"/>
      <c r="AS17" s="547"/>
      <c r="AT17" s="82"/>
      <c r="AU17" s="82"/>
      <c r="AW17" s="547" t="str">
        <f>Language!$E$18</f>
        <v>First legs</v>
      </c>
      <c r="AX17" s="82">
        <v>2</v>
      </c>
      <c r="AY17" s="82">
        <v>4</v>
      </c>
      <c r="BB17" s="82">
        <v>1</v>
      </c>
      <c r="BC17" s="82">
        <v>4</v>
      </c>
      <c r="BF17" s="82">
        <v>1</v>
      </c>
      <c r="BG17" s="82">
        <v>6</v>
      </c>
    </row>
    <row r="18" spans="1:59" x14ac:dyDescent="0.2">
      <c r="A18" s="548"/>
      <c r="L18" s="82">
        <v>1</v>
      </c>
      <c r="M18" s="82">
        <v>3</v>
      </c>
      <c r="O18" s="547"/>
      <c r="P18" s="82">
        <v>4</v>
      </c>
      <c r="Q18" s="82">
        <v>3</v>
      </c>
      <c r="S18" s="547"/>
      <c r="T18" s="82">
        <v>7</v>
      </c>
      <c r="U18" s="82">
        <v>6</v>
      </c>
      <c r="X18" s="82">
        <v>3</v>
      </c>
      <c r="Y18" s="82">
        <v>5</v>
      </c>
      <c r="AB18" s="82">
        <v>5</v>
      </c>
      <c r="AC18" s="82">
        <v>7</v>
      </c>
      <c r="AP18" s="82"/>
      <c r="AQ18" s="82"/>
      <c r="AS18" s="547"/>
      <c r="AT18" s="82"/>
      <c r="AU18" s="82"/>
      <c r="AW18" s="547"/>
      <c r="AX18" s="82">
        <v>7</v>
      </c>
      <c r="AY18" s="82">
        <v>6</v>
      </c>
      <c r="BB18" s="82">
        <v>3</v>
      </c>
      <c r="BC18" s="82">
        <v>5</v>
      </c>
      <c r="BF18" s="82">
        <v>5</v>
      </c>
      <c r="BG18" s="82">
        <v>7</v>
      </c>
    </row>
    <row r="19" spans="1:59" x14ac:dyDescent="0.2">
      <c r="L19" s="82">
        <v>5</v>
      </c>
      <c r="M19" s="82">
        <v>4</v>
      </c>
      <c r="O19" s="547"/>
      <c r="P19" s="82">
        <v>1</v>
      </c>
      <c r="Q19" s="82">
        <v>5</v>
      </c>
      <c r="S19" s="547"/>
      <c r="T19" s="82">
        <v>1</v>
      </c>
      <c r="U19" s="82">
        <v>2</v>
      </c>
      <c r="X19" s="82">
        <v>6</v>
      </c>
      <c r="Y19" s="82">
        <v>2</v>
      </c>
      <c r="AB19" s="82">
        <v>8</v>
      </c>
      <c r="AC19" s="82">
        <v>4</v>
      </c>
      <c r="AP19" s="82"/>
      <c r="AQ19" s="82"/>
      <c r="AS19" s="547"/>
      <c r="AT19" s="82"/>
      <c r="AU19" s="82"/>
      <c r="AW19" s="547"/>
      <c r="AX19" s="82">
        <v>1</v>
      </c>
      <c r="AY19" s="82">
        <v>2</v>
      </c>
      <c r="BB19" s="82">
        <v>6</v>
      </c>
      <c r="BC19" s="82">
        <v>2</v>
      </c>
      <c r="BF19" s="82">
        <v>8</v>
      </c>
      <c r="BG19" s="82">
        <v>4</v>
      </c>
    </row>
    <row r="20" spans="1:59" x14ac:dyDescent="0.2">
      <c r="L20" s="82">
        <v>2</v>
      </c>
      <c r="M20" s="82">
        <v>1</v>
      </c>
      <c r="O20" s="547"/>
      <c r="P20" s="82">
        <v>6</v>
      </c>
      <c r="Q20" s="82">
        <v>4</v>
      </c>
      <c r="S20" s="547"/>
      <c r="T20" s="82">
        <v>4</v>
      </c>
      <c r="U20" s="82">
        <v>7</v>
      </c>
      <c r="X20" s="82">
        <v>8</v>
      </c>
      <c r="Y20" s="82">
        <v>7</v>
      </c>
      <c r="AB20" s="82">
        <v>3</v>
      </c>
      <c r="AC20" s="82">
        <v>9</v>
      </c>
      <c r="AP20" s="82"/>
      <c r="AQ20" s="82"/>
      <c r="AS20" s="547"/>
      <c r="AT20" s="82"/>
      <c r="AU20" s="82"/>
      <c r="AW20" s="547"/>
      <c r="AX20" s="82">
        <v>4</v>
      </c>
      <c r="AY20" s="82">
        <v>7</v>
      </c>
      <c r="BB20" s="82">
        <v>8</v>
      </c>
      <c r="BC20" s="82">
        <v>7</v>
      </c>
      <c r="BF20" s="82">
        <v>3</v>
      </c>
      <c r="BG20" s="82">
        <v>9</v>
      </c>
    </row>
    <row r="21" spans="1:59" ht="13.5" thickBot="1" x14ac:dyDescent="0.25">
      <c r="P21" s="82">
        <v>3</v>
      </c>
      <c r="Q21" s="82">
        <v>2</v>
      </c>
      <c r="S21" s="549"/>
      <c r="T21" s="82">
        <v>6</v>
      </c>
      <c r="U21" s="82">
        <v>5</v>
      </c>
      <c r="X21" s="82">
        <v>3</v>
      </c>
      <c r="Y21" s="82">
        <v>1</v>
      </c>
      <c r="AB21" s="82">
        <v>5</v>
      </c>
      <c r="AC21" s="82">
        <v>1</v>
      </c>
      <c r="AT21" s="82"/>
      <c r="AU21" s="82"/>
      <c r="AW21" s="549"/>
      <c r="AX21" s="82">
        <v>6</v>
      </c>
      <c r="AY21" s="82">
        <v>5</v>
      </c>
      <c r="BB21" s="82">
        <v>3</v>
      </c>
      <c r="BC21" s="82">
        <v>1</v>
      </c>
      <c r="BF21" s="82">
        <v>5</v>
      </c>
      <c r="BG21" s="82">
        <v>1</v>
      </c>
    </row>
    <row r="22" spans="1:59" x14ac:dyDescent="0.2">
      <c r="P22" s="82">
        <v>4</v>
      </c>
      <c r="Q22" s="82">
        <v>1</v>
      </c>
      <c r="S22" s="547" t="str">
        <f>Language!$E$19</f>
        <v>Second legs</v>
      </c>
      <c r="T22" s="82">
        <v>2</v>
      </c>
      <c r="U22" s="82">
        <v>7</v>
      </c>
      <c r="X22" s="82">
        <v>2</v>
      </c>
      <c r="Y22" s="82">
        <v>4</v>
      </c>
      <c r="AB22" s="82">
        <v>4</v>
      </c>
      <c r="AC22" s="82">
        <v>6</v>
      </c>
      <c r="AT22" s="82"/>
      <c r="AU22" s="82"/>
      <c r="AW22" s="547" t="str">
        <f>Language!$E$19</f>
        <v>Second legs</v>
      </c>
      <c r="AX22" s="82"/>
      <c r="AY22" s="82"/>
      <c r="BB22" s="82">
        <v>2</v>
      </c>
      <c r="BC22" s="82">
        <v>4</v>
      </c>
      <c r="BF22" s="82">
        <v>4</v>
      </c>
      <c r="BG22" s="82">
        <v>6</v>
      </c>
    </row>
    <row r="23" spans="1:59" x14ac:dyDescent="0.2">
      <c r="P23" s="82">
        <v>5</v>
      </c>
      <c r="Q23" s="82">
        <v>3</v>
      </c>
      <c r="S23" s="547"/>
      <c r="T23" s="82">
        <v>6</v>
      </c>
      <c r="U23" s="82">
        <v>3</v>
      </c>
      <c r="X23" s="82">
        <v>5</v>
      </c>
      <c r="Y23" s="82">
        <v>8</v>
      </c>
      <c r="AB23" s="82">
        <v>7</v>
      </c>
      <c r="AC23" s="82">
        <v>3</v>
      </c>
      <c r="AT23" s="82"/>
      <c r="AU23" s="82"/>
      <c r="AW23" s="547"/>
      <c r="AX23" s="82"/>
      <c r="AY23" s="82"/>
      <c r="BB23" s="82">
        <v>5</v>
      </c>
      <c r="BC23" s="82">
        <v>8</v>
      </c>
      <c r="BF23" s="82">
        <v>7</v>
      </c>
      <c r="BG23" s="82">
        <v>3</v>
      </c>
    </row>
    <row r="24" spans="1:59" x14ac:dyDescent="0.2">
      <c r="P24" s="82">
        <v>2</v>
      </c>
      <c r="Q24" s="82">
        <v>6</v>
      </c>
      <c r="S24" s="547"/>
      <c r="T24" s="82">
        <v>4</v>
      </c>
      <c r="U24" s="82">
        <v>5</v>
      </c>
      <c r="W24" s="547" t="str">
        <f>Language!$E$18</f>
        <v>First legs</v>
      </c>
      <c r="X24" s="82">
        <v>7</v>
      </c>
      <c r="Y24" s="82">
        <v>6</v>
      </c>
      <c r="AB24" s="82">
        <v>2</v>
      </c>
      <c r="AC24" s="82">
        <v>8</v>
      </c>
      <c r="AT24" s="82"/>
      <c r="AU24" s="82"/>
      <c r="AW24" s="547"/>
      <c r="AX24" s="82"/>
      <c r="AY24" s="82"/>
      <c r="BA24" s="547" t="str">
        <f>Language!$E$18</f>
        <v>First legs</v>
      </c>
      <c r="BB24" s="82">
        <v>7</v>
      </c>
      <c r="BC24" s="82">
        <v>6</v>
      </c>
      <c r="BF24" s="82">
        <v>2</v>
      </c>
      <c r="BG24" s="82">
        <v>8</v>
      </c>
    </row>
    <row r="25" spans="1:59" x14ac:dyDescent="0.2">
      <c r="P25" s="82">
        <v>1</v>
      </c>
      <c r="Q25" s="82">
        <v>3</v>
      </c>
      <c r="S25" s="547"/>
      <c r="T25" s="82">
        <v>1</v>
      </c>
      <c r="U25" s="82">
        <v>7</v>
      </c>
      <c r="W25" s="547"/>
      <c r="X25" s="82">
        <v>1</v>
      </c>
      <c r="Y25" s="82">
        <v>2</v>
      </c>
      <c r="AB25" s="82">
        <v>1</v>
      </c>
      <c r="AC25" s="82">
        <v>4</v>
      </c>
      <c r="AT25" s="82"/>
      <c r="AU25" s="82"/>
      <c r="AW25" s="547"/>
      <c r="AX25" s="82"/>
      <c r="AY25" s="82"/>
      <c r="BA25" s="547"/>
      <c r="BB25" s="82">
        <v>1</v>
      </c>
      <c r="BC25" s="82">
        <v>2</v>
      </c>
      <c r="BF25" s="82">
        <v>1</v>
      </c>
      <c r="BG25" s="82">
        <v>4</v>
      </c>
    </row>
    <row r="26" spans="1:59" x14ac:dyDescent="0.2">
      <c r="P26" s="82">
        <v>4</v>
      </c>
      <c r="Q26" s="82">
        <v>2</v>
      </c>
      <c r="S26" s="547"/>
      <c r="T26" s="82">
        <v>5</v>
      </c>
      <c r="U26" s="82">
        <v>2</v>
      </c>
      <c r="W26" s="547"/>
      <c r="X26" s="82">
        <v>8</v>
      </c>
      <c r="Y26" s="82">
        <v>3</v>
      </c>
      <c r="AB26" s="82">
        <v>3</v>
      </c>
      <c r="AC26" s="82">
        <v>5</v>
      </c>
      <c r="AT26" s="82"/>
      <c r="AU26" s="82"/>
      <c r="AW26" s="547"/>
      <c r="AX26" s="82"/>
      <c r="AY26" s="82"/>
      <c r="BA26" s="547"/>
      <c r="BB26" s="82">
        <v>8</v>
      </c>
      <c r="BC26" s="82">
        <v>3</v>
      </c>
      <c r="BF26" s="82">
        <v>3</v>
      </c>
      <c r="BG26" s="82">
        <v>5</v>
      </c>
    </row>
    <row r="27" spans="1:59" x14ac:dyDescent="0.2">
      <c r="P27" s="82">
        <v>6</v>
      </c>
      <c r="Q27" s="82">
        <v>5</v>
      </c>
      <c r="T27" s="82">
        <v>3</v>
      </c>
      <c r="U27" s="82">
        <v>4</v>
      </c>
      <c r="W27" s="547"/>
      <c r="X27" s="82">
        <v>4</v>
      </c>
      <c r="Y27" s="82">
        <v>7</v>
      </c>
      <c r="AB27" s="82">
        <v>6</v>
      </c>
      <c r="AC27" s="82">
        <v>2</v>
      </c>
      <c r="AT27" s="82"/>
      <c r="AU27" s="82"/>
      <c r="AX27" s="82"/>
      <c r="AY27" s="82"/>
      <c r="BA27" s="547"/>
      <c r="BB27" s="82">
        <v>4</v>
      </c>
      <c r="BC27" s="82">
        <v>7</v>
      </c>
      <c r="BF27" s="82">
        <v>6</v>
      </c>
      <c r="BG27" s="82">
        <v>2</v>
      </c>
    </row>
    <row r="28" spans="1:59" ht="13.5" thickBot="1" x14ac:dyDescent="0.25">
      <c r="P28" s="82">
        <v>2</v>
      </c>
      <c r="Q28" s="82">
        <v>1</v>
      </c>
      <c r="T28" s="82">
        <v>6</v>
      </c>
      <c r="U28" s="82">
        <v>1</v>
      </c>
      <c r="W28" s="549"/>
      <c r="X28" s="82">
        <v>6</v>
      </c>
      <c r="Y28" s="82">
        <v>5</v>
      </c>
      <c r="AB28" s="82">
        <v>8</v>
      </c>
      <c r="AC28" s="82">
        <v>9</v>
      </c>
      <c r="AT28" s="82"/>
      <c r="AU28" s="82"/>
      <c r="AX28" s="82"/>
      <c r="AY28" s="82"/>
      <c r="BA28" s="549"/>
      <c r="BB28" s="82">
        <v>6</v>
      </c>
      <c r="BC28" s="82">
        <v>5</v>
      </c>
      <c r="BF28" s="82">
        <v>8</v>
      </c>
      <c r="BG28" s="82">
        <v>9</v>
      </c>
    </row>
    <row r="29" spans="1:59" x14ac:dyDescent="0.2">
      <c r="P29" s="82">
        <v>3</v>
      </c>
      <c r="Q29" s="82">
        <v>6</v>
      </c>
      <c r="T29" s="82">
        <v>7</v>
      </c>
      <c r="U29" s="82">
        <v>5</v>
      </c>
      <c r="W29" s="547" t="str">
        <f>Language!$E$19</f>
        <v>Second legs</v>
      </c>
      <c r="X29" s="82">
        <v>8</v>
      </c>
      <c r="Y29" s="82">
        <v>1</v>
      </c>
      <c r="AB29" s="82">
        <v>3</v>
      </c>
      <c r="AC29" s="82">
        <v>1</v>
      </c>
      <c r="AT29" s="82"/>
      <c r="AU29" s="82"/>
      <c r="AX29" s="82"/>
      <c r="AY29" s="82"/>
      <c r="BA29" s="547" t="str">
        <f>Language!$E$19</f>
        <v>Second legs</v>
      </c>
      <c r="BB29" s="82"/>
      <c r="BC29" s="82"/>
      <c r="BF29" s="82">
        <v>3</v>
      </c>
      <c r="BG29" s="82">
        <v>1</v>
      </c>
    </row>
    <row r="30" spans="1:59" x14ac:dyDescent="0.2">
      <c r="P30" s="82">
        <v>5</v>
      </c>
      <c r="Q30" s="82">
        <v>4</v>
      </c>
      <c r="T30" s="82">
        <v>2</v>
      </c>
      <c r="U30" s="82">
        <v>3</v>
      </c>
      <c r="W30" s="547"/>
      <c r="X30" s="82">
        <v>2</v>
      </c>
      <c r="Y30" s="82">
        <v>7</v>
      </c>
      <c r="AB30" s="82">
        <v>2</v>
      </c>
      <c r="AC30" s="82">
        <v>4</v>
      </c>
      <c r="AT30" s="82"/>
      <c r="AU30" s="82"/>
      <c r="AX30" s="82"/>
      <c r="AY30" s="82"/>
      <c r="BA30" s="547"/>
      <c r="BB30" s="82"/>
      <c r="BC30" s="82"/>
      <c r="BF30" s="82">
        <v>2</v>
      </c>
      <c r="BG30" s="82">
        <v>4</v>
      </c>
    </row>
    <row r="31" spans="1:59" x14ac:dyDescent="0.2">
      <c r="T31" s="82">
        <v>1</v>
      </c>
      <c r="U31" s="82">
        <v>5</v>
      </c>
      <c r="W31" s="547"/>
      <c r="X31" s="82">
        <v>6</v>
      </c>
      <c r="Y31" s="82">
        <v>3</v>
      </c>
      <c r="AB31" s="82">
        <v>9</v>
      </c>
      <c r="AC31" s="82">
        <v>6</v>
      </c>
      <c r="AX31" s="82"/>
      <c r="AY31" s="82"/>
      <c r="BA31" s="547"/>
      <c r="BB31" s="82"/>
      <c r="BC31" s="82"/>
      <c r="BF31" s="82">
        <v>9</v>
      </c>
      <c r="BG31" s="82">
        <v>6</v>
      </c>
    </row>
    <row r="32" spans="1:59" x14ac:dyDescent="0.2">
      <c r="T32" s="82">
        <v>6</v>
      </c>
      <c r="U32" s="82">
        <v>4</v>
      </c>
      <c r="W32" s="547"/>
      <c r="X32" s="82">
        <v>4</v>
      </c>
      <c r="Y32" s="82">
        <v>5</v>
      </c>
      <c r="AA32" s="547" t="str">
        <f>Language!$E$18</f>
        <v>First legs</v>
      </c>
      <c r="AB32" s="82">
        <v>7</v>
      </c>
      <c r="AC32" s="82">
        <v>8</v>
      </c>
      <c r="AX32" s="82"/>
      <c r="AY32" s="82"/>
      <c r="BA32" s="547"/>
      <c r="BB32" s="82"/>
      <c r="BC32" s="82"/>
      <c r="BE32" s="547" t="str">
        <f>Language!$E$18</f>
        <v>First legs</v>
      </c>
      <c r="BF32" s="82">
        <v>7</v>
      </c>
      <c r="BG32" s="82">
        <v>8</v>
      </c>
    </row>
    <row r="33" spans="20:59" x14ac:dyDescent="0.2">
      <c r="T33" s="82">
        <v>3</v>
      </c>
      <c r="U33" s="82">
        <v>7</v>
      </c>
      <c r="W33" s="547"/>
      <c r="X33" s="82">
        <v>1</v>
      </c>
      <c r="Y33" s="82">
        <v>7</v>
      </c>
      <c r="AA33" s="547"/>
      <c r="AB33" s="82">
        <v>1</v>
      </c>
      <c r="AC33" s="82">
        <v>2</v>
      </c>
      <c r="AX33" s="82"/>
      <c r="AY33" s="82"/>
      <c r="BA33" s="547"/>
      <c r="BB33" s="82"/>
      <c r="BC33" s="82"/>
      <c r="BE33" s="547"/>
      <c r="BF33" s="82">
        <v>1</v>
      </c>
      <c r="BG33" s="82">
        <v>2</v>
      </c>
    </row>
    <row r="34" spans="20:59" x14ac:dyDescent="0.2">
      <c r="T34" s="82">
        <v>4</v>
      </c>
      <c r="U34" s="82">
        <v>1</v>
      </c>
      <c r="X34" s="82">
        <v>8</v>
      </c>
      <c r="Y34" s="82">
        <v>6</v>
      </c>
      <c r="AA34" s="547"/>
      <c r="AB34" s="82">
        <v>4</v>
      </c>
      <c r="AC34" s="82">
        <v>9</v>
      </c>
      <c r="AX34" s="82"/>
      <c r="AY34" s="82"/>
      <c r="BB34" s="82"/>
      <c r="BC34" s="82"/>
      <c r="BE34" s="547"/>
      <c r="BF34" s="82">
        <v>4</v>
      </c>
      <c r="BG34" s="82">
        <v>9</v>
      </c>
    </row>
    <row r="35" spans="20:59" x14ac:dyDescent="0.2">
      <c r="T35" s="82">
        <v>5</v>
      </c>
      <c r="U35" s="82">
        <v>3</v>
      </c>
      <c r="X35" s="82">
        <v>5</v>
      </c>
      <c r="Y35" s="82">
        <v>2</v>
      </c>
      <c r="AA35" s="547"/>
      <c r="AB35" s="82">
        <v>8</v>
      </c>
      <c r="AC35" s="82">
        <v>5</v>
      </c>
      <c r="AX35" s="82"/>
      <c r="AY35" s="82"/>
      <c r="BB35" s="82"/>
      <c r="BC35" s="82"/>
      <c r="BE35" s="547"/>
      <c r="BF35" s="82">
        <v>8</v>
      </c>
      <c r="BG35" s="82">
        <v>5</v>
      </c>
    </row>
    <row r="36" spans="20:59" ht="13.5" thickBot="1" x14ac:dyDescent="0.25">
      <c r="T36" s="82">
        <v>2</v>
      </c>
      <c r="U36" s="82">
        <v>6</v>
      </c>
      <c r="X36" s="82">
        <v>3</v>
      </c>
      <c r="Y36" s="82">
        <v>4</v>
      </c>
      <c r="AA36" s="549"/>
      <c r="AB36" s="82">
        <v>6</v>
      </c>
      <c r="AC36" s="82">
        <v>7</v>
      </c>
      <c r="AX36" s="82"/>
      <c r="AY36" s="82"/>
      <c r="BB36" s="82"/>
      <c r="BC36" s="82"/>
      <c r="BE36" s="549"/>
      <c r="BF36" s="82">
        <v>6</v>
      </c>
      <c r="BG36" s="82">
        <v>7</v>
      </c>
    </row>
    <row r="37" spans="20:59" x14ac:dyDescent="0.2">
      <c r="T37" s="82">
        <v>1</v>
      </c>
      <c r="U37" s="82">
        <v>3</v>
      </c>
      <c r="X37" s="82">
        <v>6</v>
      </c>
      <c r="Y37" s="82">
        <v>1</v>
      </c>
      <c r="AA37" s="547" t="str">
        <f>Language!$E$19</f>
        <v>Second legs</v>
      </c>
      <c r="AB37" s="82">
        <v>2</v>
      </c>
      <c r="AC37" s="82">
        <v>9</v>
      </c>
      <c r="AX37" s="82"/>
      <c r="AY37" s="82"/>
      <c r="BB37" s="82"/>
      <c r="BC37" s="82"/>
      <c r="BE37" s="547" t="str">
        <f>Language!$E$19</f>
        <v>Second legs</v>
      </c>
      <c r="BF37" s="82"/>
      <c r="BG37" s="82"/>
    </row>
    <row r="38" spans="20:59" x14ac:dyDescent="0.2">
      <c r="T38" s="82">
        <v>4</v>
      </c>
      <c r="U38" s="82">
        <v>2</v>
      </c>
      <c r="X38" s="82">
        <v>7</v>
      </c>
      <c r="Y38" s="82">
        <v>5</v>
      </c>
      <c r="AA38" s="547"/>
      <c r="AB38" s="82">
        <v>8</v>
      </c>
      <c r="AC38" s="82">
        <v>3</v>
      </c>
      <c r="AX38" s="82"/>
      <c r="AY38" s="82"/>
      <c r="BB38" s="82"/>
      <c r="BC38" s="82"/>
      <c r="BE38" s="547"/>
      <c r="BF38" s="82"/>
      <c r="BG38" s="82"/>
    </row>
    <row r="39" spans="20:59" x14ac:dyDescent="0.2">
      <c r="T39" s="82">
        <v>6</v>
      </c>
      <c r="U39" s="82">
        <v>7</v>
      </c>
      <c r="X39" s="82">
        <v>4</v>
      </c>
      <c r="Y39" s="82">
        <v>8</v>
      </c>
      <c r="AA39" s="547"/>
      <c r="AB39" s="82">
        <v>4</v>
      </c>
      <c r="AC39" s="82">
        <v>7</v>
      </c>
      <c r="AX39" s="82"/>
      <c r="AY39" s="82"/>
      <c r="BB39" s="82"/>
      <c r="BC39" s="82"/>
      <c r="BE39" s="547"/>
      <c r="BF39" s="82"/>
      <c r="BG39" s="82"/>
    </row>
    <row r="40" spans="20:59" x14ac:dyDescent="0.2">
      <c r="T40" s="82">
        <v>2</v>
      </c>
      <c r="U40" s="82">
        <v>1</v>
      </c>
      <c r="X40" s="82">
        <v>2</v>
      </c>
      <c r="Y40" s="82">
        <v>3</v>
      </c>
      <c r="AA40" s="547"/>
      <c r="AB40" s="82">
        <v>6</v>
      </c>
      <c r="AC40" s="82">
        <v>5</v>
      </c>
      <c r="AX40" s="82"/>
      <c r="AY40" s="82"/>
      <c r="BB40" s="82"/>
      <c r="BC40" s="82"/>
      <c r="BE40" s="547"/>
      <c r="BF40" s="82"/>
      <c r="BG40" s="82"/>
    </row>
    <row r="41" spans="20:59" x14ac:dyDescent="0.2">
      <c r="T41" s="82">
        <v>7</v>
      </c>
      <c r="U41" s="82">
        <v>4</v>
      </c>
      <c r="X41" s="82">
        <v>1</v>
      </c>
      <c r="Y41" s="82">
        <v>5</v>
      </c>
      <c r="AA41" s="547"/>
      <c r="AB41" s="82">
        <v>1</v>
      </c>
      <c r="AC41" s="82">
        <v>9</v>
      </c>
      <c r="AX41" s="82"/>
      <c r="AY41" s="82"/>
      <c r="BB41" s="82"/>
      <c r="BC41" s="82"/>
      <c r="BE41" s="547"/>
      <c r="BF41" s="82"/>
      <c r="BG41" s="82"/>
    </row>
    <row r="42" spans="20:59" x14ac:dyDescent="0.2">
      <c r="T42" s="82">
        <v>5</v>
      </c>
      <c r="U42" s="82">
        <v>6</v>
      </c>
      <c r="X42" s="82">
        <v>6</v>
      </c>
      <c r="Y42" s="82">
        <v>4</v>
      </c>
      <c r="AB42" s="82">
        <v>7</v>
      </c>
      <c r="AC42" s="82">
        <v>2</v>
      </c>
      <c r="AX42" s="82"/>
      <c r="AY42" s="82"/>
      <c r="BB42" s="82"/>
      <c r="BC42" s="82"/>
      <c r="BF42" s="82"/>
      <c r="BG42" s="82"/>
    </row>
    <row r="43" spans="20:59" x14ac:dyDescent="0.2">
      <c r="X43" s="82">
        <v>3</v>
      </c>
      <c r="Y43" s="82">
        <v>7</v>
      </c>
      <c r="AB43" s="82">
        <v>3</v>
      </c>
      <c r="AC43" s="82">
        <v>6</v>
      </c>
      <c r="BB43" s="82"/>
      <c r="BC43" s="82"/>
      <c r="BF43" s="82"/>
      <c r="BG43" s="82"/>
    </row>
    <row r="44" spans="20:59" x14ac:dyDescent="0.2">
      <c r="X44" s="82">
        <v>8</v>
      </c>
      <c r="Y44" s="82">
        <v>2</v>
      </c>
      <c r="AB44" s="82">
        <v>5</v>
      </c>
      <c r="AC44" s="82">
        <v>4</v>
      </c>
      <c r="BB44" s="82"/>
      <c r="BC44" s="82"/>
      <c r="BF44" s="82"/>
      <c r="BG44" s="82"/>
    </row>
    <row r="45" spans="20:59" x14ac:dyDescent="0.2">
      <c r="X45" s="82">
        <v>4</v>
      </c>
      <c r="Y45" s="82">
        <v>1</v>
      </c>
      <c r="AB45" s="82">
        <v>8</v>
      </c>
      <c r="AC45" s="82">
        <v>1</v>
      </c>
      <c r="BB45" s="82"/>
      <c r="BC45" s="82"/>
      <c r="BF45" s="82"/>
      <c r="BG45" s="82"/>
    </row>
    <row r="46" spans="20:59" x14ac:dyDescent="0.2">
      <c r="X46" s="82">
        <v>5</v>
      </c>
      <c r="Y46" s="82">
        <v>3</v>
      </c>
      <c r="AB46" s="82">
        <v>9</v>
      </c>
      <c r="AC46" s="82">
        <v>7</v>
      </c>
      <c r="BB46" s="82"/>
      <c r="BC46" s="82"/>
      <c r="BF46" s="82"/>
      <c r="BG46" s="82"/>
    </row>
    <row r="47" spans="20:59" x14ac:dyDescent="0.2">
      <c r="X47" s="82">
        <v>2</v>
      </c>
      <c r="Y47" s="82">
        <v>6</v>
      </c>
      <c r="AB47" s="82">
        <v>2</v>
      </c>
      <c r="AC47" s="82">
        <v>5</v>
      </c>
      <c r="BB47" s="82"/>
      <c r="BC47" s="82"/>
      <c r="BF47" s="82"/>
      <c r="BG47" s="82"/>
    </row>
    <row r="48" spans="20:59" x14ac:dyDescent="0.2">
      <c r="X48" s="82">
        <v>7</v>
      </c>
      <c r="Y48" s="82">
        <v>8</v>
      </c>
      <c r="AB48" s="82">
        <v>4</v>
      </c>
      <c r="AC48" s="82">
        <v>3</v>
      </c>
      <c r="BB48" s="82"/>
      <c r="BC48" s="82"/>
      <c r="BF48" s="82"/>
      <c r="BG48" s="82"/>
    </row>
    <row r="49" spans="24:59" x14ac:dyDescent="0.2">
      <c r="X49" s="82">
        <v>1</v>
      </c>
      <c r="Y49" s="82">
        <v>3</v>
      </c>
      <c r="AB49" s="82">
        <v>1</v>
      </c>
      <c r="AC49" s="82">
        <v>7</v>
      </c>
      <c r="BB49" s="82"/>
      <c r="BC49" s="82"/>
      <c r="BF49" s="82"/>
      <c r="BG49" s="82"/>
    </row>
    <row r="50" spans="24:59" x14ac:dyDescent="0.2">
      <c r="X50" s="82">
        <v>4</v>
      </c>
      <c r="Y50" s="82">
        <v>2</v>
      </c>
      <c r="AB50" s="82">
        <v>8</v>
      </c>
      <c r="AC50" s="82">
        <v>6</v>
      </c>
      <c r="BB50" s="82"/>
      <c r="BC50" s="82"/>
      <c r="BF50" s="82"/>
      <c r="BG50" s="82"/>
    </row>
    <row r="51" spans="24:59" x14ac:dyDescent="0.2">
      <c r="X51" s="82">
        <v>8</v>
      </c>
      <c r="Y51" s="82">
        <v>5</v>
      </c>
      <c r="AB51" s="82">
        <v>5</v>
      </c>
      <c r="AC51" s="82">
        <v>9</v>
      </c>
      <c r="BB51" s="82"/>
      <c r="BC51" s="82"/>
      <c r="BF51" s="82"/>
      <c r="BG51" s="82"/>
    </row>
    <row r="52" spans="24:59" x14ac:dyDescent="0.2">
      <c r="X52" s="82">
        <v>6</v>
      </c>
      <c r="Y52" s="82">
        <v>7</v>
      </c>
      <c r="AB52" s="82">
        <v>3</v>
      </c>
      <c r="AC52" s="82">
        <v>2</v>
      </c>
      <c r="BB52" s="82"/>
      <c r="BC52" s="82"/>
      <c r="BF52" s="82"/>
      <c r="BG52" s="82"/>
    </row>
    <row r="53" spans="24:59" x14ac:dyDescent="0.2">
      <c r="X53" s="82">
        <v>2</v>
      </c>
      <c r="Y53" s="82">
        <v>1</v>
      </c>
      <c r="AB53" s="82">
        <v>6</v>
      </c>
      <c r="AC53" s="82">
        <v>1</v>
      </c>
      <c r="BB53" s="82"/>
      <c r="BC53" s="82"/>
      <c r="BF53" s="82"/>
      <c r="BG53" s="82"/>
    </row>
    <row r="54" spans="24:59" x14ac:dyDescent="0.2">
      <c r="X54" s="82">
        <v>3</v>
      </c>
      <c r="Y54" s="82">
        <v>8</v>
      </c>
      <c r="AB54" s="82">
        <v>7</v>
      </c>
      <c r="AC54" s="82">
        <v>5</v>
      </c>
      <c r="BB54" s="82"/>
      <c r="BC54" s="82"/>
      <c r="BF54" s="82"/>
      <c r="BG54" s="82"/>
    </row>
    <row r="55" spans="24:59" x14ac:dyDescent="0.2">
      <c r="X55" s="82">
        <v>7</v>
      </c>
      <c r="Y55" s="82">
        <v>4</v>
      </c>
      <c r="AB55" s="82">
        <v>4</v>
      </c>
      <c r="AC55" s="82">
        <v>8</v>
      </c>
      <c r="BB55" s="82"/>
      <c r="BC55" s="82"/>
      <c r="BF55" s="82"/>
      <c r="BG55" s="82"/>
    </row>
    <row r="56" spans="24:59" x14ac:dyDescent="0.2">
      <c r="X56" s="82">
        <v>5</v>
      </c>
      <c r="Y56" s="82">
        <v>6</v>
      </c>
      <c r="AB56" s="82">
        <v>9</v>
      </c>
      <c r="AC56" s="82">
        <v>3</v>
      </c>
      <c r="BB56" s="82"/>
      <c r="BC56" s="82"/>
      <c r="BF56" s="82"/>
      <c r="BG56" s="82"/>
    </row>
    <row r="57" spans="24:59" x14ac:dyDescent="0.2">
      <c r="AB57" s="82">
        <v>1</v>
      </c>
      <c r="AC57" s="82">
        <v>5</v>
      </c>
      <c r="BF57" s="82"/>
      <c r="BG57" s="82"/>
    </row>
    <row r="58" spans="24:59" x14ac:dyDescent="0.2">
      <c r="AB58" s="82">
        <v>6</v>
      </c>
      <c r="AC58" s="82">
        <v>4</v>
      </c>
      <c r="BF58" s="82"/>
      <c r="BG58" s="82"/>
    </row>
    <row r="59" spans="24:59" x14ac:dyDescent="0.2">
      <c r="AB59" s="82">
        <v>3</v>
      </c>
      <c r="AC59" s="82">
        <v>7</v>
      </c>
      <c r="BF59" s="82"/>
      <c r="BG59" s="82"/>
    </row>
    <row r="60" spans="24:59" x14ac:dyDescent="0.2">
      <c r="AB60" s="82">
        <v>8</v>
      </c>
      <c r="AC60" s="82">
        <v>2</v>
      </c>
      <c r="BF60" s="82"/>
      <c r="BG60" s="82"/>
    </row>
    <row r="61" spans="24:59" x14ac:dyDescent="0.2">
      <c r="AB61" s="82">
        <v>4</v>
      </c>
      <c r="AC61" s="82">
        <v>1</v>
      </c>
      <c r="BF61" s="82"/>
      <c r="BG61" s="82"/>
    </row>
    <row r="62" spans="24:59" x14ac:dyDescent="0.2">
      <c r="AB62" s="82">
        <v>5</v>
      </c>
      <c r="AC62" s="82">
        <v>3</v>
      </c>
      <c r="BF62" s="82"/>
      <c r="BG62" s="82"/>
    </row>
    <row r="63" spans="24:59" x14ac:dyDescent="0.2">
      <c r="AB63" s="82">
        <v>2</v>
      </c>
      <c r="AC63" s="82">
        <v>6</v>
      </c>
      <c r="BF63" s="82"/>
      <c r="BG63" s="82"/>
    </row>
    <row r="64" spans="24:59" x14ac:dyDescent="0.2">
      <c r="AB64" s="82">
        <v>9</v>
      </c>
      <c r="AC64" s="82">
        <v>8</v>
      </c>
      <c r="BF64" s="82"/>
      <c r="BG64" s="82"/>
    </row>
    <row r="65" spans="28:59" x14ac:dyDescent="0.2">
      <c r="AB65" s="82">
        <v>1</v>
      </c>
      <c r="AC65" s="82">
        <v>3</v>
      </c>
      <c r="BF65" s="82"/>
      <c r="BG65" s="82"/>
    </row>
    <row r="66" spans="28:59" x14ac:dyDescent="0.2">
      <c r="AB66" s="82">
        <v>4</v>
      </c>
      <c r="AC66" s="82">
        <v>2</v>
      </c>
      <c r="BF66" s="82"/>
      <c r="BG66" s="82"/>
    </row>
    <row r="67" spans="28:59" x14ac:dyDescent="0.2">
      <c r="AB67" s="82">
        <v>6</v>
      </c>
      <c r="AC67" s="82">
        <v>9</v>
      </c>
      <c r="BF67" s="82"/>
      <c r="BG67" s="82"/>
    </row>
    <row r="68" spans="28:59" x14ac:dyDescent="0.2">
      <c r="AB68" s="82">
        <v>8</v>
      </c>
      <c r="AC68" s="82">
        <v>7</v>
      </c>
      <c r="BF68" s="82"/>
      <c r="BG68" s="82"/>
    </row>
    <row r="69" spans="28:59" x14ac:dyDescent="0.2">
      <c r="AB69" s="82">
        <v>2</v>
      </c>
      <c r="AC69" s="82">
        <v>1</v>
      </c>
      <c r="BF69" s="82"/>
      <c r="BG69" s="82"/>
    </row>
    <row r="70" spans="28:59" x14ac:dyDescent="0.2">
      <c r="AB70" s="82">
        <v>9</v>
      </c>
      <c r="AC70" s="82">
        <v>4</v>
      </c>
      <c r="BF70" s="82"/>
      <c r="BG70" s="82"/>
    </row>
    <row r="71" spans="28:59" x14ac:dyDescent="0.2">
      <c r="AB71" s="82">
        <v>5</v>
      </c>
      <c r="AC71" s="82">
        <v>8</v>
      </c>
      <c r="BF71" s="82"/>
      <c r="BG71" s="82"/>
    </row>
    <row r="72" spans="28:59" x14ac:dyDescent="0.2">
      <c r="AB72" s="82">
        <v>7</v>
      </c>
      <c r="AC72" s="82">
        <v>6</v>
      </c>
      <c r="BF72" s="82"/>
      <c r="BG72" s="82"/>
    </row>
  </sheetData>
  <mergeCells count="29">
    <mergeCell ref="BA29:BA33"/>
    <mergeCell ref="BE32:BE36"/>
    <mergeCell ref="BE37:BE41"/>
    <mergeCell ref="AS11:AS15"/>
    <mergeCell ref="AS16:AS20"/>
    <mergeCell ref="AW17:AW21"/>
    <mergeCell ref="AW22:AW26"/>
    <mergeCell ref="BA24:BA28"/>
    <mergeCell ref="AG2:AG3"/>
    <mergeCell ref="AK2:AK6"/>
    <mergeCell ref="AG4:AG6"/>
    <mergeCell ref="AO6:AO10"/>
    <mergeCell ref="AK7:AK11"/>
    <mergeCell ref="AO11:AO15"/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</mergeCells>
  <hyperlinks>
    <hyperlink ref="AE3" r:id="rId1" location="generateMatchups" xr:uid="{453BE069-96C8-4EDD-B408-3B5B1A5142F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Planning</vt:lpstr>
      <vt:lpstr>proof</vt:lpstr>
      <vt:lpstr>Results</vt:lpstr>
      <vt:lpstr>Fair-Play und Los</vt:lpstr>
      <vt:lpstr>DirComparisons</vt:lpstr>
      <vt:lpstr>Kick-off times</vt:lpstr>
      <vt:lpstr>Language</vt:lpstr>
      <vt:lpstr>Settings</vt:lpstr>
      <vt:lpstr>Spielpaarungen</vt:lpstr>
      <vt:lpstr>Info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2025-04-17T12:11:06Z</dcterms:modified>
</cp:coreProperties>
</file>