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D193EF4C-F3E3-451C-B76B-A01F02890A26}"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Round" sheetId="6" r:id="rId4"/>
    <sheet name="TieBreak" sheetId="31" state="hidden" r:id="rId5"/>
    <sheet name="Finals 1" sheetId="21" r:id="rId6"/>
    <sheet name="Finals 2" sheetId="24" r:id="rId7"/>
    <sheet name="DirComp_A" sheetId="10" state="hidden" r:id="rId8"/>
    <sheet name="DirComp_B" sheetId="20" state="hidden" r:id="rId9"/>
    <sheet name="Finals 3" sheetId="26" r:id="rId10"/>
    <sheet name="Finals 4" sheetId="27" r:id="rId11"/>
    <sheet name="Match_times_finals_4" sheetId="32" r:id="rId12"/>
    <sheet name="Language" sheetId="9" r:id="rId13"/>
    <sheet name="Settings" sheetId="14" r:id="rId14"/>
    <sheet name="Help" sheetId="16" r:id="rId15"/>
    <sheet name="Calc1" sheetId="3" state="hidden" r:id="rId16"/>
    <sheet name="Calc2" sheetId="17" state="hidden" r:id="rId17"/>
    <sheet name="CalcE1" sheetId="28" state="hidden" r:id="rId18"/>
    <sheet name="CalcE2" sheetId="29" state="hidden" r:id="rId19"/>
    <sheet name="CalcE3" sheetId="30" state="hidden" r:id="rId20"/>
  </sheets>
  <definedNames>
    <definedName name="_xlnm.Print_Area" localSheetId="11">Match_times_finals_4!$A$3:$I$63</definedName>
  </definedNames>
  <calcPr calcId="191029" concurrentCalc="0"/>
</workbook>
</file>

<file path=xl/calcChain.xml><?xml version="1.0" encoding="utf-8"?>
<calcChain xmlns="http://schemas.openxmlformats.org/spreadsheetml/2006/main">
  <c r="C3" i="9" l="1"/>
  <c r="E68" i="9"/>
  <c r="S11" i="26"/>
  <c r="R11" i="27"/>
  <c r="S11" i="24"/>
  <c r="S11" i="21"/>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C4" i="9"/>
  <c r="O5" i="22"/>
  <c r="O11" i="6"/>
  <c r="E69" i="9"/>
  <c r="E70" i="9"/>
  <c r="E46" i="9"/>
  <c r="H59" i="32"/>
  <c r="E48" i="9"/>
  <c r="G59" i="32"/>
  <c r="E39" i="9"/>
  <c r="F59" i="32"/>
  <c r="E60" i="9"/>
  <c r="E59" i="32"/>
  <c r="C59" i="32"/>
  <c r="H54" i="32"/>
  <c r="G54" i="32"/>
  <c r="F54" i="32"/>
  <c r="E54" i="32"/>
  <c r="C54" i="32"/>
  <c r="H49" i="32"/>
  <c r="G49" i="32"/>
  <c r="F49" i="32"/>
  <c r="E49" i="32"/>
  <c r="C49" i="32"/>
  <c r="H44" i="32"/>
  <c r="G44" i="32"/>
  <c r="F44" i="32"/>
  <c r="E44" i="32"/>
  <c r="C44" i="32"/>
  <c r="H39" i="32"/>
  <c r="G39" i="32"/>
  <c r="F39" i="32"/>
  <c r="E39" i="32"/>
  <c r="C39" i="32"/>
  <c r="H34" i="32"/>
  <c r="G34" i="32"/>
  <c r="F34" i="32"/>
  <c r="E34" i="32"/>
  <c r="C34" i="32"/>
  <c r="BS29" i="32"/>
  <c r="BR29" i="32"/>
  <c r="BQ29" i="32"/>
  <c r="Q64" i="3"/>
  <c r="F4" i="3"/>
  <c r="Q65" i="3"/>
  <c r="F5" i="3"/>
  <c r="Q66" i="3"/>
  <c r="F6" i="3"/>
  <c r="Q67" i="3"/>
  <c r="F7" i="3"/>
  <c r="Q68" i="3"/>
  <c r="F8" i="3"/>
  <c r="Q69" i="3"/>
  <c r="F9" i="3"/>
  <c r="F13" i="3"/>
  <c r="Q64" i="17"/>
  <c r="F4" i="17"/>
  <c r="Q65" i="17"/>
  <c r="F5" i="17"/>
  <c r="Q66" i="17"/>
  <c r="F6" i="17"/>
  <c r="Q67" i="17"/>
  <c r="F7" i="17"/>
  <c r="Q68" i="17"/>
  <c r="F8" i="17"/>
  <c r="Q69" i="17"/>
  <c r="F9" i="17"/>
  <c r="F13" i="17"/>
  <c r="F14" i="3"/>
  <c r="I6" i="22" a="1"/>
  <c r="I6" i="22"/>
  <c r="L6" i="22"/>
  <c r="V64" i="3"/>
  <c r="F12" i="6"/>
  <c r="K6" i="22" a="1"/>
  <c r="K6" i="22"/>
  <c r="N6" i="22"/>
  <c r="H12" i="6"/>
  <c r="AA64" i="3"/>
  <c r="I7" i="22"/>
  <c r="L7" i="22"/>
  <c r="V65" i="3"/>
  <c r="F13" i="6"/>
  <c r="K7" i="22"/>
  <c r="N7" i="22"/>
  <c r="H13" i="6"/>
  <c r="AA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F14" i="6"/>
  <c r="K8" i="22"/>
  <c r="N8" i="22"/>
  <c r="H14" i="6"/>
  <c r="AA66" i="3"/>
  <c r="F15" i="6"/>
  <c r="K9" i="22"/>
  <c r="N9" i="22"/>
  <c r="H15" i="6"/>
  <c r="AA67" i="3"/>
  <c r="F16" i="6"/>
  <c r="K10" i="22"/>
  <c r="N10" i="22"/>
  <c r="H16" i="6"/>
  <c r="AA68" i="3"/>
  <c r="F17" i="6"/>
  <c r="K11" i="22"/>
  <c r="N11" i="22"/>
  <c r="H17" i="6"/>
  <c r="AA69" i="3"/>
  <c r="F18" i="6"/>
  <c r="K12" i="22"/>
  <c r="N12" i="22"/>
  <c r="H18" i="6"/>
  <c r="AA70" i="3"/>
  <c r="F19" i="6"/>
  <c r="K13" i="22"/>
  <c r="N13" i="22"/>
  <c r="H19" i="6"/>
  <c r="AA71" i="3"/>
  <c r="F20" i="6"/>
  <c r="K14" i="22"/>
  <c r="N14" i="22"/>
  <c r="H20" i="6"/>
  <c r="AA72" i="3"/>
  <c r="F21" i="6"/>
  <c r="K15" i="22"/>
  <c r="N15" i="22"/>
  <c r="H21" i="6"/>
  <c r="AA73" i="3"/>
  <c r="F22" i="6"/>
  <c r="K16" i="22"/>
  <c r="N16" i="22"/>
  <c r="H22" i="6"/>
  <c r="AA74" i="3"/>
  <c r="F23" i="6"/>
  <c r="K17" i="22"/>
  <c r="N17" i="22"/>
  <c r="H23" i="6"/>
  <c r="AA75" i="3"/>
  <c r="F24" i="6"/>
  <c r="K18" i="22"/>
  <c r="N18" i="22"/>
  <c r="H24" i="6"/>
  <c r="AA76" i="3"/>
  <c r="F25" i="6"/>
  <c r="K19" i="22"/>
  <c r="N19" i="22"/>
  <c r="H25" i="6"/>
  <c r="AA77" i="3"/>
  <c r="F26" i="6"/>
  <c r="K20" i="22"/>
  <c r="N20" i="22"/>
  <c r="H26" i="6"/>
  <c r="AA78" i="3"/>
  <c r="F27" i="6"/>
  <c r="K21" i="22"/>
  <c r="N21" i="22"/>
  <c r="H27" i="6"/>
  <c r="AA79" i="3"/>
  <c r="F28" i="6"/>
  <c r="K22" i="22"/>
  <c r="N22" i="22"/>
  <c r="H28" i="6"/>
  <c r="AA80" i="3"/>
  <c r="F29" i="6"/>
  <c r="K23" i="22"/>
  <c r="N23" i="22"/>
  <c r="H29" i="6"/>
  <c r="AA81" i="3"/>
  <c r="F30" i="6"/>
  <c r="K24" i="22"/>
  <c r="N24" i="22"/>
  <c r="H30" i="6"/>
  <c r="AA82" i="3"/>
  <c r="F31" i="6"/>
  <c r="K25" i="22"/>
  <c r="N25" i="22"/>
  <c r="H31" i="6"/>
  <c r="AA83" i="3"/>
  <c r="F32" i="6"/>
  <c r="K26" i="22"/>
  <c r="N26" i="22"/>
  <c r="H32" i="6"/>
  <c r="AA84" i="3"/>
  <c r="F33" i="6"/>
  <c r="K27" i="22"/>
  <c r="N27" i="22"/>
  <c r="H33" i="6"/>
  <c r="AA85" i="3"/>
  <c r="F34" i="6"/>
  <c r="K28" i="22"/>
  <c r="N28" i="22"/>
  <c r="H34" i="6"/>
  <c r="AA86" i="3"/>
  <c r="F35" i="6"/>
  <c r="K29" i="22"/>
  <c r="N29" i="22"/>
  <c r="H35" i="6"/>
  <c r="AA87" i="3"/>
  <c r="F36" i="6"/>
  <c r="K30" i="22"/>
  <c r="N30" i="22"/>
  <c r="H36" i="6"/>
  <c r="AA88" i="3"/>
  <c r="F37" i="6"/>
  <c r="K31" i="22"/>
  <c r="N31" i="22"/>
  <c r="H37" i="6"/>
  <c r="AA89" i="3"/>
  <c r="F38" i="6"/>
  <c r="K32" i="22"/>
  <c r="N32" i="22"/>
  <c r="H38" i="6"/>
  <c r="AA90" i="3"/>
  <c r="F39" i="6"/>
  <c r="K33" i="22"/>
  <c r="N33" i="22"/>
  <c r="H39" i="6"/>
  <c r="AA91" i="3"/>
  <c r="F40" i="6"/>
  <c r="K34" i="22"/>
  <c r="N34" i="22"/>
  <c r="H40" i="6"/>
  <c r="AA92" i="3"/>
  <c r="F41" i="6"/>
  <c r="K35" i="22"/>
  <c r="N35" i="22"/>
  <c r="H41" i="6"/>
  <c r="AA9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AE84" i="3"/>
  <c r="AE85" i="3"/>
  <c r="AE86" i="3"/>
  <c r="AE87" i="3"/>
  <c r="AE88" i="3"/>
  <c r="AE89" i="3"/>
  <c r="AE90" i="3"/>
  <c r="AE91" i="3"/>
  <c r="AE92" i="3"/>
  <c r="AE9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J4" i="3"/>
  <c r="K17" i="3"/>
  <c r="G4" i="3"/>
  <c r="H4" i="3"/>
  <c r="E84" i="9"/>
  <c r="G7" i="14"/>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84" i="3"/>
  <c r="X85" i="3"/>
  <c r="X86" i="3"/>
  <c r="X87" i="3"/>
  <c r="X88" i="3"/>
  <c r="X89" i="3"/>
  <c r="X90" i="3"/>
  <c r="X91" i="3"/>
  <c r="X92" i="3"/>
  <c r="X93" i="3"/>
  <c r="Y84" i="3"/>
  <c r="Y85" i="3"/>
  <c r="Y86" i="3"/>
  <c r="Y87" i="3"/>
  <c r="Y88" i="3"/>
  <c r="Y89" i="3"/>
  <c r="Y90" i="3"/>
  <c r="Y91" i="3"/>
  <c r="Y92" i="3"/>
  <c r="Y93" i="3"/>
  <c r="AG84" i="3"/>
  <c r="AG85" i="3"/>
  <c r="AG86" i="3"/>
  <c r="AG87" i="3"/>
  <c r="AG88" i="3"/>
  <c r="AG89" i="3"/>
  <c r="AG90" i="3"/>
  <c r="AG91" i="3"/>
  <c r="AG92" i="3"/>
  <c r="AG93" i="3"/>
  <c r="AH84" i="3"/>
  <c r="AH85" i="3"/>
  <c r="AH86" i="3"/>
  <c r="AH87" i="3"/>
  <c r="AH88" i="3"/>
  <c r="AH89" i="3"/>
  <c r="AH90" i="3"/>
  <c r="AH91" i="3"/>
  <c r="AH92" i="3"/>
  <c r="AH9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C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C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C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C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C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R52" i="3"/>
  <c r="BT51" i="3"/>
  <c r="BT52" i="3"/>
  <c r="BU51" i="3"/>
  <c r="BU52" i="3"/>
  <c r="BV51" i="3"/>
  <c r="BV52" i="3"/>
  <c r="BW51" i="3"/>
  <c r="BW52" i="3"/>
  <c r="BX51" i="3"/>
  <c r="BX52" i="3"/>
  <c r="BY52" i="3"/>
  <c r="BZ52"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C22"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BR41" i="3"/>
  <c r="BS40" i="3"/>
  <c r="BT40" i="3"/>
  <c r="BU40" i="3"/>
  <c r="BV40" i="3"/>
  <c r="BW40" i="3"/>
  <c r="BX40" i="3"/>
  <c r="BR42" i="3"/>
  <c r="BR43" i="3"/>
  <c r="BR44" i="3"/>
  <c r="BR45" i="3"/>
  <c r="BR46"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O12" i="6"/>
  <c r="I12" i="31"/>
  <c r="K12" i="31"/>
  <c r="AC12" i="31"/>
  <c r="AD12" i="31"/>
  <c r="U12" i="31"/>
  <c r="I13" i="31"/>
  <c r="K13" i="31"/>
  <c r="AC13" i="31"/>
  <c r="AD13" i="31"/>
  <c r="U13" i="31"/>
  <c r="I14" i="31"/>
  <c r="K14" i="31"/>
  <c r="AC14" i="31"/>
  <c r="AD14" i="31"/>
  <c r="U14" i="31"/>
  <c r="I15" i="31"/>
  <c r="K15" i="31"/>
  <c r="AC15" i="31"/>
  <c r="AD15" i="31"/>
  <c r="U15" i="31"/>
  <c r="I16" i="31"/>
  <c r="K16" i="31"/>
  <c r="AC16" i="31"/>
  <c r="AD16" i="31"/>
  <c r="U16" i="31"/>
  <c r="I17" i="31"/>
  <c r="K17" i="31"/>
  <c r="AC17" i="31"/>
  <c r="AD17" i="31"/>
  <c r="U17" i="31"/>
  <c r="AQ12" i="6"/>
  <c r="Y17" i="3"/>
  <c r="X17" i="3"/>
  <c r="AO13" i="6"/>
  <c r="AQ13" i="6"/>
  <c r="Y18" i="3"/>
  <c r="X18" i="3"/>
  <c r="AO14" i="6"/>
  <c r="AQ14" i="6"/>
  <c r="Y19" i="3"/>
  <c r="X19" i="3"/>
  <c r="AO15" i="6"/>
  <c r="AQ15" i="6"/>
  <c r="Y20" i="3"/>
  <c r="X20" i="3"/>
  <c r="AO16" i="6"/>
  <c r="AQ16" i="6"/>
  <c r="Y21" i="3"/>
  <c r="X21" i="3"/>
  <c r="AO17" i="6"/>
  <c r="AQ17" i="6"/>
  <c r="Y22" i="3"/>
  <c r="X22" i="3"/>
  <c r="X23" i="3"/>
  <c r="X24" i="3"/>
  <c r="X25" i="3"/>
  <c r="E4" i="3"/>
  <c r="D4" i="3"/>
  <c r="E5" i="3"/>
  <c r="D5" i="3"/>
  <c r="E6" i="3"/>
  <c r="D6" i="3"/>
  <c r="E7" i="3"/>
  <c r="D7" i="3"/>
  <c r="E8" i="3"/>
  <c r="D8" i="3"/>
  <c r="E9" i="3"/>
  <c r="D9" i="3"/>
  <c r="E10" i="3"/>
  <c r="D10" i="3"/>
  <c r="E11" i="3"/>
  <c r="D11" i="3"/>
  <c r="E12" i="3"/>
  <c r="D12" i="3"/>
  <c r="C4" i="3"/>
  <c r="C5" i="3"/>
  <c r="C6" i="3"/>
  <c r="M4" i="3"/>
  <c r="N4" i="3"/>
  <c r="L4" i="3"/>
  <c r="M5" i="3"/>
  <c r="N5" i="3"/>
  <c r="L5" i="3"/>
  <c r="M6" i="3"/>
  <c r="N6" i="3"/>
  <c r="L6" i="3"/>
  <c r="C7" i="3"/>
  <c r="M7" i="3"/>
  <c r="N7" i="3"/>
  <c r="L7" i="3"/>
  <c r="C8" i="3"/>
  <c r="M8" i="3"/>
  <c r="N8" i="3"/>
  <c r="L8" i="3"/>
  <c r="C9" i="3"/>
  <c r="M9" i="3"/>
  <c r="N9" i="3"/>
  <c r="L9" i="3"/>
  <c r="C10" i="3"/>
  <c r="M10" i="3"/>
  <c r="N10" i="3"/>
  <c r="L10" i="3"/>
  <c r="C11" i="3"/>
  <c r="M11" i="3"/>
  <c r="N11" i="3"/>
  <c r="L11" i="3"/>
  <c r="C12" i="3"/>
  <c r="M12" i="3"/>
  <c r="N12" i="3"/>
  <c r="L12" i="3"/>
  <c r="R12" i="6"/>
  <c r="AI12" i="27"/>
  <c r="I29" i="27"/>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AE84" i="17"/>
  <c r="AE85" i="17"/>
  <c r="AE86" i="17"/>
  <c r="AE87" i="17"/>
  <c r="AE88" i="17"/>
  <c r="AE89" i="17"/>
  <c r="AE90" i="17"/>
  <c r="AE91" i="17"/>
  <c r="AE92" i="17"/>
  <c r="AE9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84" i="17"/>
  <c r="X85" i="17"/>
  <c r="X86" i="17"/>
  <c r="X87" i="17"/>
  <c r="X88" i="17"/>
  <c r="X89" i="17"/>
  <c r="X90" i="17"/>
  <c r="X91" i="17"/>
  <c r="X92" i="17"/>
  <c r="X93" i="17"/>
  <c r="Y84" i="17"/>
  <c r="Y85" i="17"/>
  <c r="Y86" i="17"/>
  <c r="Y87" i="17"/>
  <c r="Y88" i="17"/>
  <c r="Y89" i="17"/>
  <c r="Y90" i="17"/>
  <c r="Y91" i="17"/>
  <c r="Y92" i="17"/>
  <c r="Y93" i="17"/>
  <c r="AG84" i="17"/>
  <c r="AG85" i="17"/>
  <c r="AG86" i="17"/>
  <c r="AG87" i="17"/>
  <c r="AG88" i="17"/>
  <c r="AG89" i="17"/>
  <c r="AG90" i="17"/>
  <c r="AG91" i="17"/>
  <c r="AG92" i="17"/>
  <c r="AG93" i="17"/>
  <c r="AH84" i="17"/>
  <c r="AH85" i="17"/>
  <c r="AH86" i="17"/>
  <c r="AH87" i="17"/>
  <c r="AH88" i="17"/>
  <c r="AH89" i="17"/>
  <c r="AH90" i="17"/>
  <c r="AH91" i="17"/>
  <c r="AH92" i="17"/>
  <c r="AH9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C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C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C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C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C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R52" i="17"/>
  <c r="BT51" i="17"/>
  <c r="BT52" i="17"/>
  <c r="BU51" i="17"/>
  <c r="BU52" i="17"/>
  <c r="BV51" i="17"/>
  <c r="BV52" i="17"/>
  <c r="BW51" i="17"/>
  <c r="BW52" i="17"/>
  <c r="BX51" i="17"/>
  <c r="BX52" i="17"/>
  <c r="BY52" i="17"/>
  <c r="BZ52" i="17"/>
  <c r="CA52" i="17"/>
  <c r="BR53" i="17"/>
  <c r="BS51" i="17"/>
  <c r="BS53" i="17"/>
  <c r="BU53" i="17"/>
  <c r="BV53" i="17"/>
  <c r="BW53" i="17"/>
  <c r="BX53" i="17"/>
  <c r="BY53" i="17"/>
  <c r="BZ53" i="17"/>
  <c r="CA53" i="17"/>
  <c r="BR54" i="17"/>
  <c r="BS54" i="17"/>
  <c r="BT54" i="17"/>
  <c r="BV54" i="17"/>
  <c r="BW54" i="17"/>
  <c r="BX54" i="17"/>
  <c r="BY54" i="17"/>
  <c r="BZ54" i="17"/>
  <c r="CA54" i="17"/>
  <c r="BR55" i="17"/>
  <c r="BS55" i="17"/>
  <c r="BT55" i="17"/>
  <c r="BU55" i="17"/>
  <c r="BW55" i="17"/>
  <c r="BX55" i="17"/>
  <c r="BY55" i="17"/>
  <c r="BZ55" i="17"/>
  <c r="CA55" i="17"/>
  <c r="BR56" i="17"/>
  <c r="BS56" i="17"/>
  <c r="BT56" i="17"/>
  <c r="BU56" i="17"/>
  <c r="BV56" i="17"/>
  <c r="BX56" i="17"/>
  <c r="BY56" i="17"/>
  <c r="BZ56" i="17"/>
  <c r="CA56" i="17"/>
  <c r="BR57"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C22"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R30" i="17"/>
  <c r="BT29" i="17"/>
  <c r="BT30" i="17"/>
  <c r="BR31" i="17"/>
  <c r="BS29" i="17"/>
  <c r="BS31" i="17"/>
  <c r="BT41" i="17"/>
  <c r="BU29" i="17"/>
  <c r="BU30" i="17"/>
  <c r="BR32" i="17"/>
  <c r="BS32" i="17"/>
  <c r="BU41" i="17"/>
  <c r="BV29" i="17"/>
  <c r="BV30" i="17"/>
  <c r="BR33" i="17"/>
  <c r="BS33" i="17"/>
  <c r="BV41" i="17"/>
  <c r="BW29" i="17"/>
  <c r="BW30" i="17"/>
  <c r="BR34" i="17"/>
  <c r="BS34" i="17"/>
  <c r="BW41" i="17"/>
  <c r="BX29" i="17"/>
  <c r="BX30" i="17"/>
  <c r="BR35"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BR41" i="17"/>
  <c r="BS40" i="17"/>
  <c r="BT40" i="17"/>
  <c r="BU40" i="17"/>
  <c r="BV40" i="17"/>
  <c r="BW40" i="17"/>
  <c r="BX40" i="17"/>
  <c r="BR42" i="17"/>
  <c r="BR43" i="17"/>
  <c r="BR44" i="17"/>
  <c r="BR45" i="17"/>
  <c r="BR46"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O22" i="6"/>
  <c r="AQ22" i="6"/>
  <c r="Y17" i="17"/>
  <c r="X17" i="17"/>
  <c r="AO23" i="6"/>
  <c r="AQ23" i="6"/>
  <c r="Y18" i="17"/>
  <c r="X18" i="17"/>
  <c r="AO24" i="6"/>
  <c r="AQ24" i="6"/>
  <c r="Y19" i="17"/>
  <c r="X19" i="17"/>
  <c r="AO25" i="6"/>
  <c r="AQ25" i="6"/>
  <c r="Y20" i="17"/>
  <c r="X20" i="17"/>
  <c r="AO26" i="6"/>
  <c r="AQ26" i="6"/>
  <c r="Y21" i="17"/>
  <c r="X21" i="17"/>
  <c r="AO27" i="6"/>
  <c r="AQ27" i="6"/>
  <c r="Y22" i="17"/>
  <c r="X22" i="17"/>
  <c r="X23" i="17"/>
  <c r="X24" i="17"/>
  <c r="X25" i="17"/>
  <c r="E4" i="17"/>
  <c r="D4" i="17"/>
  <c r="E5" i="17"/>
  <c r="D5" i="17"/>
  <c r="E6" i="17"/>
  <c r="D6" i="17"/>
  <c r="E7" i="17"/>
  <c r="D7" i="17"/>
  <c r="E8" i="17"/>
  <c r="D8" i="17"/>
  <c r="E9" i="17"/>
  <c r="D9" i="17"/>
  <c r="E10" i="17"/>
  <c r="D10" i="17"/>
  <c r="E11" i="17"/>
  <c r="D11" i="17"/>
  <c r="E12" i="17"/>
  <c r="D12" i="17"/>
  <c r="C4" i="17"/>
  <c r="R22" i="6"/>
  <c r="AI13" i="27"/>
  <c r="K29" i="27"/>
  <c r="BN29" i="32"/>
  <c r="BM29" i="32"/>
  <c r="BL29" i="32"/>
  <c r="BI29" i="32"/>
  <c r="BH29" i="32"/>
  <c r="BG29" i="32"/>
  <c r="BD29" i="32"/>
  <c r="BC29" i="32"/>
  <c r="BB29" i="32"/>
  <c r="AY29" i="32"/>
  <c r="AX29" i="32"/>
  <c r="AW29" i="32"/>
  <c r="AT29" i="32"/>
  <c r="C12" i="27" a="1"/>
  <c r="C12" i="27"/>
  <c r="V15" i="22"/>
  <c r="V10" i="22"/>
  <c r="V11" i="22"/>
  <c r="B13" i="3"/>
  <c r="B13" i="17"/>
  <c r="B14" i="3"/>
  <c r="S13" i="22" a="1"/>
  <c r="S13" i="22"/>
  <c r="Q35" i="22"/>
  <c r="D12" i="27"/>
  <c r="C29" i="32"/>
  <c r="AO29" i="32"/>
  <c r="AN29" i="32"/>
  <c r="AM29" i="32"/>
  <c r="C24" i="32"/>
  <c r="AJ29" i="32"/>
  <c r="AI29" i="32"/>
  <c r="AH29" i="32"/>
  <c r="C19" i="32"/>
  <c r="AE29" i="32"/>
  <c r="C14" i="32"/>
  <c r="Z29" i="32"/>
  <c r="Y29" i="32"/>
  <c r="X29" i="32"/>
  <c r="C9" i="32"/>
  <c r="U29" i="32"/>
  <c r="T29" i="32"/>
  <c r="S29" i="32"/>
  <c r="C4" i="32"/>
  <c r="P29" i="32"/>
  <c r="O29" i="32"/>
  <c r="N29" i="32"/>
  <c r="H29" i="32"/>
  <c r="G29" i="32"/>
  <c r="F29" i="32"/>
  <c r="E29" i="32"/>
  <c r="BS28" i="32"/>
  <c r="BR28" i="32"/>
  <c r="BQ28" i="32"/>
  <c r="R14" i="6"/>
  <c r="AI19" i="27"/>
  <c r="E58" i="9"/>
  <c r="U17" i="27"/>
  <c r="AH17" i="27"/>
  <c r="I28" i="27"/>
  <c r="C5" i="17"/>
  <c r="C6" i="17"/>
  <c r="C7" i="17"/>
  <c r="C8" i="17"/>
  <c r="R24" i="6"/>
  <c r="AI20" i="27"/>
  <c r="K28" i="27"/>
  <c r="BN28" i="32"/>
  <c r="BI28" i="32"/>
  <c r="BH28" i="32"/>
  <c r="BG28" i="32"/>
  <c r="BD28" i="32"/>
  <c r="BC28" i="32"/>
  <c r="BB28" i="32"/>
  <c r="AY28" i="32"/>
  <c r="AX28" i="32"/>
  <c r="AW28" i="32"/>
  <c r="AT28" i="32"/>
  <c r="AS28" i="32"/>
  <c r="AR28" i="32"/>
  <c r="AO28" i="32"/>
  <c r="AN28" i="32"/>
  <c r="AM28" i="32"/>
  <c r="AJ28" i="32"/>
  <c r="AI28" i="32"/>
  <c r="AH28" i="32"/>
  <c r="AE28" i="32"/>
  <c r="AD28" i="32"/>
  <c r="AC28" i="32"/>
  <c r="Z28" i="32"/>
  <c r="Y28" i="32"/>
  <c r="X28" i="32"/>
  <c r="U28" i="32"/>
  <c r="T28" i="32"/>
  <c r="S28" i="32"/>
  <c r="P28" i="32"/>
  <c r="BS27" i="32"/>
  <c r="BR27" i="32"/>
  <c r="BQ27" i="32"/>
  <c r="R16" i="6"/>
  <c r="AI26" i="27"/>
  <c r="E59" i="9"/>
  <c r="U24" i="27"/>
  <c r="AH24" i="27"/>
  <c r="I27" i="27"/>
  <c r="R26" i="6"/>
  <c r="AI27" i="27"/>
  <c r="K27" i="27"/>
  <c r="BN27" i="32"/>
  <c r="BM27" i="32"/>
  <c r="BL27" i="32"/>
  <c r="BI27" i="32"/>
  <c r="BH27" i="32"/>
  <c r="BG27" i="32"/>
  <c r="BD27" i="32"/>
  <c r="BC27" i="32"/>
  <c r="BB27" i="32"/>
  <c r="AY27" i="32"/>
  <c r="AT27" i="32"/>
  <c r="AS27" i="32"/>
  <c r="AR27" i="32"/>
  <c r="AO27" i="32"/>
  <c r="AN27" i="32"/>
  <c r="AM27" i="32"/>
  <c r="AJ27" i="32"/>
  <c r="AE27" i="32"/>
  <c r="AD27" i="32"/>
  <c r="AC27" i="32"/>
  <c r="Z27" i="32"/>
  <c r="Y27" i="32"/>
  <c r="X27" i="32"/>
  <c r="U27" i="32"/>
  <c r="T27" i="32"/>
  <c r="S27" i="32"/>
  <c r="P27" i="32"/>
  <c r="O27" i="32"/>
  <c r="N27" i="32"/>
  <c r="BS26" i="32"/>
  <c r="BR26" i="32"/>
  <c r="BQ26" i="32"/>
  <c r="R13" i="6"/>
  <c r="AI14" i="27"/>
  <c r="I26" i="27"/>
  <c r="R23" i="6"/>
  <c r="AI15" i="27"/>
  <c r="K26" i="27"/>
  <c r="BN26" i="32"/>
  <c r="BM26" i="32"/>
  <c r="BL26" i="32"/>
  <c r="BI26" i="32"/>
  <c r="BD26" i="32"/>
  <c r="BC26" i="32"/>
  <c r="BB26" i="32"/>
  <c r="AY26" i="32"/>
  <c r="AX26" i="32"/>
  <c r="AW26" i="32"/>
  <c r="AT26" i="32"/>
  <c r="AS26" i="32"/>
  <c r="AR26" i="32"/>
  <c r="AO26" i="32"/>
  <c r="AN26" i="32"/>
  <c r="AM26" i="32"/>
  <c r="AJ26" i="32"/>
  <c r="AI26" i="32"/>
  <c r="AH26" i="32"/>
  <c r="AE26" i="32"/>
  <c r="AD26" i="32"/>
  <c r="AC26" i="32"/>
  <c r="Z26" i="32"/>
  <c r="U26" i="32"/>
  <c r="T26" i="32"/>
  <c r="S26" i="32"/>
  <c r="P26" i="32"/>
  <c r="O26" i="32"/>
  <c r="N26" i="32"/>
  <c r="BS25" i="32"/>
  <c r="BR25" i="32"/>
  <c r="BQ25" i="32"/>
  <c r="R15" i="6"/>
  <c r="AI21" i="27"/>
  <c r="I25" i="27"/>
  <c r="R25" i="6"/>
  <c r="AI22" i="27"/>
  <c r="K25" i="27"/>
  <c r="BN25" i="32"/>
  <c r="BM25" i="32"/>
  <c r="BL25" i="32"/>
  <c r="BI25" i="32"/>
  <c r="BH25" i="32"/>
  <c r="BG25" i="32"/>
  <c r="BD25" i="32"/>
  <c r="AY25" i="32"/>
  <c r="AX25" i="32"/>
  <c r="AW25" i="32"/>
  <c r="AT25" i="32"/>
  <c r="AS25" i="32"/>
  <c r="AR25" i="32"/>
  <c r="AO25" i="32"/>
  <c r="AN25" i="32"/>
  <c r="AM25" i="32"/>
  <c r="AJ25" i="32"/>
  <c r="AI25" i="32"/>
  <c r="AH25" i="32"/>
  <c r="AE25" i="32"/>
  <c r="AD25" i="32"/>
  <c r="AC25" i="32"/>
  <c r="Z25" i="32"/>
  <c r="Y25" i="32"/>
  <c r="X25" i="32"/>
  <c r="U25" i="32"/>
  <c r="P25" i="32"/>
  <c r="O25" i="32"/>
  <c r="N25" i="32"/>
  <c r="BS24" i="32"/>
  <c r="BR24" i="32"/>
  <c r="BQ24" i="32"/>
  <c r="R17" i="6"/>
  <c r="AI28" i="27"/>
  <c r="I24" i="27"/>
  <c r="C9" i="17"/>
  <c r="R27" i="6"/>
  <c r="AI29" i="27"/>
  <c r="K24" i="27"/>
  <c r="BN24" i="32"/>
  <c r="BM24" i="32"/>
  <c r="BL24" i="32"/>
  <c r="BI24" i="32"/>
  <c r="BH24" i="32"/>
  <c r="BG24" i="32"/>
  <c r="BD24" i="32"/>
  <c r="BC24" i="32"/>
  <c r="BB24" i="32"/>
  <c r="AY24" i="32"/>
  <c r="AX24" i="32"/>
  <c r="AW24" i="32"/>
  <c r="AT24" i="32"/>
  <c r="AS24" i="32"/>
  <c r="AR24" i="32"/>
  <c r="AO24" i="32"/>
  <c r="AN24" i="32"/>
  <c r="AM24" i="32"/>
  <c r="AJ24" i="32"/>
  <c r="AI24" i="32"/>
  <c r="AH24" i="32"/>
  <c r="AE24" i="32"/>
  <c r="AD24" i="32"/>
  <c r="AC24" i="32"/>
  <c r="Z24" i="32"/>
  <c r="Y24" i="32"/>
  <c r="X24" i="32"/>
  <c r="U24" i="32"/>
  <c r="T24" i="32"/>
  <c r="S24" i="32"/>
  <c r="P24" i="32"/>
  <c r="O24" i="32"/>
  <c r="N24" i="32"/>
  <c r="H24" i="32"/>
  <c r="G24" i="32"/>
  <c r="F24" i="32"/>
  <c r="E24" i="32"/>
  <c r="BS23" i="32"/>
  <c r="BR23" i="32"/>
  <c r="BQ23" i="32"/>
  <c r="I23" i="27"/>
  <c r="K23" i="27"/>
  <c r="BN23" i="32"/>
  <c r="BM23" i="32"/>
  <c r="BL23" i="32"/>
  <c r="BI23" i="32"/>
  <c r="BD23" i="32"/>
  <c r="BC23" i="32"/>
  <c r="BB23" i="32"/>
  <c r="AY23" i="32"/>
  <c r="AX23" i="32"/>
  <c r="AW23" i="32"/>
  <c r="AT23" i="32"/>
  <c r="AO23" i="32"/>
  <c r="AN23" i="32"/>
  <c r="AM23" i="32"/>
  <c r="AJ23" i="32"/>
  <c r="AI23" i="32"/>
  <c r="AH23" i="32"/>
  <c r="AE23" i="32"/>
  <c r="AD23" i="32"/>
  <c r="AC23" i="32"/>
  <c r="Z23" i="32"/>
  <c r="Y23" i="32"/>
  <c r="X23" i="32"/>
  <c r="U23" i="32"/>
  <c r="T23" i="32"/>
  <c r="S23" i="32"/>
  <c r="P23" i="32"/>
  <c r="O23" i="32"/>
  <c r="N23" i="32"/>
  <c r="BS22" i="32"/>
  <c r="BR22" i="32"/>
  <c r="BQ22" i="32"/>
  <c r="I22" i="27"/>
  <c r="K22" i="27"/>
  <c r="BN22" i="32"/>
  <c r="BI22" i="32"/>
  <c r="BH22" i="32"/>
  <c r="BG22" i="32"/>
  <c r="BD22" i="32"/>
  <c r="AY22" i="32"/>
  <c r="AX22" i="32"/>
  <c r="AW22" i="32"/>
  <c r="AT22" i="32"/>
  <c r="AS22" i="32"/>
  <c r="AR22" i="32"/>
  <c r="AO22" i="32"/>
  <c r="AN22" i="32"/>
  <c r="AM22" i="32"/>
  <c r="AJ22" i="32"/>
  <c r="AI22" i="32"/>
  <c r="AH22" i="32"/>
  <c r="AE22" i="32"/>
  <c r="AD22" i="32"/>
  <c r="AC22" i="32"/>
  <c r="Z22" i="32"/>
  <c r="Y22" i="32"/>
  <c r="X22" i="32"/>
  <c r="U22" i="32"/>
  <c r="T22" i="32"/>
  <c r="S22" i="32"/>
  <c r="P22" i="32"/>
  <c r="O22" i="32"/>
  <c r="N22" i="32"/>
  <c r="BS21" i="32"/>
  <c r="BR21" i="32"/>
  <c r="BQ21" i="32"/>
  <c r="I21" i="27"/>
  <c r="K21" i="27"/>
  <c r="BN21" i="32"/>
  <c r="BM21" i="32"/>
  <c r="BL21" i="32"/>
  <c r="BI21" i="32"/>
  <c r="BH21" i="32"/>
  <c r="BG21" i="32"/>
  <c r="BD21" i="32"/>
  <c r="BC21" i="32"/>
  <c r="BB21" i="32"/>
  <c r="AY21" i="32"/>
  <c r="AX21" i="32"/>
  <c r="AW21" i="32"/>
  <c r="AT21" i="32"/>
  <c r="AS21" i="32"/>
  <c r="AR21" i="32"/>
  <c r="AO21" i="32"/>
  <c r="AN21" i="32"/>
  <c r="AM21" i="32"/>
  <c r="AJ21" i="32"/>
  <c r="AI21" i="32"/>
  <c r="AH21" i="32"/>
  <c r="AE21" i="32"/>
  <c r="AD21" i="32"/>
  <c r="AC21" i="32"/>
  <c r="Z21" i="32"/>
  <c r="Y21" i="32"/>
  <c r="X21" i="32"/>
  <c r="U21" i="32"/>
  <c r="T21" i="32"/>
  <c r="S21" i="32"/>
  <c r="P21" i="32"/>
  <c r="O21" i="32"/>
  <c r="N21" i="32"/>
  <c r="BS20" i="32"/>
  <c r="BR20" i="32"/>
  <c r="BQ20" i="32"/>
  <c r="I20" i="27"/>
  <c r="K20" i="27"/>
  <c r="BN20" i="32"/>
  <c r="BM20" i="32"/>
  <c r="BL20" i="32"/>
  <c r="BI20" i="32"/>
  <c r="BH20" i="32"/>
  <c r="BG20" i="32"/>
  <c r="BD20" i="32"/>
  <c r="BC20" i="32"/>
  <c r="BB20" i="32"/>
  <c r="AY20" i="32"/>
  <c r="AX20" i="32"/>
  <c r="AW20" i="32"/>
  <c r="AT20" i="32"/>
  <c r="AS20" i="32"/>
  <c r="AR20" i="32"/>
  <c r="AO20" i="32"/>
  <c r="AN20" i="32"/>
  <c r="AM20" i="32"/>
  <c r="AJ20" i="32"/>
  <c r="AI20" i="32"/>
  <c r="AH20" i="32"/>
  <c r="AE20" i="32"/>
  <c r="Z20" i="32"/>
  <c r="U20" i="32"/>
  <c r="T20" i="32"/>
  <c r="S20" i="32"/>
  <c r="P20" i="32"/>
  <c r="O20" i="32"/>
  <c r="N20" i="32"/>
  <c r="BS19" i="32"/>
  <c r="BR19" i="32"/>
  <c r="BQ19" i="32"/>
  <c r="I19" i="27"/>
  <c r="K19" i="27"/>
  <c r="BN19" i="32"/>
  <c r="BM19" i="32"/>
  <c r="BL19" i="32"/>
  <c r="BI19" i="32"/>
  <c r="BH19" i="32"/>
  <c r="BG19" i="32"/>
  <c r="BD19" i="32"/>
  <c r="BC19" i="32"/>
  <c r="BB19" i="32"/>
  <c r="AY19" i="32"/>
  <c r="AX19" i="32"/>
  <c r="AW19" i="32"/>
  <c r="AT19" i="32"/>
  <c r="AS19" i="32"/>
  <c r="AR19" i="32"/>
  <c r="AO19" i="32"/>
  <c r="AN19" i="32"/>
  <c r="AM19" i="32"/>
  <c r="AJ19" i="32"/>
  <c r="AI19" i="32"/>
  <c r="AH19" i="32"/>
  <c r="AE19" i="32"/>
  <c r="AD19" i="32"/>
  <c r="AC19" i="32"/>
  <c r="Z19" i="32"/>
  <c r="Y19" i="32"/>
  <c r="X19" i="32"/>
  <c r="U19" i="32"/>
  <c r="P19" i="32"/>
  <c r="H19" i="32"/>
  <c r="G19" i="32"/>
  <c r="F19" i="32"/>
  <c r="E19" i="32"/>
  <c r="BS18" i="32"/>
  <c r="BR18" i="32"/>
  <c r="BQ18" i="32"/>
  <c r="I18" i="27"/>
  <c r="K18" i="27"/>
  <c r="BN18" i="32"/>
  <c r="BM18" i="32"/>
  <c r="BL18" i="32"/>
  <c r="BI18" i="32"/>
  <c r="BH18" i="32"/>
  <c r="BG18" i="32"/>
  <c r="BD18" i="32"/>
  <c r="BC18" i="32"/>
  <c r="BB18" i="32"/>
  <c r="AY18" i="32"/>
  <c r="AX18" i="32"/>
  <c r="AW18" i="32"/>
  <c r="AT18" i="32"/>
  <c r="AS18" i="32"/>
  <c r="AR18" i="32"/>
  <c r="AO18" i="32"/>
  <c r="AN18" i="32"/>
  <c r="AM18" i="32"/>
  <c r="AJ18" i="32"/>
  <c r="AI18" i="32"/>
  <c r="AH18" i="32"/>
  <c r="AE18" i="32"/>
  <c r="AD18" i="32"/>
  <c r="AC18" i="32"/>
  <c r="Z18" i="32"/>
  <c r="Y18" i="32"/>
  <c r="X18" i="32"/>
  <c r="U18" i="32"/>
  <c r="T18" i="32"/>
  <c r="S18" i="32"/>
  <c r="P18" i="32"/>
  <c r="O18" i="32"/>
  <c r="N18" i="32"/>
  <c r="BS17" i="32"/>
  <c r="BR17" i="32"/>
  <c r="BQ17" i="32"/>
  <c r="I17" i="27"/>
  <c r="K17" i="27"/>
  <c r="BN17" i="32"/>
  <c r="BM17" i="32"/>
  <c r="BL17" i="32"/>
  <c r="BI17" i="32"/>
  <c r="BH17" i="32"/>
  <c r="BG17" i="32"/>
  <c r="BD17" i="32"/>
  <c r="BC17" i="32"/>
  <c r="BB17" i="32"/>
  <c r="AY17" i="32"/>
  <c r="AX17" i="32"/>
  <c r="AW17" i="32"/>
  <c r="AT17" i="32"/>
  <c r="AO17" i="32"/>
  <c r="AN17" i="32"/>
  <c r="AM17" i="32"/>
  <c r="AJ17" i="32"/>
  <c r="AI17" i="32"/>
  <c r="AH17" i="32"/>
  <c r="AE17" i="32"/>
  <c r="AD17" i="32"/>
  <c r="AC17" i="32"/>
  <c r="Z17" i="32"/>
  <c r="U17" i="32"/>
  <c r="T17" i="32"/>
  <c r="S17" i="32"/>
  <c r="P17" i="32"/>
  <c r="O17" i="32"/>
  <c r="N17" i="32"/>
  <c r="BS16" i="32"/>
  <c r="BR16" i="32"/>
  <c r="BQ16" i="32"/>
  <c r="I16" i="27"/>
  <c r="K16" i="27"/>
  <c r="BN16" i="32"/>
  <c r="BI16" i="32"/>
  <c r="BH16" i="32"/>
  <c r="BG16" i="32"/>
  <c r="BD16" i="32"/>
  <c r="BC16" i="32"/>
  <c r="BB16" i="32"/>
  <c r="AY16" i="32"/>
  <c r="AX16" i="32"/>
  <c r="AW16" i="32"/>
  <c r="AT16" i="32"/>
  <c r="AS16" i="32"/>
  <c r="AR16" i="32"/>
  <c r="AO16" i="32"/>
  <c r="AN16" i="32"/>
  <c r="AM16" i="32"/>
  <c r="AJ16" i="32"/>
  <c r="AI16" i="32"/>
  <c r="AH16" i="32"/>
  <c r="AE16" i="32"/>
  <c r="AD16" i="32"/>
  <c r="AC16" i="32"/>
  <c r="Z16" i="32"/>
  <c r="Y16" i="32"/>
  <c r="X16" i="32"/>
  <c r="U16" i="32"/>
  <c r="P16" i="32"/>
  <c r="O16" i="32"/>
  <c r="N16" i="32"/>
  <c r="BS15" i="32"/>
  <c r="BR15" i="32"/>
  <c r="BQ15" i="32"/>
  <c r="I15" i="27"/>
  <c r="K15" i="27"/>
  <c r="BN15" i="32"/>
  <c r="BM15" i="32"/>
  <c r="BL15" i="32"/>
  <c r="BI15" i="32"/>
  <c r="BH15" i="32"/>
  <c r="BG15" i="32"/>
  <c r="BD15" i="32"/>
  <c r="BC15" i="32"/>
  <c r="BB15" i="32"/>
  <c r="AY15" i="32"/>
  <c r="AX15" i="32"/>
  <c r="AW15" i="32"/>
  <c r="AT15" i="32"/>
  <c r="AS15" i="32"/>
  <c r="AR15" i="32"/>
  <c r="AO15" i="32"/>
  <c r="AN15" i="32"/>
  <c r="AM15" i="32"/>
  <c r="AJ15" i="32"/>
  <c r="AI15" i="32"/>
  <c r="AH15" i="32"/>
  <c r="AE15" i="32"/>
  <c r="AD15" i="32"/>
  <c r="AC15" i="32"/>
  <c r="Z15" i="32"/>
  <c r="Y15" i="32"/>
  <c r="X15" i="32"/>
  <c r="U15" i="32"/>
  <c r="T15" i="32"/>
  <c r="S15" i="32"/>
  <c r="P15" i="32"/>
  <c r="O15" i="32"/>
  <c r="N15" i="32"/>
  <c r="BS14" i="32"/>
  <c r="BR14" i="32"/>
  <c r="BQ14" i="32"/>
  <c r="I14" i="27"/>
  <c r="K14" i="27"/>
  <c r="BN14" i="32"/>
  <c r="BM14" i="32"/>
  <c r="BL14" i="32"/>
  <c r="BI14" i="32"/>
  <c r="BD14" i="32"/>
  <c r="BC14" i="32"/>
  <c r="BB14" i="32"/>
  <c r="AY14" i="32"/>
  <c r="AX14" i="32"/>
  <c r="AW14" i="32"/>
  <c r="AT14" i="32"/>
  <c r="AS14" i="32"/>
  <c r="AR14" i="32"/>
  <c r="AO14" i="32"/>
  <c r="AN14" i="32"/>
  <c r="AM14" i="32"/>
  <c r="AJ14" i="32"/>
  <c r="AI14" i="32"/>
  <c r="AH14" i="32"/>
  <c r="AE14" i="32"/>
  <c r="Z14" i="32"/>
  <c r="Y14" i="32"/>
  <c r="X14" i="32"/>
  <c r="U14" i="32"/>
  <c r="T14" i="32"/>
  <c r="S14" i="32"/>
  <c r="P14" i="32"/>
  <c r="O14" i="32"/>
  <c r="N14" i="32"/>
  <c r="H14" i="32"/>
  <c r="G14" i="32"/>
  <c r="F14" i="32"/>
  <c r="E14" i="32"/>
  <c r="BS13" i="32"/>
  <c r="BR13" i="32"/>
  <c r="BQ13" i="32"/>
  <c r="I13" i="27"/>
  <c r="K13" i="27"/>
  <c r="BN13" i="32"/>
  <c r="BM13" i="32"/>
  <c r="BL13" i="32"/>
  <c r="BI13" i="32"/>
  <c r="BH13" i="32"/>
  <c r="BG13" i="32"/>
  <c r="BD13" i="32"/>
  <c r="I12" i="27"/>
  <c r="K12" i="27"/>
  <c r="C13" i="27" a="1"/>
  <c r="C13" i="27"/>
  <c r="E13" i="27"/>
  <c r="BC13" i="32"/>
  <c r="D13" i="27" a="1"/>
  <c r="D13" i="27"/>
  <c r="BB13" i="32"/>
  <c r="AY13" i="32"/>
  <c r="AX13" i="32"/>
  <c r="AW13" i="32"/>
  <c r="AT13" i="32"/>
  <c r="AS13" i="32"/>
  <c r="AR13" i="32"/>
  <c r="AO13" i="32"/>
  <c r="AN13" i="32"/>
  <c r="AM13" i="32"/>
  <c r="AJ13" i="32"/>
  <c r="AI13" i="32"/>
  <c r="AH13" i="32"/>
  <c r="AE13" i="32"/>
  <c r="AD13" i="32"/>
  <c r="AC13" i="32"/>
  <c r="Z13" i="32"/>
  <c r="Y13" i="32"/>
  <c r="X13" i="32"/>
  <c r="U13" i="32"/>
  <c r="T13" i="32"/>
  <c r="S13" i="32"/>
  <c r="P13" i="32"/>
  <c r="O13" i="32"/>
  <c r="N13" i="32"/>
  <c r="L13" i="32"/>
  <c r="BS12" i="32"/>
  <c r="BR12" i="32"/>
  <c r="BQ12" i="32"/>
  <c r="BN12" i="32"/>
  <c r="BM12" i="32"/>
  <c r="BL12" i="32"/>
  <c r="BI12" i="32"/>
  <c r="BH12" i="32"/>
  <c r="BG12" i="32"/>
  <c r="BD12" i="32"/>
  <c r="BC12" i="32"/>
  <c r="BB12" i="32"/>
  <c r="AY12" i="32"/>
  <c r="AX12" i="32"/>
  <c r="AW12" i="32"/>
  <c r="AT12" i="32"/>
  <c r="AS12" i="32"/>
  <c r="AR12" i="32"/>
  <c r="AO12" i="32"/>
  <c r="AN12" i="32"/>
  <c r="AM12" i="32"/>
  <c r="AJ12" i="32"/>
  <c r="AI12" i="32"/>
  <c r="AH12" i="32"/>
  <c r="AE12" i="32"/>
  <c r="AD12" i="32"/>
  <c r="AC12" i="32"/>
  <c r="Z12" i="32"/>
  <c r="Y12" i="32"/>
  <c r="X12" i="32"/>
  <c r="U12" i="32"/>
  <c r="T12" i="32"/>
  <c r="S12" i="32"/>
  <c r="P12" i="32"/>
  <c r="O12" i="32"/>
  <c r="N12" i="32"/>
  <c r="L12" i="32"/>
  <c r="E9" i="9"/>
  <c r="L11" i="32"/>
  <c r="H9" i="32"/>
  <c r="G9" i="32"/>
  <c r="F9" i="32"/>
  <c r="E9" i="32"/>
  <c r="H4" i="32"/>
  <c r="G4" i="32"/>
  <c r="F4" i="32"/>
  <c r="E4" i="32"/>
  <c r="E96" i="9"/>
  <c r="B1" i="32"/>
  <c r="BP12" i="32"/>
  <c r="BP13" i="32"/>
  <c r="BP14" i="32"/>
  <c r="BP15" i="32"/>
  <c r="BP16" i="32"/>
  <c r="BP17" i="32"/>
  <c r="BP18" i="32"/>
  <c r="BP19" i="32"/>
  <c r="BP20" i="32"/>
  <c r="BP21" i="32"/>
  <c r="BP22" i="32"/>
  <c r="BP23" i="32"/>
  <c r="BP24" i="32"/>
  <c r="BP25" i="32"/>
  <c r="BP26" i="32"/>
  <c r="BP27" i="32"/>
  <c r="BP28" i="32"/>
  <c r="BP29" i="32"/>
  <c r="BT14" i="32"/>
  <c r="F62" i="32"/>
  <c r="BT13" i="32"/>
  <c r="F61" i="32"/>
  <c r="J62" i="32"/>
  <c r="K62" i="32"/>
  <c r="H62" i="32"/>
  <c r="G62" i="32"/>
  <c r="E62" i="32"/>
  <c r="BT12" i="32"/>
  <c r="F60" i="32"/>
  <c r="J61" i="32"/>
  <c r="K61" i="32"/>
  <c r="H61" i="32"/>
  <c r="G61" i="32"/>
  <c r="E61" i="32"/>
  <c r="J60" i="32"/>
  <c r="K60" i="32"/>
  <c r="H60" i="32"/>
  <c r="G60" i="32"/>
  <c r="E60" i="32"/>
  <c r="J59" i="32"/>
  <c r="BK12" i="32"/>
  <c r="BK13" i="32"/>
  <c r="BK14" i="32"/>
  <c r="BK15" i="32"/>
  <c r="BK17" i="32"/>
  <c r="BK18" i="32"/>
  <c r="BK19" i="32"/>
  <c r="BK20" i="32"/>
  <c r="BK21" i="32"/>
  <c r="BK23" i="32"/>
  <c r="BK24" i="32"/>
  <c r="BK25" i="32"/>
  <c r="BK26" i="32"/>
  <c r="BK27" i="32"/>
  <c r="BK29" i="32"/>
  <c r="BF12" i="32"/>
  <c r="BF13" i="32"/>
  <c r="BF15" i="32"/>
  <c r="BF16" i="32"/>
  <c r="BF17" i="32"/>
  <c r="BF18" i="32"/>
  <c r="BF19" i="32"/>
  <c r="BF20" i="32"/>
  <c r="BF21" i="32"/>
  <c r="BF22" i="32"/>
  <c r="BF24" i="32"/>
  <c r="BF25" i="32"/>
  <c r="BF27" i="32"/>
  <c r="BF28" i="32"/>
  <c r="BF29" i="32"/>
  <c r="BA12" i="32"/>
  <c r="BA13" i="32"/>
  <c r="BA14" i="32"/>
  <c r="BA15" i="32"/>
  <c r="BA16" i="32"/>
  <c r="BA17" i="32"/>
  <c r="BA18" i="32"/>
  <c r="BA19" i="32"/>
  <c r="BA20" i="32"/>
  <c r="BA21" i="32"/>
  <c r="BA23" i="32"/>
  <c r="BA24" i="32"/>
  <c r="BA26" i="32"/>
  <c r="BA27" i="32"/>
  <c r="BA28" i="32"/>
  <c r="BA29" i="32"/>
  <c r="AV12" i="32"/>
  <c r="AV13" i="32"/>
  <c r="AV14" i="32"/>
  <c r="AV15" i="32"/>
  <c r="AV16" i="32"/>
  <c r="AV17" i="32"/>
  <c r="AV18" i="32"/>
  <c r="AV19" i="32"/>
  <c r="AV20" i="32"/>
  <c r="AV21" i="32"/>
  <c r="AV22" i="32"/>
  <c r="AV23" i="32"/>
  <c r="AV24" i="32"/>
  <c r="AV25" i="32"/>
  <c r="AV26" i="32"/>
  <c r="AV28" i="32"/>
  <c r="AV29" i="32"/>
  <c r="AQ12" i="32"/>
  <c r="AQ13" i="32"/>
  <c r="AQ14" i="32"/>
  <c r="AQ15" i="32"/>
  <c r="AQ16" i="32"/>
  <c r="AQ18" i="32"/>
  <c r="AQ19" i="32"/>
  <c r="AQ20" i="32"/>
  <c r="AQ21" i="32"/>
  <c r="AQ22" i="32"/>
  <c r="AQ24" i="32"/>
  <c r="AQ25" i="32"/>
  <c r="AQ26" i="32"/>
  <c r="AQ27" i="32"/>
  <c r="AQ28" i="32"/>
  <c r="AL12" i="32"/>
  <c r="AL13" i="32"/>
  <c r="AL14" i="32"/>
  <c r="AL15" i="32"/>
  <c r="AL16" i="32"/>
  <c r="AL17" i="32"/>
  <c r="AL18" i="32"/>
  <c r="AL19" i="32"/>
  <c r="AL20" i="32"/>
  <c r="AL21" i="32"/>
  <c r="AL22" i="32"/>
  <c r="AL23" i="32"/>
  <c r="AL24" i="32"/>
  <c r="AL25" i="32"/>
  <c r="AL26" i="32"/>
  <c r="AL27" i="32"/>
  <c r="AL28" i="32"/>
  <c r="AL29" i="32"/>
  <c r="AP14" i="32"/>
  <c r="F32" i="32"/>
  <c r="J33" i="32"/>
  <c r="AP13" i="32"/>
  <c r="F31" i="32"/>
  <c r="J32" i="32"/>
  <c r="K32" i="32"/>
  <c r="H32" i="32"/>
  <c r="G32" i="32"/>
  <c r="E32" i="32"/>
  <c r="AP12" i="32"/>
  <c r="F30" i="32"/>
  <c r="J31" i="32"/>
  <c r="K31" i="32"/>
  <c r="H31" i="32"/>
  <c r="G31" i="32"/>
  <c r="E31" i="32"/>
  <c r="J30" i="32"/>
  <c r="K30" i="32"/>
  <c r="H30" i="32"/>
  <c r="G30" i="32"/>
  <c r="E30" i="32"/>
  <c r="BT29" i="32"/>
  <c r="AP29" i="32"/>
  <c r="AG12" i="32"/>
  <c r="AG13" i="32"/>
  <c r="AG14" i="32"/>
  <c r="AG15" i="32"/>
  <c r="AG16" i="32"/>
  <c r="AG17" i="32"/>
  <c r="AG18" i="32"/>
  <c r="AG19" i="32"/>
  <c r="AG20" i="32"/>
  <c r="AG21" i="32"/>
  <c r="AG22" i="32"/>
  <c r="AG23" i="32"/>
  <c r="AG24" i="32"/>
  <c r="AG25" i="32"/>
  <c r="AG26" i="32"/>
  <c r="AG28" i="32"/>
  <c r="AG29" i="32"/>
  <c r="AB12" i="32"/>
  <c r="AB13" i="32"/>
  <c r="AB15" i="32"/>
  <c r="AB16" i="32"/>
  <c r="AB17" i="32"/>
  <c r="AB18" i="32"/>
  <c r="AB19" i="32"/>
  <c r="AB21" i="32"/>
  <c r="AB22" i="32"/>
  <c r="AB23" i="32"/>
  <c r="AB24" i="32"/>
  <c r="AB25" i="32"/>
  <c r="AB26" i="32"/>
  <c r="AB27" i="32"/>
  <c r="AB28" i="32"/>
  <c r="W12" i="32"/>
  <c r="W13" i="32"/>
  <c r="W14" i="32"/>
  <c r="W15" i="32"/>
  <c r="W16" i="32"/>
  <c r="W18" i="32"/>
  <c r="W19" i="32"/>
  <c r="W21" i="32"/>
  <c r="W22" i="32"/>
  <c r="W23" i="32"/>
  <c r="W24" i="32"/>
  <c r="W25" i="32"/>
  <c r="W27" i="32"/>
  <c r="W28" i="32"/>
  <c r="W29" i="32"/>
  <c r="R12" i="32"/>
  <c r="R13" i="32"/>
  <c r="R14" i="32"/>
  <c r="R15" i="32"/>
  <c r="R17" i="32"/>
  <c r="R18" i="32"/>
  <c r="R20" i="32"/>
  <c r="R21" i="32"/>
  <c r="R22" i="32"/>
  <c r="R23" i="32"/>
  <c r="R24" i="32"/>
  <c r="R26" i="32"/>
  <c r="R27" i="32"/>
  <c r="R28" i="32"/>
  <c r="R29" i="32"/>
  <c r="M12" i="32"/>
  <c r="M13" i="32"/>
  <c r="M14" i="32"/>
  <c r="M15" i="32"/>
  <c r="M16" i="32"/>
  <c r="M17" i="32"/>
  <c r="M18" i="32"/>
  <c r="M20" i="32"/>
  <c r="M21" i="32"/>
  <c r="M22" i="32"/>
  <c r="M23" i="32"/>
  <c r="M24" i="32"/>
  <c r="M25" i="32"/>
  <c r="M26" i="32"/>
  <c r="M27" i="32"/>
  <c r="M29" i="32"/>
  <c r="J29" i="32"/>
  <c r="BT28" i="32"/>
  <c r="AP28" i="32"/>
  <c r="BT27" i="32"/>
  <c r="AP27" i="32"/>
  <c r="BT26" i="32"/>
  <c r="AP26" i="32"/>
  <c r="BT25" i="32"/>
  <c r="AP25" i="32"/>
  <c r="BT24" i="32"/>
  <c r="AP24" i="32"/>
  <c r="BT23" i="32"/>
  <c r="AP23" i="32"/>
  <c r="BT22" i="32"/>
  <c r="AP22" i="32"/>
  <c r="BT21" i="32"/>
  <c r="AP21" i="32"/>
  <c r="BT20" i="32"/>
  <c r="AP20" i="32"/>
  <c r="BT19" i="32"/>
  <c r="AP19" i="32"/>
  <c r="BT18" i="32"/>
  <c r="AP18" i="32"/>
  <c r="BT17" i="32"/>
  <c r="AP17" i="32"/>
  <c r="BT16" i="32"/>
  <c r="AP16" i="32"/>
  <c r="BT15" i="32"/>
  <c r="AP15" i="32"/>
  <c r="BS11" i="32"/>
  <c r="BN11" i="32"/>
  <c r="BI11" i="32"/>
  <c r="BD11" i="32"/>
  <c r="AY11" i="32"/>
  <c r="AT11" i="32"/>
  <c r="AO11" i="32"/>
  <c r="AJ11" i="32"/>
  <c r="AE11" i="32"/>
  <c r="Z11" i="32"/>
  <c r="U11" i="32"/>
  <c r="P11" i="32"/>
  <c r="E25" i="9"/>
  <c r="W21" i="6"/>
  <c r="W11" i="6"/>
  <c r="M4" i="17"/>
  <c r="N4" i="17"/>
  <c r="L4" i="17"/>
  <c r="M5" i="17"/>
  <c r="N5" i="17"/>
  <c r="L5" i="17"/>
  <c r="M6" i="17"/>
  <c r="N6" i="17"/>
  <c r="L6" i="17"/>
  <c r="M7" i="17"/>
  <c r="N7" i="17"/>
  <c r="L7" i="17"/>
  <c r="M8" i="17"/>
  <c r="N8" i="17"/>
  <c r="L8" i="17"/>
  <c r="M9" i="17"/>
  <c r="N9" i="17"/>
  <c r="L9" i="17"/>
  <c r="C10" i="17"/>
  <c r="M10" i="17"/>
  <c r="N10" i="17"/>
  <c r="L10" i="17"/>
  <c r="C11" i="17"/>
  <c r="M11" i="17"/>
  <c r="N11" i="17"/>
  <c r="L11" i="17"/>
  <c r="C12" i="17"/>
  <c r="M12" i="17"/>
  <c r="N12" i="17"/>
  <c r="L12" i="17"/>
  <c r="AD27" i="6"/>
  <c r="W27" i="6"/>
  <c r="AD26" i="6"/>
  <c r="W26" i="6"/>
  <c r="AD25" i="6"/>
  <c r="W25" i="6"/>
  <c r="AD24" i="6"/>
  <c r="W24" i="6"/>
  <c r="AD23" i="6"/>
  <c r="W23" i="6"/>
  <c r="AD22" i="6"/>
  <c r="W22" i="6"/>
  <c r="AD17" i="6"/>
  <c r="W17" i="6"/>
  <c r="AD16" i="6"/>
  <c r="W16" i="6"/>
  <c r="AD15" i="6"/>
  <c r="W15" i="6"/>
  <c r="AD14" i="6"/>
  <c r="W14" i="6"/>
  <c r="AD13" i="6"/>
  <c r="W13" i="6"/>
  <c r="AD12" i="6"/>
  <c r="W12" i="6"/>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AA5" i="17"/>
  <c r="X5" i="17"/>
  <c r="AF5" i="17"/>
  <c r="AC5" i="17"/>
  <c r="AK5" i="17"/>
  <c r="AH5" i="17"/>
  <c r="AP5" i="17"/>
  <c r="AM5" i="17"/>
  <c r="AR5" i="17"/>
  <c r="AS5" i="17"/>
  <c r="AA6" i="17"/>
  <c r="X6" i="17"/>
  <c r="AF6" i="17"/>
  <c r="AC6" i="17"/>
  <c r="AK6" i="17"/>
  <c r="AH6" i="17"/>
  <c r="AP6" i="17"/>
  <c r="AM6" i="17"/>
  <c r="AR6" i="17"/>
  <c r="AS6" i="17"/>
  <c r="AA7" i="17"/>
  <c r="X7" i="17"/>
  <c r="AF7" i="17"/>
  <c r="AC7" i="17"/>
  <c r="AK7" i="17"/>
  <c r="AH7" i="17"/>
  <c r="AP7" i="17"/>
  <c r="AM7" i="17"/>
  <c r="AR7" i="17"/>
  <c r="AS7" i="17"/>
  <c r="AA8" i="17"/>
  <c r="X8" i="17"/>
  <c r="AF8" i="17"/>
  <c r="AC8" i="17"/>
  <c r="AK8" i="17"/>
  <c r="AH8" i="17"/>
  <c r="AP8" i="17"/>
  <c r="AM8" i="17"/>
  <c r="AR8" i="17"/>
  <c r="AS8" i="17"/>
  <c r="AA9" i="17"/>
  <c r="X9" i="17"/>
  <c r="AF9" i="17"/>
  <c r="AC9" i="17"/>
  <c r="AK9" i="17"/>
  <c r="AH9" i="17"/>
  <c r="AP9" i="17"/>
  <c r="AM9" i="17"/>
  <c r="AR9" i="17"/>
  <c r="AS9" i="17"/>
  <c r="AA10" i="17"/>
  <c r="X10" i="17"/>
  <c r="AF10" i="17"/>
  <c r="AC10" i="17"/>
  <c r="AK10" i="17"/>
  <c r="AH10" i="17"/>
  <c r="AP10" i="17"/>
  <c r="AM10" i="17"/>
  <c r="AR10" i="17"/>
  <c r="AS10" i="17"/>
  <c r="AA11" i="17"/>
  <c r="X11" i="17"/>
  <c r="AF11" i="17"/>
  <c r="AC11" i="17"/>
  <c r="AK11" i="17"/>
  <c r="AH11" i="17"/>
  <c r="AP11" i="17"/>
  <c r="AM11" i="17"/>
  <c r="AR11" i="17"/>
  <c r="AS11" i="17"/>
  <c r="AA12" i="17"/>
  <c r="X12" i="17"/>
  <c r="AF12" i="17"/>
  <c r="AC12" i="17"/>
  <c r="AK12" i="17"/>
  <c r="AH12" i="17"/>
  <c r="AP12" i="17"/>
  <c r="AM12" i="17"/>
  <c r="AR12" i="17"/>
  <c r="AS12" i="17"/>
  <c r="Y27" i="6"/>
  <c r="Y26" i="6"/>
  <c r="Y25" i="6"/>
  <c r="Y24" i="6"/>
  <c r="Y23" i="6"/>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AA5" i="3"/>
  <c r="X5" i="3"/>
  <c r="AF5" i="3"/>
  <c r="AC5" i="3"/>
  <c r="AK5" i="3"/>
  <c r="AH5" i="3"/>
  <c r="AP5" i="3"/>
  <c r="AM5" i="3"/>
  <c r="AR5" i="3"/>
  <c r="AS5" i="3"/>
  <c r="AA6" i="3"/>
  <c r="X6" i="3"/>
  <c r="AF6" i="3"/>
  <c r="AC6" i="3"/>
  <c r="AK6" i="3"/>
  <c r="AH6" i="3"/>
  <c r="AP6" i="3"/>
  <c r="AM6" i="3"/>
  <c r="AR6" i="3"/>
  <c r="AS6" i="3"/>
  <c r="AA7" i="3"/>
  <c r="X7" i="3"/>
  <c r="AF7" i="3"/>
  <c r="AC7" i="3"/>
  <c r="AK7" i="3"/>
  <c r="AH7" i="3"/>
  <c r="AP7" i="3"/>
  <c r="AM7" i="3"/>
  <c r="AR7" i="3"/>
  <c r="AS7" i="3"/>
  <c r="AA8" i="3"/>
  <c r="X8" i="3"/>
  <c r="AF8" i="3"/>
  <c r="AC8" i="3"/>
  <c r="AK8" i="3"/>
  <c r="AH8" i="3"/>
  <c r="AP8" i="3"/>
  <c r="AM8" i="3"/>
  <c r="AR8" i="3"/>
  <c r="AS8" i="3"/>
  <c r="AA9" i="3"/>
  <c r="X9" i="3"/>
  <c r="AF9" i="3"/>
  <c r="AC9" i="3"/>
  <c r="AK9" i="3"/>
  <c r="AH9" i="3"/>
  <c r="AP9" i="3"/>
  <c r="AM9" i="3"/>
  <c r="AR9" i="3"/>
  <c r="AS9" i="3"/>
  <c r="AA10" i="3"/>
  <c r="X10" i="3"/>
  <c r="AF10" i="3"/>
  <c r="AC10" i="3"/>
  <c r="AK10" i="3"/>
  <c r="AH10" i="3"/>
  <c r="AP10" i="3"/>
  <c r="AM10" i="3"/>
  <c r="AR10" i="3"/>
  <c r="AS10" i="3"/>
  <c r="AA11" i="3"/>
  <c r="X11" i="3"/>
  <c r="AF11" i="3"/>
  <c r="AC11" i="3"/>
  <c r="AK11" i="3"/>
  <c r="AH11" i="3"/>
  <c r="AP11" i="3"/>
  <c r="AM11" i="3"/>
  <c r="AR11" i="3"/>
  <c r="AS11" i="3"/>
  <c r="AA12" i="3"/>
  <c r="X12" i="3"/>
  <c r="AF12" i="3"/>
  <c r="AC12" i="3"/>
  <c r="AK12" i="3"/>
  <c r="AH12" i="3"/>
  <c r="AP12" i="3"/>
  <c r="AM12" i="3"/>
  <c r="AR12" i="3"/>
  <c r="AS12" i="3"/>
  <c r="Y17" i="6"/>
  <c r="Y16" i="6"/>
  <c r="Y15" i="6"/>
  <c r="Y14" i="6"/>
  <c r="Y13" i="6"/>
  <c r="Y22" i="6"/>
  <c r="Y12" i="6"/>
  <c r="E80" i="9"/>
  <c r="X27" i="6"/>
  <c r="X26" i="6"/>
  <c r="X25" i="6"/>
  <c r="X24" i="6"/>
  <c r="X23" i="6"/>
  <c r="X22" i="6"/>
  <c r="X17" i="6"/>
  <c r="X16" i="6"/>
  <c r="X15" i="6"/>
  <c r="X14" i="6"/>
  <c r="X13" i="6"/>
  <c r="X12" i="6"/>
  <c r="G12" i="21"/>
  <c r="I12" i="21"/>
  <c r="Z12" i="21"/>
  <c r="AC12" i="21"/>
  <c r="AB12" i="21"/>
  <c r="AA12" i="21"/>
  <c r="X12" i="21"/>
  <c r="W12" i="21"/>
  <c r="E67" i="9"/>
  <c r="E26" i="9"/>
  <c r="AD25" i="27"/>
  <c r="AD18" i="27"/>
  <c r="AD11" i="27"/>
  <c r="Y16" i="26"/>
  <c r="AA16" i="26"/>
  <c r="G12" i="26"/>
  <c r="I12" i="26"/>
  <c r="Z12" i="26"/>
  <c r="AB12" i="26"/>
  <c r="AC12" i="26"/>
  <c r="W12" i="26"/>
  <c r="G16" i="26"/>
  <c r="G13" i="26"/>
  <c r="I13" i="26"/>
  <c r="Z13" i="26"/>
  <c r="AB13" i="26"/>
  <c r="AC13" i="26"/>
  <c r="W13" i="26"/>
  <c r="I16" i="26"/>
  <c r="Z16" i="26"/>
  <c r="AC16" i="26"/>
  <c r="AB16" i="26"/>
  <c r="X16" i="26"/>
  <c r="W16" i="26"/>
  <c r="Y15" i="26"/>
  <c r="AA15" i="26"/>
  <c r="X12" i="26"/>
  <c r="G15" i="26"/>
  <c r="X13" i="26"/>
  <c r="I15" i="26"/>
  <c r="Z15" i="26"/>
  <c r="AC15" i="26"/>
  <c r="AB15" i="26"/>
  <c r="X15" i="26"/>
  <c r="W15" i="26"/>
  <c r="Y13" i="26"/>
  <c r="AA13" i="26"/>
  <c r="Y12" i="26"/>
  <c r="AA12" i="26"/>
  <c r="Y21" i="24"/>
  <c r="AA21" i="24"/>
  <c r="Y17" i="24"/>
  <c r="AA17" i="24"/>
  <c r="G17" i="24"/>
  <c r="I17" i="24"/>
  <c r="Z17" i="24"/>
  <c r="AB17" i="24"/>
  <c r="AC17" i="24"/>
  <c r="W17" i="24"/>
  <c r="G21" i="24"/>
  <c r="Y18" i="24"/>
  <c r="AA18" i="24"/>
  <c r="G18" i="24"/>
  <c r="I18" i="24"/>
  <c r="Z18" i="24"/>
  <c r="AB18" i="24"/>
  <c r="AC18" i="24"/>
  <c r="W18" i="24"/>
  <c r="I21" i="24"/>
  <c r="Z21" i="24"/>
  <c r="AC21" i="24"/>
  <c r="AB21" i="24"/>
  <c r="X21" i="24"/>
  <c r="W21" i="24"/>
  <c r="Y20" i="24"/>
  <c r="AA20" i="24"/>
  <c r="X17" i="24"/>
  <c r="G20" i="24"/>
  <c r="X18" i="24"/>
  <c r="I20" i="24"/>
  <c r="Z20" i="24"/>
  <c r="AC20" i="24"/>
  <c r="AB20" i="24"/>
  <c r="X20" i="24"/>
  <c r="W20" i="24"/>
  <c r="Y15" i="24"/>
  <c r="AA15" i="24"/>
  <c r="G15" i="24"/>
  <c r="I15" i="24"/>
  <c r="Z15" i="24"/>
  <c r="AC15" i="24"/>
  <c r="AB15" i="24"/>
  <c r="X15" i="24"/>
  <c r="W15" i="24"/>
  <c r="Y14" i="24"/>
  <c r="AA14" i="24"/>
  <c r="G14" i="24"/>
  <c r="I14" i="24"/>
  <c r="Z14" i="24"/>
  <c r="AC14" i="24"/>
  <c r="AB14" i="24"/>
  <c r="X14" i="24"/>
  <c r="W14" i="24"/>
  <c r="Y13" i="24"/>
  <c r="AA13" i="24"/>
  <c r="G13" i="24"/>
  <c r="I13" i="24"/>
  <c r="Z13" i="24"/>
  <c r="AC13" i="24"/>
  <c r="AB13" i="24"/>
  <c r="X13" i="24"/>
  <c r="W13" i="24"/>
  <c r="Y12" i="24"/>
  <c r="AA12" i="24"/>
  <c r="G12" i="24"/>
  <c r="I12" i="24"/>
  <c r="Z12" i="24"/>
  <c r="AC12" i="24"/>
  <c r="AB12" i="24"/>
  <c r="X12" i="24"/>
  <c r="W12" i="24"/>
  <c r="AA13" i="21"/>
  <c r="Y14" i="21"/>
  <c r="AA14" i="21"/>
  <c r="Y15" i="21"/>
  <c r="AA15" i="21"/>
  <c r="AA16" i="21"/>
  <c r="Y17" i="21"/>
  <c r="AA17" i="21"/>
  <c r="G13" i="21"/>
  <c r="I13" i="21"/>
  <c r="Z13" i="21"/>
  <c r="AB13" i="21"/>
  <c r="AC13" i="21"/>
  <c r="W13" i="21"/>
  <c r="X13" i="21"/>
  <c r="G14" i="21"/>
  <c r="I14" i="21"/>
  <c r="Z14" i="21"/>
  <c r="AB14" i="21"/>
  <c r="AC14" i="21"/>
  <c r="W14" i="21"/>
  <c r="X14" i="21"/>
  <c r="G15" i="21"/>
  <c r="I15" i="21"/>
  <c r="Z15" i="21"/>
  <c r="AB15" i="21"/>
  <c r="AC15" i="21"/>
  <c r="W15" i="21"/>
  <c r="X15" i="21"/>
  <c r="G16" i="21"/>
  <c r="I16" i="21"/>
  <c r="Z16" i="21"/>
  <c r="AB16" i="21"/>
  <c r="AC16" i="21"/>
  <c r="W16" i="21"/>
  <c r="X16" i="21"/>
  <c r="G17" i="21"/>
  <c r="I17" i="21"/>
  <c r="Z17" i="21"/>
  <c r="AB17" i="21"/>
  <c r="AC17" i="21"/>
  <c r="W17" i="21"/>
  <c r="X17" i="21"/>
  <c r="AA81" i="30"/>
  <c r="AA80" i="30"/>
  <c r="AA79" i="30"/>
  <c r="AA78" i="30"/>
  <c r="AA77" i="30"/>
  <c r="AA76" i="30"/>
  <c r="AA75" i="30"/>
  <c r="AA74" i="30"/>
  <c r="AA73" i="30"/>
  <c r="AA72" i="30"/>
  <c r="AA71" i="30"/>
  <c r="AA70" i="30"/>
  <c r="AA69" i="30"/>
  <c r="AA68" i="30"/>
  <c r="AA67" i="30"/>
  <c r="AA66" i="30"/>
  <c r="AA65" i="30"/>
  <c r="AA64" i="30"/>
  <c r="AA81" i="29"/>
  <c r="AA80" i="29"/>
  <c r="AA79" i="29"/>
  <c r="AA78" i="29"/>
  <c r="AA77" i="29"/>
  <c r="AA76" i="29"/>
  <c r="AA75" i="29"/>
  <c r="AA74" i="29"/>
  <c r="AA73" i="29"/>
  <c r="AA72" i="29"/>
  <c r="AA71" i="29"/>
  <c r="AA70" i="29"/>
  <c r="AA69" i="29"/>
  <c r="AA68" i="29"/>
  <c r="AA67" i="29"/>
  <c r="AA66" i="29"/>
  <c r="AA65" i="29"/>
  <c r="AA64" i="29"/>
  <c r="AA81" i="28"/>
  <c r="AA80" i="28"/>
  <c r="AA79" i="28"/>
  <c r="AA78" i="28"/>
  <c r="AA77" i="28"/>
  <c r="AA76" i="28"/>
  <c r="AA75" i="28"/>
  <c r="AA74" i="28"/>
  <c r="AA73" i="28"/>
  <c r="AA72" i="28"/>
  <c r="AA71" i="28"/>
  <c r="AA70" i="28"/>
  <c r="AA69" i="28"/>
  <c r="AA68" i="28"/>
  <c r="AA67" i="28"/>
  <c r="AA66" i="28"/>
  <c r="AA65" i="28"/>
  <c r="AA64" i="28"/>
  <c r="V64" i="30"/>
  <c r="AE64" i="30"/>
  <c r="V65" i="30"/>
  <c r="X65" i="30"/>
  <c r="Y65" i="30"/>
  <c r="AG65" i="30"/>
  <c r="AH65" i="30"/>
  <c r="AE65" i="30"/>
  <c r="V66" i="30"/>
  <c r="V67" i="30"/>
  <c r="V68" i="30"/>
  <c r="V69" i="30"/>
  <c r="V70" i="30"/>
  <c r="V71" i="30"/>
  <c r="V72" i="30"/>
  <c r="V73" i="30"/>
  <c r="V74" i="30"/>
  <c r="V75" i="30"/>
  <c r="V76" i="30"/>
  <c r="V77" i="30"/>
  <c r="V78" i="30"/>
  <c r="V79" i="30"/>
  <c r="V80" i="30"/>
  <c r="V81" i="30"/>
  <c r="X66" i="30"/>
  <c r="Y66" i="30"/>
  <c r="AG66" i="30"/>
  <c r="AH66" i="30"/>
  <c r="AE66" i="30"/>
  <c r="AE67" i="30"/>
  <c r="X68" i="30"/>
  <c r="Y68" i="30"/>
  <c r="AG68" i="30"/>
  <c r="AH68" i="30"/>
  <c r="AE68" i="30"/>
  <c r="X69" i="30"/>
  <c r="Y69" i="30"/>
  <c r="AG69" i="30"/>
  <c r="AH69" i="30"/>
  <c r="AE69" i="30"/>
  <c r="AE70" i="30"/>
  <c r="X71" i="30"/>
  <c r="Y71" i="30"/>
  <c r="AG71" i="30"/>
  <c r="AH71" i="30"/>
  <c r="AE71" i="30"/>
  <c r="X72" i="30"/>
  <c r="Y72" i="30"/>
  <c r="AG72" i="30"/>
  <c r="AH72" i="30"/>
  <c r="AE72" i="30"/>
  <c r="AE73" i="30"/>
  <c r="X74" i="30"/>
  <c r="Y74" i="30"/>
  <c r="AG74" i="30"/>
  <c r="AH74" i="30"/>
  <c r="AE74" i="30"/>
  <c r="X75" i="30"/>
  <c r="Y75" i="30"/>
  <c r="AG75" i="30"/>
  <c r="AH75" i="30"/>
  <c r="AE75" i="30"/>
  <c r="AE76" i="30"/>
  <c r="X77" i="30"/>
  <c r="Y77" i="30"/>
  <c r="AG77" i="30"/>
  <c r="AH77" i="30"/>
  <c r="AE77" i="30"/>
  <c r="X78" i="30"/>
  <c r="Y78" i="30"/>
  <c r="AG78" i="30"/>
  <c r="AH78" i="30"/>
  <c r="AE78" i="30"/>
  <c r="X79" i="30"/>
  <c r="Y79" i="30"/>
  <c r="AG79" i="30"/>
  <c r="AH79" i="30"/>
  <c r="AE79" i="30"/>
  <c r="X80" i="30"/>
  <c r="Y80" i="30"/>
  <c r="AG80" i="30"/>
  <c r="AH80" i="30"/>
  <c r="AE80" i="30"/>
  <c r="X81" i="30"/>
  <c r="Y81" i="30"/>
  <c r="AG81" i="30"/>
  <c r="AH81" i="30"/>
  <c r="AE81" i="30"/>
  <c r="W64"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J12" i="30"/>
  <c r="J11" i="30"/>
  <c r="J10" i="30"/>
  <c r="J9" i="30"/>
  <c r="J8" i="30"/>
  <c r="Q67" i="30"/>
  <c r="F7" i="30"/>
  <c r="J7" i="30"/>
  <c r="Q66" i="30"/>
  <c r="F6" i="30"/>
  <c r="J6" i="30"/>
  <c r="Q65" i="30"/>
  <c r="F5" i="30"/>
  <c r="J5" i="30"/>
  <c r="Q64" i="30"/>
  <c r="F4" i="30"/>
  <c r="J4" i="30"/>
  <c r="V64" i="29"/>
  <c r="AE64" i="29"/>
  <c r="V65" i="29"/>
  <c r="X65" i="29"/>
  <c r="Y65" i="29"/>
  <c r="AG65" i="29"/>
  <c r="AH65" i="29"/>
  <c r="AE65" i="29"/>
  <c r="V66" i="29"/>
  <c r="V67" i="29"/>
  <c r="V68" i="29"/>
  <c r="V69" i="29"/>
  <c r="V70" i="29"/>
  <c r="V71" i="29"/>
  <c r="V72" i="29"/>
  <c r="V73" i="29"/>
  <c r="V74" i="29"/>
  <c r="V75" i="29"/>
  <c r="V76" i="29"/>
  <c r="V77" i="29"/>
  <c r="V78" i="29"/>
  <c r="V79" i="29"/>
  <c r="V80" i="29"/>
  <c r="V81" i="29"/>
  <c r="X66" i="29"/>
  <c r="Y66" i="29"/>
  <c r="AG66" i="29"/>
  <c r="AH66" i="29"/>
  <c r="AE66" i="29"/>
  <c r="AE67" i="29"/>
  <c r="X68" i="29"/>
  <c r="Y68" i="29"/>
  <c r="AG68" i="29"/>
  <c r="AH68" i="29"/>
  <c r="AE68" i="29"/>
  <c r="X69" i="29"/>
  <c r="Y69" i="29"/>
  <c r="AG69" i="29"/>
  <c r="AH69" i="29"/>
  <c r="AE69" i="29"/>
  <c r="AE70" i="29"/>
  <c r="X71" i="29"/>
  <c r="Y71" i="29"/>
  <c r="AG71" i="29"/>
  <c r="AH71" i="29"/>
  <c r="AE71" i="29"/>
  <c r="X72" i="29"/>
  <c r="Y72" i="29"/>
  <c r="AG72" i="29"/>
  <c r="AH72" i="29"/>
  <c r="AE72" i="29"/>
  <c r="AE73" i="29"/>
  <c r="X74" i="29"/>
  <c r="Y74" i="29"/>
  <c r="AG74" i="29"/>
  <c r="AH74" i="29"/>
  <c r="AE74" i="29"/>
  <c r="X75" i="29"/>
  <c r="Y75" i="29"/>
  <c r="AG75" i="29"/>
  <c r="AH75" i="29"/>
  <c r="AE75" i="29"/>
  <c r="AE76" i="29"/>
  <c r="X77" i="29"/>
  <c r="Y77" i="29"/>
  <c r="AG77" i="29"/>
  <c r="AH77" i="29"/>
  <c r="AE77" i="29"/>
  <c r="X78" i="29"/>
  <c r="Y78" i="29"/>
  <c r="AG78" i="29"/>
  <c r="AH78" i="29"/>
  <c r="AE78" i="29"/>
  <c r="X79" i="29"/>
  <c r="Y79" i="29"/>
  <c r="AG79" i="29"/>
  <c r="AH79" i="29"/>
  <c r="AE79" i="29"/>
  <c r="X80" i="29"/>
  <c r="Y80" i="29"/>
  <c r="AG80" i="29"/>
  <c r="AH80" i="29"/>
  <c r="AE80" i="29"/>
  <c r="X81" i="29"/>
  <c r="Y81" i="29"/>
  <c r="AG81" i="29"/>
  <c r="AH81" i="29"/>
  <c r="AE81" i="29"/>
  <c r="W64"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J12" i="29"/>
  <c r="J11" i="29"/>
  <c r="J10" i="29"/>
  <c r="J9" i="29"/>
  <c r="J8" i="29"/>
  <c r="Q67" i="29"/>
  <c r="F7" i="29"/>
  <c r="J7" i="29"/>
  <c r="Q66" i="29"/>
  <c r="F6" i="29"/>
  <c r="J6" i="29"/>
  <c r="Q65" i="29"/>
  <c r="F5" i="29"/>
  <c r="J5" i="29"/>
  <c r="Q64" i="29"/>
  <c r="F4" i="29"/>
  <c r="J4" i="29"/>
  <c r="AB81" i="30"/>
  <c r="AB80" i="30"/>
  <c r="AB79" i="30"/>
  <c r="AB78" i="30"/>
  <c r="AB77" i="30"/>
  <c r="AB76" i="30"/>
  <c r="AB75" i="30"/>
  <c r="AB74" i="30"/>
  <c r="AB73" i="30"/>
  <c r="AB72" i="30"/>
  <c r="AB71" i="30"/>
  <c r="AB70" i="30"/>
  <c r="AB69" i="30"/>
  <c r="AB68" i="30"/>
  <c r="AB67" i="30"/>
  <c r="AB66" i="30"/>
  <c r="AB65" i="30"/>
  <c r="AB64" i="30"/>
  <c r="AB81" i="29"/>
  <c r="AB80" i="29"/>
  <c r="AB79" i="29"/>
  <c r="AB78" i="29"/>
  <c r="AB77" i="29"/>
  <c r="AB76" i="29"/>
  <c r="AB75" i="29"/>
  <c r="AB74" i="29"/>
  <c r="AB73" i="29"/>
  <c r="AB72" i="29"/>
  <c r="AB71" i="29"/>
  <c r="AB70" i="29"/>
  <c r="AB69" i="29"/>
  <c r="AB68" i="29"/>
  <c r="AB67" i="29"/>
  <c r="AB66" i="29"/>
  <c r="AB65" i="29"/>
  <c r="AB64" i="29"/>
  <c r="V64" i="28"/>
  <c r="AE64" i="28"/>
  <c r="V65" i="28"/>
  <c r="X65" i="28"/>
  <c r="Y65" i="28"/>
  <c r="AG65" i="28"/>
  <c r="AH65" i="28"/>
  <c r="AE65" i="28"/>
  <c r="V66" i="28"/>
  <c r="V67" i="28"/>
  <c r="V68" i="28"/>
  <c r="V69" i="28"/>
  <c r="V70" i="28"/>
  <c r="V71" i="28"/>
  <c r="V72" i="28"/>
  <c r="V73" i="28"/>
  <c r="V74" i="28"/>
  <c r="V75" i="28"/>
  <c r="V76" i="28"/>
  <c r="V77" i="28"/>
  <c r="V78" i="28"/>
  <c r="V79" i="28"/>
  <c r="V80" i="28"/>
  <c r="V81" i="28"/>
  <c r="X66" i="28"/>
  <c r="Y66" i="28"/>
  <c r="AG66" i="28"/>
  <c r="AH66" i="28"/>
  <c r="AE66" i="28"/>
  <c r="AE67" i="28"/>
  <c r="X68" i="28"/>
  <c r="Y68" i="28"/>
  <c r="AG68" i="28"/>
  <c r="AH68" i="28"/>
  <c r="AE68" i="28"/>
  <c r="X69" i="28"/>
  <c r="Y69" i="28"/>
  <c r="AG69" i="28"/>
  <c r="AH69" i="28"/>
  <c r="AE69" i="28"/>
  <c r="AE70" i="28"/>
  <c r="X71" i="28"/>
  <c r="Y71" i="28"/>
  <c r="AG71" i="28"/>
  <c r="AH71" i="28"/>
  <c r="AE71" i="28"/>
  <c r="X72" i="28"/>
  <c r="Y72" i="28"/>
  <c r="AG72" i="28"/>
  <c r="AH72" i="28"/>
  <c r="AE72" i="28"/>
  <c r="AE73" i="28"/>
  <c r="X74" i="28"/>
  <c r="Y74" i="28"/>
  <c r="AG74" i="28"/>
  <c r="AH74" i="28"/>
  <c r="AE74" i="28"/>
  <c r="X75" i="28"/>
  <c r="Y75" i="28"/>
  <c r="AG75" i="28"/>
  <c r="AH75" i="28"/>
  <c r="AE75" i="28"/>
  <c r="AE76" i="28"/>
  <c r="X77" i="28"/>
  <c r="Y77" i="28"/>
  <c r="AG77" i="28"/>
  <c r="AH77" i="28"/>
  <c r="AE77" i="28"/>
  <c r="X78" i="28"/>
  <c r="Y78" i="28"/>
  <c r="AG78" i="28"/>
  <c r="AH78" i="28"/>
  <c r="AE78" i="28"/>
  <c r="X79" i="28"/>
  <c r="Y79" i="28"/>
  <c r="AG79" i="28"/>
  <c r="AH79" i="28"/>
  <c r="AE79" i="28"/>
  <c r="X80" i="28"/>
  <c r="Y80" i="28"/>
  <c r="AG80" i="28"/>
  <c r="AH80" i="28"/>
  <c r="AE80" i="28"/>
  <c r="X81" i="28"/>
  <c r="Y81" i="28"/>
  <c r="AG81" i="28"/>
  <c r="AH81" i="28"/>
  <c r="AE81" i="28"/>
  <c r="W64"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J12" i="28"/>
  <c r="J11" i="28"/>
  <c r="J10" i="28"/>
  <c r="J9" i="28"/>
  <c r="J8" i="28"/>
  <c r="Q67" i="28"/>
  <c r="F7" i="28"/>
  <c r="J7" i="28"/>
  <c r="Q66" i="28"/>
  <c r="F6" i="28"/>
  <c r="J6" i="28"/>
  <c r="Q65" i="28"/>
  <c r="F5" i="28"/>
  <c r="J5" i="28"/>
  <c r="Q64" i="28"/>
  <c r="F4" i="28"/>
  <c r="J4" i="28"/>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I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AI27" i="6"/>
  <c r="AH21" i="6"/>
  <c r="AH27" i="6"/>
  <c r="AG21" i="6"/>
  <c r="AG27" i="6"/>
  <c r="AF21" i="6"/>
  <c r="AF27" i="6"/>
  <c r="AE21" i="6"/>
  <c r="AE27" i="6"/>
  <c r="AJ21" i="6"/>
  <c r="AJ26" i="6"/>
  <c r="E104" i="9"/>
  <c r="G17" i="14"/>
  <c r="AH26" i="6"/>
  <c r="AG26" i="6"/>
  <c r="AF26" i="6"/>
  <c r="AE26" i="6"/>
  <c r="AJ25" i="6"/>
  <c r="AI25" i="6"/>
  <c r="AG25" i="6"/>
  <c r="AF25" i="6"/>
  <c r="AE25" i="6"/>
  <c r="AJ24" i="6"/>
  <c r="AI24" i="6"/>
  <c r="AH24" i="6"/>
  <c r="AF24" i="6"/>
  <c r="AE24" i="6"/>
  <c r="AJ23" i="6"/>
  <c r="AI23" i="6"/>
  <c r="AH23" i="6"/>
  <c r="AG23" i="6"/>
  <c r="AE23" i="6"/>
  <c r="AJ22" i="6"/>
  <c r="AI22" i="6"/>
  <c r="AH22" i="6"/>
  <c r="AG22" i="6"/>
  <c r="AF22" i="6"/>
  <c r="AI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AI17" i="6"/>
  <c r="AH11" i="6"/>
  <c r="AH17" i="6"/>
  <c r="AG11" i="6"/>
  <c r="AG17" i="6"/>
  <c r="AF11" i="6"/>
  <c r="AF17" i="6"/>
  <c r="AE11" i="6"/>
  <c r="AE17" i="6"/>
  <c r="AJ11" i="6"/>
  <c r="AJ16" i="6"/>
  <c r="AH16" i="6"/>
  <c r="AG16" i="6"/>
  <c r="AF16" i="6"/>
  <c r="AE16" i="6"/>
  <c r="AJ15" i="6"/>
  <c r="AI15" i="6"/>
  <c r="AG15" i="6"/>
  <c r="AF15" i="6"/>
  <c r="AE15" i="6"/>
  <c r="AJ14" i="6"/>
  <c r="AI14" i="6"/>
  <c r="AH14" i="6"/>
  <c r="AF14" i="6"/>
  <c r="AE14" i="6"/>
  <c r="AJ13" i="6"/>
  <c r="AI13" i="6"/>
  <c r="AH13" i="6"/>
  <c r="AG13" i="6"/>
  <c r="AE13" i="6"/>
  <c r="AJ12" i="6"/>
  <c r="AI12" i="6"/>
  <c r="AH12" i="6"/>
  <c r="AG12" i="6"/>
  <c r="AF12" i="6"/>
  <c r="E103" i="9"/>
  <c r="B15" i="14"/>
  <c r="E105" i="9"/>
  <c r="E106" i="9"/>
  <c r="AC21" i="6"/>
  <c r="Y64" i="30"/>
  <c r="Y67" i="30"/>
  <c r="Y70" i="30"/>
  <c r="Y73" i="30"/>
  <c r="Y76" i="30"/>
  <c r="X64" i="30"/>
  <c r="X67" i="30"/>
  <c r="X70" i="30"/>
  <c r="X73" i="30"/>
  <c r="X76" i="30"/>
  <c r="AH64" i="30"/>
  <c r="AH67" i="30"/>
  <c r="AH70" i="30"/>
  <c r="AH73" i="30"/>
  <c r="AH76" i="30"/>
  <c r="AG64" i="30"/>
  <c r="AG67" i="30"/>
  <c r="AG70" i="30"/>
  <c r="AG73" i="30"/>
  <c r="AG76" i="30"/>
  <c r="H12" i="30"/>
  <c r="G12" i="30"/>
  <c r="I12" i="30"/>
  <c r="AR12" i="30"/>
  <c r="H11" i="30"/>
  <c r="G11" i="30"/>
  <c r="I11" i="30"/>
  <c r="AR11" i="30"/>
  <c r="H10" i="30"/>
  <c r="G10" i="30"/>
  <c r="I10" i="30"/>
  <c r="AR10" i="30"/>
  <c r="H9" i="30"/>
  <c r="G9" i="30"/>
  <c r="I9" i="30"/>
  <c r="AR9" i="30"/>
  <c r="H8" i="30"/>
  <c r="G8" i="30"/>
  <c r="I8" i="30"/>
  <c r="AR8" i="30"/>
  <c r="H7" i="30"/>
  <c r="G7" i="30"/>
  <c r="I7" i="30"/>
  <c r="AR7" i="30"/>
  <c r="H6" i="30"/>
  <c r="G6" i="30"/>
  <c r="I6" i="30"/>
  <c r="AR6" i="30"/>
  <c r="H5" i="30"/>
  <c r="G5" i="30"/>
  <c r="I5" i="30"/>
  <c r="AR5" i="30"/>
  <c r="H4" i="30"/>
  <c r="G4" i="30"/>
  <c r="I4" i="30"/>
  <c r="AR4" i="30"/>
  <c r="Y64" i="29"/>
  <c r="Y67" i="29"/>
  <c r="Y70" i="29"/>
  <c r="Y73" i="29"/>
  <c r="Y76" i="29"/>
  <c r="X64" i="29"/>
  <c r="X67" i="29"/>
  <c r="X70" i="29"/>
  <c r="X73" i="29"/>
  <c r="X76" i="29"/>
  <c r="AH64" i="29"/>
  <c r="AH67" i="29"/>
  <c r="AH70" i="29"/>
  <c r="AH73" i="29"/>
  <c r="AH76" i="29"/>
  <c r="AG64" i="29"/>
  <c r="AG67" i="29"/>
  <c r="AG70" i="29"/>
  <c r="AG73" i="29"/>
  <c r="AG76" i="29"/>
  <c r="H12" i="29"/>
  <c r="G12" i="29"/>
  <c r="I12" i="29"/>
  <c r="AR12" i="29"/>
  <c r="H11" i="29"/>
  <c r="G11" i="29"/>
  <c r="I11" i="29"/>
  <c r="AR11" i="29"/>
  <c r="H10" i="29"/>
  <c r="G10" i="29"/>
  <c r="I10" i="29"/>
  <c r="AR10" i="29"/>
  <c r="H9" i="29"/>
  <c r="G9" i="29"/>
  <c r="I9" i="29"/>
  <c r="AR9" i="29"/>
  <c r="H8" i="29"/>
  <c r="G8" i="29"/>
  <c r="I8" i="29"/>
  <c r="AR8" i="29"/>
  <c r="H7" i="29"/>
  <c r="G7" i="29"/>
  <c r="I7" i="29"/>
  <c r="AR7" i="29"/>
  <c r="H6" i="29"/>
  <c r="G6" i="29"/>
  <c r="I6" i="29"/>
  <c r="AR6" i="29"/>
  <c r="H5" i="29"/>
  <c r="G5" i="29"/>
  <c r="I5" i="29"/>
  <c r="AR5" i="29"/>
  <c r="H4" i="29"/>
  <c r="G4" i="29"/>
  <c r="I4" i="29"/>
  <c r="AR4" i="29"/>
  <c r="Y64" i="28"/>
  <c r="Y67" i="28"/>
  <c r="Y70" i="28"/>
  <c r="Y73" i="28"/>
  <c r="Y76" i="28"/>
  <c r="X64" i="28"/>
  <c r="X67" i="28"/>
  <c r="X70" i="28"/>
  <c r="X73" i="28"/>
  <c r="X76" i="28"/>
  <c r="AH64" i="28"/>
  <c r="AH67" i="28"/>
  <c r="AH70" i="28"/>
  <c r="AH73" i="28"/>
  <c r="AH76" i="28"/>
  <c r="AG64" i="28"/>
  <c r="AG67" i="28"/>
  <c r="AG70" i="28"/>
  <c r="AG73" i="28"/>
  <c r="AG76" i="28"/>
  <c r="H12" i="28"/>
  <c r="G12" i="28"/>
  <c r="I12" i="28"/>
  <c r="AR12" i="28"/>
  <c r="H11" i="28"/>
  <c r="G11" i="28"/>
  <c r="I11" i="28"/>
  <c r="AR11" i="28"/>
  <c r="H10" i="28"/>
  <c r="G10" i="28"/>
  <c r="I10" i="28"/>
  <c r="AR10" i="28"/>
  <c r="H9" i="28"/>
  <c r="G9" i="28"/>
  <c r="I9" i="28"/>
  <c r="AR9" i="28"/>
  <c r="H8" i="28"/>
  <c r="G8" i="28"/>
  <c r="I8" i="28"/>
  <c r="AR8" i="28"/>
  <c r="H7" i="28"/>
  <c r="G7" i="28"/>
  <c r="I7" i="28"/>
  <c r="AR7" i="28"/>
  <c r="H6" i="28"/>
  <c r="G6" i="28"/>
  <c r="I6" i="28"/>
  <c r="AR6" i="28"/>
  <c r="H5" i="28"/>
  <c r="G5" i="28"/>
  <c r="I5" i="28"/>
  <c r="AR5" i="28"/>
  <c r="H4" i="28"/>
  <c r="G4" i="28"/>
  <c r="I4" i="28"/>
  <c r="AR4" i="28"/>
  <c r="F12" i="30"/>
  <c r="K4" i="30"/>
  <c r="M4" i="30"/>
  <c r="N4" i="30"/>
  <c r="L4" i="30"/>
  <c r="K17" i="30"/>
  <c r="J17" i="30"/>
  <c r="L17" i="30"/>
  <c r="K5" i="30"/>
  <c r="M5" i="30"/>
  <c r="N5" i="30"/>
  <c r="L5" i="30"/>
  <c r="K18" i="30"/>
  <c r="J18" i="30"/>
  <c r="L18" i="30"/>
  <c r="K6" i="30"/>
  <c r="M6" i="30"/>
  <c r="N6" i="30"/>
  <c r="L6" i="30"/>
  <c r="K19" i="30"/>
  <c r="J19" i="30"/>
  <c r="L19" i="30"/>
  <c r="K7" i="30"/>
  <c r="M7" i="30"/>
  <c r="N7" i="30"/>
  <c r="L7" i="30"/>
  <c r="K20" i="30"/>
  <c r="J20" i="30"/>
  <c r="L20" i="30"/>
  <c r="F8" i="30"/>
  <c r="K8" i="30"/>
  <c r="M8" i="30"/>
  <c r="N8" i="30"/>
  <c r="L8" i="30"/>
  <c r="K21" i="30"/>
  <c r="J21" i="30"/>
  <c r="L21" i="30"/>
  <c r="F9" i="30"/>
  <c r="K9" i="30"/>
  <c r="M9" i="30"/>
  <c r="N9" i="30"/>
  <c r="L9" i="30"/>
  <c r="K22" i="30"/>
  <c r="J22" i="30"/>
  <c r="L22" i="30"/>
  <c r="F10" i="30"/>
  <c r="K10" i="30"/>
  <c r="M10" i="30"/>
  <c r="N10" i="30"/>
  <c r="L10" i="30"/>
  <c r="K23" i="30"/>
  <c r="J23" i="30"/>
  <c r="L23" i="30"/>
  <c r="F11" i="30"/>
  <c r="K11" i="30"/>
  <c r="M11" i="30"/>
  <c r="N11" i="30"/>
  <c r="L11" i="30"/>
  <c r="K24" i="30"/>
  <c r="J24" i="30"/>
  <c r="L24" i="30"/>
  <c r="K12" i="30"/>
  <c r="M12" i="30"/>
  <c r="N12" i="30"/>
  <c r="L12" i="30"/>
  <c r="K25" i="30"/>
  <c r="J25" i="30"/>
  <c r="L25" i="30"/>
  <c r="AI1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C19" i="30"/>
  <c r="P19" i="30"/>
  <c r="C20"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Q4" i="30"/>
  <c r="AG3" i="30"/>
  <c r="AG12" i="30"/>
  <c r="AI12" i="30"/>
  <c r="AG4" i="30"/>
  <c r="AI4" i="30"/>
  <c r="AG5" i="30"/>
  <c r="AI5" i="30"/>
  <c r="AG6" i="30"/>
  <c r="AI6" i="30"/>
  <c r="AG7" i="30"/>
  <c r="AI7" i="30"/>
  <c r="AG8" i="30"/>
  <c r="AI8" i="30"/>
  <c r="AG9" i="30"/>
  <c r="AI9" i="30"/>
  <c r="AG10" i="30"/>
  <c r="AI10" i="30"/>
  <c r="AG11" i="30"/>
  <c r="AI11" i="30"/>
  <c r="P4" i="30"/>
  <c r="AB3" i="30"/>
  <c r="AB12" i="30"/>
  <c r="AD12" i="30"/>
  <c r="AB4" i="30"/>
  <c r="AD4" i="30"/>
  <c r="AB5" i="30"/>
  <c r="AD5" i="30"/>
  <c r="AB6" i="30"/>
  <c r="AD6" i="30"/>
  <c r="AB7" i="30"/>
  <c r="AD7" i="30"/>
  <c r="AB8" i="30"/>
  <c r="AD8" i="30"/>
  <c r="AB9" i="30"/>
  <c r="AD9" i="30"/>
  <c r="AB10" i="30"/>
  <c r="AD10" i="30"/>
  <c r="AB11" i="30"/>
  <c r="AD11" i="30"/>
  <c r="O4" i="30"/>
  <c r="W3" i="30"/>
  <c r="W12" i="30"/>
  <c r="Y12" i="30"/>
  <c r="W4" i="30"/>
  <c r="Y4" i="30"/>
  <c r="W5" i="30"/>
  <c r="Y5" i="30"/>
  <c r="W6" i="30"/>
  <c r="Y6" i="30"/>
  <c r="W7" i="30"/>
  <c r="Y7" i="30"/>
  <c r="W8" i="30"/>
  <c r="Y8" i="30"/>
  <c r="W9" i="30"/>
  <c r="Y9" i="30"/>
  <c r="W10" i="30"/>
  <c r="Y10" i="30"/>
  <c r="W11" i="30"/>
  <c r="Y11" i="30"/>
  <c r="F12" i="29"/>
  <c r="K4" i="29"/>
  <c r="M4" i="29"/>
  <c r="N4" i="29"/>
  <c r="L4" i="29"/>
  <c r="K17" i="29"/>
  <c r="J17" i="29"/>
  <c r="L17" i="29"/>
  <c r="K5" i="29"/>
  <c r="M5" i="29"/>
  <c r="N5" i="29"/>
  <c r="L5" i="29"/>
  <c r="K18" i="29"/>
  <c r="J18" i="29"/>
  <c r="L18" i="29"/>
  <c r="K6" i="29"/>
  <c r="M6" i="29"/>
  <c r="N6" i="29"/>
  <c r="L6" i="29"/>
  <c r="K19" i="29"/>
  <c r="J19" i="29"/>
  <c r="L19" i="29"/>
  <c r="K7" i="29"/>
  <c r="M7" i="29"/>
  <c r="N7" i="29"/>
  <c r="L7" i="29"/>
  <c r="K20" i="29"/>
  <c r="J20" i="29"/>
  <c r="L20" i="29"/>
  <c r="F8" i="29"/>
  <c r="K8" i="29"/>
  <c r="M8" i="29"/>
  <c r="N8" i="29"/>
  <c r="L8" i="29"/>
  <c r="K21" i="29"/>
  <c r="J21" i="29"/>
  <c r="L21" i="29"/>
  <c r="F9" i="29"/>
  <c r="K9" i="29"/>
  <c r="M9" i="29"/>
  <c r="N9" i="29"/>
  <c r="L9" i="29"/>
  <c r="K22" i="29"/>
  <c r="J22" i="29"/>
  <c r="L22" i="29"/>
  <c r="F10" i="29"/>
  <c r="K10" i="29"/>
  <c r="M10" i="29"/>
  <c r="N10" i="29"/>
  <c r="L10" i="29"/>
  <c r="K23" i="29"/>
  <c r="J23" i="29"/>
  <c r="L23" i="29"/>
  <c r="F11" i="29"/>
  <c r="K11" i="29"/>
  <c r="M11" i="29"/>
  <c r="N11" i="29"/>
  <c r="L11" i="29"/>
  <c r="K24" i="29"/>
  <c r="J24" i="29"/>
  <c r="L24" i="29"/>
  <c r="K12" i="29"/>
  <c r="M12" i="29"/>
  <c r="N12" i="29"/>
  <c r="L12" i="29"/>
  <c r="K25" i="29"/>
  <c r="J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Q4" i="29"/>
  <c r="AG3" i="29"/>
  <c r="AG12" i="29"/>
  <c r="AI12" i="29"/>
  <c r="AG4" i="29"/>
  <c r="AI4" i="29"/>
  <c r="AG5" i="29"/>
  <c r="AI5" i="29"/>
  <c r="AG6" i="29"/>
  <c r="AI6" i="29"/>
  <c r="AG7" i="29"/>
  <c r="AI7" i="29"/>
  <c r="AG8" i="29"/>
  <c r="AI8" i="29"/>
  <c r="AG9" i="29"/>
  <c r="AI9" i="29"/>
  <c r="AG10" i="29"/>
  <c r="AI10" i="29"/>
  <c r="AG11" i="29"/>
  <c r="AI11" i="29"/>
  <c r="P4" i="29"/>
  <c r="AB3" i="29"/>
  <c r="AB12" i="29"/>
  <c r="AD12" i="29"/>
  <c r="AB4" i="29"/>
  <c r="AD4" i="29"/>
  <c r="AB5" i="29"/>
  <c r="AD5" i="29"/>
  <c r="AB6" i="29"/>
  <c r="AD6" i="29"/>
  <c r="AB7" i="29"/>
  <c r="AD7" i="29"/>
  <c r="AB8" i="29"/>
  <c r="AD8" i="29"/>
  <c r="AB9" i="29"/>
  <c r="AD9" i="29"/>
  <c r="AB10" i="29"/>
  <c r="AD10" i="29"/>
  <c r="AB11" i="29"/>
  <c r="AD11" i="29"/>
  <c r="O4" i="29"/>
  <c r="W3" i="29"/>
  <c r="W12" i="29"/>
  <c r="Y12" i="29"/>
  <c r="W4" i="29"/>
  <c r="Y4" i="29"/>
  <c r="W5" i="29"/>
  <c r="Y5" i="29"/>
  <c r="W6" i="29"/>
  <c r="Y6" i="29"/>
  <c r="W7" i="29"/>
  <c r="Y7" i="29"/>
  <c r="W8" i="29"/>
  <c r="Y8" i="29"/>
  <c r="W9" i="29"/>
  <c r="Y9" i="29"/>
  <c r="W10" i="29"/>
  <c r="Y10" i="29"/>
  <c r="W11" i="29"/>
  <c r="Y11" i="29"/>
  <c r="F12" i="28"/>
  <c r="K4" i="28"/>
  <c r="M4" i="28"/>
  <c r="N4" i="28"/>
  <c r="L4" i="28"/>
  <c r="K17" i="28"/>
  <c r="J17" i="28"/>
  <c r="L17" i="28"/>
  <c r="K5" i="28"/>
  <c r="M5" i="28"/>
  <c r="N5" i="28"/>
  <c r="L5" i="28"/>
  <c r="K18" i="28"/>
  <c r="J18" i="28"/>
  <c r="L18" i="28"/>
  <c r="K6" i="28"/>
  <c r="M6" i="28"/>
  <c r="N6" i="28"/>
  <c r="L6" i="28"/>
  <c r="K19" i="28"/>
  <c r="J19" i="28"/>
  <c r="L19" i="28"/>
  <c r="K7" i="28"/>
  <c r="M7" i="28"/>
  <c r="N7" i="28"/>
  <c r="L7" i="28"/>
  <c r="K20" i="28"/>
  <c r="J20" i="28"/>
  <c r="L20" i="28"/>
  <c r="F8" i="28"/>
  <c r="K8" i="28"/>
  <c r="M8" i="28"/>
  <c r="N8" i="28"/>
  <c r="L8" i="28"/>
  <c r="K21" i="28"/>
  <c r="J21" i="28"/>
  <c r="L21" i="28"/>
  <c r="F9" i="28"/>
  <c r="K9" i="28"/>
  <c r="M9" i="28"/>
  <c r="N9" i="28"/>
  <c r="L9" i="28"/>
  <c r="K22" i="28"/>
  <c r="J22" i="28"/>
  <c r="L22" i="28"/>
  <c r="F10" i="28"/>
  <c r="K10" i="28"/>
  <c r="M10" i="28"/>
  <c r="N10" i="28"/>
  <c r="L10" i="28"/>
  <c r="K23" i="28"/>
  <c r="J23" i="28"/>
  <c r="L23" i="28"/>
  <c r="F11" i="28"/>
  <c r="K11" i="28"/>
  <c r="M11" i="28"/>
  <c r="N11" i="28"/>
  <c r="L11" i="28"/>
  <c r="K24" i="28"/>
  <c r="J24" i="28"/>
  <c r="L24" i="28"/>
  <c r="K12" i="28"/>
  <c r="M12" i="28"/>
  <c r="N12" i="28"/>
  <c r="L12" i="28"/>
  <c r="K25" i="28"/>
  <c r="J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Q19"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Q4" i="28"/>
  <c r="AG3" i="28"/>
  <c r="AG12" i="28"/>
  <c r="AI12" i="28"/>
  <c r="AG4" i="28"/>
  <c r="AI4" i="28"/>
  <c r="AG5" i="28"/>
  <c r="AI5" i="28"/>
  <c r="AG6" i="28"/>
  <c r="AI6" i="28"/>
  <c r="AG7" i="28"/>
  <c r="AI7" i="28"/>
  <c r="AG8" i="28"/>
  <c r="AI8" i="28"/>
  <c r="AG9" i="28"/>
  <c r="AI9" i="28"/>
  <c r="AG10" i="28"/>
  <c r="AI10" i="28"/>
  <c r="AG11" i="28"/>
  <c r="AI11" i="28"/>
  <c r="P4" i="28"/>
  <c r="AB3" i="28"/>
  <c r="AB12" i="28"/>
  <c r="AD12" i="28"/>
  <c r="AB4" i="28"/>
  <c r="AD4" i="28"/>
  <c r="AB5" i="28"/>
  <c r="AD5" i="28"/>
  <c r="AB6" i="28"/>
  <c r="AD6" i="28"/>
  <c r="AB7" i="28"/>
  <c r="AD7" i="28"/>
  <c r="AB8" i="28"/>
  <c r="AD8" i="28"/>
  <c r="AB9" i="28"/>
  <c r="AD9" i="28"/>
  <c r="AB10" i="28"/>
  <c r="AD10" i="28"/>
  <c r="AB11" i="28"/>
  <c r="AD11" i="28"/>
  <c r="O4" i="28"/>
  <c r="W3" i="28"/>
  <c r="W12" i="28"/>
  <c r="Y12" i="28"/>
  <c r="W4" i="28"/>
  <c r="Y4" i="28"/>
  <c r="W5" i="28"/>
  <c r="Y5" i="28"/>
  <c r="W6" i="28"/>
  <c r="Y6" i="28"/>
  <c r="W7" i="28"/>
  <c r="Y7" i="28"/>
  <c r="W8" i="28"/>
  <c r="Y8" i="28"/>
  <c r="W9" i="28"/>
  <c r="Y9" i="28"/>
  <c r="W10" i="28"/>
  <c r="Y10" i="28"/>
  <c r="W11" i="28"/>
  <c r="Y11" i="28"/>
  <c r="F12" i="17"/>
  <c r="F10" i="17"/>
  <c r="F11" i="17"/>
  <c r="BY51" i="17"/>
  <c r="BZ51" i="17"/>
  <c r="CA51" i="17"/>
  <c r="BR58" i="17"/>
  <c r="BR59" i="17"/>
  <c r="BR60" i="17"/>
  <c r="BY29" i="17"/>
  <c r="BR36" i="17"/>
  <c r="BZ29" i="17"/>
  <c r="BR37" i="17"/>
  <c r="CA29" i="17"/>
  <c r="BR38" i="17"/>
  <c r="BR52" i="30"/>
  <c r="BS51" i="30"/>
  <c r="BU51" i="30"/>
  <c r="BR54" i="30"/>
  <c r="BR41" i="30"/>
  <c r="BS40" i="30"/>
  <c r="BR30" i="30"/>
  <c r="BS29" i="30"/>
  <c r="BU40" i="30"/>
  <c r="BU29" i="30"/>
  <c r="BR32" i="30"/>
  <c r="BR43" i="30"/>
  <c r="I25" i="31"/>
  <c r="K25" i="31"/>
  <c r="AC25" i="31"/>
  <c r="AD25" i="31"/>
  <c r="U25" i="31"/>
  <c r="I26" i="31"/>
  <c r="K26" i="31"/>
  <c r="AC26" i="31"/>
  <c r="AD26" i="31"/>
  <c r="U26" i="31"/>
  <c r="I27" i="31"/>
  <c r="K27" i="31"/>
  <c r="AC27" i="31"/>
  <c r="AD27" i="31"/>
  <c r="U27" i="31"/>
  <c r="I28" i="31"/>
  <c r="K28" i="31"/>
  <c r="AC28" i="31"/>
  <c r="AD28" i="31"/>
  <c r="U28" i="31"/>
  <c r="I29" i="31"/>
  <c r="K29" i="31"/>
  <c r="AC29" i="31"/>
  <c r="AD29" i="31"/>
  <c r="U29" i="31"/>
  <c r="I30" i="31"/>
  <c r="K30" i="31"/>
  <c r="AC30" i="31"/>
  <c r="AD30" i="31"/>
  <c r="U30" i="31"/>
  <c r="AJ26" i="27"/>
  <c r="Y17" i="30"/>
  <c r="AJ28" i="27"/>
  <c r="Y19" i="30"/>
  <c r="BR52" i="28"/>
  <c r="BS51" i="28"/>
  <c r="BU51" i="28"/>
  <c r="BR54" i="28"/>
  <c r="BR41" i="28"/>
  <c r="BS40" i="28"/>
  <c r="BR30" i="28"/>
  <c r="BS29" i="28"/>
  <c r="BU40" i="28"/>
  <c r="BU29" i="28"/>
  <c r="BR32" i="28"/>
  <c r="BR43" i="28"/>
  <c r="AJ12" i="27"/>
  <c r="Y17" i="28"/>
  <c r="AJ14" i="27"/>
  <c r="Y19" i="28"/>
  <c r="BR52" i="29"/>
  <c r="BS51" i="29"/>
  <c r="BU51" i="29"/>
  <c r="BR54" i="29"/>
  <c r="BR41" i="29"/>
  <c r="BS40" i="29"/>
  <c r="BR30" i="29"/>
  <c r="BS29" i="29"/>
  <c r="BU40" i="29"/>
  <c r="BU29" i="29"/>
  <c r="BR32" i="29"/>
  <c r="BR43" i="29"/>
  <c r="AJ19" i="27"/>
  <c r="Y17" i="29"/>
  <c r="AJ21" i="27"/>
  <c r="Y19" i="29"/>
  <c r="E34" i="10"/>
  <c r="E25" i="10"/>
  <c r="E16" i="10"/>
  <c r="E7" i="10"/>
  <c r="Z17" i="3"/>
  <c r="Z21" i="3"/>
  <c r="AC17" i="6"/>
  <c r="AC16" i="6"/>
  <c r="AC15" i="6"/>
  <c r="AC14" i="6"/>
  <c r="AC13" i="6"/>
  <c r="AC12" i="6"/>
  <c r="AC11" i="6"/>
  <c r="AD25" i="17"/>
  <c r="C25" i="17"/>
  <c r="AE25" i="17"/>
  <c r="AE17" i="17"/>
  <c r="AE18" i="17"/>
  <c r="AE19" i="17"/>
  <c r="AE20" i="17"/>
  <c r="AE21" i="17"/>
  <c r="AE22" i="17"/>
  <c r="AE23" i="17"/>
  <c r="AE24" i="17"/>
  <c r="AF25" i="17"/>
  <c r="I25" i="17"/>
  <c r="H25" i="17"/>
  <c r="G25" i="17"/>
  <c r="F25" i="17"/>
  <c r="E25" i="17"/>
  <c r="D25" i="17"/>
  <c r="AD24" i="17"/>
  <c r="C24" i="17"/>
  <c r="AF24" i="17"/>
  <c r="I24" i="17"/>
  <c r="H24" i="17"/>
  <c r="G24" i="17"/>
  <c r="F24" i="17"/>
  <c r="E24" i="17"/>
  <c r="D24" i="17"/>
  <c r="AD23" i="17"/>
  <c r="C23" i="17"/>
  <c r="AF23" i="17"/>
  <c r="I23" i="17"/>
  <c r="H23" i="17"/>
  <c r="G23" i="17"/>
  <c r="F23" i="17"/>
  <c r="E23" i="17"/>
  <c r="D23" i="17"/>
  <c r="AD22" i="17"/>
  <c r="AF22" i="17"/>
  <c r="I22" i="17"/>
  <c r="H22" i="17"/>
  <c r="G22" i="17"/>
  <c r="F22" i="17"/>
  <c r="E22" i="17"/>
  <c r="D22" i="17"/>
  <c r="AD21" i="17"/>
  <c r="AF21" i="17"/>
  <c r="I21" i="17"/>
  <c r="H21" i="17"/>
  <c r="G21" i="17"/>
  <c r="F21" i="17"/>
  <c r="E21" i="17"/>
  <c r="D21" i="17"/>
  <c r="AD20" i="17"/>
  <c r="AF20" i="17"/>
  <c r="I20" i="17"/>
  <c r="H20" i="17"/>
  <c r="G20" i="17"/>
  <c r="F20" i="17"/>
  <c r="E20" i="17"/>
  <c r="D20" i="17"/>
  <c r="AD19" i="17"/>
  <c r="AF19" i="17"/>
  <c r="I19" i="17"/>
  <c r="H19" i="17"/>
  <c r="G19" i="17"/>
  <c r="F19" i="17"/>
  <c r="E19" i="17"/>
  <c r="D19" i="17"/>
  <c r="AD18" i="17"/>
  <c r="AF18" i="17"/>
  <c r="I18" i="17"/>
  <c r="H18" i="17"/>
  <c r="G18" i="17"/>
  <c r="F18" i="17"/>
  <c r="E18" i="17"/>
  <c r="D18" i="17"/>
  <c r="AD17" i="17"/>
  <c r="AF17" i="17"/>
  <c r="I17" i="17"/>
  <c r="H17" i="17"/>
  <c r="G17" i="17"/>
  <c r="F17" i="17"/>
  <c r="E17" i="17"/>
  <c r="D17" i="17"/>
  <c r="X12" i="31"/>
  <c r="Y12" i="31"/>
  <c r="Z12" i="31"/>
  <c r="AA12" i="31"/>
  <c r="C40" i="10"/>
  <c r="F40" i="10"/>
  <c r="C39" i="10"/>
  <c r="F39" i="10"/>
  <c r="C38" i="10"/>
  <c r="F38" i="10"/>
  <c r="C37" i="10"/>
  <c r="F37" i="10"/>
  <c r="C36" i="10"/>
  <c r="F36" i="10"/>
  <c r="C35" i="10"/>
  <c r="F35" i="10"/>
  <c r="C31" i="10"/>
  <c r="F31" i="10"/>
  <c r="C30" i="10"/>
  <c r="F30" i="10"/>
  <c r="C29" i="10"/>
  <c r="F29" i="10"/>
  <c r="C28" i="10"/>
  <c r="F28" i="10"/>
  <c r="C27" i="10"/>
  <c r="F27" i="10"/>
  <c r="C26" i="10"/>
  <c r="F26" i="10"/>
  <c r="C22" i="10"/>
  <c r="F22" i="10"/>
  <c r="C21" i="10"/>
  <c r="F21" i="10"/>
  <c r="C20" i="10"/>
  <c r="F20" i="10"/>
  <c r="C19" i="10"/>
  <c r="F19" i="10"/>
  <c r="C18" i="10"/>
  <c r="F18" i="10"/>
  <c r="C17" i="10"/>
  <c r="F17" i="10"/>
  <c r="C13" i="10"/>
  <c r="F13" i="10"/>
  <c r="C12" i="10"/>
  <c r="F12" i="10"/>
  <c r="C11" i="10"/>
  <c r="F11" i="10"/>
  <c r="C10" i="10"/>
  <c r="F10" i="10"/>
  <c r="C9" i="10"/>
  <c r="F9" i="10"/>
  <c r="C8" i="10"/>
  <c r="F8" i="10"/>
  <c r="E62" i="9"/>
  <c r="M11" i="26"/>
  <c r="E63" i="9"/>
  <c r="P11" i="26"/>
  <c r="E61" i="9"/>
  <c r="J11" i="26"/>
  <c r="Q16" i="26"/>
  <c r="Q15" i="26"/>
  <c r="Q13" i="26"/>
  <c r="Q12" i="26"/>
  <c r="Q21" i="24"/>
  <c r="N21" i="24"/>
  <c r="K21" i="24"/>
  <c r="Q20" i="24"/>
  <c r="N20" i="24"/>
  <c r="K20" i="24"/>
  <c r="N18" i="24"/>
  <c r="K18" i="24"/>
  <c r="N17" i="24"/>
  <c r="K17" i="24"/>
  <c r="J11" i="24"/>
  <c r="M11" i="24"/>
  <c r="P11" i="24"/>
  <c r="Q18" i="24"/>
  <c r="Q17" i="24"/>
  <c r="Q15" i="24"/>
  <c r="Q14" i="24"/>
  <c r="Q13" i="24"/>
  <c r="Q12" i="24"/>
  <c r="Y16" i="21"/>
  <c r="Y13" i="21"/>
  <c r="Y12" i="21"/>
  <c r="J11" i="21"/>
  <c r="M11" i="21"/>
  <c r="P11" i="21"/>
  <c r="Q17" i="21"/>
  <c r="Q16" i="21"/>
  <c r="Q15" i="21"/>
  <c r="Q14" i="21"/>
  <c r="Q13" i="21"/>
  <c r="Q12" i="21"/>
  <c r="X25" i="31"/>
  <c r="Y25" i="31"/>
  <c r="Z25" i="31"/>
  <c r="AA25" i="31"/>
  <c r="BR60" i="30"/>
  <c r="BZ51" i="30"/>
  <c r="BY51" i="30"/>
  <c r="BX51" i="30"/>
  <c r="BW51" i="30"/>
  <c r="BR59" i="30"/>
  <c r="CA51" i="30"/>
  <c r="BR58" i="30"/>
  <c r="BR57" i="30"/>
  <c r="BR56" i="30"/>
  <c r="BR37" i="30"/>
  <c r="CA29" i="30"/>
  <c r="BR38" i="30"/>
  <c r="BZ29" i="30"/>
  <c r="BR36" i="30"/>
  <c r="BY29" i="30"/>
  <c r="BR35" i="30"/>
  <c r="BX29" i="30"/>
  <c r="BR34" i="30"/>
  <c r="BW29" i="30"/>
  <c r="BR49" i="30"/>
  <c r="C25" i="30"/>
  <c r="BR48" i="30"/>
  <c r="C24" i="30"/>
  <c r="BR47" i="30"/>
  <c r="C23" i="30"/>
  <c r="BR46" i="30"/>
  <c r="C22" i="30"/>
  <c r="BR45" i="30"/>
  <c r="C21" i="30"/>
  <c r="CA40" i="30"/>
  <c r="BZ40" i="30"/>
  <c r="BY40" i="30"/>
  <c r="BX40" i="30"/>
  <c r="BW40" i="30"/>
  <c r="C38" i="30"/>
  <c r="C37" i="30"/>
  <c r="C36" i="30"/>
  <c r="C35" i="30"/>
  <c r="C34" i="30"/>
  <c r="C32" i="30"/>
  <c r="C30" i="30"/>
  <c r="BR60" i="29"/>
  <c r="BZ51" i="29"/>
  <c r="BY51" i="29"/>
  <c r="BX51" i="29"/>
  <c r="BW51" i="29"/>
  <c r="BR59" i="29"/>
  <c r="CA51" i="29"/>
  <c r="BR58" i="29"/>
  <c r="BR57" i="29"/>
  <c r="BR56" i="29"/>
  <c r="BR37" i="29"/>
  <c r="CA29" i="29"/>
  <c r="BR38" i="29"/>
  <c r="BZ29" i="29"/>
  <c r="BR36" i="29"/>
  <c r="BY29" i="29"/>
  <c r="BR35" i="29"/>
  <c r="BX29" i="29"/>
  <c r="BR34" i="29"/>
  <c r="BW29" i="29"/>
  <c r="BR49" i="29"/>
  <c r="C25" i="29"/>
  <c r="BR48" i="29"/>
  <c r="C24" i="29"/>
  <c r="BR47" i="29"/>
  <c r="C23" i="29"/>
  <c r="BR46" i="29"/>
  <c r="C22" i="29"/>
  <c r="BR45" i="29"/>
  <c r="C21" i="29"/>
  <c r="CA40" i="29"/>
  <c r="BZ40" i="29"/>
  <c r="BY40" i="29"/>
  <c r="BX40" i="29"/>
  <c r="BW40" i="29"/>
  <c r="C38" i="29"/>
  <c r="C37" i="29"/>
  <c r="C36" i="29"/>
  <c r="C35" i="29"/>
  <c r="C34" i="29"/>
  <c r="C32" i="29"/>
  <c r="C30" i="29"/>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AI144" i="30"/>
  <c r="AA144" i="30"/>
  <c r="AB144" i="30"/>
  <c r="Z144" i="30"/>
  <c r="AI143" i="30"/>
  <c r="AA143" i="30"/>
  <c r="AB143" i="30"/>
  <c r="Z143" i="30"/>
  <c r="AI142" i="30"/>
  <c r="AA142" i="30"/>
  <c r="AB142" i="30"/>
  <c r="Z142" i="30"/>
  <c r="AH135" i="30"/>
  <c r="AG135" i="30"/>
  <c r="AB135" i="30"/>
  <c r="Z135" i="30"/>
  <c r="Y135" i="30"/>
  <c r="X135" i="30"/>
  <c r="W135" i="30"/>
  <c r="V135" i="30"/>
  <c r="AH134" i="30"/>
  <c r="AG134" i="30"/>
  <c r="AB134" i="30"/>
  <c r="Z134" i="30"/>
  <c r="Y134" i="30"/>
  <c r="X134" i="30"/>
  <c r="W134" i="30"/>
  <c r="V134" i="30"/>
  <c r="AH133" i="30"/>
  <c r="AG133" i="30"/>
  <c r="AB133" i="30"/>
  <c r="Z133" i="30"/>
  <c r="Y133" i="30"/>
  <c r="X133" i="30"/>
  <c r="W133" i="30"/>
  <c r="V133" i="30"/>
  <c r="AH132" i="30"/>
  <c r="AG132" i="30"/>
  <c r="AB132" i="30"/>
  <c r="Z132" i="30"/>
  <c r="Y132" i="30"/>
  <c r="X132" i="30"/>
  <c r="W132" i="30"/>
  <c r="V132" i="30"/>
  <c r="AH131" i="30"/>
  <c r="AG131" i="30"/>
  <c r="AB131" i="30"/>
  <c r="Z131" i="30"/>
  <c r="Y131" i="30"/>
  <c r="X131" i="30"/>
  <c r="W131" i="30"/>
  <c r="V131" i="30"/>
  <c r="AH130" i="30"/>
  <c r="AG130" i="30"/>
  <c r="AB130" i="30"/>
  <c r="Z130" i="30"/>
  <c r="Y130" i="30"/>
  <c r="X130" i="30"/>
  <c r="W130" i="30"/>
  <c r="V130" i="30"/>
  <c r="AH129" i="30"/>
  <c r="AG129" i="30"/>
  <c r="AB129" i="30"/>
  <c r="Z129" i="30"/>
  <c r="Y129" i="30"/>
  <c r="X129" i="30"/>
  <c r="W129" i="30"/>
  <c r="V129" i="30"/>
  <c r="AH128" i="30"/>
  <c r="AG128" i="30"/>
  <c r="AB128" i="30"/>
  <c r="Z128" i="30"/>
  <c r="Y128" i="30"/>
  <c r="X128" i="30"/>
  <c r="W128" i="30"/>
  <c r="V128" i="30"/>
  <c r="AH127" i="30"/>
  <c r="AG127" i="30"/>
  <c r="AB127" i="30"/>
  <c r="Z127" i="30"/>
  <c r="Y127" i="30"/>
  <c r="X127" i="30"/>
  <c r="W127" i="30"/>
  <c r="V127" i="30"/>
  <c r="AH126" i="30"/>
  <c r="AG126" i="30"/>
  <c r="AB126" i="30"/>
  <c r="Z126" i="30"/>
  <c r="Y126" i="30"/>
  <c r="X126" i="30"/>
  <c r="W126" i="30"/>
  <c r="V126" i="30"/>
  <c r="AH125" i="30"/>
  <c r="AG125" i="30"/>
  <c r="AB125" i="30"/>
  <c r="Z125" i="30"/>
  <c r="Y125" i="30"/>
  <c r="X125" i="30"/>
  <c r="W125" i="30"/>
  <c r="V125" i="30"/>
  <c r="AH124" i="30"/>
  <c r="AG124" i="30"/>
  <c r="AB124" i="30"/>
  <c r="Z124" i="30"/>
  <c r="Y124" i="30"/>
  <c r="X124" i="30"/>
  <c r="W124" i="30"/>
  <c r="V124" i="30"/>
  <c r="AH123" i="30"/>
  <c r="AG123" i="30"/>
  <c r="AB123" i="30"/>
  <c r="Z123" i="30"/>
  <c r="Y123" i="30"/>
  <c r="X123" i="30"/>
  <c r="W123" i="30"/>
  <c r="V123" i="30"/>
  <c r="AH122" i="30"/>
  <c r="AG122" i="30"/>
  <c r="AB122" i="30"/>
  <c r="Z122" i="30"/>
  <c r="Y122" i="30"/>
  <c r="X122" i="30"/>
  <c r="W122" i="30"/>
  <c r="V122" i="30"/>
  <c r="AH121" i="30"/>
  <c r="AG121" i="30"/>
  <c r="AB121" i="30"/>
  <c r="Z121" i="30"/>
  <c r="Y121" i="30"/>
  <c r="X121" i="30"/>
  <c r="W121" i="30"/>
  <c r="V121" i="30"/>
  <c r="AH120" i="30"/>
  <c r="AG120" i="30"/>
  <c r="AB120" i="30"/>
  <c r="Z120" i="30"/>
  <c r="Y120" i="30"/>
  <c r="X120" i="30"/>
  <c r="W120" i="30"/>
  <c r="V120" i="30"/>
  <c r="AH119" i="30"/>
  <c r="AG119" i="30"/>
  <c r="AB119" i="30"/>
  <c r="Z119" i="30"/>
  <c r="Y119" i="30"/>
  <c r="X119" i="30"/>
  <c r="W119" i="30"/>
  <c r="V119" i="30"/>
  <c r="AH118" i="30"/>
  <c r="AG118" i="30"/>
  <c r="AB118" i="30"/>
  <c r="Z118" i="30"/>
  <c r="Y118" i="30"/>
  <c r="X118" i="30"/>
  <c r="W118" i="30"/>
  <c r="V118" i="30"/>
  <c r="AH117" i="30"/>
  <c r="AG117" i="30"/>
  <c r="AB117" i="30"/>
  <c r="Z117" i="30"/>
  <c r="Y117" i="30"/>
  <c r="X117" i="30"/>
  <c r="W117" i="30"/>
  <c r="V117" i="30"/>
  <c r="AH116" i="30"/>
  <c r="AG116" i="30"/>
  <c r="AB116" i="30"/>
  <c r="Z116" i="30"/>
  <c r="Y116" i="30"/>
  <c r="X116" i="30"/>
  <c r="W116" i="30"/>
  <c r="V116" i="30"/>
  <c r="AH115" i="30"/>
  <c r="AG115" i="30"/>
  <c r="AB115" i="30"/>
  <c r="Z115" i="30"/>
  <c r="Y115" i="30"/>
  <c r="X115" i="30"/>
  <c r="W115" i="30"/>
  <c r="V115" i="30"/>
  <c r="AH114" i="30"/>
  <c r="AG114" i="30"/>
  <c r="AB114" i="30"/>
  <c r="Z114" i="30"/>
  <c r="Y114" i="30"/>
  <c r="X114" i="30"/>
  <c r="W114" i="30"/>
  <c r="V114" i="30"/>
  <c r="AH113" i="30"/>
  <c r="AG113" i="30"/>
  <c r="AB113" i="30"/>
  <c r="Z113" i="30"/>
  <c r="Y113" i="30"/>
  <c r="X113" i="30"/>
  <c r="W113" i="30"/>
  <c r="V113" i="30"/>
  <c r="AH112" i="30"/>
  <c r="AG112" i="30"/>
  <c r="AB112" i="30"/>
  <c r="Z112" i="30"/>
  <c r="Y112" i="30"/>
  <c r="X112" i="30"/>
  <c r="W112" i="30"/>
  <c r="V112" i="30"/>
  <c r="AH111" i="30"/>
  <c r="AG111" i="30"/>
  <c r="AB111" i="30"/>
  <c r="Z111" i="30"/>
  <c r="Y111" i="30"/>
  <c r="X111" i="30"/>
  <c r="W111" i="30"/>
  <c r="V111" i="30"/>
  <c r="AH110" i="30"/>
  <c r="AG110" i="30"/>
  <c r="AB110" i="30"/>
  <c r="Z110" i="30"/>
  <c r="Y110" i="30"/>
  <c r="X110" i="30"/>
  <c r="W110" i="30"/>
  <c r="V110" i="30"/>
  <c r="AH109" i="30"/>
  <c r="AG109" i="30"/>
  <c r="AB109" i="30"/>
  <c r="Z109" i="30"/>
  <c r="Y109" i="30"/>
  <c r="X109" i="30"/>
  <c r="W109" i="30"/>
  <c r="V109" i="30"/>
  <c r="AH108" i="30"/>
  <c r="AG108" i="30"/>
  <c r="AB108" i="30"/>
  <c r="Z108" i="30"/>
  <c r="Y108" i="30"/>
  <c r="X108" i="30"/>
  <c r="W108" i="30"/>
  <c r="V108" i="30"/>
  <c r="AH107" i="30"/>
  <c r="AG107" i="30"/>
  <c r="AB107" i="30"/>
  <c r="Z107" i="30"/>
  <c r="Y107" i="30"/>
  <c r="X107" i="30"/>
  <c r="W107" i="30"/>
  <c r="V107" i="30"/>
  <c r="AH106" i="30"/>
  <c r="AG106" i="30"/>
  <c r="AB106" i="30"/>
  <c r="Z106" i="30"/>
  <c r="Y106" i="30"/>
  <c r="X106" i="30"/>
  <c r="W106" i="30"/>
  <c r="V106" i="30"/>
  <c r="AH105" i="30"/>
  <c r="AG105" i="30"/>
  <c r="AB105" i="30"/>
  <c r="Z105" i="30"/>
  <c r="Y105" i="30"/>
  <c r="X105" i="30"/>
  <c r="W105" i="30"/>
  <c r="V105" i="30"/>
  <c r="AH104" i="30"/>
  <c r="AG104" i="30"/>
  <c r="AB104" i="30"/>
  <c r="Z104" i="30"/>
  <c r="Y104" i="30"/>
  <c r="X104" i="30"/>
  <c r="W104" i="30"/>
  <c r="V104" i="30"/>
  <c r="AH103" i="30"/>
  <c r="AG103" i="30"/>
  <c r="AB103" i="30"/>
  <c r="Z103" i="30"/>
  <c r="Y103" i="30"/>
  <c r="X103" i="30"/>
  <c r="W103" i="30"/>
  <c r="V103" i="30"/>
  <c r="AH102" i="30"/>
  <c r="AG102" i="30"/>
  <c r="AB102" i="30"/>
  <c r="Z102" i="30"/>
  <c r="Y102" i="30"/>
  <c r="X102" i="30"/>
  <c r="W102" i="30"/>
  <c r="V102" i="30"/>
  <c r="AH101" i="30"/>
  <c r="AG101" i="30"/>
  <c r="AB101" i="30"/>
  <c r="Z101" i="30"/>
  <c r="Y101" i="30"/>
  <c r="X101" i="30"/>
  <c r="W101" i="30"/>
  <c r="V101" i="30"/>
  <c r="AH100" i="30"/>
  <c r="AG100" i="30"/>
  <c r="AB100" i="30"/>
  <c r="Z100" i="30"/>
  <c r="Y100" i="30"/>
  <c r="X100" i="30"/>
  <c r="W100" i="30"/>
  <c r="V100" i="30"/>
  <c r="AH99" i="30"/>
  <c r="AG99" i="30"/>
  <c r="AB99" i="30"/>
  <c r="Z99" i="30"/>
  <c r="Y99" i="30"/>
  <c r="X99" i="30"/>
  <c r="W99" i="30"/>
  <c r="V99" i="30"/>
  <c r="AH98" i="30"/>
  <c r="AG98" i="30"/>
  <c r="AB98" i="30"/>
  <c r="Z98" i="30"/>
  <c r="Y98" i="30"/>
  <c r="X98" i="30"/>
  <c r="W98" i="30"/>
  <c r="V98" i="30"/>
  <c r="AH97" i="30"/>
  <c r="AG97" i="30"/>
  <c r="AB97" i="30"/>
  <c r="Z97" i="30"/>
  <c r="Y97" i="30"/>
  <c r="X97" i="30"/>
  <c r="W97" i="30"/>
  <c r="V97" i="30"/>
  <c r="AH96" i="30"/>
  <c r="AG96" i="30"/>
  <c r="AB96" i="30"/>
  <c r="Z96" i="30"/>
  <c r="Y96" i="30"/>
  <c r="X96" i="30"/>
  <c r="W96" i="30"/>
  <c r="V96" i="30"/>
  <c r="AH95" i="30"/>
  <c r="AG95" i="30"/>
  <c r="AB95" i="30"/>
  <c r="Z95" i="30"/>
  <c r="Y95" i="30"/>
  <c r="X95" i="30"/>
  <c r="W95" i="30"/>
  <c r="V95" i="30"/>
  <c r="AH94" i="30"/>
  <c r="AG94" i="30"/>
  <c r="AB94" i="30"/>
  <c r="Z94" i="30"/>
  <c r="Y94" i="30"/>
  <c r="X94" i="30"/>
  <c r="W94" i="30"/>
  <c r="V94" i="30"/>
  <c r="AH93" i="30"/>
  <c r="AG93" i="30"/>
  <c r="AB93" i="30"/>
  <c r="Z93" i="30"/>
  <c r="Y93" i="30"/>
  <c r="X93" i="30"/>
  <c r="W93" i="30"/>
  <c r="V93" i="30"/>
  <c r="AH92" i="30"/>
  <c r="AG92" i="30"/>
  <c r="AB92" i="30"/>
  <c r="Z92" i="30"/>
  <c r="Y92" i="30"/>
  <c r="X92" i="30"/>
  <c r="W92" i="30"/>
  <c r="V92" i="30"/>
  <c r="AH91" i="30"/>
  <c r="AG91" i="30"/>
  <c r="AB91" i="30"/>
  <c r="Z91" i="30"/>
  <c r="Y91" i="30"/>
  <c r="X91" i="30"/>
  <c r="W91" i="30"/>
  <c r="V91" i="30"/>
  <c r="AH90" i="30"/>
  <c r="AG90" i="30"/>
  <c r="AB90" i="30"/>
  <c r="Z90" i="30"/>
  <c r="Y90" i="30"/>
  <c r="X90" i="30"/>
  <c r="W90" i="30"/>
  <c r="V90" i="30"/>
  <c r="AH89" i="30"/>
  <c r="AG89" i="30"/>
  <c r="AB89" i="30"/>
  <c r="Z89" i="30"/>
  <c r="Y89" i="30"/>
  <c r="X89" i="30"/>
  <c r="W89" i="30"/>
  <c r="V89" i="30"/>
  <c r="AH88" i="30"/>
  <c r="AG88" i="30"/>
  <c r="AB88" i="30"/>
  <c r="Z88" i="30"/>
  <c r="Y88" i="30"/>
  <c r="X88" i="30"/>
  <c r="W88" i="30"/>
  <c r="V88" i="30"/>
  <c r="AH87" i="30"/>
  <c r="AG87" i="30"/>
  <c r="AB87" i="30"/>
  <c r="Z87" i="30"/>
  <c r="Y87" i="30"/>
  <c r="X87" i="30"/>
  <c r="W87" i="30"/>
  <c r="V87" i="30"/>
  <c r="AH86" i="30"/>
  <c r="AG86" i="30"/>
  <c r="AB86" i="30"/>
  <c r="Z86" i="30"/>
  <c r="Y86" i="30"/>
  <c r="X86" i="30"/>
  <c r="W86" i="30"/>
  <c r="V86" i="30"/>
  <c r="AH85" i="30"/>
  <c r="AG85" i="30"/>
  <c r="AB85" i="30"/>
  <c r="Z85" i="30"/>
  <c r="Y85" i="30"/>
  <c r="X85" i="30"/>
  <c r="W85" i="30"/>
  <c r="V85" i="30"/>
  <c r="AH84" i="30"/>
  <c r="AG84" i="30"/>
  <c r="AB84" i="30"/>
  <c r="Z84" i="30"/>
  <c r="Y84" i="30"/>
  <c r="X84" i="30"/>
  <c r="W84" i="30"/>
  <c r="V84" i="30"/>
  <c r="AH83" i="30"/>
  <c r="AG83" i="30"/>
  <c r="AB83" i="30"/>
  <c r="Z83" i="30"/>
  <c r="Y83" i="30"/>
  <c r="X83" i="30"/>
  <c r="W83" i="30"/>
  <c r="V83" i="30"/>
  <c r="AH82" i="30"/>
  <c r="AG82" i="30"/>
  <c r="AB82" i="30"/>
  <c r="Z82" i="30"/>
  <c r="Y82" i="30"/>
  <c r="X82" i="30"/>
  <c r="W82" i="30"/>
  <c r="V82" i="30"/>
  <c r="AI72" i="30"/>
  <c r="Z72" i="30"/>
  <c r="AI71" i="30"/>
  <c r="Z71" i="30"/>
  <c r="AI70" i="30"/>
  <c r="Z70"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AI144" i="29"/>
  <c r="AA144" i="29"/>
  <c r="AB144" i="29"/>
  <c r="Z144" i="29"/>
  <c r="AI143" i="29"/>
  <c r="AA143" i="29"/>
  <c r="AB143" i="29"/>
  <c r="Z143" i="29"/>
  <c r="AI142" i="29"/>
  <c r="AA142" i="29"/>
  <c r="AB142" i="29"/>
  <c r="Z142" i="29"/>
  <c r="AH135" i="29"/>
  <c r="AG135" i="29"/>
  <c r="AB135" i="29"/>
  <c r="Z135" i="29"/>
  <c r="Y135" i="29"/>
  <c r="X135" i="29"/>
  <c r="W135" i="29"/>
  <c r="V135" i="29"/>
  <c r="AH134" i="29"/>
  <c r="AG134" i="29"/>
  <c r="AB134" i="29"/>
  <c r="Z134" i="29"/>
  <c r="Y134" i="29"/>
  <c r="X134" i="29"/>
  <c r="W134" i="29"/>
  <c r="V134" i="29"/>
  <c r="AH133" i="29"/>
  <c r="AG133" i="29"/>
  <c r="AB133" i="29"/>
  <c r="Z133" i="29"/>
  <c r="Y133" i="29"/>
  <c r="X133" i="29"/>
  <c r="W133" i="29"/>
  <c r="V133" i="29"/>
  <c r="AH132" i="29"/>
  <c r="AG132" i="29"/>
  <c r="AB132" i="29"/>
  <c r="Z132" i="29"/>
  <c r="Y132" i="29"/>
  <c r="X132" i="29"/>
  <c r="W132" i="29"/>
  <c r="V132" i="29"/>
  <c r="AH131" i="29"/>
  <c r="AG131" i="29"/>
  <c r="AB131" i="29"/>
  <c r="Z131" i="29"/>
  <c r="Y131" i="29"/>
  <c r="X131" i="29"/>
  <c r="W131" i="29"/>
  <c r="V131" i="29"/>
  <c r="AH130" i="29"/>
  <c r="AG130" i="29"/>
  <c r="AB130" i="29"/>
  <c r="Z130" i="29"/>
  <c r="Y130" i="29"/>
  <c r="X130" i="29"/>
  <c r="W130" i="29"/>
  <c r="V130" i="29"/>
  <c r="AH129" i="29"/>
  <c r="AG129" i="29"/>
  <c r="AB129" i="29"/>
  <c r="Z129" i="29"/>
  <c r="Y129" i="29"/>
  <c r="X129" i="29"/>
  <c r="W129" i="29"/>
  <c r="V129" i="29"/>
  <c r="AH128" i="29"/>
  <c r="AG128" i="29"/>
  <c r="AB128" i="29"/>
  <c r="Z128" i="29"/>
  <c r="Y128" i="29"/>
  <c r="X128" i="29"/>
  <c r="W128" i="29"/>
  <c r="V128" i="29"/>
  <c r="AH127" i="29"/>
  <c r="AG127" i="29"/>
  <c r="AB127" i="29"/>
  <c r="Z127" i="29"/>
  <c r="Y127" i="29"/>
  <c r="X127" i="29"/>
  <c r="W127" i="29"/>
  <c r="V127" i="29"/>
  <c r="AH126" i="29"/>
  <c r="AG126" i="29"/>
  <c r="AB126" i="29"/>
  <c r="Z126" i="29"/>
  <c r="Y126" i="29"/>
  <c r="X126" i="29"/>
  <c r="W126" i="29"/>
  <c r="V126" i="29"/>
  <c r="AH125" i="29"/>
  <c r="AG125" i="29"/>
  <c r="AB125" i="29"/>
  <c r="Z125" i="29"/>
  <c r="Y125" i="29"/>
  <c r="X125" i="29"/>
  <c r="W125" i="29"/>
  <c r="V125" i="29"/>
  <c r="AH124" i="29"/>
  <c r="AG124" i="29"/>
  <c r="AB124" i="29"/>
  <c r="Z124" i="29"/>
  <c r="Y124" i="29"/>
  <c r="X124" i="29"/>
  <c r="W124" i="29"/>
  <c r="V124" i="29"/>
  <c r="AH123" i="29"/>
  <c r="AG123" i="29"/>
  <c r="AB123" i="29"/>
  <c r="Z123" i="29"/>
  <c r="Y123" i="29"/>
  <c r="X123" i="29"/>
  <c r="W123" i="29"/>
  <c r="V123" i="29"/>
  <c r="AH122" i="29"/>
  <c r="AG122" i="29"/>
  <c r="AB122" i="29"/>
  <c r="Z122" i="29"/>
  <c r="Y122" i="29"/>
  <c r="X122" i="29"/>
  <c r="W122" i="29"/>
  <c r="V122" i="29"/>
  <c r="AH121" i="29"/>
  <c r="AG121" i="29"/>
  <c r="AB121" i="29"/>
  <c r="Z121" i="29"/>
  <c r="Y121" i="29"/>
  <c r="X121" i="29"/>
  <c r="W121" i="29"/>
  <c r="V121" i="29"/>
  <c r="AH120" i="29"/>
  <c r="AG120" i="29"/>
  <c r="AB120" i="29"/>
  <c r="Z120" i="29"/>
  <c r="Y120" i="29"/>
  <c r="X120" i="29"/>
  <c r="W120" i="29"/>
  <c r="V120" i="29"/>
  <c r="AH119" i="29"/>
  <c r="AG119" i="29"/>
  <c r="AB119" i="29"/>
  <c r="Z119" i="29"/>
  <c r="Y119" i="29"/>
  <c r="X119" i="29"/>
  <c r="W119" i="29"/>
  <c r="V119" i="29"/>
  <c r="AH118" i="29"/>
  <c r="AG118" i="29"/>
  <c r="AB118" i="29"/>
  <c r="Z118" i="29"/>
  <c r="Y118" i="29"/>
  <c r="X118" i="29"/>
  <c r="W118" i="29"/>
  <c r="V118" i="29"/>
  <c r="AH117" i="29"/>
  <c r="AG117" i="29"/>
  <c r="AB117" i="29"/>
  <c r="Z117" i="29"/>
  <c r="Y117" i="29"/>
  <c r="X117" i="29"/>
  <c r="W117" i="29"/>
  <c r="V117" i="29"/>
  <c r="AH116" i="29"/>
  <c r="AG116" i="29"/>
  <c r="AB116" i="29"/>
  <c r="Z116" i="29"/>
  <c r="Y116" i="29"/>
  <c r="X116" i="29"/>
  <c r="W116" i="29"/>
  <c r="V116" i="29"/>
  <c r="AH115" i="29"/>
  <c r="AG115" i="29"/>
  <c r="AB115" i="29"/>
  <c r="Z115" i="29"/>
  <c r="Y115" i="29"/>
  <c r="X115" i="29"/>
  <c r="W115" i="29"/>
  <c r="V115" i="29"/>
  <c r="AH114" i="29"/>
  <c r="AG114" i="29"/>
  <c r="AB114" i="29"/>
  <c r="Z114" i="29"/>
  <c r="Y114" i="29"/>
  <c r="X114" i="29"/>
  <c r="W114" i="29"/>
  <c r="V114" i="29"/>
  <c r="AH113" i="29"/>
  <c r="AG113" i="29"/>
  <c r="AB113" i="29"/>
  <c r="Z113" i="29"/>
  <c r="Y113" i="29"/>
  <c r="X113" i="29"/>
  <c r="W113" i="29"/>
  <c r="V113" i="29"/>
  <c r="AH112" i="29"/>
  <c r="AG112" i="29"/>
  <c r="AB112" i="29"/>
  <c r="Z112" i="29"/>
  <c r="Y112" i="29"/>
  <c r="X112" i="29"/>
  <c r="W112" i="29"/>
  <c r="V112" i="29"/>
  <c r="AH111" i="29"/>
  <c r="AG111" i="29"/>
  <c r="AB111" i="29"/>
  <c r="Z111" i="29"/>
  <c r="Y111" i="29"/>
  <c r="X111" i="29"/>
  <c r="W111" i="29"/>
  <c r="V111" i="29"/>
  <c r="AH110" i="29"/>
  <c r="AG110" i="29"/>
  <c r="AB110" i="29"/>
  <c r="Z110" i="29"/>
  <c r="Y110" i="29"/>
  <c r="X110" i="29"/>
  <c r="W110" i="29"/>
  <c r="V110" i="29"/>
  <c r="AH109" i="29"/>
  <c r="AG109" i="29"/>
  <c r="AB109" i="29"/>
  <c r="Z109" i="29"/>
  <c r="Y109" i="29"/>
  <c r="X109" i="29"/>
  <c r="W109" i="29"/>
  <c r="V109" i="29"/>
  <c r="AH108" i="29"/>
  <c r="AG108" i="29"/>
  <c r="AB108" i="29"/>
  <c r="Z108" i="29"/>
  <c r="Y108" i="29"/>
  <c r="X108" i="29"/>
  <c r="W108" i="29"/>
  <c r="V108" i="29"/>
  <c r="AH107" i="29"/>
  <c r="AG107" i="29"/>
  <c r="AB107" i="29"/>
  <c r="Z107" i="29"/>
  <c r="Y107" i="29"/>
  <c r="X107" i="29"/>
  <c r="W107" i="29"/>
  <c r="V107" i="29"/>
  <c r="AH106" i="29"/>
  <c r="AG106" i="29"/>
  <c r="AB106" i="29"/>
  <c r="Z106" i="29"/>
  <c r="Y106" i="29"/>
  <c r="X106" i="29"/>
  <c r="W106" i="29"/>
  <c r="V106" i="29"/>
  <c r="AH105" i="29"/>
  <c r="AG105" i="29"/>
  <c r="AB105" i="29"/>
  <c r="Z105" i="29"/>
  <c r="Y105" i="29"/>
  <c r="X105" i="29"/>
  <c r="W105" i="29"/>
  <c r="V105" i="29"/>
  <c r="AH104" i="29"/>
  <c r="AG104" i="29"/>
  <c r="AB104" i="29"/>
  <c r="Z104" i="29"/>
  <c r="Y104" i="29"/>
  <c r="X104" i="29"/>
  <c r="W104" i="29"/>
  <c r="V104" i="29"/>
  <c r="AH103" i="29"/>
  <c r="AG103" i="29"/>
  <c r="AB103" i="29"/>
  <c r="Z103" i="29"/>
  <c r="Y103" i="29"/>
  <c r="X103" i="29"/>
  <c r="W103" i="29"/>
  <c r="V103" i="29"/>
  <c r="AH102" i="29"/>
  <c r="AG102" i="29"/>
  <c r="AB102" i="29"/>
  <c r="Z102" i="29"/>
  <c r="Y102" i="29"/>
  <c r="X102" i="29"/>
  <c r="W102" i="29"/>
  <c r="V102" i="29"/>
  <c r="AH101" i="29"/>
  <c r="AG101" i="29"/>
  <c r="AB101" i="29"/>
  <c r="Z101" i="29"/>
  <c r="Y101" i="29"/>
  <c r="X101" i="29"/>
  <c r="W101" i="29"/>
  <c r="V101" i="29"/>
  <c r="AH100" i="29"/>
  <c r="AG100" i="29"/>
  <c r="AB100" i="29"/>
  <c r="Z100" i="29"/>
  <c r="Y100" i="29"/>
  <c r="X100" i="29"/>
  <c r="W100" i="29"/>
  <c r="V100" i="29"/>
  <c r="AH99" i="29"/>
  <c r="AG99" i="29"/>
  <c r="AB99" i="29"/>
  <c r="Z99" i="29"/>
  <c r="Y99" i="29"/>
  <c r="X99" i="29"/>
  <c r="W99" i="29"/>
  <c r="V99" i="29"/>
  <c r="AH98" i="29"/>
  <c r="AG98" i="29"/>
  <c r="AB98" i="29"/>
  <c r="Z98" i="29"/>
  <c r="Y98" i="29"/>
  <c r="X98" i="29"/>
  <c r="W98" i="29"/>
  <c r="V98" i="29"/>
  <c r="AH97" i="29"/>
  <c r="AG97" i="29"/>
  <c r="AB97" i="29"/>
  <c r="Z97" i="29"/>
  <c r="Y97" i="29"/>
  <c r="X97" i="29"/>
  <c r="W97" i="29"/>
  <c r="V97" i="29"/>
  <c r="AH96" i="29"/>
  <c r="AG96" i="29"/>
  <c r="AB96" i="29"/>
  <c r="Z96" i="29"/>
  <c r="Y96" i="29"/>
  <c r="X96" i="29"/>
  <c r="W96" i="29"/>
  <c r="V96" i="29"/>
  <c r="AH95" i="29"/>
  <c r="AG95" i="29"/>
  <c r="AB95" i="29"/>
  <c r="Z95" i="29"/>
  <c r="Y95" i="29"/>
  <c r="X95" i="29"/>
  <c r="W95" i="29"/>
  <c r="V95" i="29"/>
  <c r="AH94" i="29"/>
  <c r="AG94" i="29"/>
  <c r="AB94" i="29"/>
  <c r="Z94" i="29"/>
  <c r="Y94" i="29"/>
  <c r="X94" i="29"/>
  <c r="W94" i="29"/>
  <c r="V94" i="29"/>
  <c r="AH93" i="29"/>
  <c r="AG93" i="29"/>
  <c r="AB93" i="29"/>
  <c r="Z93" i="29"/>
  <c r="Y93" i="29"/>
  <c r="X93" i="29"/>
  <c r="W93" i="29"/>
  <c r="V93" i="29"/>
  <c r="AH92" i="29"/>
  <c r="AG92" i="29"/>
  <c r="AB92" i="29"/>
  <c r="Z92" i="29"/>
  <c r="Y92" i="29"/>
  <c r="X92" i="29"/>
  <c r="W92" i="29"/>
  <c r="V92" i="29"/>
  <c r="AH91" i="29"/>
  <c r="AG91" i="29"/>
  <c r="AB91" i="29"/>
  <c r="Z91" i="29"/>
  <c r="Y91" i="29"/>
  <c r="X91" i="29"/>
  <c r="W91" i="29"/>
  <c r="V91" i="29"/>
  <c r="AH90" i="29"/>
  <c r="AG90" i="29"/>
  <c r="AB90" i="29"/>
  <c r="Z90" i="29"/>
  <c r="Y90" i="29"/>
  <c r="X90" i="29"/>
  <c r="W90" i="29"/>
  <c r="V90" i="29"/>
  <c r="AH89" i="29"/>
  <c r="AG89" i="29"/>
  <c r="AB89" i="29"/>
  <c r="Z89" i="29"/>
  <c r="Y89" i="29"/>
  <c r="X89" i="29"/>
  <c r="W89" i="29"/>
  <c r="V89" i="29"/>
  <c r="AH88" i="29"/>
  <c r="AG88" i="29"/>
  <c r="AB88" i="29"/>
  <c r="Z88" i="29"/>
  <c r="Y88" i="29"/>
  <c r="X88" i="29"/>
  <c r="W88" i="29"/>
  <c r="V88" i="29"/>
  <c r="AH87" i="29"/>
  <c r="AG87" i="29"/>
  <c r="AB87" i="29"/>
  <c r="Z87" i="29"/>
  <c r="Y87" i="29"/>
  <c r="X87" i="29"/>
  <c r="W87" i="29"/>
  <c r="V87" i="29"/>
  <c r="AH86" i="29"/>
  <c r="AG86" i="29"/>
  <c r="AB86" i="29"/>
  <c r="Z86" i="29"/>
  <c r="Y86" i="29"/>
  <c r="X86" i="29"/>
  <c r="W86" i="29"/>
  <c r="V86" i="29"/>
  <c r="AH85" i="29"/>
  <c r="AG85" i="29"/>
  <c r="AB85" i="29"/>
  <c r="Z85" i="29"/>
  <c r="Y85" i="29"/>
  <c r="X85" i="29"/>
  <c r="W85" i="29"/>
  <c r="V85" i="29"/>
  <c r="AH84" i="29"/>
  <c r="AG84" i="29"/>
  <c r="AB84" i="29"/>
  <c r="Z84" i="29"/>
  <c r="Y84" i="29"/>
  <c r="X84" i="29"/>
  <c r="W84" i="29"/>
  <c r="V84" i="29"/>
  <c r="AH83" i="29"/>
  <c r="AG83" i="29"/>
  <c r="AB83" i="29"/>
  <c r="Z83" i="29"/>
  <c r="Y83" i="29"/>
  <c r="X83" i="29"/>
  <c r="W83" i="29"/>
  <c r="V83" i="29"/>
  <c r="AH82" i="29"/>
  <c r="AG82" i="29"/>
  <c r="AB82" i="29"/>
  <c r="Z82" i="29"/>
  <c r="Y82" i="29"/>
  <c r="X82" i="29"/>
  <c r="W82" i="29"/>
  <c r="V82" i="29"/>
  <c r="AI72" i="29"/>
  <c r="Z72" i="29"/>
  <c r="AI71" i="29"/>
  <c r="Z71" i="29"/>
  <c r="AI70" i="29"/>
  <c r="Z70" i="29"/>
  <c r="BR60" i="28"/>
  <c r="BZ51" i="28"/>
  <c r="BY51" i="28"/>
  <c r="BX51" i="28"/>
  <c r="BW51" i="28"/>
  <c r="BR59" i="28"/>
  <c r="CA51" i="28"/>
  <c r="BR58" i="28"/>
  <c r="BR57" i="28"/>
  <c r="BR56" i="28"/>
  <c r="BR37" i="28"/>
  <c r="CA29" i="28"/>
  <c r="BR38" i="28"/>
  <c r="BZ29" i="28"/>
  <c r="BR36" i="28"/>
  <c r="BY29" i="28"/>
  <c r="BR35" i="28"/>
  <c r="BX29" i="28"/>
  <c r="BR34" i="28"/>
  <c r="BW29" i="28"/>
  <c r="BR49" i="28"/>
  <c r="C25" i="28"/>
  <c r="BR48" i="28"/>
  <c r="C24" i="28"/>
  <c r="BR47" i="28"/>
  <c r="C23" i="28"/>
  <c r="BR46" i="28"/>
  <c r="C22" i="28"/>
  <c r="BR45" i="28"/>
  <c r="C21" i="28"/>
  <c r="CA40" i="28"/>
  <c r="BZ40" i="28"/>
  <c r="BY40" i="28"/>
  <c r="BX40" i="28"/>
  <c r="BW40" i="28"/>
  <c r="C38" i="28"/>
  <c r="C37" i="28"/>
  <c r="C36" i="28"/>
  <c r="C35" i="28"/>
  <c r="C34" i="28"/>
  <c r="C32" i="28"/>
  <c r="C30"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AH94" i="28"/>
  <c r="AG94" i="28"/>
  <c r="AB94" i="28"/>
  <c r="Z94" i="28"/>
  <c r="Y94" i="28"/>
  <c r="X94" i="28"/>
  <c r="W94" i="28"/>
  <c r="V94" i="28"/>
  <c r="AH93" i="28"/>
  <c r="AG93" i="28"/>
  <c r="AB93" i="28"/>
  <c r="Z93" i="28"/>
  <c r="Y93" i="28"/>
  <c r="X93" i="28"/>
  <c r="W93" i="28"/>
  <c r="V93" i="28"/>
  <c r="AH92" i="28"/>
  <c r="AG92" i="28"/>
  <c r="AB92" i="28"/>
  <c r="Z92" i="28"/>
  <c r="Y92" i="28"/>
  <c r="X92" i="28"/>
  <c r="W92" i="28"/>
  <c r="V92" i="28"/>
  <c r="AH91" i="28"/>
  <c r="AG91" i="28"/>
  <c r="AB91" i="28"/>
  <c r="Z91" i="28"/>
  <c r="Y91" i="28"/>
  <c r="X91" i="28"/>
  <c r="W91" i="28"/>
  <c r="V91" i="28"/>
  <c r="AH90" i="28"/>
  <c r="AG90" i="28"/>
  <c r="AB90" i="28"/>
  <c r="Z90" i="28"/>
  <c r="Y90" i="28"/>
  <c r="X90" i="28"/>
  <c r="W90" i="28"/>
  <c r="V90" i="28"/>
  <c r="AH89" i="28"/>
  <c r="AG89" i="28"/>
  <c r="AB89" i="28"/>
  <c r="Z89" i="28"/>
  <c r="Y89" i="28"/>
  <c r="X89" i="28"/>
  <c r="W89" i="28"/>
  <c r="V89" i="28"/>
  <c r="AH88" i="28"/>
  <c r="AG88" i="28"/>
  <c r="AB88" i="28"/>
  <c r="Z88" i="28"/>
  <c r="Y88" i="28"/>
  <c r="X88" i="28"/>
  <c r="W88" i="28"/>
  <c r="V88" i="28"/>
  <c r="AH87" i="28"/>
  <c r="AG87" i="28"/>
  <c r="AB87" i="28"/>
  <c r="Z87" i="28"/>
  <c r="Y87" i="28"/>
  <c r="X87" i="28"/>
  <c r="W87" i="28"/>
  <c r="V87" i="28"/>
  <c r="AH86" i="28"/>
  <c r="AG86" i="28"/>
  <c r="AB86" i="28"/>
  <c r="Z86" i="28"/>
  <c r="Y86" i="28"/>
  <c r="X86" i="28"/>
  <c r="W86" i="28"/>
  <c r="V86" i="28"/>
  <c r="AH85" i="28"/>
  <c r="AG85" i="28"/>
  <c r="AB85" i="28"/>
  <c r="Z85" i="28"/>
  <c r="Y85" i="28"/>
  <c r="X85" i="28"/>
  <c r="W85" i="28"/>
  <c r="V85" i="28"/>
  <c r="AH84" i="28"/>
  <c r="AG84" i="28"/>
  <c r="AB84" i="28"/>
  <c r="Z84" i="28"/>
  <c r="Y84" i="28"/>
  <c r="X84" i="28"/>
  <c r="W84" i="28"/>
  <c r="V84" i="28"/>
  <c r="AH83" i="28"/>
  <c r="AG83" i="28"/>
  <c r="AB83" i="28"/>
  <c r="Z83" i="28"/>
  <c r="Y83" i="28"/>
  <c r="X83" i="28"/>
  <c r="W83" i="28"/>
  <c r="V83" i="28"/>
  <c r="AH82" i="28"/>
  <c r="AG82" i="28"/>
  <c r="AB82" i="28"/>
  <c r="Z82" i="28"/>
  <c r="Y82" i="28"/>
  <c r="X82" i="28"/>
  <c r="W82" i="28"/>
  <c r="V82" i="28"/>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I144" i="28"/>
  <c r="AA144" i="28"/>
  <c r="AB144" i="28"/>
  <c r="Z144" i="28"/>
  <c r="AI143" i="28"/>
  <c r="AA143" i="28"/>
  <c r="AB143" i="28"/>
  <c r="Z143" i="28"/>
  <c r="AI142" i="28"/>
  <c r="AA142" i="28"/>
  <c r="AB142" i="28"/>
  <c r="Z142" i="28"/>
  <c r="AH135" i="28"/>
  <c r="AG135" i="28"/>
  <c r="AB135" i="28"/>
  <c r="Z135" i="28"/>
  <c r="Y135" i="28"/>
  <c r="X135" i="28"/>
  <c r="W135" i="28"/>
  <c r="V135" i="28"/>
  <c r="AH134" i="28"/>
  <c r="AG134" i="28"/>
  <c r="AB134" i="28"/>
  <c r="Z134" i="28"/>
  <c r="Y134" i="28"/>
  <c r="X134" i="28"/>
  <c r="W134" i="28"/>
  <c r="V134" i="28"/>
  <c r="AH133" i="28"/>
  <c r="AG133" i="28"/>
  <c r="AB133" i="28"/>
  <c r="Z133" i="28"/>
  <c r="Y133" i="28"/>
  <c r="X133" i="28"/>
  <c r="W133" i="28"/>
  <c r="V133" i="28"/>
  <c r="AH132" i="28"/>
  <c r="AG132" i="28"/>
  <c r="AB132" i="28"/>
  <c r="Z132" i="28"/>
  <c r="Y132" i="28"/>
  <c r="X132" i="28"/>
  <c r="W132" i="28"/>
  <c r="V132" i="28"/>
  <c r="AH131" i="28"/>
  <c r="AG131" i="28"/>
  <c r="AB131" i="28"/>
  <c r="Z131" i="28"/>
  <c r="Y131" i="28"/>
  <c r="X131" i="28"/>
  <c r="W131" i="28"/>
  <c r="V131" i="28"/>
  <c r="AH130" i="28"/>
  <c r="AG130" i="28"/>
  <c r="AB130" i="28"/>
  <c r="Z130" i="28"/>
  <c r="Y130" i="28"/>
  <c r="X130" i="28"/>
  <c r="W130" i="28"/>
  <c r="V130" i="28"/>
  <c r="AH129" i="28"/>
  <c r="AG129" i="28"/>
  <c r="AB129" i="28"/>
  <c r="Z129" i="28"/>
  <c r="Y129" i="28"/>
  <c r="X129" i="28"/>
  <c r="W129" i="28"/>
  <c r="V129" i="28"/>
  <c r="AH128" i="28"/>
  <c r="AG128" i="28"/>
  <c r="AB128" i="28"/>
  <c r="Z128" i="28"/>
  <c r="Y128" i="28"/>
  <c r="X128" i="28"/>
  <c r="W128" i="28"/>
  <c r="V128" i="28"/>
  <c r="AH127" i="28"/>
  <c r="AG127" i="28"/>
  <c r="AB127" i="28"/>
  <c r="Z127" i="28"/>
  <c r="Y127" i="28"/>
  <c r="X127" i="28"/>
  <c r="W127" i="28"/>
  <c r="V127" i="28"/>
  <c r="AH126" i="28"/>
  <c r="AG126" i="28"/>
  <c r="AB126" i="28"/>
  <c r="Z126" i="28"/>
  <c r="Y126" i="28"/>
  <c r="X126" i="28"/>
  <c r="W126" i="28"/>
  <c r="V126" i="28"/>
  <c r="AH125" i="28"/>
  <c r="AG125" i="28"/>
  <c r="AB125" i="28"/>
  <c r="Z125" i="28"/>
  <c r="Y125" i="28"/>
  <c r="X125" i="28"/>
  <c r="W125" i="28"/>
  <c r="V125" i="28"/>
  <c r="AH124" i="28"/>
  <c r="AG124" i="28"/>
  <c r="AB124" i="28"/>
  <c r="Z124" i="28"/>
  <c r="Y124" i="28"/>
  <c r="X124" i="28"/>
  <c r="W124" i="28"/>
  <c r="V124" i="28"/>
  <c r="AH123" i="28"/>
  <c r="AG123" i="28"/>
  <c r="AB123" i="28"/>
  <c r="Z123" i="28"/>
  <c r="Y123" i="28"/>
  <c r="X123" i="28"/>
  <c r="W123" i="28"/>
  <c r="V123" i="28"/>
  <c r="AH122" i="28"/>
  <c r="AG122" i="28"/>
  <c r="AB122" i="28"/>
  <c r="Z122" i="28"/>
  <c r="Y122" i="28"/>
  <c r="X122" i="28"/>
  <c r="W122" i="28"/>
  <c r="V122" i="28"/>
  <c r="AH121" i="28"/>
  <c r="AG121" i="28"/>
  <c r="AB121" i="28"/>
  <c r="Z121" i="28"/>
  <c r="Y121" i="28"/>
  <c r="X121" i="28"/>
  <c r="W121" i="28"/>
  <c r="V121" i="28"/>
  <c r="AH120" i="28"/>
  <c r="AG120" i="28"/>
  <c r="AB120" i="28"/>
  <c r="Z120" i="28"/>
  <c r="Y120" i="28"/>
  <c r="X120" i="28"/>
  <c r="W120" i="28"/>
  <c r="V120" i="28"/>
  <c r="AH119" i="28"/>
  <c r="AG119" i="28"/>
  <c r="AB119" i="28"/>
  <c r="Z119" i="28"/>
  <c r="Y119" i="28"/>
  <c r="X119" i="28"/>
  <c r="W119" i="28"/>
  <c r="V119" i="28"/>
  <c r="AH118" i="28"/>
  <c r="AG118" i="28"/>
  <c r="AB118" i="28"/>
  <c r="Z118" i="28"/>
  <c r="Y118" i="28"/>
  <c r="X118" i="28"/>
  <c r="W118" i="28"/>
  <c r="V118" i="28"/>
  <c r="AH117" i="28"/>
  <c r="AG117" i="28"/>
  <c r="AB117" i="28"/>
  <c r="Z117" i="28"/>
  <c r="Y117" i="28"/>
  <c r="X117" i="28"/>
  <c r="W117" i="28"/>
  <c r="V117" i="28"/>
  <c r="AH116" i="28"/>
  <c r="AG116" i="28"/>
  <c r="AB116" i="28"/>
  <c r="Z116" i="28"/>
  <c r="Y116" i="28"/>
  <c r="X116" i="28"/>
  <c r="W116" i="28"/>
  <c r="V116" i="28"/>
  <c r="AH115" i="28"/>
  <c r="AG115" i="28"/>
  <c r="AB115" i="28"/>
  <c r="Z115" i="28"/>
  <c r="Y115" i="28"/>
  <c r="X115" i="28"/>
  <c r="W115" i="28"/>
  <c r="V115" i="28"/>
  <c r="AH114" i="28"/>
  <c r="AG114" i="28"/>
  <c r="AB114" i="28"/>
  <c r="Z114" i="28"/>
  <c r="Y114" i="28"/>
  <c r="X114" i="28"/>
  <c r="W114" i="28"/>
  <c r="V114" i="28"/>
  <c r="AH113" i="28"/>
  <c r="AG113" i="28"/>
  <c r="AB113" i="28"/>
  <c r="Z113" i="28"/>
  <c r="Y113" i="28"/>
  <c r="X113" i="28"/>
  <c r="W113" i="28"/>
  <c r="V113" i="28"/>
  <c r="AH112" i="28"/>
  <c r="AG112" i="28"/>
  <c r="AB112" i="28"/>
  <c r="Z112" i="28"/>
  <c r="Y112" i="28"/>
  <c r="X112" i="28"/>
  <c r="W112" i="28"/>
  <c r="V112" i="28"/>
  <c r="AH111" i="28"/>
  <c r="AG111" i="28"/>
  <c r="AB111" i="28"/>
  <c r="Z111" i="28"/>
  <c r="Y111" i="28"/>
  <c r="X111" i="28"/>
  <c r="W111" i="28"/>
  <c r="V111" i="28"/>
  <c r="AH110" i="28"/>
  <c r="AG110" i="28"/>
  <c r="AB110" i="28"/>
  <c r="Z110" i="28"/>
  <c r="Y110" i="28"/>
  <c r="X110" i="28"/>
  <c r="W110" i="28"/>
  <c r="V110" i="28"/>
  <c r="AH109" i="28"/>
  <c r="AG109" i="28"/>
  <c r="AB109" i="28"/>
  <c r="Z109" i="28"/>
  <c r="Y109" i="28"/>
  <c r="X109" i="28"/>
  <c r="W109" i="28"/>
  <c r="V109" i="28"/>
  <c r="AH108" i="28"/>
  <c r="AG108" i="28"/>
  <c r="AB108" i="28"/>
  <c r="Z108" i="28"/>
  <c r="Y108" i="28"/>
  <c r="X108" i="28"/>
  <c r="W108" i="28"/>
  <c r="V108" i="28"/>
  <c r="AH107" i="28"/>
  <c r="AG107" i="28"/>
  <c r="AB107" i="28"/>
  <c r="Z107" i="28"/>
  <c r="Y107" i="28"/>
  <c r="X107" i="28"/>
  <c r="W107" i="28"/>
  <c r="V107" i="28"/>
  <c r="AH106" i="28"/>
  <c r="AG106" i="28"/>
  <c r="AB106" i="28"/>
  <c r="Z106" i="28"/>
  <c r="Y106" i="28"/>
  <c r="X106" i="28"/>
  <c r="W106" i="28"/>
  <c r="V106" i="28"/>
  <c r="AH105" i="28"/>
  <c r="AG105" i="28"/>
  <c r="AB105" i="28"/>
  <c r="Z105" i="28"/>
  <c r="Y105" i="28"/>
  <c r="X105" i="28"/>
  <c r="W105" i="28"/>
  <c r="V105" i="28"/>
  <c r="AH104" i="28"/>
  <c r="AG104" i="28"/>
  <c r="AB104" i="28"/>
  <c r="Z104" i="28"/>
  <c r="Y104" i="28"/>
  <c r="X104" i="28"/>
  <c r="W104" i="28"/>
  <c r="V104" i="28"/>
  <c r="AH103" i="28"/>
  <c r="AG103" i="28"/>
  <c r="AB103" i="28"/>
  <c r="Z103" i="28"/>
  <c r="Y103" i="28"/>
  <c r="X103" i="28"/>
  <c r="W103" i="28"/>
  <c r="V103" i="28"/>
  <c r="AH102" i="28"/>
  <c r="AG102" i="28"/>
  <c r="AB102" i="28"/>
  <c r="Z102" i="28"/>
  <c r="Y102" i="28"/>
  <c r="X102" i="28"/>
  <c r="W102" i="28"/>
  <c r="V102" i="28"/>
  <c r="AH101" i="28"/>
  <c r="AG101" i="28"/>
  <c r="AB101" i="28"/>
  <c r="Z101" i="28"/>
  <c r="Y101" i="28"/>
  <c r="X101" i="28"/>
  <c r="W101" i="28"/>
  <c r="V101" i="28"/>
  <c r="AH100" i="28"/>
  <c r="AG100" i="28"/>
  <c r="AB100" i="28"/>
  <c r="Z100" i="28"/>
  <c r="Y100" i="28"/>
  <c r="X100" i="28"/>
  <c r="W100" i="28"/>
  <c r="V100" i="28"/>
  <c r="AH99" i="28"/>
  <c r="AG99" i="28"/>
  <c r="AB99" i="28"/>
  <c r="Z99" i="28"/>
  <c r="Y99" i="28"/>
  <c r="X99" i="28"/>
  <c r="W99" i="28"/>
  <c r="V99" i="28"/>
  <c r="AH98" i="28"/>
  <c r="AG98" i="28"/>
  <c r="AB98" i="28"/>
  <c r="Z98" i="28"/>
  <c r="Y98" i="28"/>
  <c r="X98" i="28"/>
  <c r="W98" i="28"/>
  <c r="V98" i="28"/>
  <c r="AH97" i="28"/>
  <c r="AG97" i="28"/>
  <c r="AB97" i="28"/>
  <c r="Z97" i="28"/>
  <c r="Y97" i="28"/>
  <c r="X97" i="28"/>
  <c r="W97" i="28"/>
  <c r="V97" i="28"/>
  <c r="AH96" i="28"/>
  <c r="AG96" i="28"/>
  <c r="AB96" i="28"/>
  <c r="Z96" i="28"/>
  <c r="Y96" i="28"/>
  <c r="X96" i="28"/>
  <c r="W96" i="28"/>
  <c r="V96" i="28"/>
  <c r="AH95" i="28"/>
  <c r="AG95" i="28"/>
  <c r="AB95" i="28"/>
  <c r="Z95" i="28"/>
  <c r="Y95" i="28"/>
  <c r="X95" i="28"/>
  <c r="W95" i="28"/>
  <c r="V95" i="28"/>
  <c r="AI72" i="28"/>
  <c r="AB72" i="28"/>
  <c r="Z72" i="28"/>
  <c r="AI71" i="28"/>
  <c r="AB71" i="28"/>
  <c r="Z71" i="28"/>
  <c r="AI70" i="28"/>
  <c r="AB70" i="28"/>
  <c r="Z70" i="28"/>
  <c r="AA25" i="27"/>
  <c r="AA18" i="27"/>
  <c r="AA11" i="27"/>
  <c r="P29" i="27"/>
  <c r="P28" i="27"/>
  <c r="P27" i="27"/>
  <c r="P26" i="27"/>
  <c r="P25" i="27"/>
  <c r="P24" i="27"/>
  <c r="P23" i="27"/>
  <c r="P22" i="27"/>
  <c r="P21" i="27"/>
  <c r="P20" i="27"/>
  <c r="P19" i="27"/>
  <c r="P18" i="27"/>
  <c r="P17" i="27"/>
  <c r="P16" i="27"/>
  <c r="P15" i="27"/>
  <c r="P14" i="27"/>
  <c r="P13" i="27"/>
  <c r="P12" i="27"/>
  <c r="O11" i="27"/>
  <c r="L11" i="27"/>
  <c r="X13" i="31"/>
  <c r="Y13" i="31"/>
  <c r="Z13" i="31"/>
  <c r="AA13" i="31"/>
  <c r="W24" i="31"/>
  <c r="W11" i="31"/>
  <c r="E102" i="9"/>
  <c r="U24" i="31"/>
  <c r="U11" i="31"/>
  <c r="E65" i="9"/>
  <c r="F24" i="31"/>
  <c r="E66" i="9"/>
  <c r="F10" i="31"/>
  <c r="F11" i="31"/>
  <c r="R24" i="31"/>
  <c r="O24" i="31"/>
  <c r="L24" i="31"/>
  <c r="E64" i="9"/>
  <c r="H20" i="31"/>
  <c r="R11" i="31"/>
  <c r="O11" i="31"/>
  <c r="L11" i="31"/>
  <c r="S30" i="31"/>
  <c r="P30" i="31"/>
  <c r="M30" i="31"/>
  <c r="S29" i="31"/>
  <c r="P29" i="31"/>
  <c r="M29" i="31"/>
  <c r="S28" i="31"/>
  <c r="P28" i="31"/>
  <c r="M28" i="31"/>
  <c r="S27" i="31"/>
  <c r="P27" i="31"/>
  <c r="M27" i="31"/>
  <c r="S26" i="31"/>
  <c r="P26" i="31"/>
  <c r="M26" i="31"/>
  <c r="S25" i="31"/>
  <c r="P25" i="31"/>
  <c r="M25" i="31"/>
  <c r="S17" i="31"/>
  <c r="P17" i="31"/>
  <c r="M17" i="31"/>
  <c r="S16" i="31"/>
  <c r="P16" i="31"/>
  <c r="M16" i="31"/>
  <c r="S15" i="31"/>
  <c r="P15" i="31"/>
  <c r="M15" i="31"/>
  <c r="S14" i="31"/>
  <c r="P14" i="31"/>
  <c r="M14" i="31"/>
  <c r="S13" i="31"/>
  <c r="P13" i="31"/>
  <c r="M13" i="31"/>
  <c r="S12" i="31"/>
  <c r="P12" i="31"/>
  <c r="M12" i="31"/>
  <c r="E14" i="9"/>
  <c r="I24" i="31"/>
  <c r="E24" i="31"/>
  <c r="D24" i="31"/>
  <c r="E33" i="9"/>
  <c r="C24" i="31"/>
  <c r="I11" i="31"/>
  <c r="E11" i="31"/>
  <c r="D11" i="31"/>
  <c r="C11" i="31"/>
  <c r="E6" i="9"/>
  <c r="H7" i="31"/>
  <c r="F5" i="31"/>
  <c r="F4" i="31"/>
  <c r="F3" i="31"/>
  <c r="F2" i="31"/>
  <c r="AE30" i="31"/>
  <c r="X30" i="31"/>
  <c r="Y30" i="31"/>
  <c r="AA30" i="31"/>
  <c r="Z30" i="31"/>
  <c r="W30" i="31"/>
  <c r="AE29" i="31"/>
  <c r="X29" i="31"/>
  <c r="Y29" i="31"/>
  <c r="AA29" i="31"/>
  <c r="Z29" i="31"/>
  <c r="W29" i="31"/>
  <c r="AE28" i="31"/>
  <c r="X28" i="31"/>
  <c r="Y28" i="31"/>
  <c r="AA28" i="31"/>
  <c r="Z28" i="31"/>
  <c r="W28" i="31"/>
  <c r="AE27" i="31"/>
  <c r="X27" i="31"/>
  <c r="Y27" i="31"/>
  <c r="AA27" i="31"/>
  <c r="Z27" i="31"/>
  <c r="W27" i="31"/>
  <c r="AE26" i="31"/>
  <c r="X26" i="31"/>
  <c r="Y26" i="31"/>
  <c r="AA26" i="31"/>
  <c r="Z26" i="31"/>
  <c r="W26" i="31"/>
  <c r="AE25" i="31"/>
  <c r="W25" i="31"/>
  <c r="AE17" i="31"/>
  <c r="X17" i="31"/>
  <c r="Y17" i="31"/>
  <c r="AA17" i="31"/>
  <c r="Z17" i="31"/>
  <c r="W17" i="31"/>
  <c r="AE16" i="31"/>
  <c r="X16" i="31"/>
  <c r="Y16" i="31"/>
  <c r="AA16" i="31"/>
  <c r="Z16" i="31"/>
  <c r="W16" i="31"/>
  <c r="AE15" i="31"/>
  <c r="X15" i="31"/>
  <c r="Y15" i="31"/>
  <c r="AA15" i="31"/>
  <c r="Z15" i="31"/>
  <c r="W15" i="31"/>
  <c r="AE14" i="31"/>
  <c r="X14" i="31"/>
  <c r="Y14" i="31"/>
  <c r="AA14" i="31"/>
  <c r="Z14" i="31"/>
  <c r="W14" i="31"/>
  <c r="AE13" i="31"/>
  <c r="W13" i="31"/>
  <c r="AE12" i="31"/>
  <c r="W12" i="31"/>
  <c r="E49" i="9"/>
  <c r="AQ10" i="6"/>
  <c r="BR49" i="17"/>
  <c r="BR48" i="17"/>
  <c r="BR47" i="17"/>
  <c r="CA40" i="17"/>
  <c r="BZ40" i="17"/>
  <c r="BY40" i="17"/>
  <c r="C38" i="17"/>
  <c r="C37" i="17"/>
  <c r="C36" i="17"/>
  <c r="C35" i="17"/>
  <c r="C34" i="17"/>
  <c r="C33" i="17"/>
  <c r="C32" i="17"/>
  <c r="C31" i="17"/>
  <c r="C30" i="17"/>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B195" i="17"/>
  <c r="Z195" i="17"/>
  <c r="AB194" i="17"/>
  <c r="Z194" i="17"/>
  <c r="AB193" i="17"/>
  <c r="Z193" i="17"/>
  <c r="AB192" i="17"/>
  <c r="Z192" i="17"/>
  <c r="AB191" i="17"/>
  <c r="Z191" i="17"/>
  <c r="AB190" i="17"/>
  <c r="Z190" i="17"/>
  <c r="AB189" i="17"/>
  <c r="Z189" i="17"/>
  <c r="AB188" i="17"/>
  <c r="Z188" i="17"/>
  <c r="AB187" i="17"/>
  <c r="Z187" i="17"/>
  <c r="AB186" i="17"/>
  <c r="Z186" i="17"/>
  <c r="AB185" i="17"/>
  <c r="Z185" i="17"/>
  <c r="AB184" i="17"/>
  <c r="Z184" i="17"/>
  <c r="AB183" i="17"/>
  <c r="Z183" i="17"/>
  <c r="AB182" i="17"/>
  <c r="Z182" i="17"/>
  <c r="AB181" i="17"/>
  <c r="Z181" i="17"/>
  <c r="AB180" i="17"/>
  <c r="Z180" i="17"/>
  <c r="AB179" i="17"/>
  <c r="Z179" i="17"/>
  <c r="AB178" i="17"/>
  <c r="Z178" i="17"/>
  <c r="AB177" i="17"/>
  <c r="Z177" i="17"/>
  <c r="AB176" i="17"/>
  <c r="Z176" i="17"/>
  <c r="AB175" i="17"/>
  <c r="Z175" i="17"/>
  <c r="AB174" i="17"/>
  <c r="Z174" i="17"/>
  <c r="AB173" i="17"/>
  <c r="Z173" i="17"/>
  <c r="AB172" i="17"/>
  <c r="Z172" i="17"/>
  <c r="AB171" i="17"/>
  <c r="Z171" i="17"/>
  <c r="AB170" i="17"/>
  <c r="Z170" i="17"/>
  <c r="AB169" i="17"/>
  <c r="Z169" i="17"/>
  <c r="AB168" i="17"/>
  <c r="Z168" i="17"/>
  <c r="AB167" i="17"/>
  <c r="Z167" i="17"/>
  <c r="AB166" i="17"/>
  <c r="Z16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AH123" i="17"/>
  <c r="AG123" i="17"/>
  <c r="Z123" i="17"/>
  <c r="Y123" i="17"/>
  <c r="X123" i="17"/>
  <c r="W123" i="17"/>
  <c r="V123" i="17"/>
  <c r="AH122" i="17"/>
  <c r="AG122" i="17"/>
  <c r="Z122" i="17"/>
  <c r="Y122" i="17"/>
  <c r="X122" i="17"/>
  <c r="W122" i="17"/>
  <c r="V122" i="17"/>
  <c r="AH121" i="17"/>
  <c r="AG121" i="17"/>
  <c r="Z121" i="17"/>
  <c r="Y121" i="17"/>
  <c r="X121" i="17"/>
  <c r="W121" i="17"/>
  <c r="V121" i="17"/>
  <c r="AH120" i="17"/>
  <c r="AG120" i="17"/>
  <c r="Z120" i="17"/>
  <c r="Y120" i="17"/>
  <c r="X120" i="17"/>
  <c r="W120" i="17"/>
  <c r="V120" i="17"/>
  <c r="AH119" i="17"/>
  <c r="AG119" i="17"/>
  <c r="Z119" i="17"/>
  <c r="Y119" i="17"/>
  <c r="X119" i="17"/>
  <c r="W119" i="17"/>
  <c r="V119" i="17"/>
  <c r="AH118" i="17"/>
  <c r="AG118" i="17"/>
  <c r="Z118" i="17"/>
  <c r="Y118" i="17"/>
  <c r="X118" i="17"/>
  <c r="W118" i="17"/>
  <c r="V118" i="17"/>
  <c r="AH117" i="17"/>
  <c r="AG117" i="17"/>
  <c r="Z117" i="17"/>
  <c r="Y117" i="17"/>
  <c r="X117" i="17"/>
  <c r="W117" i="17"/>
  <c r="V117" i="17"/>
  <c r="AH116" i="17"/>
  <c r="AG116" i="17"/>
  <c r="Z116" i="17"/>
  <c r="Y116" i="17"/>
  <c r="X116" i="17"/>
  <c r="W116" i="17"/>
  <c r="V116" i="17"/>
  <c r="AH115" i="17"/>
  <c r="AG115" i="17"/>
  <c r="Z115" i="17"/>
  <c r="Y115" i="17"/>
  <c r="X115" i="17"/>
  <c r="W115" i="17"/>
  <c r="V115" i="17"/>
  <c r="AH114" i="17"/>
  <c r="AG114" i="17"/>
  <c r="Z114" i="17"/>
  <c r="Y114" i="17"/>
  <c r="X114" i="17"/>
  <c r="W114" i="17"/>
  <c r="V114" i="17"/>
  <c r="AH113" i="17"/>
  <c r="AG113" i="17"/>
  <c r="Z113" i="17"/>
  <c r="Y113" i="17"/>
  <c r="X113" i="17"/>
  <c r="W113" i="17"/>
  <c r="V113" i="17"/>
  <c r="AH112" i="17"/>
  <c r="AG112" i="17"/>
  <c r="Z112" i="17"/>
  <c r="Y112" i="17"/>
  <c r="X112" i="17"/>
  <c r="W112" i="17"/>
  <c r="V112" i="17"/>
  <c r="AH111" i="17"/>
  <c r="AG111" i="17"/>
  <c r="Z111" i="17"/>
  <c r="Y111" i="17"/>
  <c r="X111" i="17"/>
  <c r="W111" i="17"/>
  <c r="V111" i="17"/>
  <c r="AH110" i="17"/>
  <c r="AG110" i="17"/>
  <c r="Z110" i="17"/>
  <c r="Y110" i="17"/>
  <c r="X110" i="17"/>
  <c r="W110" i="17"/>
  <c r="V110" i="17"/>
  <c r="AH109" i="17"/>
  <c r="AG109" i="17"/>
  <c r="Z109" i="17"/>
  <c r="Y109" i="17"/>
  <c r="X109" i="17"/>
  <c r="W109" i="17"/>
  <c r="V109" i="17"/>
  <c r="AH108" i="17"/>
  <c r="AG108" i="17"/>
  <c r="Z108" i="17"/>
  <c r="Y108" i="17"/>
  <c r="X108" i="17"/>
  <c r="W108" i="17"/>
  <c r="V108" i="17"/>
  <c r="AH107" i="17"/>
  <c r="AG107" i="17"/>
  <c r="Z107" i="17"/>
  <c r="Y107" i="17"/>
  <c r="X107" i="17"/>
  <c r="W107" i="17"/>
  <c r="V107" i="17"/>
  <c r="AH106" i="17"/>
  <c r="AG106" i="17"/>
  <c r="Z106" i="17"/>
  <c r="Y106" i="17"/>
  <c r="X106" i="17"/>
  <c r="W106" i="17"/>
  <c r="V106" i="17"/>
  <c r="AH105" i="17"/>
  <c r="AG105" i="17"/>
  <c r="Z105" i="17"/>
  <c r="Y105" i="17"/>
  <c r="X105" i="17"/>
  <c r="W105" i="17"/>
  <c r="V105" i="17"/>
  <c r="AH104" i="17"/>
  <c r="AG104" i="17"/>
  <c r="Z104" i="17"/>
  <c r="Y104" i="17"/>
  <c r="X104" i="17"/>
  <c r="W104" i="17"/>
  <c r="V104" i="17"/>
  <c r="AH103" i="17"/>
  <c r="AG103" i="17"/>
  <c r="Z103" i="17"/>
  <c r="Y103" i="17"/>
  <c r="X103" i="17"/>
  <c r="W103" i="17"/>
  <c r="V103" i="17"/>
  <c r="AH102" i="17"/>
  <c r="AG102" i="17"/>
  <c r="Z102" i="17"/>
  <c r="Y102" i="17"/>
  <c r="X102" i="17"/>
  <c r="W102" i="17"/>
  <c r="V102" i="17"/>
  <c r="AH101" i="17"/>
  <c r="AG101" i="17"/>
  <c r="Z101" i="17"/>
  <c r="Y101" i="17"/>
  <c r="X101" i="17"/>
  <c r="W101" i="17"/>
  <c r="V101" i="17"/>
  <c r="AH100" i="17"/>
  <c r="AG100" i="17"/>
  <c r="Z100" i="17"/>
  <c r="Y100" i="17"/>
  <c r="X100" i="17"/>
  <c r="W100" i="17"/>
  <c r="V100" i="17"/>
  <c r="AH99" i="17"/>
  <c r="AG99" i="17"/>
  <c r="Z99" i="17"/>
  <c r="Y99" i="17"/>
  <c r="X99" i="17"/>
  <c r="W99" i="17"/>
  <c r="V99" i="17"/>
  <c r="AH98" i="17"/>
  <c r="AG98" i="17"/>
  <c r="Z98" i="17"/>
  <c r="Y98" i="17"/>
  <c r="X98" i="17"/>
  <c r="W98" i="17"/>
  <c r="V98" i="17"/>
  <c r="AH97" i="17"/>
  <c r="AG97" i="17"/>
  <c r="Z97" i="17"/>
  <c r="Y97" i="17"/>
  <c r="X97" i="17"/>
  <c r="W97" i="17"/>
  <c r="V97" i="17"/>
  <c r="AH96" i="17"/>
  <c r="AG96" i="17"/>
  <c r="Z96" i="17"/>
  <c r="Y96" i="17"/>
  <c r="X96" i="17"/>
  <c r="W96" i="17"/>
  <c r="V96" i="17"/>
  <c r="AH95" i="17"/>
  <c r="AG95" i="17"/>
  <c r="Z95" i="17"/>
  <c r="Y95" i="17"/>
  <c r="X95" i="17"/>
  <c r="W95" i="17"/>
  <c r="V95" i="17"/>
  <c r="AH94" i="17"/>
  <c r="AG94" i="17"/>
  <c r="Z94" i="17"/>
  <c r="Y94" i="17"/>
  <c r="X94" i="17"/>
  <c r="W94" i="17"/>
  <c r="V94" i="17"/>
  <c r="F12" i="3"/>
  <c r="BR60" i="3"/>
  <c r="F11" i="3"/>
  <c r="BZ51" i="3"/>
  <c r="F10"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AD25" i="3"/>
  <c r="AE25" i="3"/>
  <c r="AE17" i="3"/>
  <c r="AE18" i="3"/>
  <c r="AE19" i="3"/>
  <c r="AE20" i="3"/>
  <c r="AE21" i="3"/>
  <c r="AE22" i="3"/>
  <c r="AE23" i="3"/>
  <c r="AE24" i="3"/>
  <c r="AF25" i="3"/>
  <c r="I25" i="3"/>
  <c r="H25" i="3"/>
  <c r="G25" i="3"/>
  <c r="F25" i="3"/>
  <c r="E25" i="3"/>
  <c r="D25" i="3"/>
  <c r="AD24" i="3"/>
  <c r="AF24" i="3"/>
  <c r="I24" i="3"/>
  <c r="H24" i="3"/>
  <c r="G24" i="3"/>
  <c r="F24" i="3"/>
  <c r="E24" i="3"/>
  <c r="D24" i="3"/>
  <c r="AD23" i="3"/>
  <c r="AF23" i="3"/>
  <c r="I23" i="3"/>
  <c r="H23" i="3"/>
  <c r="G23" i="3"/>
  <c r="F23" i="3"/>
  <c r="E23" i="3"/>
  <c r="D23" i="3"/>
  <c r="AD22" i="3"/>
  <c r="AF22" i="3"/>
  <c r="I22" i="3"/>
  <c r="H22" i="3"/>
  <c r="G22" i="3"/>
  <c r="F22" i="3"/>
  <c r="E22" i="3"/>
  <c r="D22" i="3"/>
  <c r="AD21" i="3"/>
  <c r="AF21" i="3"/>
  <c r="I21" i="3"/>
  <c r="H21" i="3"/>
  <c r="G21" i="3"/>
  <c r="F21" i="3"/>
  <c r="E21" i="3"/>
  <c r="D21" i="3"/>
  <c r="AD20" i="3"/>
  <c r="AF20" i="3"/>
  <c r="I20" i="3"/>
  <c r="H20" i="3"/>
  <c r="G20" i="3"/>
  <c r="F20" i="3"/>
  <c r="E20" i="3"/>
  <c r="D20" i="3"/>
  <c r="AD19" i="3"/>
  <c r="AF19" i="3"/>
  <c r="I19" i="3"/>
  <c r="H19" i="3"/>
  <c r="G19" i="3"/>
  <c r="F19" i="3"/>
  <c r="E19" i="3"/>
  <c r="D19" i="3"/>
  <c r="AD18" i="3"/>
  <c r="AF18" i="3"/>
  <c r="I18" i="3"/>
  <c r="H18" i="3"/>
  <c r="G18" i="3"/>
  <c r="F18" i="3"/>
  <c r="E18" i="3"/>
  <c r="D18" i="3"/>
  <c r="AD17" i="3"/>
  <c r="AF17" i="3"/>
  <c r="I17" i="3"/>
  <c r="H17" i="3"/>
  <c r="G17" i="3"/>
  <c r="F17" i="3"/>
  <c r="E17" i="3"/>
  <c r="D17" i="3"/>
  <c r="AB207" i="3"/>
  <c r="Z207" i="3"/>
  <c r="AB206" i="3"/>
  <c r="Z206" i="3"/>
  <c r="AB205" i="3"/>
  <c r="Z205" i="3"/>
  <c r="AB204" i="3"/>
  <c r="Z204" i="3"/>
  <c r="AB203" i="3"/>
  <c r="Z203" i="3"/>
  <c r="AB202" i="3"/>
  <c r="Z202" i="3"/>
  <c r="AB201" i="3"/>
  <c r="Z201" i="3"/>
  <c r="AB200" i="3"/>
  <c r="Z200" i="3"/>
  <c r="AB199" i="3"/>
  <c r="Z199" i="3"/>
  <c r="AB198" i="3"/>
  <c r="Z198" i="3"/>
  <c r="AB197" i="3"/>
  <c r="Z197" i="3"/>
  <c r="AB196" i="3"/>
  <c r="Z196" i="3"/>
  <c r="AB195" i="3"/>
  <c r="Z195" i="3"/>
  <c r="AB194" i="3"/>
  <c r="Z194" i="3"/>
  <c r="AB193" i="3"/>
  <c r="Z193" i="3"/>
  <c r="AB192" i="3"/>
  <c r="Z192" i="3"/>
  <c r="AB191" i="3"/>
  <c r="Z191" i="3"/>
  <c r="AB190" i="3"/>
  <c r="Z190" i="3"/>
  <c r="AB189" i="3"/>
  <c r="Z189" i="3"/>
  <c r="AB188" i="3"/>
  <c r="Z188" i="3"/>
  <c r="AB187" i="3"/>
  <c r="Z187" i="3"/>
  <c r="AB186" i="3"/>
  <c r="Z186" i="3"/>
  <c r="AB185" i="3"/>
  <c r="Z185" i="3"/>
  <c r="AB184" i="3"/>
  <c r="Z184" i="3"/>
  <c r="AB183" i="3"/>
  <c r="Z183" i="3"/>
  <c r="AB182" i="3"/>
  <c r="Z182" i="3"/>
  <c r="AB181" i="3"/>
  <c r="Z181" i="3"/>
  <c r="AB180" i="3"/>
  <c r="Z180" i="3"/>
  <c r="AB179" i="3"/>
  <c r="Z179" i="3"/>
  <c r="AB178" i="3"/>
  <c r="Z178" i="3"/>
  <c r="AB177" i="3"/>
  <c r="Z177" i="3"/>
  <c r="AB176" i="3"/>
  <c r="Z176" i="3"/>
  <c r="AB175" i="3"/>
  <c r="Z175" i="3"/>
  <c r="AB174" i="3"/>
  <c r="Z174" i="3"/>
  <c r="AB173" i="3"/>
  <c r="Z173" i="3"/>
  <c r="AB172" i="3"/>
  <c r="Z172" i="3"/>
  <c r="AB171" i="3"/>
  <c r="Z171" i="3"/>
  <c r="AB170" i="3"/>
  <c r="Z170" i="3"/>
  <c r="AB169" i="3"/>
  <c r="Z169" i="3"/>
  <c r="AB168" i="3"/>
  <c r="Z168" i="3"/>
  <c r="AB167" i="3"/>
  <c r="Z167" i="3"/>
  <c r="AB166" i="3"/>
  <c r="Z166"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AB128" i="3"/>
  <c r="Z128" i="3"/>
  <c r="Y128" i="3"/>
  <c r="X128" i="3"/>
  <c r="W128" i="3"/>
  <c r="V128" i="3"/>
  <c r="AH127" i="3"/>
  <c r="AG127" i="3"/>
  <c r="AB127" i="3"/>
  <c r="Z127" i="3"/>
  <c r="Y127" i="3"/>
  <c r="X127" i="3"/>
  <c r="W127" i="3"/>
  <c r="V127" i="3"/>
  <c r="AH126" i="3"/>
  <c r="AG126" i="3"/>
  <c r="AB126" i="3"/>
  <c r="Z126" i="3"/>
  <c r="Y126" i="3"/>
  <c r="X126" i="3"/>
  <c r="W126" i="3"/>
  <c r="V126" i="3"/>
  <c r="AH125" i="3"/>
  <c r="AG125" i="3"/>
  <c r="AB125" i="3"/>
  <c r="Z125" i="3"/>
  <c r="Y125" i="3"/>
  <c r="X125" i="3"/>
  <c r="W125" i="3"/>
  <c r="V125" i="3"/>
  <c r="AH124" i="3"/>
  <c r="AG124" i="3"/>
  <c r="AB124" i="3"/>
  <c r="Z124" i="3"/>
  <c r="Y124" i="3"/>
  <c r="X124" i="3"/>
  <c r="W124" i="3"/>
  <c r="V124" i="3"/>
  <c r="AH123" i="3"/>
  <c r="AG123" i="3"/>
  <c r="AB123" i="3"/>
  <c r="Z123" i="3"/>
  <c r="Y123" i="3"/>
  <c r="X123" i="3"/>
  <c r="W123" i="3"/>
  <c r="V123" i="3"/>
  <c r="AH122" i="3"/>
  <c r="AG122" i="3"/>
  <c r="AB122" i="3"/>
  <c r="Z122" i="3"/>
  <c r="Y122" i="3"/>
  <c r="X122" i="3"/>
  <c r="W122" i="3"/>
  <c r="V122" i="3"/>
  <c r="AH121" i="3"/>
  <c r="AG121" i="3"/>
  <c r="AB121" i="3"/>
  <c r="Z121" i="3"/>
  <c r="Y121" i="3"/>
  <c r="X121" i="3"/>
  <c r="W121" i="3"/>
  <c r="V121" i="3"/>
  <c r="AH120" i="3"/>
  <c r="AG120" i="3"/>
  <c r="AB120" i="3"/>
  <c r="Z120" i="3"/>
  <c r="Y120" i="3"/>
  <c r="X120" i="3"/>
  <c r="W120" i="3"/>
  <c r="V120" i="3"/>
  <c r="AH119" i="3"/>
  <c r="AG119" i="3"/>
  <c r="AB119" i="3"/>
  <c r="Z119" i="3"/>
  <c r="Y119" i="3"/>
  <c r="X119" i="3"/>
  <c r="W119" i="3"/>
  <c r="V119" i="3"/>
  <c r="AH118" i="3"/>
  <c r="AG118" i="3"/>
  <c r="AB118" i="3"/>
  <c r="Z118" i="3"/>
  <c r="Y118" i="3"/>
  <c r="X118" i="3"/>
  <c r="W118" i="3"/>
  <c r="V118" i="3"/>
  <c r="AH117" i="3"/>
  <c r="AG117" i="3"/>
  <c r="AB117" i="3"/>
  <c r="Z117" i="3"/>
  <c r="Y117" i="3"/>
  <c r="X117" i="3"/>
  <c r="W117" i="3"/>
  <c r="V117" i="3"/>
  <c r="AH116" i="3"/>
  <c r="AG116" i="3"/>
  <c r="AB116" i="3"/>
  <c r="Z116" i="3"/>
  <c r="Y116" i="3"/>
  <c r="X116" i="3"/>
  <c r="W116" i="3"/>
  <c r="V116" i="3"/>
  <c r="AH115" i="3"/>
  <c r="AG115" i="3"/>
  <c r="AB115" i="3"/>
  <c r="Z115" i="3"/>
  <c r="Y115" i="3"/>
  <c r="X115" i="3"/>
  <c r="W115" i="3"/>
  <c r="V115" i="3"/>
  <c r="AH114" i="3"/>
  <c r="AG114" i="3"/>
  <c r="AB114" i="3"/>
  <c r="Z114" i="3"/>
  <c r="Y114" i="3"/>
  <c r="X114" i="3"/>
  <c r="W114" i="3"/>
  <c r="V114" i="3"/>
  <c r="AH113" i="3"/>
  <c r="AG113" i="3"/>
  <c r="AB113" i="3"/>
  <c r="Z113" i="3"/>
  <c r="Y113" i="3"/>
  <c r="X113" i="3"/>
  <c r="W113" i="3"/>
  <c r="V113" i="3"/>
  <c r="AH112" i="3"/>
  <c r="AG112" i="3"/>
  <c r="AB112" i="3"/>
  <c r="Z112" i="3"/>
  <c r="Y112" i="3"/>
  <c r="X112" i="3"/>
  <c r="W112" i="3"/>
  <c r="V112" i="3"/>
  <c r="AH111" i="3"/>
  <c r="AG111" i="3"/>
  <c r="AB111" i="3"/>
  <c r="Z111" i="3"/>
  <c r="Y111" i="3"/>
  <c r="X111" i="3"/>
  <c r="W111" i="3"/>
  <c r="V111" i="3"/>
  <c r="AH110" i="3"/>
  <c r="AG110" i="3"/>
  <c r="AB110" i="3"/>
  <c r="Z110" i="3"/>
  <c r="Y110" i="3"/>
  <c r="X110" i="3"/>
  <c r="W110" i="3"/>
  <c r="V110" i="3"/>
  <c r="AH109" i="3"/>
  <c r="AG109" i="3"/>
  <c r="AB109" i="3"/>
  <c r="Z109" i="3"/>
  <c r="Y109" i="3"/>
  <c r="X109" i="3"/>
  <c r="W109" i="3"/>
  <c r="V109" i="3"/>
  <c r="AH108" i="3"/>
  <c r="AG108" i="3"/>
  <c r="AB108" i="3"/>
  <c r="Z108" i="3"/>
  <c r="Y108" i="3"/>
  <c r="X108" i="3"/>
  <c r="W108" i="3"/>
  <c r="V108" i="3"/>
  <c r="AH107" i="3"/>
  <c r="AG107" i="3"/>
  <c r="AB107" i="3"/>
  <c r="Z107" i="3"/>
  <c r="Y107" i="3"/>
  <c r="X107" i="3"/>
  <c r="W107" i="3"/>
  <c r="V107" i="3"/>
  <c r="AH106" i="3"/>
  <c r="AG106" i="3"/>
  <c r="AB106" i="3"/>
  <c r="Z106" i="3"/>
  <c r="Y106" i="3"/>
  <c r="X106" i="3"/>
  <c r="W106" i="3"/>
  <c r="V106" i="3"/>
  <c r="AH105" i="3"/>
  <c r="AG105" i="3"/>
  <c r="AB105" i="3"/>
  <c r="Z105" i="3"/>
  <c r="Y105" i="3"/>
  <c r="X105" i="3"/>
  <c r="W105" i="3"/>
  <c r="V105" i="3"/>
  <c r="AH104" i="3"/>
  <c r="AG104" i="3"/>
  <c r="AB104" i="3"/>
  <c r="Z104" i="3"/>
  <c r="Y104" i="3"/>
  <c r="X104" i="3"/>
  <c r="W104" i="3"/>
  <c r="V104" i="3"/>
  <c r="AH103" i="3"/>
  <c r="AG103" i="3"/>
  <c r="AB103" i="3"/>
  <c r="Z103" i="3"/>
  <c r="Y103" i="3"/>
  <c r="X103" i="3"/>
  <c r="W103" i="3"/>
  <c r="V103" i="3"/>
  <c r="AH102" i="3"/>
  <c r="AG102" i="3"/>
  <c r="AB102" i="3"/>
  <c r="Z102" i="3"/>
  <c r="Y102" i="3"/>
  <c r="X102" i="3"/>
  <c r="W102" i="3"/>
  <c r="V102" i="3"/>
  <c r="AH101" i="3"/>
  <c r="AG101" i="3"/>
  <c r="AB101" i="3"/>
  <c r="Z101" i="3"/>
  <c r="Y101" i="3"/>
  <c r="X101" i="3"/>
  <c r="W101" i="3"/>
  <c r="V101" i="3"/>
  <c r="AH100" i="3"/>
  <c r="AG100" i="3"/>
  <c r="AB100" i="3"/>
  <c r="Z100" i="3"/>
  <c r="Y100" i="3"/>
  <c r="X100" i="3"/>
  <c r="W100" i="3"/>
  <c r="V100" i="3"/>
  <c r="AH99" i="3"/>
  <c r="AG99" i="3"/>
  <c r="AB99" i="3"/>
  <c r="Z99" i="3"/>
  <c r="Y99" i="3"/>
  <c r="X99" i="3"/>
  <c r="W99" i="3"/>
  <c r="V99" i="3"/>
  <c r="AH98" i="3"/>
  <c r="AG98" i="3"/>
  <c r="AB98" i="3"/>
  <c r="Z98" i="3"/>
  <c r="Y98" i="3"/>
  <c r="X98" i="3"/>
  <c r="W98" i="3"/>
  <c r="V98" i="3"/>
  <c r="AH97" i="3"/>
  <c r="AG97" i="3"/>
  <c r="AB97" i="3"/>
  <c r="Z97" i="3"/>
  <c r="Y97" i="3"/>
  <c r="X97" i="3"/>
  <c r="W97" i="3"/>
  <c r="V97" i="3"/>
  <c r="AH96" i="3"/>
  <c r="AG96" i="3"/>
  <c r="AB96" i="3"/>
  <c r="Z96" i="3"/>
  <c r="Y96" i="3"/>
  <c r="X96" i="3"/>
  <c r="W96" i="3"/>
  <c r="V96" i="3"/>
  <c r="AH95" i="3"/>
  <c r="AG95" i="3"/>
  <c r="AB95" i="3"/>
  <c r="Z95" i="3"/>
  <c r="Y95" i="3"/>
  <c r="X95" i="3"/>
  <c r="W95" i="3"/>
  <c r="V95" i="3"/>
  <c r="AH94" i="3"/>
  <c r="AG94" i="3"/>
  <c r="AB94" i="3"/>
  <c r="Z94" i="3"/>
  <c r="Y94" i="3"/>
  <c r="X94" i="3"/>
  <c r="W94" i="3"/>
  <c r="V94" i="3"/>
  <c r="Z21" i="6"/>
  <c r="Z11" i="6"/>
  <c r="L11" i="6"/>
  <c r="I11"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R18" i="22"/>
  <c r="E97" i="9"/>
  <c r="E85" i="9"/>
  <c r="AB29" i="27"/>
  <c r="AB28" i="27"/>
  <c r="AB27" i="27"/>
  <c r="AB26" i="27"/>
  <c r="AJ25" i="27"/>
  <c r="E10" i="9"/>
  <c r="AI25" i="27"/>
  <c r="E27" i="9"/>
  <c r="AE25" i="27"/>
  <c r="E24" i="9"/>
  <c r="Z25" i="27"/>
  <c r="E23" i="9"/>
  <c r="Y25" i="27"/>
  <c r="E22" i="9"/>
  <c r="X25" i="27"/>
  <c r="E21" i="9"/>
  <c r="W25" i="27"/>
  <c r="AB22" i="27"/>
  <c r="AB21" i="27"/>
  <c r="AB20" i="27"/>
  <c r="AB19" i="27"/>
  <c r="AJ18" i="27"/>
  <c r="AI18" i="27"/>
  <c r="AE18" i="27"/>
  <c r="Z18" i="27"/>
  <c r="Y18" i="27"/>
  <c r="X18" i="27"/>
  <c r="W18" i="27"/>
  <c r="Q72" i="30"/>
  <c r="Q71" i="30"/>
  <c r="Q70" i="30"/>
  <c r="Q69" i="30"/>
  <c r="Q68" i="30"/>
  <c r="Q72" i="29"/>
  <c r="Q71" i="29"/>
  <c r="Q70" i="29"/>
  <c r="Q69" i="29"/>
  <c r="Q68" i="29"/>
  <c r="M17" i="27"/>
  <c r="M18" i="27"/>
  <c r="M19" i="27"/>
  <c r="M20" i="27"/>
  <c r="M21" i="27"/>
  <c r="M22" i="27"/>
  <c r="M23" i="27"/>
  <c r="M24" i="27"/>
  <c r="M25" i="27"/>
  <c r="M26" i="27"/>
  <c r="M27" i="27"/>
  <c r="M28" i="27"/>
  <c r="M29" i="27"/>
  <c r="E88" i="9"/>
  <c r="H33" i="27"/>
  <c r="Q68" i="28"/>
  <c r="Q69" i="28"/>
  <c r="E57" i="9"/>
  <c r="U10" i="27"/>
  <c r="AH10" i="27"/>
  <c r="AB13" i="27"/>
  <c r="AB14" i="27"/>
  <c r="AB15" i="27"/>
  <c r="AB12" i="27"/>
  <c r="AJ11" i="27"/>
  <c r="AI11" i="27"/>
  <c r="AE11" i="27"/>
  <c r="Z11" i="27"/>
  <c r="Y11" i="27"/>
  <c r="X11" i="27"/>
  <c r="W11" i="27"/>
  <c r="Q72" i="28"/>
  <c r="Q71" i="28"/>
  <c r="Q70" i="28"/>
  <c r="I33" i="27"/>
  <c r="E29" i="9"/>
  <c r="I31" i="27"/>
  <c r="M16" i="27"/>
  <c r="M15" i="27"/>
  <c r="M14" i="27"/>
  <c r="M13" i="27"/>
  <c r="M12" i="27"/>
  <c r="E12" i="27"/>
  <c r="E15" i="9"/>
  <c r="I11" i="27"/>
  <c r="E11" i="27"/>
  <c r="D11" i="27"/>
  <c r="C11" i="27"/>
  <c r="E55" i="9"/>
  <c r="C10" i="27"/>
  <c r="E20" i="9"/>
  <c r="S10" i="27"/>
  <c r="E19" i="9"/>
  <c r="K7" i="27"/>
  <c r="I5" i="27"/>
  <c r="I4" i="27"/>
  <c r="I3" i="27"/>
  <c r="I2" i="27"/>
  <c r="E21" i="24"/>
  <c r="E20" i="24"/>
  <c r="E16" i="26"/>
  <c r="E15" i="26"/>
  <c r="E95" i="9"/>
  <c r="R17" i="22"/>
  <c r="E53" i="9"/>
  <c r="C10" i="26"/>
  <c r="E13" i="26"/>
  <c r="E12" i="26"/>
  <c r="G21" i="26"/>
  <c r="F21" i="26"/>
  <c r="G18" i="26"/>
  <c r="N16" i="26"/>
  <c r="K16" i="26"/>
  <c r="E90" i="9"/>
  <c r="F16" i="26"/>
  <c r="N15" i="26"/>
  <c r="K15" i="26"/>
  <c r="E89" i="9"/>
  <c r="F15" i="26"/>
  <c r="E54" i="9"/>
  <c r="C14" i="26"/>
  <c r="N13" i="26"/>
  <c r="K13" i="26"/>
  <c r="N12" i="26"/>
  <c r="K12" i="26"/>
  <c r="G11" i="26"/>
  <c r="E11" i="26"/>
  <c r="D11" i="26"/>
  <c r="C11" i="26"/>
  <c r="T9" i="26"/>
  <c r="G7" i="26"/>
  <c r="E5" i="26"/>
  <c r="E4" i="26"/>
  <c r="E3" i="26"/>
  <c r="E2" i="26"/>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X17" i="22"/>
  <c r="W17" i="22"/>
  <c r="AO21" i="6"/>
  <c r="E12" i="24"/>
  <c r="E12" i="21"/>
  <c r="B13" i="6"/>
  <c r="B12" i="6"/>
  <c r="E98" i="9"/>
  <c r="E99" i="9"/>
  <c r="E100" i="9"/>
  <c r="E101" i="9"/>
  <c r="T11" i="22"/>
  <c r="E72" i="9"/>
  <c r="AN21" i="6"/>
  <c r="AN11" i="6"/>
  <c r="AO11" i="6"/>
  <c r="E16" i="9"/>
  <c r="AN20" i="6"/>
  <c r="AN10" i="6"/>
  <c r="E94" i="9"/>
  <c r="R16" i="22"/>
  <c r="E93" i="9"/>
  <c r="R15" i="22"/>
  <c r="E91" i="9"/>
  <c r="E92" i="9"/>
  <c r="R22" i="22"/>
  <c r="E87" i="9"/>
  <c r="D11" i="14"/>
  <c r="C10" i="21"/>
  <c r="C10" i="24"/>
  <c r="C11" i="24"/>
  <c r="C11" i="21"/>
  <c r="E56" i="9"/>
  <c r="B3" i="20"/>
  <c r="B3" i="10"/>
  <c r="E40" i="9"/>
  <c r="Q30" i="6"/>
  <c r="G26" i="24"/>
  <c r="F26" i="24"/>
  <c r="G23" i="24"/>
  <c r="F21" i="24"/>
  <c r="F20" i="24"/>
  <c r="C19" i="24"/>
  <c r="C16" i="24"/>
  <c r="N15" i="24"/>
  <c r="K15" i="24"/>
  <c r="N14" i="24"/>
  <c r="K14" i="24"/>
  <c r="N13" i="24"/>
  <c r="K13" i="24"/>
  <c r="N12" i="24"/>
  <c r="K12" i="24"/>
  <c r="G11" i="24"/>
  <c r="E11" i="24"/>
  <c r="D11" i="24"/>
  <c r="T9" i="24"/>
  <c r="G7" i="24"/>
  <c r="E5" i="24"/>
  <c r="E4" i="24"/>
  <c r="E3" i="24"/>
  <c r="E2" i="24"/>
  <c r="E41" i="9"/>
  <c r="R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R13" i="22"/>
  <c r="E44" i="9"/>
  <c r="R11" i="22"/>
  <c r="E43" i="9"/>
  <c r="R9" i="22"/>
  <c r="E42" i="9"/>
  <c r="R7" i="22"/>
  <c r="E45" i="9"/>
  <c r="T5" i="22"/>
  <c r="R5" i="22"/>
  <c r="E31" i="9"/>
  <c r="L5" i="22"/>
  <c r="E34" i="9"/>
  <c r="I5" i="22"/>
  <c r="E17" i="9"/>
  <c r="H5" i="22"/>
  <c r="G5" i="22"/>
  <c r="F5" i="22"/>
  <c r="E5" i="22"/>
  <c r="C5" i="22"/>
  <c r="P4" i="22"/>
  <c r="E32" i="9"/>
  <c r="E4" i="22"/>
  <c r="C4" i="22"/>
  <c r="E30" i="9"/>
  <c r="E2" i="22"/>
  <c r="G22" i="21"/>
  <c r="F22" i="21"/>
  <c r="G7" i="21"/>
  <c r="E5" i="21"/>
  <c r="E4" i="21"/>
  <c r="E3" i="21"/>
  <c r="E2" i="21"/>
  <c r="G19" i="21"/>
  <c r="N17" i="21"/>
  <c r="N16" i="21"/>
  <c r="N15" i="21"/>
  <c r="N14" i="21"/>
  <c r="N13" i="21"/>
  <c r="N12" i="21"/>
  <c r="T9" i="21"/>
  <c r="K13" i="21"/>
  <c r="K14" i="21"/>
  <c r="K15" i="21"/>
  <c r="K16" i="21"/>
  <c r="K17" i="21"/>
  <c r="G11" i="21"/>
  <c r="D11" i="21"/>
  <c r="E11" i="21"/>
  <c r="K12" i="21"/>
  <c r="F34" i="20"/>
  <c r="E28" i="9"/>
  <c r="E34" i="20"/>
  <c r="D34" i="20"/>
  <c r="C34" i="20"/>
  <c r="F25" i="20"/>
  <c r="E25" i="20"/>
  <c r="D25" i="20"/>
  <c r="C25" i="20"/>
  <c r="F16" i="20"/>
  <c r="E16" i="20"/>
  <c r="D16" i="20"/>
  <c r="C16" i="20"/>
  <c r="F7" i="20"/>
  <c r="E7" i="20"/>
  <c r="D7" i="20"/>
  <c r="C7" i="20"/>
  <c r="E78" i="9"/>
  <c r="B4" i="20"/>
  <c r="E7" i="9"/>
  <c r="B2" i="20"/>
  <c r="E11" i="6"/>
  <c r="E18" i="9"/>
  <c r="K7" i="6"/>
  <c r="AA23" i="6"/>
  <c r="AA24" i="6"/>
  <c r="AA25" i="6"/>
  <c r="AA26" i="6"/>
  <c r="AA27" i="6"/>
  <c r="Q22" i="6"/>
  <c r="Q20" i="6"/>
  <c r="AA22" i="6"/>
  <c r="AD21" i="6"/>
  <c r="V21" i="6"/>
  <c r="U21" i="6"/>
  <c r="T21" i="6"/>
  <c r="S21" i="6"/>
  <c r="Q10" i="6"/>
  <c r="Q72" i="17"/>
  <c r="Q71" i="17"/>
  <c r="Q70" i="17"/>
  <c r="Q72" i="3"/>
  <c r="Q71" i="3"/>
  <c r="Q70" i="3"/>
  <c r="E86" i="9"/>
  <c r="B11" i="14"/>
  <c r="E13" i="9"/>
  <c r="E74" i="9"/>
  <c r="E75" i="9"/>
  <c r="E12" i="9"/>
  <c r="E11" i="9"/>
  <c r="E8" i="9"/>
  <c r="E38" i="9"/>
  <c r="E77" i="9"/>
  <c r="E73" i="9"/>
  <c r="E79" i="9"/>
  <c r="E82" i="9"/>
  <c r="E81" i="9"/>
  <c r="E83" i="9"/>
  <c r="B5" i="14"/>
  <c r="E107" i="9"/>
  <c r="E52" i="9"/>
  <c r="E51" i="9"/>
  <c r="B1" i="14"/>
  <c r="E50" i="9"/>
  <c r="A1" i="13"/>
  <c r="D11" i="6"/>
  <c r="C11" i="6"/>
  <c r="E47" i="9"/>
  <c r="B4" i="10"/>
  <c r="F34" i="10"/>
  <c r="F16" i="10"/>
  <c r="F25" i="10"/>
  <c r="F7" i="10"/>
  <c r="B2" i="10"/>
  <c r="D34" i="10"/>
  <c r="C34" i="10"/>
  <c r="D25" i="10"/>
  <c r="C25" i="10"/>
  <c r="D16" i="10"/>
  <c r="C16" i="10"/>
  <c r="D7" i="10"/>
  <c r="C7" i="10"/>
  <c r="E76" i="9"/>
  <c r="L1" i="9"/>
  <c r="E35" i="9"/>
  <c r="E36" i="9"/>
  <c r="E37" i="9"/>
  <c r="F71" i="9"/>
  <c r="C5" i="9"/>
  <c r="F1" i="9"/>
  <c r="F5" i="9"/>
  <c r="AA13" i="6"/>
  <c r="AA14" i="6"/>
  <c r="AA15" i="6"/>
  <c r="AA16" i="6"/>
  <c r="AA17" i="6"/>
  <c r="AA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AD11" i="6"/>
  <c r="V11" i="6"/>
  <c r="U11" i="6"/>
  <c r="T11" i="6"/>
  <c r="S11" i="6"/>
  <c r="F11" i="6"/>
  <c r="B11" i="6"/>
  <c r="B10" i="6"/>
  <c r="K1" i="9"/>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S24" i="22" a="1"/>
  <c r="S24" i="22"/>
  <c r="F9" i="25"/>
  <c r="E4" i="25"/>
  <c r="T24" i="22" a="1"/>
  <c r="T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R26" i="22"/>
  <c r="R25" i="22"/>
  <c r="C12" i="26" a="1"/>
  <c r="C12" i="26"/>
  <c r="C16" i="26"/>
  <c r="C15" i="26"/>
  <c r="C13" i="26"/>
  <c r="D12" i="26"/>
  <c r="D13" i="26"/>
  <c r="D15" i="26"/>
  <c r="D16" i="26"/>
  <c r="I18" i="26"/>
  <c r="S17" i="22"/>
  <c r="D12" i="24"/>
  <c r="D12" i="21"/>
  <c r="AD30" i="6"/>
  <c r="AI30" i="27" a="1"/>
  <c r="AI23" i="27" a="1"/>
  <c r="K34" i="10"/>
  <c r="K40" i="10"/>
  <c r="J34" i="10"/>
  <c r="J40" i="10"/>
  <c r="I34" i="10"/>
  <c r="I40" i="10"/>
  <c r="H34" i="10"/>
  <c r="H40" i="10"/>
  <c r="G34" i="10"/>
  <c r="G40" i="10"/>
  <c r="L34" i="10"/>
  <c r="L39" i="10"/>
  <c r="J39" i="10"/>
  <c r="I39" i="10"/>
  <c r="H39" i="10"/>
  <c r="G39" i="10"/>
  <c r="L38" i="10"/>
  <c r="K38" i="10"/>
  <c r="I38" i="10"/>
  <c r="H38" i="10"/>
  <c r="G38" i="10"/>
  <c r="L37" i="10"/>
  <c r="K37" i="10"/>
  <c r="J37" i="10"/>
  <c r="H37" i="10"/>
  <c r="G37" i="10"/>
  <c r="L36" i="10"/>
  <c r="K36" i="10"/>
  <c r="J36" i="10"/>
  <c r="I36" i="10"/>
  <c r="G36" i="10"/>
  <c r="L35" i="10"/>
  <c r="K35" i="10"/>
  <c r="J35" i="10"/>
  <c r="I35" i="10"/>
  <c r="H35" i="10"/>
  <c r="K25" i="10"/>
  <c r="K31" i="10"/>
  <c r="J25" i="10"/>
  <c r="J31" i="10"/>
  <c r="I25" i="10"/>
  <c r="I31" i="10"/>
  <c r="H25" i="10"/>
  <c r="H31" i="10"/>
  <c r="G25" i="10"/>
  <c r="G31" i="10"/>
  <c r="L25" i="10"/>
  <c r="L30" i="10"/>
  <c r="J30" i="10"/>
  <c r="I30" i="10"/>
  <c r="H30" i="10"/>
  <c r="G30" i="10"/>
  <c r="L29" i="10"/>
  <c r="K29" i="10"/>
  <c r="I29" i="10"/>
  <c r="H29" i="10"/>
  <c r="G29" i="10"/>
  <c r="L28" i="10"/>
  <c r="K28" i="10"/>
  <c r="J28" i="10"/>
  <c r="H28" i="10"/>
  <c r="G28" i="10"/>
  <c r="L27" i="10"/>
  <c r="K27" i="10"/>
  <c r="J27" i="10"/>
  <c r="I27" i="10"/>
  <c r="G27" i="10"/>
  <c r="L26" i="10"/>
  <c r="K26" i="10"/>
  <c r="J26" i="10"/>
  <c r="I26" i="10"/>
  <c r="H26" i="10"/>
  <c r="K16" i="10"/>
  <c r="K22" i="10"/>
  <c r="J16" i="10"/>
  <c r="J22" i="10"/>
  <c r="I16" i="10"/>
  <c r="I22" i="10"/>
  <c r="H16" i="10"/>
  <c r="H22" i="10"/>
  <c r="G16" i="10"/>
  <c r="G22" i="10"/>
  <c r="L16" i="10"/>
  <c r="L21" i="10"/>
  <c r="J21" i="10"/>
  <c r="I21" i="10"/>
  <c r="H21" i="10"/>
  <c r="G21" i="10"/>
  <c r="L20" i="10"/>
  <c r="K20" i="10"/>
  <c r="I20" i="10"/>
  <c r="H20" i="10"/>
  <c r="G20" i="10"/>
  <c r="L19" i="10"/>
  <c r="K19" i="10"/>
  <c r="J19" i="10"/>
  <c r="H19" i="10"/>
  <c r="G19" i="10"/>
  <c r="L18" i="10"/>
  <c r="K18" i="10"/>
  <c r="J18" i="10"/>
  <c r="I18" i="10"/>
  <c r="G18" i="10"/>
  <c r="L17" i="10"/>
  <c r="K17" i="10"/>
  <c r="J17" i="10"/>
  <c r="I17" i="10"/>
  <c r="H17" i="10"/>
  <c r="K7" i="10"/>
  <c r="K13" i="10"/>
  <c r="J7" i="10"/>
  <c r="J13" i="10"/>
  <c r="I7" i="10"/>
  <c r="I13" i="10"/>
  <c r="H7" i="10"/>
  <c r="H13" i="10"/>
  <c r="G7" i="10"/>
  <c r="G13" i="10"/>
  <c r="L7" i="10"/>
  <c r="L12" i="10"/>
  <c r="J12" i="10"/>
  <c r="I12" i="10"/>
  <c r="H12" i="10"/>
  <c r="G12" i="10"/>
  <c r="L11" i="10"/>
  <c r="K11" i="10"/>
  <c r="I11" i="10"/>
  <c r="H11" i="10"/>
  <c r="G11" i="10"/>
  <c r="L10" i="10"/>
  <c r="K10" i="10"/>
  <c r="J10" i="10"/>
  <c r="H10" i="10"/>
  <c r="G10" i="10"/>
  <c r="L9" i="10"/>
  <c r="K9" i="10"/>
  <c r="J9" i="10"/>
  <c r="I9" i="10"/>
  <c r="G9" i="10"/>
  <c r="L8" i="10"/>
  <c r="K8" i="10"/>
  <c r="J8" i="10"/>
  <c r="I8" i="10"/>
  <c r="H8" i="10"/>
  <c r="V16" i="6"/>
  <c r="V12" i="6"/>
  <c r="Q12" i="6"/>
  <c r="Q13" i="6"/>
  <c r="Q14" i="6"/>
  <c r="Q15" i="6"/>
  <c r="Q16" i="6"/>
  <c r="Q17" i="6"/>
  <c r="L33" i="10"/>
  <c r="K33" i="10"/>
  <c r="J33" i="10"/>
  <c r="I33" i="10"/>
  <c r="H33" i="10"/>
  <c r="G33" i="10"/>
  <c r="L24" i="10"/>
  <c r="K24" i="10"/>
  <c r="J24" i="10"/>
  <c r="I24" i="10"/>
  <c r="H24" i="10"/>
  <c r="G24" i="10"/>
  <c r="L15" i="10"/>
  <c r="K15" i="10"/>
  <c r="J15" i="10"/>
  <c r="I15" i="10"/>
  <c r="H15" i="10"/>
  <c r="G15" i="10"/>
  <c r="L6" i="10"/>
  <c r="K6" i="10"/>
  <c r="J6" i="10"/>
  <c r="I6" i="10"/>
  <c r="H6" i="10"/>
  <c r="AK13" i="6"/>
  <c r="AK14" i="6"/>
  <c r="AK15" i="6"/>
  <c r="AK16" i="6"/>
  <c r="AK17" i="6"/>
  <c r="AK12" i="6"/>
  <c r="AF10" i="6"/>
  <c r="AG10" i="6"/>
  <c r="AH10" i="6"/>
  <c r="AI10" i="6"/>
  <c r="AJ10" i="6"/>
  <c r="AE10" i="6"/>
  <c r="AB17" i="6"/>
  <c r="Z17" i="6"/>
  <c r="V17" i="6"/>
  <c r="U17" i="6"/>
  <c r="T17" i="6"/>
  <c r="S17" i="6"/>
  <c r="AB16" i="6"/>
  <c r="Z16" i="6"/>
  <c r="U16" i="6"/>
  <c r="T16" i="6"/>
  <c r="S16" i="6"/>
  <c r="AB15" i="6"/>
  <c r="Z15" i="6"/>
  <c r="V15" i="6"/>
  <c r="U15" i="6"/>
  <c r="T15" i="6"/>
  <c r="S15" i="6"/>
  <c r="AB14" i="6"/>
  <c r="Z14" i="6"/>
  <c r="V14" i="6"/>
  <c r="U14" i="6"/>
  <c r="T14" i="6"/>
  <c r="S14" i="6"/>
  <c r="AB13" i="6"/>
  <c r="Z13" i="6"/>
  <c r="V13" i="6"/>
  <c r="U13" i="6"/>
  <c r="T13" i="6"/>
  <c r="S13" i="6"/>
  <c r="AB12" i="6"/>
  <c r="Z12" i="6"/>
  <c r="U12" i="6"/>
  <c r="T12" i="6"/>
  <c r="S12" i="6"/>
  <c r="E9" i="10"/>
  <c r="E10" i="10"/>
  <c r="E11" i="10"/>
  <c r="E12" i="10"/>
  <c r="E13" i="10"/>
  <c r="E8" i="10"/>
  <c r="D9" i="10"/>
  <c r="D10" i="10"/>
  <c r="D11" i="10"/>
  <c r="D12" i="10"/>
  <c r="D13" i="10"/>
  <c r="D8" i="10"/>
  <c r="B8" i="10"/>
  <c r="B13" i="10"/>
  <c r="B12" i="10"/>
  <c r="B11" i="10"/>
  <c r="B10" i="10"/>
  <c r="B9" i="10"/>
  <c r="E22" i="10"/>
  <c r="D22" i="10"/>
  <c r="E21" i="10"/>
  <c r="D21" i="10"/>
  <c r="E20" i="10"/>
  <c r="D20" i="10"/>
  <c r="E19" i="10"/>
  <c r="D19" i="10"/>
  <c r="E18" i="10"/>
  <c r="D18" i="10"/>
  <c r="E17" i="10"/>
  <c r="D17" i="10"/>
  <c r="E40" i="10"/>
  <c r="D40" i="10"/>
  <c r="E39" i="10"/>
  <c r="D39" i="10"/>
  <c r="E38" i="10"/>
  <c r="D38" i="10"/>
  <c r="E37" i="10"/>
  <c r="D37" i="10"/>
  <c r="E36" i="10"/>
  <c r="D36" i="10"/>
  <c r="E35" i="10"/>
  <c r="D35" i="10"/>
  <c r="D26" i="10"/>
  <c r="E31" i="10"/>
  <c r="D31" i="10"/>
  <c r="E30" i="10"/>
  <c r="D30" i="10"/>
  <c r="E29" i="10"/>
  <c r="D29" i="10"/>
  <c r="E28" i="10"/>
  <c r="D28" i="10"/>
  <c r="E27" i="10"/>
  <c r="D27" i="10"/>
  <c r="E26" i="10"/>
  <c r="B17" i="10"/>
  <c r="B22" i="10"/>
  <c r="B21" i="10"/>
  <c r="B20" i="10"/>
  <c r="B19" i="10"/>
  <c r="B18" i="10"/>
  <c r="B26" i="10"/>
  <c r="B31" i="10"/>
  <c r="B30" i="10"/>
  <c r="B29" i="10"/>
  <c r="B28" i="10"/>
  <c r="B27" i="10"/>
  <c r="B35" i="10"/>
  <c r="B40" i="10"/>
  <c r="B39" i="10"/>
  <c r="B38" i="10"/>
  <c r="B37" i="10"/>
  <c r="B36" i="10"/>
  <c r="M8" i="10"/>
  <c r="M13" i="10"/>
  <c r="M12" i="10"/>
  <c r="M11" i="10"/>
  <c r="M10" i="10"/>
  <c r="M9" i="10"/>
  <c r="M17" i="10"/>
  <c r="M18" i="10"/>
  <c r="M19" i="10"/>
  <c r="M20" i="10"/>
  <c r="M21" i="10"/>
  <c r="M22" i="10"/>
  <c r="M26" i="10"/>
  <c r="M27" i="10"/>
  <c r="M28" i="10"/>
  <c r="M29" i="10"/>
  <c r="M30" i="10"/>
  <c r="M31" i="10"/>
  <c r="M35" i="10"/>
  <c r="M36" i="10"/>
  <c r="M37" i="10"/>
  <c r="M38" i="10"/>
  <c r="M39" i="10"/>
  <c r="M40" i="10"/>
  <c r="G6" i="10"/>
  <c r="Z18" i="3"/>
  <c r="Z19" i="3"/>
  <c r="Z20" i="3"/>
  <c r="AG17" i="3"/>
  <c r="AH17" i="3"/>
  <c r="AG18" i="3"/>
  <c r="AH18" i="3"/>
  <c r="AG19" i="3"/>
  <c r="AH19" i="3"/>
  <c r="AG20" i="3"/>
  <c r="AH20" i="3"/>
  <c r="AG21" i="3"/>
  <c r="AH21" i="3"/>
  <c r="Z22" i="3"/>
  <c r="AG22" i="3"/>
  <c r="AH22" i="3"/>
  <c r="Z23" i="3"/>
  <c r="AG23" i="3"/>
  <c r="AH23" i="3"/>
  <c r="Z24" i="3"/>
  <c r="AG24" i="3"/>
  <c r="AH24" i="3"/>
  <c r="Z25" i="3"/>
  <c r="AG25" i="3"/>
  <c r="AH25" i="3"/>
  <c r="AD25" i="30"/>
  <c r="BT51" i="30"/>
  <c r="BT52" i="30"/>
  <c r="BU52" i="30"/>
  <c r="BV51" i="30"/>
  <c r="BV52" i="30"/>
  <c r="BW52" i="30"/>
  <c r="BX52" i="30"/>
  <c r="BY52" i="30"/>
  <c r="BZ52" i="30"/>
  <c r="CA52" i="30"/>
  <c r="BR53" i="30"/>
  <c r="BS53" i="30"/>
  <c r="BU53" i="30"/>
  <c r="BV53" i="30"/>
  <c r="BW53" i="30"/>
  <c r="BX53" i="30"/>
  <c r="BY53" i="30"/>
  <c r="BZ53" i="30"/>
  <c r="CA53"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BT40" i="30"/>
  <c r="BT29" i="30"/>
  <c r="BT30" i="30"/>
  <c r="BR31" i="30"/>
  <c r="BS31" i="30"/>
  <c r="BT41" i="30"/>
  <c r="BU30"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AE25" i="30"/>
  <c r="AE17" i="30"/>
  <c r="AE18" i="30"/>
  <c r="AE19" i="30"/>
  <c r="AE20" i="30"/>
  <c r="AE21" i="30"/>
  <c r="AE22" i="30"/>
  <c r="AE23" i="30"/>
  <c r="AE24" i="30"/>
  <c r="AF25" i="30"/>
  <c r="AD24" i="30"/>
  <c r="AF24" i="30"/>
  <c r="AD23" i="30"/>
  <c r="AF23" i="30"/>
  <c r="AD22" i="30"/>
  <c r="AF22" i="30"/>
  <c r="AD21" i="30"/>
  <c r="AF21" i="30"/>
  <c r="AD20" i="30"/>
  <c r="AF20" i="30"/>
  <c r="AJ29" i="27"/>
  <c r="Y20" i="30"/>
  <c r="AD19" i="30"/>
  <c r="AF19" i="30"/>
  <c r="AD18" i="30"/>
  <c r="AF18" i="30"/>
  <c r="AJ27" i="27"/>
  <c r="Y18" i="30"/>
  <c r="AD17" i="30"/>
  <c r="AF17" i="30"/>
  <c r="K13" i="30"/>
  <c r="F13" i="30"/>
  <c r="AI30" i="27"/>
  <c r="U26" i="27"/>
  <c r="AD25" i="29"/>
  <c r="BT51" i="29"/>
  <c r="BT52" i="29"/>
  <c r="BU52" i="29"/>
  <c r="BV51" i="29"/>
  <c r="BV52" i="29"/>
  <c r="BW52" i="29"/>
  <c r="BX52" i="29"/>
  <c r="BY52" i="29"/>
  <c r="BZ52" i="29"/>
  <c r="CA52" i="29"/>
  <c r="BR53" i="29"/>
  <c r="BS53" i="29"/>
  <c r="BU53" i="29"/>
  <c r="BV53" i="29"/>
  <c r="BW53" i="29"/>
  <c r="BX53" i="29"/>
  <c r="BY53" i="29"/>
  <c r="BZ53" i="29"/>
  <c r="CA53"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T40" i="29"/>
  <c r="BT29" i="29"/>
  <c r="BT30" i="29"/>
  <c r="BR31" i="29"/>
  <c r="BS31" i="29"/>
  <c r="BT41" i="29"/>
  <c r="BU30"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AE25" i="29"/>
  <c r="AE17" i="29"/>
  <c r="AE18" i="29"/>
  <c r="AE19" i="29"/>
  <c r="AE20" i="29"/>
  <c r="AE21" i="29"/>
  <c r="AE22" i="29"/>
  <c r="AE23" i="29"/>
  <c r="AE24" i="29"/>
  <c r="AF25" i="29"/>
  <c r="AD24" i="29"/>
  <c r="AF24" i="29"/>
  <c r="AD23" i="29"/>
  <c r="AF23" i="29"/>
  <c r="AD22" i="29"/>
  <c r="AF22" i="29"/>
  <c r="AD21" i="29"/>
  <c r="AF21" i="29"/>
  <c r="AD20" i="29"/>
  <c r="AF20" i="29"/>
  <c r="AJ22" i="27"/>
  <c r="Y20" i="29"/>
  <c r="AD19" i="29"/>
  <c r="AF19" i="29"/>
  <c r="AD18" i="29"/>
  <c r="AF18" i="29"/>
  <c r="AJ20" i="27"/>
  <c r="Y18" i="29"/>
  <c r="AD17" i="29"/>
  <c r="AF17" i="29"/>
  <c r="K13" i="29"/>
  <c r="F13" i="29"/>
  <c r="AI23" i="27"/>
  <c r="U19" i="27"/>
  <c r="AG25" i="17"/>
  <c r="AH25" i="17"/>
  <c r="Z25" i="17"/>
  <c r="AG24" i="17"/>
  <c r="AH24" i="17"/>
  <c r="Z24" i="17"/>
  <c r="AG23" i="17"/>
  <c r="AH23" i="17"/>
  <c r="Z23" i="17"/>
  <c r="AG22" i="17"/>
  <c r="AH22" i="17"/>
  <c r="Z22" i="17"/>
  <c r="AG21" i="17"/>
  <c r="AH21" i="17"/>
  <c r="Z21" i="17"/>
  <c r="AG20" i="17"/>
  <c r="AH20" i="17"/>
  <c r="Z20" i="17"/>
  <c r="AG19" i="17"/>
  <c r="AH19" i="17"/>
  <c r="Z19" i="17"/>
  <c r="AG18" i="17"/>
  <c r="AH18" i="17"/>
  <c r="Z18" i="17"/>
  <c r="AG17" i="17"/>
  <c r="AH17" i="17"/>
  <c r="Z17" i="17"/>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G25" i="26"/>
  <c r="G24" i="26"/>
  <c r="G23" i="26"/>
  <c r="G22" i="26"/>
  <c r="G38" i="24"/>
  <c r="G37" i="24"/>
  <c r="G36" i="24"/>
  <c r="G35" i="24"/>
  <c r="G34" i="24"/>
  <c r="G33" i="24"/>
  <c r="G32" i="24"/>
  <c r="G31" i="24"/>
  <c r="G30" i="24"/>
  <c r="G29" i="24"/>
  <c r="G28" i="24"/>
  <c r="G27" i="24"/>
  <c r="G34" i="21"/>
  <c r="G33" i="21"/>
  <c r="G32" i="21"/>
  <c r="G31" i="21"/>
  <c r="G30" i="21"/>
  <c r="G29" i="21"/>
  <c r="G28" i="21"/>
  <c r="G27" i="21"/>
  <c r="G26" i="21"/>
  <c r="G25" i="21"/>
  <c r="G24" i="21"/>
  <c r="G23" i="21"/>
  <c r="C33" i="30"/>
  <c r="C31" i="30"/>
  <c r="I25" i="30"/>
  <c r="H25" i="30"/>
  <c r="G25" i="30"/>
  <c r="F25" i="30"/>
  <c r="E25" i="30"/>
  <c r="D25" i="30"/>
  <c r="I24" i="30"/>
  <c r="H24" i="30"/>
  <c r="G24" i="30"/>
  <c r="F24" i="30"/>
  <c r="E24" i="30"/>
  <c r="D24" i="30"/>
  <c r="I23" i="30"/>
  <c r="H23" i="30"/>
  <c r="G23" i="30"/>
  <c r="F23" i="30"/>
  <c r="E23" i="30"/>
  <c r="D23" i="30"/>
  <c r="I22" i="30"/>
  <c r="H22" i="30"/>
  <c r="G22" i="30"/>
  <c r="F22" i="30"/>
  <c r="E22" i="30"/>
  <c r="D22" i="30"/>
  <c r="I21" i="30"/>
  <c r="H21" i="30"/>
  <c r="G21" i="30"/>
  <c r="F21" i="30"/>
  <c r="E21" i="30"/>
  <c r="D21" i="30"/>
  <c r="I20" i="30"/>
  <c r="H20" i="30"/>
  <c r="G20" i="30"/>
  <c r="F20" i="30"/>
  <c r="E20" i="30"/>
  <c r="D20" i="30"/>
  <c r="I19" i="30"/>
  <c r="H19" i="30"/>
  <c r="G19" i="30"/>
  <c r="F19" i="30"/>
  <c r="E19" i="30"/>
  <c r="D19" i="30"/>
  <c r="I18" i="30"/>
  <c r="H18" i="30"/>
  <c r="G18" i="30"/>
  <c r="F18" i="30"/>
  <c r="E18" i="30"/>
  <c r="D18" i="30"/>
  <c r="I17" i="30"/>
  <c r="H17" i="30"/>
  <c r="G17" i="30"/>
  <c r="F17" i="30"/>
  <c r="E17" i="30"/>
  <c r="D17" i="30"/>
  <c r="C33" i="29"/>
  <c r="C31" i="29"/>
  <c r="I25" i="29"/>
  <c r="H25" i="29"/>
  <c r="G25" i="29"/>
  <c r="F25" i="29"/>
  <c r="E25" i="29"/>
  <c r="D25" i="29"/>
  <c r="I24" i="29"/>
  <c r="H24" i="29"/>
  <c r="G24" i="29"/>
  <c r="F24" i="29"/>
  <c r="E24" i="29"/>
  <c r="D24" i="29"/>
  <c r="I23" i="29"/>
  <c r="H23" i="29"/>
  <c r="G23" i="29"/>
  <c r="F23" i="29"/>
  <c r="E23" i="29"/>
  <c r="D23" i="29"/>
  <c r="I22" i="29"/>
  <c r="H22" i="29"/>
  <c r="G22" i="29"/>
  <c r="F22" i="29"/>
  <c r="E22" i="29"/>
  <c r="D22" i="29"/>
  <c r="I21" i="29"/>
  <c r="H21" i="29"/>
  <c r="G21" i="29"/>
  <c r="F21" i="29"/>
  <c r="E21" i="29"/>
  <c r="D21" i="29"/>
  <c r="I20" i="29"/>
  <c r="H20" i="29"/>
  <c r="G20" i="29"/>
  <c r="F20" i="29"/>
  <c r="E20" i="29"/>
  <c r="D20" i="29"/>
  <c r="I19" i="29"/>
  <c r="H19" i="29"/>
  <c r="G19" i="29"/>
  <c r="F19" i="29"/>
  <c r="E19" i="29"/>
  <c r="D19" i="29"/>
  <c r="I18" i="29"/>
  <c r="H18" i="29"/>
  <c r="G18" i="29"/>
  <c r="F18" i="29"/>
  <c r="E18" i="29"/>
  <c r="D18" i="29"/>
  <c r="I17" i="29"/>
  <c r="H17" i="29"/>
  <c r="G17" i="29"/>
  <c r="F17" i="29"/>
  <c r="E17" i="29"/>
  <c r="D17" i="29"/>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147" i="30"/>
  <c r="AA147" i="30"/>
  <c r="AB147" i="30"/>
  <c r="Z147" i="30"/>
  <c r="AI146" i="30"/>
  <c r="AA146" i="30"/>
  <c r="AB146" i="30"/>
  <c r="Z146" i="30"/>
  <c r="AI145" i="30"/>
  <c r="AA145" i="30"/>
  <c r="AB145" i="30"/>
  <c r="Z145" i="30"/>
  <c r="AI141" i="30"/>
  <c r="AA141" i="30"/>
  <c r="AB141" i="30"/>
  <c r="Z141" i="30"/>
  <c r="AI140" i="30"/>
  <c r="AA140" i="30"/>
  <c r="AB140" i="30"/>
  <c r="Z140" i="30"/>
  <c r="AI139" i="30"/>
  <c r="AA139" i="30"/>
  <c r="AB139" i="30"/>
  <c r="Z139" i="30"/>
  <c r="AI138" i="30"/>
  <c r="AA138" i="30"/>
  <c r="AB138" i="30"/>
  <c r="Z138" i="30"/>
  <c r="AI137" i="30"/>
  <c r="AA137" i="30"/>
  <c r="AB137" i="30"/>
  <c r="Z137" i="30"/>
  <c r="AI136" i="30"/>
  <c r="AA136" i="30"/>
  <c r="AB136" i="30"/>
  <c r="Z136" i="30"/>
  <c r="AI81" i="30"/>
  <c r="Z81" i="30"/>
  <c r="AI80" i="30"/>
  <c r="Z80" i="30"/>
  <c r="AI79" i="30"/>
  <c r="Z79" i="30"/>
  <c r="AI78" i="30"/>
  <c r="Z78" i="30"/>
  <c r="AI77" i="30"/>
  <c r="Z77" i="30"/>
  <c r="AI76" i="30"/>
  <c r="Z76" i="30"/>
  <c r="AI75" i="30"/>
  <c r="Z75" i="30"/>
  <c r="AI74" i="30"/>
  <c r="Z74" i="30"/>
  <c r="AI73" i="30"/>
  <c r="Z73" i="30"/>
  <c r="AI69" i="30"/>
  <c r="Z69" i="30"/>
  <c r="AI68" i="30"/>
  <c r="Z68" i="30"/>
  <c r="AI67" i="30"/>
  <c r="Z67" i="30"/>
  <c r="AI66" i="30"/>
  <c r="Z66" i="30"/>
  <c r="AI65" i="30"/>
  <c r="Z65" i="30"/>
  <c r="AI64" i="30"/>
  <c r="Z64" i="30"/>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147" i="29"/>
  <c r="AA147" i="29"/>
  <c r="AB147" i="29"/>
  <c r="Z147" i="29"/>
  <c r="AI146" i="29"/>
  <c r="AA146" i="29"/>
  <c r="AB146" i="29"/>
  <c r="Z146" i="29"/>
  <c r="AI145" i="29"/>
  <c r="AA145" i="29"/>
  <c r="AB145" i="29"/>
  <c r="Z145" i="29"/>
  <c r="AI141" i="29"/>
  <c r="AA141" i="29"/>
  <c r="AB141" i="29"/>
  <c r="Z141" i="29"/>
  <c r="AI140" i="29"/>
  <c r="AA140" i="29"/>
  <c r="AB140" i="29"/>
  <c r="Z140" i="29"/>
  <c r="AI139" i="29"/>
  <c r="AA139" i="29"/>
  <c r="AB139" i="29"/>
  <c r="Z139" i="29"/>
  <c r="AI138" i="29"/>
  <c r="AA138" i="29"/>
  <c r="AB138" i="29"/>
  <c r="Z138" i="29"/>
  <c r="AI137" i="29"/>
  <c r="AA137" i="29"/>
  <c r="AB137" i="29"/>
  <c r="Z137" i="29"/>
  <c r="AI136" i="29"/>
  <c r="AA136" i="29"/>
  <c r="AB136" i="29"/>
  <c r="Z136" i="29"/>
  <c r="AI81" i="29"/>
  <c r="Z81" i="29"/>
  <c r="AI80" i="29"/>
  <c r="Z80" i="29"/>
  <c r="AI79" i="29"/>
  <c r="Z79" i="29"/>
  <c r="AI78" i="29"/>
  <c r="Z78" i="29"/>
  <c r="AI77" i="29"/>
  <c r="Z77" i="29"/>
  <c r="AI76" i="29"/>
  <c r="Z76" i="29"/>
  <c r="AI75" i="29"/>
  <c r="Z75" i="29"/>
  <c r="AI74" i="29"/>
  <c r="Z74" i="29"/>
  <c r="AI73" i="29"/>
  <c r="Z73" i="29"/>
  <c r="AI69" i="29"/>
  <c r="Z69" i="29"/>
  <c r="AI68" i="29"/>
  <c r="Z68" i="29"/>
  <c r="AI67" i="29"/>
  <c r="Z67" i="29"/>
  <c r="AI66" i="29"/>
  <c r="Z66" i="29"/>
  <c r="AI65" i="29"/>
  <c r="Z65" i="29"/>
  <c r="AI64" i="29"/>
  <c r="Z64" i="29"/>
  <c r="C33" i="28"/>
  <c r="C31" i="28"/>
  <c r="I25" i="28"/>
  <c r="H25" i="28"/>
  <c r="G25" i="28"/>
  <c r="F25" i="28"/>
  <c r="E25" i="28"/>
  <c r="D25" i="28"/>
  <c r="I24" i="28"/>
  <c r="H24" i="28"/>
  <c r="G24" i="28"/>
  <c r="F24" i="28"/>
  <c r="E24" i="28"/>
  <c r="D24" i="28"/>
  <c r="I23" i="28"/>
  <c r="H23" i="28"/>
  <c r="G23" i="28"/>
  <c r="F23" i="28"/>
  <c r="E23" i="28"/>
  <c r="D23" i="28"/>
  <c r="I22" i="28"/>
  <c r="H22" i="28"/>
  <c r="G22" i="28"/>
  <c r="F22" i="28"/>
  <c r="E22" i="28"/>
  <c r="D22" i="28"/>
  <c r="I21" i="28"/>
  <c r="H21" i="28"/>
  <c r="G21" i="28"/>
  <c r="F21" i="28"/>
  <c r="E21" i="28"/>
  <c r="D21" i="28"/>
  <c r="I20" i="28"/>
  <c r="H20" i="28"/>
  <c r="G20" i="28"/>
  <c r="F20" i="28"/>
  <c r="E20" i="28"/>
  <c r="D20" i="28"/>
  <c r="I19" i="28"/>
  <c r="H19" i="28"/>
  <c r="G19" i="28"/>
  <c r="F19" i="28"/>
  <c r="E19" i="28"/>
  <c r="D19" i="28"/>
  <c r="I18" i="28"/>
  <c r="H18" i="28"/>
  <c r="G18" i="28"/>
  <c r="F18" i="28"/>
  <c r="E18" i="28"/>
  <c r="D18" i="28"/>
  <c r="I17" i="28"/>
  <c r="H17" i="28"/>
  <c r="G17" i="28"/>
  <c r="F17" i="28"/>
  <c r="E17" i="28"/>
  <c r="D17" i="28"/>
  <c r="F13" i="28"/>
  <c r="B13" i="28"/>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147" i="28"/>
  <c r="AA147" i="28"/>
  <c r="AB147" i="28"/>
  <c r="Z147" i="28"/>
  <c r="AI146" i="28"/>
  <c r="AA146" i="28"/>
  <c r="AB146" i="28"/>
  <c r="Z146" i="28"/>
  <c r="AI145" i="28"/>
  <c r="AA145" i="28"/>
  <c r="AB145" i="28"/>
  <c r="Z145" i="28"/>
  <c r="AI141" i="28"/>
  <c r="AA141" i="28"/>
  <c r="AB141" i="28"/>
  <c r="Z141" i="28"/>
  <c r="AI140" i="28"/>
  <c r="AA140" i="28"/>
  <c r="AB140" i="28"/>
  <c r="Z140" i="28"/>
  <c r="AI139" i="28"/>
  <c r="AA139" i="28"/>
  <c r="AB139" i="28"/>
  <c r="Z139" i="28"/>
  <c r="AI138" i="28"/>
  <c r="AA138" i="28"/>
  <c r="AB138" i="28"/>
  <c r="Z138" i="28"/>
  <c r="AI137" i="28"/>
  <c r="AA137" i="28"/>
  <c r="AB137" i="28"/>
  <c r="Z137" i="28"/>
  <c r="AI136" i="28"/>
  <c r="AA136" i="28"/>
  <c r="AB136" i="28"/>
  <c r="Z136" i="28"/>
  <c r="AI81" i="28"/>
  <c r="AB81" i="28"/>
  <c r="Z81" i="28"/>
  <c r="AI80" i="28"/>
  <c r="AB80" i="28"/>
  <c r="Z80" i="28"/>
  <c r="AI79" i="28"/>
  <c r="AB79" i="28"/>
  <c r="Z79" i="28"/>
  <c r="AI78" i="28"/>
  <c r="AB78" i="28"/>
  <c r="Z78" i="28"/>
  <c r="AI77" i="28"/>
  <c r="AB77" i="28"/>
  <c r="Z77" i="28"/>
  <c r="AI76" i="28"/>
  <c r="AB76" i="28"/>
  <c r="Z76" i="28"/>
  <c r="AI75" i="28"/>
  <c r="AB75" i="28"/>
  <c r="Z75" i="28"/>
  <c r="AI74" i="28"/>
  <c r="AB74" i="28"/>
  <c r="Z74" i="28"/>
  <c r="AI73" i="28"/>
  <c r="AB73" i="28"/>
  <c r="Z73" i="28"/>
  <c r="AI69" i="28"/>
  <c r="AB69" i="28"/>
  <c r="Z69" i="28"/>
  <c r="AI68" i="28"/>
  <c r="AB68" i="28"/>
  <c r="Z68" i="28"/>
  <c r="AI67" i="28"/>
  <c r="AB67" i="28"/>
  <c r="Z67" i="28"/>
  <c r="AI66" i="28"/>
  <c r="AB66" i="28"/>
  <c r="Z66" i="28"/>
  <c r="AI65" i="28"/>
  <c r="AB65" i="28"/>
  <c r="Z65" i="28"/>
  <c r="AI64" i="28"/>
  <c r="AB64" i="28"/>
  <c r="Z64" i="28"/>
  <c r="C13" i="21" a="1"/>
  <c r="C13" i="21"/>
  <c r="D13" i="21" a="1"/>
  <c r="D13" i="21"/>
  <c r="C16" i="21" a="1"/>
  <c r="C16" i="21"/>
  <c r="D16" i="21" a="1"/>
  <c r="D16" i="21"/>
  <c r="C15" i="21" a="1"/>
  <c r="C15" i="21"/>
  <c r="D15" i="21" a="1"/>
  <c r="D15" i="21"/>
  <c r="C14" i="21" a="1"/>
  <c r="C14" i="21"/>
  <c r="D14" i="21" a="1"/>
  <c r="D14" i="21"/>
  <c r="C17" i="21" a="1"/>
  <c r="C17" i="21"/>
  <c r="D17" i="21" a="1"/>
  <c r="D17" i="21"/>
  <c r="I19" i="21"/>
  <c r="S15" i="22"/>
  <c r="C13" i="24" a="1"/>
  <c r="C13" i="24"/>
  <c r="D13" i="24" a="1"/>
  <c r="D13" i="24"/>
  <c r="C14" i="24" a="1"/>
  <c r="C14" i="24"/>
  <c r="D14" i="24" a="1"/>
  <c r="D14" i="24"/>
  <c r="C15" i="24" a="1"/>
  <c r="C15" i="24"/>
  <c r="D15" i="24" a="1"/>
  <c r="D15" i="24"/>
  <c r="C17" i="24" a="1"/>
  <c r="C17" i="24"/>
  <c r="C18" i="24"/>
  <c r="D18" i="24" a="1"/>
  <c r="D18" i="24"/>
  <c r="D20" i="24"/>
  <c r="D21" i="24"/>
  <c r="I23" i="24"/>
  <c r="S16" i="22"/>
  <c r="D17" i="24" a="1"/>
  <c r="D17" i="24"/>
  <c r="C21" i="24"/>
  <c r="C20" i="24"/>
  <c r="E17" i="24"/>
  <c r="E18" i="24"/>
  <c r="E15" i="24"/>
  <c r="E14" i="24"/>
  <c r="E13" i="24"/>
  <c r="E17" i="21"/>
  <c r="E14" i="21"/>
  <c r="E15" i="21"/>
  <c r="E16" i="21"/>
  <c r="E13" i="21"/>
  <c r="AE20" i="6"/>
  <c r="AF20" i="6"/>
  <c r="AG20" i="6"/>
  <c r="AH20" i="6"/>
  <c r="AI20" i="6"/>
  <c r="AJ20" i="6"/>
  <c r="AK22" i="6"/>
  <c r="AK23" i="6"/>
  <c r="AK24" i="6"/>
  <c r="AK25" i="6"/>
  <c r="AK26" i="6"/>
  <c r="AK27" i="6"/>
  <c r="Q23" i="6"/>
  <c r="Q24" i="6"/>
  <c r="Q25" i="6"/>
  <c r="Q26" i="6"/>
  <c r="Q27" i="6"/>
  <c r="S22" i="6"/>
  <c r="T22" i="6"/>
  <c r="U22" i="6"/>
  <c r="V22" i="6"/>
  <c r="Z22" i="6"/>
  <c r="AB22" i="6"/>
  <c r="S23" i="6"/>
  <c r="T23" i="6"/>
  <c r="U23" i="6"/>
  <c r="V23" i="6"/>
  <c r="Z23" i="6"/>
  <c r="AB23" i="6"/>
  <c r="S24" i="6"/>
  <c r="T24" i="6"/>
  <c r="U24" i="6"/>
  <c r="V24" i="6"/>
  <c r="Z24" i="6"/>
  <c r="AB24" i="6"/>
  <c r="S25" i="6"/>
  <c r="T25" i="6"/>
  <c r="U25" i="6"/>
  <c r="V25" i="6"/>
  <c r="Z25" i="6"/>
  <c r="AB25" i="6"/>
  <c r="S26" i="6"/>
  <c r="T26" i="6"/>
  <c r="U26" i="6"/>
  <c r="V26" i="6"/>
  <c r="Z26" i="6"/>
  <c r="AB26" i="6"/>
  <c r="S27" i="6"/>
  <c r="T27" i="6"/>
  <c r="U27" i="6"/>
  <c r="V27" i="6"/>
  <c r="Z27" i="6"/>
  <c r="AB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K13" i="28"/>
  <c r="BT51" i="28"/>
  <c r="BT52" i="28"/>
  <c r="BU52" i="28"/>
  <c r="BV51" i="28"/>
  <c r="BV52" i="28"/>
  <c r="BW52" i="28"/>
  <c r="BX52" i="28"/>
  <c r="BY52" i="28"/>
  <c r="BZ52" i="28"/>
  <c r="CA52" i="28"/>
  <c r="BR53" i="28"/>
  <c r="BS53" i="28"/>
  <c r="BU53" i="28"/>
  <c r="BV53" i="28"/>
  <c r="BW53" i="28"/>
  <c r="BX53" i="28"/>
  <c r="BY53" i="28"/>
  <c r="BZ53" i="28"/>
  <c r="CA53"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BT40" i="28"/>
  <c r="BT29" i="28"/>
  <c r="BT30" i="28"/>
  <c r="BR31" i="28"/>
  <c r="BS31" i="28"/>
  <c r="BT41" i="28"/>
  <c r="BU30"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AJ13" i="27"/>
  <c r="Y18" i="28"/>
  <c r="AJ15" i="27"/>
  <c r="Y20" i="28"/>
  <c r="U12" i="27"/>
  <c r="AD17" i="28"/>
  <c r="AE17" i="28"/>
  <c r="AE18" i="28"/>
  <c r="AE19" i="28"/>
  <c r="AE20" i="28"/>
  <c r="AE21" i="28"/>
  <c r="AE22" i="28"/>
  <c r="AE23" i="28"/>
  <c r="AE24" i="28"/>
  <c r="AE25" i="28"/>
  <c r="AF17" i="28"/>
  <c r="AD18" i="28"/>
  <c r="AF18" i="28"/>
  <c r="AD19" i="28"/>
  <c r="AF19" i="28"/>
  <c r="AD20" i="28"/>
  <c r="AF20" i="28"/>
  <c r="AD21" i="28"/>
  <c r="AF21" i="28"/>
  <c r="AD22" i="28"/>
  <c r="AF22" i="28"/>
  <c r="AD23" i="28"/>
  <c r="AF23" i="28"/>
  <c r="AD24" i="28"/>
  <c r="AF24" i="28"/>
  <c r="AD25" i="28"/>
  <c r="AF25" i="28"/>
  <c r="AC22" i="6"/>
  <c r="AC23" i="6"/>
  <c r="AC24" i="6"/>
  <c r="AC25" i="6"/>
  <c r="AC26" i="6"/>
  <c r="AC27" i="6"/>
  <c r="B13" i="29"/>
  <c r="B13" i="30"/>
  <c r="E34" i="28" a="1"/>
  <c r="E34" i="28"/>
  <c r="AA21" i="28"/>
  <c r="W21" i="28"/>
  <c r="E35" i="28" a="1"/>
  <c r="E35" i="28"/>
  <c r="AA22" i="28"/>
  <c r="W22" i="28"/>
  <c r="E36" i="28" a="1"/>
  <c r="E36" i="28"/>
  <c r="AA23" i="28"/>
  <c r="W23" i="28"/>
  <c r="E37" i="28" a="1"/>
  <c r="E37" i="28"/>
  <c r="AA24" i="28"/>
  <c r="W24" i="28"/>
  <c r="E38" i="28" a="1"/>
  <c r="E38" i="28"/>
  <c r="AA25" i="28"/>
  <c r="W25"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C6" i="28"/>
  <c r="C7" i="28"/>
  <c r="AD15" i="27"/>
  <c r="AD14" i="27"/>
  <c r="AD13" i="27"/>
  <c r="AD12" i="27"/>
  <c r="AG25" i="28"/>
  <c r="AH25" i="28"/>
  <c r="Z25" i="28"/>
  <c r="AG24" i="28"/>
  <c r="AH24" i="28"/>
  <c r="Z24" i="28"/>
  <c r="AG23" i="28"/>
  <c r="AH23" i="28"/>
  <c r="Z23" i="28"/>
  <c r="AG22" i="28"/>
  <c r="AH22" i="28"/>
  <c r="Z22" i="28"/>
  <c r="AG21" i="28"/>
  <c r="AH21" i="28"/>
  <c r="Z21" i="28"/>
  <c r="AG20" i="28"/>
  <c r="AH20" i="28"/>
  <c r="Z20" i="28"/>
  <c r="AG19" i="28"/>
  <c r="AH19" i="28"/>
  <c r="Z19" i="28"/>
  <c r="AG18" i="28"/>
  <c r="AH18" i="28"/>
  <c r="Z18" i="28"/>
  <c r="AG17" i="28"/>
  <c r="AH17" i="28"/>
  <c r="Z17" i="28"/>
  <c r="V15" i="27"/>
  <c r="I37" i="27"/>
  <c r="V14" i="27"/>
  <c r="I36" i="27"/>
  <c r="V13" i="27"/>
  <c r="I35" i="27"/>
  <c r="V12" i="27"/>
  <c r="I34" i="27"/>
  <c r="U13" i="27"/>
  <c r="U14" i="27"/>
  <c r="U15" i="27"/>
  <c r="AE15" i="27"/>
  <c r="AE14" i="27"/>
  <c r="AE13" i="27"/>
  <c r="AE12" i="27"/>
  <c r="AC15" i="27"/>
  <c r="AC14" i="27"/>
  <c r="AC13" i="27"/>
  <c r="AC12" i="27"/>
  <c r="AA15" i="27"/>
  <c r="AA14" i="27"/>
  <c r="AA13" i="27"/>
  <c r="AA12" i="27"/>
  <c r="Z13" i="27"/>
  <c r="Z12" i="27"/>
  <c r="Z15" i="27"/>
  <c r="Z14" i="27"/>
  <c r="Y15" i="27"/>
  <c r="Y14" i="27"/>
  <c r="Y13" i="27"/>
  <c r="Y12" i="27"/>
  <c r="X15" i="27"/>
  <c r="X14" i="27"/>
  <c r="X13" i="27"/>
  <c r="X12" i="27"/>
  <c r="W15" i="27"/>
  <c r="W14" i="27"/>
  <c r="W13" i="27"/>
  <c r="W12" i="27"/>
  <c r="Z4" i="28"/>
  <c r="Z5" i="28"/>
  <c r="Z6" i="28"/>
  <c r="Z7" i="28"/>
  <c r="Z8" i="28"/>
  <c r="Z9" i="28"/>
  <c r="Z10" i="28"/>
  <c r="Z11" i="28"/>
  <c r="Z12" i="28"/>
  <c r="AA4" i="28"/>
  <c r="AA5" i="28"/>
  <c r="AA6" i="28"/>
  <c r="AA7" i="28"/>
  <c r="AA8" i="28"/>
  <c r="AA9" i="28"/>
  <c r="AA10" i="28"/>
  <c r="AA11" i="28"/>
  <c r="AA12" i="28"/>
  <c r="X4" i="28"/>
  <c r="AE4" i="28"/>
  <c r="AE5" i="28"/>
  <c r="AE6" i="28"/>
  <c r="AE7" i="28"/>
  <c r="AE8" i="28"/>
  <c r="AE9" i="28"/>
  <c r="AE10" i="28"/>
  <c r="AE11" i="28"/>
  <c r="AE12" i="28"/>
  <c r="AF4" i="28"/>
  <c r="AF5" i="28"/>
  <c r="AF6" i="28"/>
  <c r="AF7" i="28"/>
  <c r="AF8" i="28"/>
  <c r="AF9" i="28"/>
  <c r="AF10" i="28"/>
  <c r="AF11" i="28"/>
  <c r="AF12" i="28"/>
  <c r="AC4" i="28"/>
  <c r="AJ4" i="28"/>
  <c r="AJ5" i="28"/>
  <c r="AJ6" i="28"/>
  <c r="AJ7" i="28"/>
  <c r="AJ8" i="28"/>
  <c r="AJ9" i="28"/>
  <c r="AJ10" i="28"/>
  <c r="AJ11" i="28"/>
  <c r="AJ12" i="28"/>
  <c r="AK4" i="28"/>
  <c r="AK5" i="28"/>
  <c r="AK6" i="28"/>
  <c r="AK7" i="28"/>
  <c r="AK8" i="28"/>
  <c r="AK9" i="28"/>
  <c r="AK10" i="28"/>
  <c r="AK11" i="28"/>
  <c r="AK12" i="28"/>
  <c r="AH4" i="28"/>
  <c r="AO4" i="28"/>
  <c r="AO5" i="28"/>
  <c r="AO6" i="28"/>
  <c r="AO7" i="28"/>
  <c r="AO8" i="28"/>
  <c r="AO9" i="28"/>
  <c r="AO10" i="28"/>
  <c r="AO11" i="28"/>
  <c r="AO12" i="28"/>
  <c r="AP4" i="28"/>
  <c r="AP5" i="28"/>
  <c r="AP6" i="28"/>
  <c r="AP7" i="28"/>
  <c r="AP8" i="28"/>
  <c r="AP9" i="28"/>
  <c r="AP10" i="28"/>
  <c r="AP11" i="28"/>
  <c r="AP12" i="28"/>
  <c r="AM4" i="28"/>
  <c r="X5" i="28"/>
  <c r="AC5" i="28"/>
  <c r="AH5" i="28"/>
  <c r="AM5" i="28"/>
  <c r="X6" i="28"/>
  <c r="AC6" i="28"/>
  <c r="AH6" i="28"/>
  <c r="AM6" i="28"/>
  <c r="X7" i="28"/>
  <c r="AC7" i="28"/>
  <c r="AH7" i="28"/>
  <c r="AM7" i="28"/>
  <c r="C8" i="28"/>
  <c r="X8" i="28"/>
  <c r="AC8" i="28"/>
  <c r="AH8" i="28"/>
  <c r="AM8" i="28"/>
  <c r="C9" i="28"/>
  <c r="X9" i="28"/>
  <c r="AC9" i="28"/>
  <c r="AH9" i="28"/>
  <c r="AM9" i="28"/>
  <c r="C10" i="28"/>
  <c r="X10" i="28"/>
  <c r="AC10" i="28"/>
  <c r="AH10" i="28"/>
  <c r="AM10" i="28"/>
  <c r="C11" i="28"/>
  <c r="X11" i="28"/>
  <c r="AC11" i="28"/>
  <c r="AH11" i="28"/>
  <c r="AM11" i="28"/>
  <c r="C12" i="28"/>
  <c r="X12" i="28"/>
  <c r="AC12" i="28"/>
  <c r="AH12" i="28"/>
  <c r="AM12" i="28"/>
  <c r="E34" i="29" a="1"/>
  <c r="E34" i="29"/>
  <c r="AA21" i="29"/>
  <c r="W21" i="29"/>
  <c r="E35" i="29" a="1"/>
  <c r="E35" i="29"/>
  <c r="AA22" i="29"/>
  <c r="W22" i="29"/>
  <c r="E36" i="29" a="1"/>
  <c r="E36" i="29"/>
  <c r="AA23" i="29"/>
  <c r="W23" i="29"/>
  <c r="E37" i="29" a="1"/>
  <c r="E37" i="29"/>
  <c r="AA24" i="29"/>
  <c r="W24" i="29"/>
  <c r="E38" i="29" a="1"/>
  <c r="E38" i="29"/>
  <c r="AA25" i="29"/>
  <c r="W25"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C6" i="29"/>
  <c r="AD22" i="27"/>
  <c r="C7" i="29"/>
  <c r="AD21" i="27"/>
  <c r="AD20" i="27"/>
  <c r="AD19" i="27"/>
  <c r="U20" i="27"/>
  <c r="U21" i="27"/>
  <c r="U22" i="27"/>
  <c r="W19" i="27"/>
  <c r="X19" i="27"/>
  <c r="Y19" i="27"/>
  <c r="Z19" i="27"/>
  <c r="AA19" i="27"/>
  <c r="AC19" i="27"/>
  <c r="AE19" i="27"/>
  <c r="W20" i="27"/>
  <c r="X20" i="27"/>
  <c r="Y20" i="27"/>
  <c r="Z20" i="27"/>
  <c r="AA20" i="27"/>
  <c r="AC20" i="27"/>
  <c r="AE20" i="27"/>
  <c r="W21" i="27"/>
  <c r="X21" i="27"/>
  <c r="Y21" i="27"/>
  <c r="Z21" i="27"/>
  <c r="AA21" i="27"/>
  <c r="AC21" i="27"/>
  <c r="AE21" i="27"/>
  <c r="W22" i="27"/>
  <c r="X22" i="27"/>
  <c r="Y22" i="27"/>
  <c r="Z22" i="27"/>
  <c r="AA22" i="27"/>
  <c r="AC22" i="27"/>
  <c r="AE22" i="27"/>
  <c r="V20" i="27"/>
  <c r="I39" i="27"/>
  <c r="V21" i="27"/>
  <c r="I40" i="27"/>
  <c r="V22" i="27"/>
  <c r="I41" i="27"/>
  <c r="V19" i="27"/>
  <c r="I38" i="27"/>
  <c r="Z17" i="29"/>
  <c r="AG17" i="29"/>
  <c r="AH17" i="29"/>
  <c r="Z18" i="29"/>
  <c r="AG18" i="29"/>
  <c r="AH18" i="29"/>
  <c r="Z19" i="29"/>
  <c r="AG19" i="29"/>
  <c r="AH19" i="29"/>
  <c r="Z20" i="29"/>
  <c r="AG20" i="29"/>
  <c r="AH20" i="29"/>
  <c r="Z21" i="29"/>
  <c r="AG21" i="29"/>
  <c r="AH21" i="29"/>
  <c r="Z22" i="29"/>
  <c r="AG22" i="29"/>
  <c r="AH22" i="29"/>
  <c r="Z23" i="29"/>
  <c r="AG23" i="29"/>
  <c r="AH23" i="29"/>
  <c r="Z24" i="29"/>
  <c r="AG24" i="29"/>
  <c r="AH24" i="29"/>
  <c r="Z25" i="29"/>
  <c r="AG25" i="29"/>
  <c r="AH25" i="29"/>
  <c r="Z4" i="29"/>
  <c r="Z5" i="29"/>
  <c r="Z6" i="29"/>
  <c r="Z7" i="29"/>
  <c r="Z8" i="29"/>
  <c r="Z9" i="29"/>
  <c r="Z10" i="29"/>
  <c r="Z11" i="29"/>
  <c r="Z12" i="29"/>
  <c r="AA4" i="29"/>
  <c r="AA5" i="29"/>
  <c r="AA6" i="29"/>
  <c r="AA7" i="29"/>
  <c r="AA8" i="29"/>
  <c r="AA9" i="29"/>
  <c r="AA10" i="29"/>
  <c r="AA11" i="29"/>
  <c r="AA12" i="29"/>
  <c r="X4" i="29"/>
  <c r="AE4" i="29"/>
  <c r="AE5" i="29"/>
  <c r="AE6" i="29"/>
  <c r="AE7" i="29"/>
  <c r="AE8" i="29"/>
  <c r="AE9" i="29"/>
  <c r="AE10" i="29"/>
  <c r="AE11" i="29"/>
  <c r="AE12" i="29"/>
  <c r="AF4" i="29"/>
  <c r="AF5" i="29"/>
  <c r="AF6" i="29"/>
  <c r="AF7" i="29"/>
  <c r="AF8" i="29"/>
  <c r="AF9" i="29"/>
  <c r="AF10" i="29"/>
  <c r="AF11" i="29"/>
  <c r="AF12" i="29"/>
  <c r="AC4" i="29"/>
  <c r="AJ4" i="29"/>
  <c r="AJ5" i="29"/>
  <c r="AJ6" i="29"/>
  <c r="AJ7" i="29"/>
  <c r="AJ8" i="29"/>
  <c r="AJ9" i="29"/>
  <c r="AJ10" i="29"/>
  <c r="AJ11" i="29"/>
  <c r="AJ12" i="29"/>
  <c r="AK4" i="29"/>
  <c r="AK5" i="29"/>
  <c r="AK6" i="29"/>
  <c r="AK7" i="29"/>
  <c r="AK8" i="29"/>
  <c r="AK9" i="29"/>
  <c r="AK10" i="29"/>
  <c r="AK11" i="29"/>
  <c r="AK12" i="29"/>
  <c r="AH4" i="29"/>
  <c r="AO4" i="29"/>
  <c r="AO5" i="29"/>
  <c r="AO6" i="29"/>
  <c r="AO7" i="29"/>
  <c r="AO8" i="29"/>
  <c r="AO9" i="29"/>
  <c r="AO10" i="29"/>
  <c r="AO11" i="29"/>
  <c r="AO12" i="29"/>
  <c r="AP4" i="29"/>
  <c r="AP5" i="29"/>
  <c r="AP6" i="29"/>
  <c r="AP7" i="29"/>
  <c r="AP8" i="29"/>
  <c r="AP9" i="29"/>
  <c r="AP10" i="29"/>
  <c r="AP11" i="29"/>
  <c r="AP12" i="29"/>
  <c r="AM4" i="29"/>
  <c r="X5" i="29"/>
  <c r="AC5" i="29"/>
  <c r="AH5" i="29"/>
  <c r="AM5" i="29"/>
  <c r="X6" i="29"/>
  <c r="AC6" i="29"/>
  <c r="AH6" i="29"/>
  <c r="AM6" i="29"/>
  <c r="X7" i="29"/>
  <c r="AC7" i="29"/>
  <c r="AH7" i="29"/>
  <c r="AM7" i="29"/>
  <c r="C8" i="29"/>
  <c r="X8" i="29"/>
  <c r="AC8" i="29"/>
  <c r="AH8" i="29"/>
  <c r="AM8" i="29"/>
  <c r="C9" i="29"/>
  <c r="X9" i="29"/>
  <c r="AC9" i="29"/>
  <c r="AH9" i="29"/>
  <c r="AM9" i="29"/>
  <c r="C10" i="29"/>
  <c r="X10" i="29"/>
  <c r="AC10" i="29"/>
  <c r="AH10" i="29"/>
  <c r="AM10" i="29"/>
  <c r="C11" i="29"/>
  <c r="X11" i="29"/>
  <c r="AC11" i="29"/>
  <c r="AH11" i="29"/>
  <c r="AM11" i="29"/>
  <c r="C12" i="29"/>
  <c r="X12" i="29"/>
  <c r="AC12" i="29"/>
  <c r="AH12" i="29"/>
  <c r="AM12" i="29"/>
  <c r="E32" i="30" a="1"/>
  <c r="E32" i="30"/>
  <c r="AA19" i="30"/>
  <c r="W19" i="30"/>
  <c r="E33" i="30" a="1"/>
  <c r="E33" i="30"/>
  <c r="AA20" i="30"/>
  <c r="W20" i="30"/>
  <c r="E34" i="30" a="1"/>
  <c r="E34" i="30"/>
  <c r="AA21" i="30"/>
  <c r="W21" i="30"/>
  <c r="E35" i="30" a="1"/>
  <c r="E35" i="30"/>
  <c r="AA22" i="30"/>
  <c r="W22" i="30"/>
  <c r="E36" i="30" a="1"/>
  <c r="E36" i="30"/>
  <c r="AA23" i="30"/>
  <c r="W23" i="30"/>
  <c r="E37" i="30" a="1"/>
  <c r="E37" i="30"/>
  <c r="AA24" i="30"/>
  <c r="W24" i="30"/>
  <c r="E38" i="30" a="1"/>
  <c r="E38" i="30"/>
  <c r="AA25" i="30"/>
  <c r="W25"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D29" i="27"/>
  <c r="AD28" i="27"/>
  <c r="AD27" i="27"/>
  <c r="AD26" i="27"/>
  <c r="U27" i="27"/>
  <c r="U28" i="27"/>
  <c r="U29" i="27"/>
  <c r="W26" i="27"/>
  <c r="X26" i="27"/>
  <c r="Y26" i="27"/>
  <c r="Z26" i="27"/>
  <c r="AA26" i="27"/>
  <c r="AC26" i="27"/>
  <c r="AE26" i="27"/>
  <c r="W27" i="27"/>
  <c r="X27" i="27"/>
  <c r="Y27" i="27"/>
  <c r="Z27" i="27"/>
  <c r="AA27" i="27"/>
  <c r="AC27" i="27"/>
  <c r="AE27" i="27"/>
  <c r="W28" i="27"/>
  <c r="X28" i="27"/>
  <c r="Y28" i="27"/>
  <c r="Z28" i="27"/>
  <c r="AA28" i="27"/>
  <c r="AC28" i="27"/>
  <c r="AE28" i="27"/>
  <c r="W29" i="27"/>
  <c r="X29" i="27"/>
  <c r="Y29" i="27"/>
  <c r="Z29" i="27"/>
  <c r="AA29" i="27"/>
  <c r="AC29" i="27"/>
  <c r="AE29" i="27"/>
  <c r="V27" i="27"/>
  <c r="I43" i="27"/>
  <c r="V28" i="27"/>
  <c r="I44" i="27"/>
  <c r="V29" i="27"/>
  <c r="I45" i="27"/>
  <c r="V26" i="27"/>
  <c r="I42" i="27"/>
  <c r="Z17" i="30"/>
  <c r="AG17" i="30"/>
  <c r="AH17" i="30"/>
  <c r="Z18" i="30"/>
  <c r="AG18" i="30"/>
  <c r="AH18" i="30"/>
  <c r="Z19" i="30"/>
  <c r="AG19" i="30"/>
  <c r="AH19" i="30"/>
  <c r="Z20" i="30"/>
  <c r="AG20" i="30"/>
  <c r="AH20" i="30"/>
  <c r="Z21" i="30"/>
  <c r="AG21" i="30"/>
  <c r="AH21" i="30"/>
  <c r="Z22" i="30"/>
  <c r="AG22" i="30"/>
  <c r="AH22" i="30"/>
  <c r="Z23" i="30"/>
  <c r="AG23" i="30"/>
  <c r="AH23" i="30"/>
  <c r="Z24" i="30"/>
  <c r="AG24" i="30"/>
  <c r="AH24" i="30"/>
  <c r="Z25" i="30"/>
  <c r="AG25" i="30"/>
  <c r="AH25" i="30"/>
  <c r="Z4" i="30"/>
  <c r="Z5" i="30"/>
  <c r="Z6" i="30"/>
  <c r="Z7" i="30"/>
  <c r="Z8" i="30"/>
  <c r="Z9" i="30"/>
  <c r="Z10" i="30"/>
  <c r="Z11" i="30"/>
  <c r="Z12" i="30"/>
  <c r="AA4" i="30"/>
  <c r="AA5" i="30"/>
  <c r="AA6" i="30"/>
  <c r="AA7" i="30"/>
  <c r="AA8" i="30"/>
  <c r="AA9" i="30"/>
  <c r="AA10" i="30"/>
  <c r="AA11" i="30"/>
  <c r="AA12" i="30"/>
  <c r="X4" i="30"/>
  <c r="AE4" i="30"/>
  <c r="AE5" i="30"/>
  <c r="AE6" i="30"/>
  <c r="AE7" i="30"/>
  <c r="AE8" i="30"/>
  <c r="AE9" i="30"/>
  <c r="AE10" i="30"/>
  <c r="AE11" i="30"/>
  <c r="AE12" i="30"/>
  <c r="AF4" i="30"/>
  <c r="AF5" i="30"/>
  <c r="AF6" i="30"/>
  <c r="AF7" i="30"/>
  <c r="AF8" i="30"/>
  <c r="AF9" i="30"/>
  <c r="AF10" i="30"/>
  <c r="AF11" i="30"/>
  <c r="AF12" i="30"/>
  <c r="AC4" i="30"/>
  <c r="AJ4" i="30"/>
  <c r="AJ5" i="30"/>
  <c r="AJ6" i="30"/>
  <c r="AJ7" i="30"/>
  <c r="AJ8" i="30"/>
  <c r="AJ9" i="30"/>
  <c r="AJ10" i="30"/>
  <c r="AJ11" i="30"/>
  <c r="AJ12" i="30"/>
  <c r="AK4" i="30"/>
  <c r="AK5" i="30"/>
  <c r="AK6" i="30"/>
  <c r="AK7" i="30"/>
  <c r="AK8" i="30"/>
  <c r="AK9" i="30"/>
  <c r="AK10" i="30"/>
  <c r="AK11" i="30"/>
  <c r="AK12" i="30"/>
  <c r="AH4" i="30"/>
  <c r="AO4" i="30"/>
  <c r="AO5" i="30"/>
  <c r="AO6" i="30"/>
  <c r="AO7" i="30"/>
  <c r="AO8" i="30"/>
  <c r="AO9" i="30"/>
  <c r="AO10" i="30"/>
  <c r="AO11" i="30"/>
  <c r="AO12" i="30"/>
  <c r="AP4" i="30"/>
  <c r="AP5" i="30"/>
  <c r="AP6" i="30"/>
  <c r="AP7" i="30"/>
  <c r="AP8" i="30"/>
  <c r="AP9" i="30"/>
  <c r="AP10" i="30"/>
  <c r="AP11" i="30"/>
  <c r="AP12" i="30"/>
  <c r="AM4" i="30"/>
  <c r="X5" i="30"/>
  <c r="AC5" i="30"/>
  <c r="AH5" i="30"/>
  <c r="AM5" i="30"/>
  <c r="X6" i="30"/>
  <c r="AC6" i="30"/>
  <c r="AH6" i="30"/>
  <c r="AM6" i="30"/>
  <c r="X7" i="30"/>
  <c r="AC7" i="30"/>
  <c r="AH7" i="30"/>
  <c r="AM7" i="30"/>
  <c r="C8" i="30"/>
  <c r="X8" i="30"/>
  <c r="AC8" i="30"/>
  <c r="AH8" i="30"/>
  <c r="AM8" i="30"/>
  <c r="C9" i="30"/>
  <c r="X9" i="30"/>
  <c r="AC9" i="30"/>
  <c r="AH9" i="30"/>
  <c r="AM9" i="30"/>
  <c r="C10" i="30"/>
  <c r="X10" i="30"/>
  <c r="AC10" i="30"/>
  <c r="AH10" i="30"/>
  <c r="AM10" i="30"/>
  <c r="C11" i="30"/>
  <c r="X11" i="30"/>
  <c r="AC11" i="30"/>
  <c r="AH11" i="30"/>
  <c r="AM11" i="30"/>
  <c r="C12" i="30"/>
  <c r="X12" i="30"/>
  <c r="AC12" i="30"/>
  <c r="AH12" i="30"/>
  <c r="AM12" i="30"/>
  <c r="C15" i="27" a="1"/>
  <c r="C15" i="27"/>
  <c r="E15" i="27"/>
  <c r="C24" i="27" a="1"/>
  <c r="C24" i="27"/>
  <c r="E24" i="27"/>
  <c r="C21" i="27" a="1"/>
  <c r="C21" i="27"/>
  <c r="E21" i="27"/>
  <c r="C18" i="27" a="1"/>
  <c r="C18" i="27"/>
  <c r="E18" i="27"/>
  <c r="C29" i="27" a="1"/>
  <c r="C29" i="27"/>
  <c r="D29" i="27" a="1"/>
  <c r="D29" i="27"/>
  <c r="K31" i="27"/>
  <c r="S18" i="22"/>
  <c r="D18" i="27" a="1"/>
  <c r="D18" i="27"/>
  <c r="D21" i="27" a="1"/>
  <c r="D21" i="27"/>
  <c r="D24" i="27" a="1"/>
  <c r="D24" i="27"/>
  <c r="D15" i="27" a="1"/>
  <c r="D15" i="27"/>
  <c r="C19" i="27" a="1"/>
  <c r="C19" i="27"/>
  <c r="D19" i="27" a="1"/>
  <c r="D19" i="27"/>
  <c r="N19" i="32"/>
  <c r="M19" i="32"/>
  <c r="C28" i="27" a="1"/>
  <c r="C28" i="27"/>
  <c r="D28" i="27" a="1"/>
  <c r="D28" i="27"/>
  <c r="N28" i="32"/>
  <c r="M28" i="32"/>
  <c r="Q12" i="32"/>
  <c r="E5" i="32"/>
  <c r="G5" i="32"/>
  <c r="H5" i="32"/>
  <c r="F5" i="32"/>
  <c r="Q13" i="32"/>
  <c r="F6" i="32"/>
  <c r="J5" i="32"/>
  <c r="K5" i="32"/>
  <c r="L19" i="32"/>
  <c r="E6" i="32"/>
  <c r="E19" i="27"/>
  <c r="O19" i="32"/>
  <c r="G6" i="32"/>
  <c r="H6" i="32"/>
  <c r="Q14" i="32"/>
  <c r="F7" i="32"/>
  <c r="J6" i="32"/>
  <c r="K6" i="32"/>
  <c r="L28" i="32"/>
  <c r="E7" i="32"/>
  <c r="E28" i="27"/>
  <c r="O28" i="32"/>
  <c r="G7" i="32"/>
  <c r="H7" i="32"/>
  <c r="J7" i="32"/>
  <c r="K7" i="32"/>
  <c r="J8" i="32"/>
  <c r="C16" i="27" a="1"/>
  <c r="C16" i="27"/>
  <c r="D16" i="27" a="1"/>
  <c r="D16" i="27"/>
  <c r="S16" i="32"/>
  <c r="R16" i="32"/>
  <c r="S19" i="32"/>
  <c r="R19" i="32"/>
  <c r="C25" i="27" a="1"/>
  <c r="C25" i="27"/>
  <c r="D25" i="27" a="1"/>
  <c r="D25" i="27"/>
  <c r="S25" i="32"/>
  <c r="R25" i="32"/>
  <c r="V12" i="32"/>
  <c r="F10" i="32"/>
  <c r="J9" i="32"/>
  <c r="L16" i="32"/>
  <c r="E10" i="32"/>
  <c r="E16" i="27"/>
  <c r="T16" i="32"/>
  <c r="G10" i="32"/>
  <c r="H10" i="32"/>
  <c r="V13" i="32"/>
  <c r="F11" i="32"/>
  <c r="J10" i="32"/>
  <c r="K10" i="32"/>
  <c r="E11" i="32"/>
  <c r="T19" i="32"/>
  <c r="G11" i="32"/>
  <c r="H11" i="32"/>
  <c r="V14" i="32"/>
  <c r="F12" i="32"/>
  <c r="J11" i="32"/>
  <c r="K11" i="32"/>
  <c r="L25" i="32"/>
  <c r="E12" i="32"/>
  <c r="E25" i="27"/>
  <c r="T25" i="32"/>
  <c r="G12" i="32"/>
  <c r="H12" i="32"/>
  <c r="J12" i="32"/>
  <c r="K12" i="32"/>
  <c r="J13" i="32"/>
  <c r="C17" i="27" a="1"/>
  <c r="C17" i="27"/>
  <c r="D17" i="27" a="1"/>
  <c r="D17" i="27"/>
  <c r="X17" i="32"/>
  <c r="W17" i="32"/>
  <c r="C20" i="27" a="1"/>
  <c r="C20" i="27"/>
  <c r="D20" i="27" a="1"/>
  <c r="D20" i="27"/>
  <c r="X20" i="32"/>
  <c r="W20" i="32"/>
  <c r="C26" i="27" a="1"/>
  <c r="C26" i="27"/>
  <c r="D26" i="27" a="1"/>
  <c r="D26" i="27"/>
  <c r="X26" i="32"/>
  <c r="W26" i="32"/>
  <c r="AA12" i="32"/>
  <c r="F15" i="32"/>
  <c r="J14" i="32"/>
  <c r="L17" i="32"/>
  <c r="E15" i="32"/>
  <c r="E17" i="27"/>
  <c r="Y17" i="32"/>
  <c r="G15" i="32"/>
  <c r="H15" i="32"/>
  <c r="AA13" i="32"/>
  <c r="F16" i="32"/>
  <c r="J15" i="32"/>
  <c r="K15" i="32"/>
  <c r="Q15" i="32"/>
  <c r="V15" i="32"/>
  <c r="AA15" i="32"/>
  <c r="C14" i="27" a="1"/>
  <c r="C14" i="27"/>
  <c r="D14" i="27" a="1"/>
  <c r="D14" i="27"/>
  <c r="AC14" i="32"/>
  <c r="AB14" i="32"/>
  <c r="AC20" i="32"/>
  <c r="AB20" i="32"/>
  <c r="AC29" i="32"/>
  <c r="AB29" i="32"/>
  <c r="AF15" i="32"/>
  <c r="C27" i="27" a="1"/>
  <c r="C27" i="27"/>
  <c r="D27" i="27" a="1"/>
  <c r="D27" i="27"/>
  <c r="AH27" i="32"/>
  <c r="AG27" i="32"/>
  <c r="AK15" i="32"/>
  <c r="AR17" i="32"/>
  <c r="AQ17" i="32"/>
  <c r="C23" i="27" a="1"/>
  <c r="C23" i="27"/>
  <c r="D23" i="27" a="1"/>
  <c r="D23" i="27"/>
  <c r="AR23" i="32"/>
  <c r="AQ23" i="32"/>
  <c r="AR29" i="32"/>
  <c r="AQ29" i="32"/>
  <c r="AU15" i="32"/>
  <c r="AW27" i="32"/>
  <c r="AV27" i="32"/>
  <c r="AZ15" i="32"/>
  <c r="C22" i="27" a="1"/>
  <c r="C22" i="27"/>
  <c r="D22" i="27" a="1"/>
  <c r="D22" i="27"/>
  <c r="BB22" i="32"/>
  <c r="BA22" i="32"/>
  <c r="BB25" i="32"/>
  <c r="BA25" i="32"/>
  <c r="BE15" i="32"/>
  <c r="BG14" i="32"/>
  <c r="BF14" i="32"/>
  <c r="BG23" i="32"/>
  <c r="BF23" i="32"/>
  <c r="BG26" i="32"/>
  <c r="BF26" i="32"/>
  <c r="BJ15" i="32"/>
  <c r="BL16" i="32"/>
  <c r="BK16" i="32"/>
  <c r="BL22" i="32"/>
  <c r="BK22" i="32"/>
  <c r="BL28" i="32"/>
  <c r="BK28" i="32"/>
  <c r="BO15" i="32"/>
  <c r="L20" i="32"/>
  <c r="E16" i="32"/>
  <c r="E20" i="27"/>
  <c r="Y20" i="32"/>
  <c r="G16" i="32"/>
  <c r="H16" i="32"/>
  <c r="AA14" i="32"/>
  <c r="F17" i="32"/>
  <c r="J16" i="32"/>
  <c r="K16" i="32"/>
  <c r="Q16" i="32"/>
  <c r="V16" i="32"/>
  <c r="AA16" i="32"/>
  <c r="AF16" i="32"/>
  <c r="AK16" i="32"/>
  <c r="AU16" i="32"/>
  <c r="AZ16" i="32"/>
  <c r="BE16" i="32"/>
  <c r="BJ16" i="32"/>
  <c r="BO16" i="32"/>
  <c r="L26" i="32"/>
  <c r="E17" i="32"/>
  <c r="E26" i="27"/>
  <c r="Y26" i="32"/>
  <c r="G17" i="32"/>
  <c r="H17" i="32"/>
  <c r="J17" i="32"/>
  <c r="K17" i="32"/>
  <c r="Q17" i="32"/>
  <c r="V17" i="32"/>
  <c r="AA17" i="32"/>
  <c r="AF17" i="32"/>
  <c r="AK17" i="32"/>
  <c r="AU17" i="32"/>
  <c r="AZ17" i="32"/>
  <c r="BE17" i="32"/>
  <c r="BJ17" i="32"/>
  <c r="BO17" i="32"/>
  <c r="J18" i="32"/>
  <c r="Q18" i="32"/>
  <c r="V18" i="32"/>
  <c r="AA18" i="32"/>
  <c r="AF18" i="32"/>
  <c r="AK18" i="32"/>
  <c r="AU18" i="32"/>
  <c r="AZ18" i="32"/>
  <c r="BE18" i="32"/>
  <c r="BJ18" i="32"/>
  <c r="BO18" i="32"/>
  <c r="AF12" i="32"/>
  <c r="F20" i="32"/>
  <c r="J19" i="32"/>
  <c r="Q19" i="32"/>
  <c r="V19" i="32"/>
  <c r="AA19" i="32"/>
  <c r="AF19" i="32"/>
  <c r="AK19" i="32"/>
  <c r="AU19" i="32"/>
  <c r="AZ19" i="32"/>
  <c r="BE19" i="32"/>
  <c r="BJ19" i="32"/>
  <c r="BO19" i="32"/>
  <c r="L14" i="32"/>
  <c r="E20" i="32"/>
  <c r="E14" i="27"/>
  <c r="AD14" i="32"/>
  <c r="G20" i="32"/>
  <c r="H20" i="32"/>
  <c r="AF13" i="32"/>
  <c r="F21" i="32"/>
  <c r="J20" i="32"/>
  <c r="K20" i="32"/>
  <c r="Q20" i="32"/>
  <c r="V20" i="32"/>
  <c r="AA20" i="32"/>
  <c r="AF20" i="32"/>
  <c r="AK20" i="32"/>
  <c r="AU20" i="32"/>
  <c r="AZ20" i="32"/>
  <c r="BE20" i="32"/>
  <c r="BJ20" i="32"/>
  <c r="BO20" i="32"/>
  <c r="E21" i="32"/>
  <c r="AD20" i="32"/>
  <c r="G21" i="32"/>
  <c r="H21" i="32"/>
  <c r="AF14" i="32"/>
  <c r="F22" i="32"/>
  <c r="J21" i="32"/>
  <c r="K21" i="32"/>
  <c r="Q21" i="32"/>
  <c r="V21" i="32"/>
  <c r="AA21" i="32"/>
  <c r="AF21" i="32"/>
  <c r="AK21" i="32"/>
  <c r="AU21" i="32"/>
  <c r="AZ21" i="32"/>
  <c r="BE21" i="32"/>
  <c r="BJ21" i="32"/>
  <c r="BO21" i="32"/>
  <c r="L29" i="32"/>
  <c r="E22" i="32"/>
  <c r="E29" i="27"/>
  <c r="AD29" i="32"/>
  <c r="G22" i="32"/>
  <c r="H22" i="32"/>
  <c r="J22" i="32"/>
  <c r="K22" i="32"/>
  <c r="Q22" i="32"/>
  <c r="V22" i="32"/>
  <c r="AA22" i="32"/>
  <c r="AF22" i="32"/>
  <c r="AK22" i="32"/>
  <c r="AU22" i="32"/>
  <c r="AZ22" i="32"/>
  <c r="BE22" i="32"/>
  <c r="BJ22" i="32"/>
  <c r="BO22" i="32"/>
  <c r="J23" i="32"/>
  <c r="Q23" i="32"/>
  <c r="V23" i="32"/>
  <c r="AA23" i="32"/>
  <c r="AF23" i="32"/>
  <c r="AK23" i="32"/>
  <c r="AU23" i="32"/>
  <c r="AZ23" i="32"/>
  <c r="BE23" i="32"/>
  <c r="BJ23" i="32"/>
  <c r="BO23" i="32"/>
  <c r="AK12" i="32"/>
  <c r="F25" i="32"/>
  <c r="J24" i="32"/>
  <c r="Q24" i="32"/>
  <c r="V24" i="32"/>
  <c r="AA24" i="32"/>
  <c r="AF24" i="32"/>
  <c r="AK24" i="32"/>
  <c r="AU24" i="32"/>
  <c r="AZ24" i="32"/>
  <c r="BE24" i="32"/>
  <c r="BJ24" i="32"/>
  <c r="BO24" i="32"/>
  <c r="L27" i="32"/>
  <c r="E25" i="32"/>
  <c r="E27" i="27"/>
  <c r="AI27" i="32"/>
  <c r="G25" i="32"/>
  <c r="H25" i="32"/>
  <c r="AK13" i="32"/>
  <c r="F26" i="32"/>
  <c r="J25" i="32"/>
  <c r="K25" i="32"/>
  <c r="Q25" i="32"/>
  <c r="V25" i="32"/>
  <c r="AA25" i="32"/>
  <c r="AF25" i="32"/>
  <c r="AK25" i="32"/>
  <c r="AU25" i="32"/>
  <c r="AZ25" i="32"/>
  <c r="BE25" i="32"/>
  <c r="BJ25" i="32"/>
  <c r="BO25" i="32"/>
  <c r="E26" i="32"/>
  <c r="G26" i="32"/>
  <c r="H26" i="32"/>
  <c r="AK14" i="32"/>
  <c r="F27" i="32"/>
  <c r="J26" i="32"/>
  <c r="K26" i="32"/>
  <c r="Q26" i="32"/>
  <c r="V26" i="32"/>
  <c r="AA26" i="32"/>
  <c r="AF26" i="32"/>
  <c r="AK26" i="32"/>
  <c r="AU26" i="32"/>
  <c r="AZ26" i="32"/>
  <c r="BE26" i="32"/>
  <c r="BJ26" i="32"/>
  <c r="BO26" i="32"/>
  <c r="E27" i="32"/>
  <c r="G27" i="32"/>
  <c r="H27" i="32"/>
  <c r="J27" i="32"/>
  <c r="K27" i="32"/>
  <c r="Q27" i="32"/>
  <c r="V27" i="32"/>
  <c r="AA27" i="32"/>
  <c r="AF27" i="32"/>
  <c r="AK27" i="32"/>
  <c r="AU27" i="32"/>
  <c r="AZ27" i="32"/>
  <c r="BE27" i="32"/>
  <c r="BJ27" i="32"/>
  <c r="BO27" i="32"/>
  <c r="J28" i="32"/>
  <c r="Q28" i="32"/>
  <c r="V28" i="32"/>
  <c r="AA28" i="32"/>
  <c r="AF28" i="32"/>
  <c r="AK28" i="32"/>
  <c r="AU28" i="32"/>
  <c r="AZ28" i="32"/>
  <c r="BE28" i="32"/>
  <c r="BJ28" i="32"/>
  <c r="BO28" i="32"/>
  <c r="Q29" i="32"/>
  <c r="V29" i="32"/>
  <c r="AA29" i="32"/>
  <c r="AF29" i="32"/>
  <c r="AK29" i="32"/>
  <c r="AU29" i="32"/>
  <c r="AZ29" i="32"/>
  <c r="BE29" i="32"/>
  <c r="BJ29" i="32"/>
  <c r="BO29" i="32"/>
  <c r="AU12" i="32"/>
  <c r="F35" i="32"/>
  <c r="J34" i="32"/>
  <c r="E35" i="32"/>
  <c r="AS17" i="32"/>
  <c r="G35" i="32"/>
  <c r="H35" i="32"/>
  <c r="AU13" i="32"/>
  <c r="F36" i="32"/>
  <c r="J35" i="32"/>
  <c r="K35" i="32"/>
  <c r="L23" i="32"/>
  <c r="E36" i="32"/>
  <c r="E23" i="27"/>
  <c r="AS23" i="32"/>
  <c r="G36" i="32"/>
  <c r="H36" i="32"/>
  <c r="AU14" i="32"/>
  <c r="F37" i="32"/>
  <c r="J36" i="32"/>
  <c r="K36" i="32"/>
  <c r="E37" i="32"/>
  <c r="AS29" i="32"/>
  <c r="G37" i="32"/>
  <c r="H37" i="32"/>
  <c r="J37" i="32"/>
  <c r="K37" i="32"/>
  <c r="J38" i="32"/>
  <c r="AZ12" i="32"/>
  <c r="F40" i="32"/>
  <c r="J39" i="32"/>
  <c r="E40" i="32"/>
  <c r="AX27" i="32"/>
  <c r="G40" i="32"/>
  <c r="H40" i="32"/>
  <c r="AZ13" i="32"/>
  <c r="F41" i="32"/>
  <c r="J40" i="32"/>
  <c r="K40" i="32"/>
  <c r="E41" i="32"/>
  <c r="G41" i="32"/>
  <c r="H41" i="32"/>
  <c r="AZ14" i="32"/>
  <c r="F42" i="32"/>
  <c r="J41" i="32"/>
  <c r="K41" i="32"/>
  <c r="E42" i="32"/>
  <c r="G42" i="32"/>
  <c r="H42" i="32"/>
  <c r="J42" i="32"/>
  <c r="K42" i="32"/>
  <c r="J43" i="32"/>
  <c r="BE12" i="32"/>
  <c r="F45" i="32"/>
  <c r="J44" i="32"/>
  <c r="E45" i="32"/>
  <c r="G45" i="32"/>
  <c r="H45" i="32"/>
  <c r="BE13" i="32"/>
  <c r="F46" i="32"/>
  <c r="J45" i="32"/>
  <c r="K45" i="32"/>
  <c r="L22" i="32"/>
  <c r="E46" i="32"/>
  <c r="E22" i="27"/>
  <c r="BC22" i="32"/>
  <c r="G46" i="32"/>
  <c r="H46" i="32"/>
  <c r="BE14" i="32"/>
  <c r="F47" i="32"/>
  <c r="J46" i="32"/>
  <c r="K46" i="32"/>
  <c r="E47" i="32"/>
  <c r="BC25" i="32"/>
  <c r="G47" i="32"/>
  <c r="H47" i="32"/>
  <c r="J47" i="32"/>
  <c r="K47" i="32"/>
  <c r="J48" i="32"/>
  <c r="BJ12" i="32"/>
  <c r="F50" i="32"/>
  <c r="J49" i="32"/>
  <c r="E50" i="32"/>
  <c r="BH14" i="32"/>
  <c r="G50" i="32"/>
  <c r="H50" i="32"/>
  <c r="BJ13" i="32"/>
  <c r="F51" i="32"/>
  <c r="J50" i="32"/>
  <c r="K50" i="32"/>
  <c r="E51" i="32"/>
  <c r="BH23" i="32"/>
  <c r="G51" i="32"/>
  <c r="H51" i="32"/>
  <c r="BJ14" i="32"/>
  <c r="F52" i="32"/>
  <c r="J51" i="32"/>
  <c r="K51" i="32"/>
  <c r="E52" i="32"/>
  <c r="BH26" i="32"/>
  <c r="G52" i="32"/>
  <c r="H52" i="32"/>
  <c r="J52" i="32"/>
  <c r="K52" i="32"/>
  <c r="J53" i="32"/>
  <c r="BO12" i="32"/>
  <c r="F55" i="32"/>
  <c r="J54" i="32"/>
  <c r="E55" i="32"/>
  <c r="BM16" i="32"/>
  <c r="G55" i="32"/>
  <c r="H55" i="32"/>
  <c r="BO13" i="32"/>
  <c r="F56" i="32"/>
  <c r="J55" i="32"/>
  <c r="K55" i="32"/>
  <c r="E56" i="32"/>
  <c r="BM22" i="32"/>
  <c r="G56" i="32"/>
  <c r="H56" i="32"/>
  <c r="BO14" i="32"/>
  <c r="F57" i="32"/>
  <c r="J56" i="32"/>
  <c r="K56" i="32"/>
  <c r="E57" i="32"/>
  <c r="BM28" i="32"/>
  <c r="G57" i="32"/>
  <c r="H57" i="32"/>
  <c r="J57" i="32"/>
  <c r="K57" i="32"/>
  <c r="J58" i="32"/>
  <c r="L15" i="32"/>
  <c r="L18" i="32"/>
  <c r="L21" i="32"/>
  <c r="L24" i="32"/>
</calcChain>
</file>

<file path=xl/sharedStrings.xml><?xml version="1.0" encoding="utf-8"?>
<sst xmlns="http://schemas.openxmlformats.org/spreadsheetml/2006/main" count="1731" uniqueCount="384">
  <si>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</si>
  <si>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</si>
  <si>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</si>
  <si>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</si>
  <si>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</si>
  <si>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</si>
  <si>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</si>
  <si>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</si>
  <si>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</si>
  <si>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</si>
  <si>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</si>
  <si>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</si>
  <si>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</si>
  <si>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</si>
  <si>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</si>
  <si>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</si>
  <si>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</si>
  <si>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</si>
  <si>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</si>
  <si>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</si>
  <si>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</si>
  <si>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</si>
  <si>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</si>
  <si>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</si>
  <si>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</si>
  <si>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</si>
  <si>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</si>
  <si>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</si>
  <si>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</si>
  <si>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</si>
  <si>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</si>
  <si>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</si>
  <si>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</si>
  <si>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</si>
  <si>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</si>
  <si>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</si>
  <si>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</si>
  <si>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</si>
  <si>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</si>
  <si>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</si>
  <si>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</si>
  <si>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</si>
  <si>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</si>
  <si>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</si>
  <si>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</si>
  <si>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</si>
  <si>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</si>
  <si>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</si>
  <si>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</si>
  <si>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</si>
  <si>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</si>
  <si>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</si>
  <si>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</si>
  <si>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</si>
  <si>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</si>
  <si>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</si>
  <si>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</si>
  <si>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</si>
  <si>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</si>
  <si>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</si>
  <si>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</si>
  <si>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</si>
  <si>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</si>
  <si>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</si>
  <si>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</si>
  <si>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</si>
  <si>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</si>
  <si>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</si>
  <si>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</si>
  <si>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</si>
  <si>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</si>
  <si>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</si>
  <si>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</si>
  <si>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</si>
  <si>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</si>
  <si>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</si>
  <si>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</si>
  <si>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</si>
  <si>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</si>
  <si>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</si>
  <si>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</si>
  <si>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</si>
  <si>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</si>
  <si>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</si>
  <si>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</si>
  <si>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</si>
  <si>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</si>
  <si>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</si>
  <si>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</si>
  <si>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</si>
  <si>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</si>
  <si>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</si>
  <si>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</si>
  <si>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</si>
  <si>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</si>
  <si>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</si>
  <si>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</si>
  <si>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</si>
  <si>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</si>
  <si>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</si>
  <si>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</si>
  <si>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</si>
  <si>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</si>
  <si>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</si>
  <si>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</si>
  <si>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</si>
  <si>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</si>
  <si>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</si>
  <si>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</si>
  <si>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</si>
  <si>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</si>
  <si>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</si>
  <si>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</si>
  <si>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</si>
  <si>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</si>
  <si>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</si>
  <si>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</si>
  <si>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</si>
  <si>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</si>
  <si>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</si>
  <si>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</si>
  <si>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</si>
  <si>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</si>
  <si>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</si>
  <si>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</si>
  <si>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</si>
  <si>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</si>
  <si>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</si>
  <si>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</si>
  <si>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</si>
  <si>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</si>
  <si>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</si>
  <si>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</si>
  <si>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</si>
  <si>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</si>
  <si>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</si>
  <si>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</si>
  <si>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</si>
  <si>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</si>
  <si>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</si>
  <si>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</si>
  <si>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</si>
  <si>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</si>
  <si>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</si>
  <si>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</si>
  <si>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</si>
  <si>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</si>
  <si>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</si>
  <si>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</si>
  <si>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</si>
  <si>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</si>
  <si>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</si>
  <si>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</si>
  <si>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</si>
  <si>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</si>
  <si>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</si>
  <si>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</si>
  <si>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</si>
  <si>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</si>
  <si>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</si>
  <si>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</si>
  <si>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</si>
  <si>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</si>
  <si>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</si>
  <si>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</si>
  <si>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</si>
  <si>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</si>
  <si>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</si>
  <si>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</si>
  <si>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</si>
  <si>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</si>
  <si>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</si>
  <si>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</si>
  <si>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</si>
  <si>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</si>
  <si>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</si>
  <si>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</si>
  <si>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</si>
  <si>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</si>
  <si>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</si>
  <si>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</si>
  <si>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</si>
  <si>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</si>
  <si>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</si>
  <si>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</si>
  <si>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</si>
  <si>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</si>
  <si>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</si>
  <si>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</si>
  <si>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</si>
  <si>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</si>
  <si>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</si>
  <si>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</si>
  <si>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</si>
  <si>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</si>
  <si>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</si>
  <si>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</si>
  <si>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</si>
  <si>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</si>
  <si>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</si>
  <si>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</si>
  <si>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</si>
  <si>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</si>
  <si>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</si>
  <si>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</si>
  <si>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</si>
  <si>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</si>
  <si>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</si>
  <si>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</si>
  <si>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</si>
  <si>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</si>
  <si>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</si>
  <si>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</si>
  <si>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</si>
  <si>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</si>
  <si>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</si>
  <si>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</si>
  <si>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</si>
  <si>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</si>
  <si>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</si>
  <si>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</si>
  <si>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</si>
  <si>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</si>
  <si>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</si>
  <si>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</si>
  <si>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</si>
  <si>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</si>
  <si>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</si>
  <si>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</si>
  <si>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</si>
  <si>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</si>
  <si>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</si>
  <si>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</si>
  <si>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</si>
  <si>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</si>
  <si>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</si>
  <si>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</si>
  <si>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</si>
  <si>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</si>
  <si>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</si>
  <si>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</si>
  <si>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</si>
  <si>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</si>
  <si>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</si>
  <si>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</si>
  <si>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</si>
  <si>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</si>
  <si>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</si>
  <si>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</si>
  <si>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</si>
  <si>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</si>
  <si>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</si>
  <si>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</si>
  <si>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</si>
  <si>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</si>
  <si>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</si>
  <si>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</si>
  <si>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</si>
  <si>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</si>
  <si>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</si>
  <si>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</si>
  <si>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</si>
  <si>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</si>
  <si>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</si>
  <si>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</si>
  <si>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</si>
  <si>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</si>
  <si>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</si>
  <si>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</si>
  <si>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</si>
  <si>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</si>
  <si>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</si>
  <si>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</si>
  <si>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</si>
  <si>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</si>
  <si>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</si>
  <si>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</si>
  <si>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</si>
  <si>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</si>
  <si>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</si>
  <si>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</si>
  <si>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</si>
  <si>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</si>
  <si>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</si>
  <si>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</si>
  <si>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</si>
  <si>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</si>
  <si>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</si>
  <si>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</si>
  <si>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</si>
  <si>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</si>
  <si>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</si>
  <si>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</si>
  <si>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</si>
  <si>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</si>
  <si>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</si>
  <si>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</si>
  <si>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</si>
  <si>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</si>
  <si>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</si>
  <si>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</si>
  <si>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</si>
  <si>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</si>
  <si>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</si>
  <si>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</si>
  <si>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</si>
  <si>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</si>
  <si>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</si>
  <si>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</si>
  <si>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</si>
  <si>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</si>
  <si>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</si>
  <si>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</si>
  <si>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</si>
  <si>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</si>
  <si>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</si>
  <si>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</si>
  <si>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</si>
  <si>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</si>
  <si>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</si>
  <si>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</si>
  <si>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</si>
  <si>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</si>
  <si>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1st set</t>
  </si>
  <si>
    <t>1. Satz</t>
  </si>
  <si>
    <t>2nd set</t>
  </si>
  <si>
    <t>2. Satz</t>
  </si>
  <si>
    <t>balls</t>
  </si>
  <si>
    <t>Bälle</t>
  </si>
  <si>
    <t>3rd set</t>
  </si>
  <si>
    <t>3. Satz</t>
  </si>
  <si>
    <t>Sets won</t>
  </si>
  <si>
    <t>result</t>
  </si>
  <si>
    <t>W (sets)</t>
  </si>
  <si>
    <t>Pts+ GD</t>
  </si>
  <si>
    <t>&lt;-- max(A;B) --&gt;</t>
  </si>
  <si>
    <t>Tie-Break</t>
  </si>
  <si>
    <t>Tie break</t>
  </si>
  <si>
    <t>invalid 1</t>
  </si>
  <si>
    <t>invalid 2</t>
  </si>
  <si>
    <t>invalid 3</t>
  </si>
  <si>
    <t>Tie break final round 4</t>
  </si>
  <si>
    <t>Tie Break Endrunde 4</t>
  </si>
  <si>
    <t>Team IDs</t>
  </si>
  <si>
    <t>Team-Kürzel</t>
  </si>
  <si>
    <t>e.g.  A2 - A4</t>
  </si>
  <si>
    <t>z.B.  A2 - A4</t>
  </si>
  <si>
    <t>Winner</t>
  </si>
  <si>
    <t>Sieger</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</si>
  <si>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</si>
  <si>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</si>
  <si>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 difference or ball quotient</t>
  </si>
  <si>
    <t>Balldifferenz oder Ballquotient</t>
  </si>
  <si>
    <t>Ball difference</t>
  </si>
  <si>
    <t>Balldifferenz</t>
  </si>
  <si>
    <t>Ball quotient</t>
  </si>
  <si>
    <t>Ballquotient</t>
  </si>
  <si>
    <t>Diff./Quot.</t>
  </si>
  <si>
    <t>max quot.</t>
  </si>
  <si>
    <t>Quot.</t>
  </si>
  <si>
    <t>Nr of dec places</t>
  </si>
  <si>
    <t>Display in the crosstabs of the preliminary round:</t>
  </si>
  <si>
    <t>Anzeige in den Kreuztabellen der Vorrunde:</t>
  </si>
  <si>
    <t>Ball points</t>
  </si>
  <si>
    <t>Ballpunkte</t>
  </si>
  <si>
    <t>Set points</t>
  </si>
  <si>
    <t>Satzpunkte</t>
  </si>
  <si>
    <t>Ball/Set points</t>
  </si>
  <si>
    <t>3rd set?</t>
  </si>
  <si>
    <t>winner</t>
  </si>
  <si>
    <t>looser</t>
  </si>
  <si>
    <t>valid 3</t>
  </si>
  <si>
    <t>valid 1 + 2</t>
  </si>
  <si>
    <t>Diff/Quot</t>
  </si>
  <si>
    <t>Sets lost</t>
  </si>
  <si>
    <t>sets</t>
  </si>
  <si>
    <t>Sätze</t>
  </si>
  <si>
    <t>Version  1.3
13.04.2025</t>
  </si>
  <si>
    <t>Schiedsrichter</t>
  </si>
  <si>
    <t>Referee</t>
  </si>
  <si>
    <t>International tournament U10 on Apr. 13th,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</si>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</sst>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9"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1"/>
      <color theme="8" tint="-0.249977111117893"/>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
      <sz val="9"/>
      <color theme="5"/>
      <name val="Calibri"/>
      <family val="2"/>
      <scheme val="minor"/>
    </font>
    <font>
      <b/>
      <sz val="20"/>
      <color rgb="FF0070C0"/>
      <name val="Arial"/>
      <family val="2"/>
    </font>
    <font>
      <b/>
      <sz val="8"/>
      <name val="Arial"/>
      <family val="2"/>
    </font>
    <font>
      <b/>
      <sz val="9"/>
      <name val="Arial"/>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rgb="FFFF0000"/>
      </bottom>
      <diagonal/>
    </border>
    <border>
      <left style="thick">
        <color theme="2" tint="-0.499984740745262"/>
      </left>
      <right style="thick">
        <color theme="2" tint="-0.499984740745262"/>
      </right>
      <top/>
      <bottom style="thick">
        <color theme="2" tint="-0.499984740745262"/>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medium">
        <color theme="2" tint="-0.499984740745262"/>
      </right>
      <top style="thin">
        <color theme="2" tint="-0.24994659260841701"/>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
      <left style="medium">
        <color theme="2" tint="-0.499984740745262"/>
      </left>
      <right style="thin">
        <color theme="2" tint="-0.24994659260841701"/>
      </right>
      <top style="medium">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499984740745262"/>
      </bottom>
      <diagonal/>
    </border>
    <border>
      <left style="thin">
        <color theme="2" tint="-0.24994659260841701"/>
      </left>
      <right/>
      <top style="medium">
        <color theme="2" tint="-0.499984740745262"/>
      </top>
      <bottom style="thin">
        <color theme="2" tint="-0.499984740745262"/>
      </bottom>
      <diagonal/>
    </border>
    <border>
      <left style="thin">
        <color theme="2" tint="-0.24994659260841701"/>
      </left>
      <right style="medium">
        <color theme="2" tint="-0.499984740745262"/>
      </right>
      <top style="medium">
        <color theme="2" tint="-0.499984740745262"/>
      </top>
      <bottom style="thin">
        <color theme="2" tint="-0.499984740745262"/>
      </bottom>
      <diagonal/>
    </border>
    <border>
      <left style="medium">
        <color theme="2" tint="-0.499984740745262"/>
      </left>
      <right/>
      <top/>
      <bottom style="thin">
        <color theme="2" tint="-0.24994659260841701"/>
      </bottom>
      <diagonal/>
    </border>
    <border>
      <left style="thin">
        <color theme="2" tint="-0.24994659260841701"/>
      </left>
      <right style="medium">
        <color theme="2" tint="-0.499984740745262"/>
      </right>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right style="medium">
        <color theme="2" tint="-0.499984740745262"/>
      </right>
      <top style="thin">
        <color theme="2" tint="-0.24994659260841701"/>
      </top>
      <bottom style="thick">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style="thick">
        <color theme="9" tint="0.39991454817346722"/>
      </left>
      <right/>
      <top/>
      <bottom/>
      <diagonal/>
    </border>
  </borders>
  <cellStyleXfs count="5">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xf numFmtId="0" fontId="4" fillId="0" borderId="0"/>
  </cellStyleXfs>
  <cellXfs count="981">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36" xfId="0" applyNumberFormat="1" applyFont="1" applyFill="1" applyBorder="1" applyAlignment="1" applyProtection="1">
      <alignment horizontal="right" vertical="center" indent="1"/>
      <protection hidden="1"/>
    </xf>
    <xf numFmtId="0" fontId="7" fillId="0" borderId="39" xfId="0" applyNumberFormat="1" applyFont="1" applyFill="1" applyBorder="1" applyAlignment="1" applyProtection="1">
      <alignment horizontal="right" vertical="center" indent="1"/>
      <protection hidden="1"/>
    </xf>
    <xf numFmtId="0" fontId="7" fillId="0" borderId="41" xfId="0" applyNumberFormat="1" applyFont="1" applyFill="1" applyBorder="1" applyAlignment="1" applyProtection="1">
      <alignment horizontal="right" vertical="center" indent="1"/>
      <protection hidden="1"/>
    </xf>
    <xf numFmtId="0" fontId="18" fillId="0" borderId="0" xfId="0" applyFont="1"/>
    <xf numFmtId="0" fontId="21" fillId="0" borderId="55" xfId="0" applyFont="1" applyBorder="1" applyAlignment="1">
      <alignment horizontal="center" vertical="center"/>
    </xf>
    <xf numFmtId="0" fontId="21" fillId="0" borderId="69" xfId="0" applyFont="1" applyBorder="1" applyAlignment="1">
      <alignment horizontal="left" vertical="center"/>
    </xf>
    <xf numFmtId="0" fontId="21" fillId="0" borderId="50"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38" xfId="0" applyNumberFormat="1" applyFont="1" applyFill="1" applyBorder="1" applyAlignment="1" applyProtection="1">
      <alignment horizontal="left" vertical="center"/>
      <protection hidden="1"/>
    </xf>
    <xf numFmtId="0" fontId="7" fillId="0" borderId="40" xfId="0" applyNumberFormat="1" applyFont="1" applyFill="1" applyBorder="1" applyAlignment="1" applyProtection="1">
      <alignment horizontal="left" vertical="center"/>
      <protection hidden="1"/>
    </xf>
    <xf numFmtId="0" fontId="7" fillId="0" borderId="42"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1" xfId="0" applyNumberFormat="1" applyFont="1" applyFill="1" applyBorder="1" applyAlignment="1" applyProtection="1">
      <alignment horizontal="right" vertical="center" indent="1"/>
      <protection hidden="1"/>
    </xf>
    <xf numFmtId="0" fontId="7" fillId="0" borderId="82" xfId="0" applyNumberFormat="1" applyFont="1" applyFill="1" applyBorder="1" applyAlignment="1" applyProtection="1">
      <alignment horizontal="right" vertical="center" indent="1"/>
      <protection hidden="1"/>
    </xf>
    <xf numFmtId="0" fontId="7" fillId="0" borderId="83"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6" xfId="0" applyFill="1" applyBorder="1" applyAlignment="1" applyProtection="1">
      <alignment horizontal="left" indent="1"/>
      <protection locked="0"/>
    </xf>
    <xf numFmtId="0" fontId="0" fillId="13" borderId="97" xfId="0" applyFill="1" applyBorder="1" applyAlignment="1" applyProtection="1">
      <alignment horizontal="left" indent="1"/>
      <protection locked="0"/>
    </xf>
    <xf numFmtId="0" fontId="0" fillId="14" borderId="98" xfId="0" applyFill="1" applyBorder="1" applyAlignment="1" applyProtection="1">
      <alignment horizontal="left" indent="1"/>
      <protection locked="0"/>
    </xf>
    <xf numFmtId="0" fontId="36" fillId="0" borderId="91" xfId="0" applyFont="1" applyFill="1" applyBorder="1" applyAlignment="1">
      <alignment horizontal="left" indent="1"/>
    </xf>
    <xf numFmtId="0" fontId="0" fillId="0" borderId="92" xfId="0" applyBorder="1" applyAlignment="1">
      <alignment horizontal="left" indent="1"/>
    </xf>
    <xf numFmtId="0" fontId="0" fillId="0" borderId="99" xfId="0" applyBorder="1" applyAlignment="1">
      <alignment horizontal="left" indent="1"/>
    </xf>
    <xf numFmtId="0" fontId="36" fillId="0" borderId="94" xfId="0" applyFont="1" applyFill="1" applyBorder="1" applyAlignment="1">
      <alignment horizontal="left" indent="1"/>
    </xf>
    <xf numFmtId="0" fontId="0" fillId="0" borderId="0" xfId="0" applyBorder="1" applyAlignment="1">
      <alignment horizontal="left" indent="1"/>
    </xf>
    <xf numFmtId="0" fontId="0" fillId="0" borderId="90"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8" xfId="0" applyFill="1" applyBorder="1" applyAlignment="1" applyProtection="1">
      <alignment horizontal="left" vertical="top" wrapText="1" indent="1"/>
      <protection locked="0"/>
    </xf>
    <xf numFmtId="0" fontId="0" fillId="12" borderId="96"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101" xfId="0" applyFill="1" applyBorder="1" applyAlignment="1" applyProtection="1">
      <alignment horizontal="left" vertical="top" wrapText="1" indent="1"/>
      <protection locked="0"/>
    </xf>
    <xf numFmtId="0" fontId="0" fillId="13" borderId="95" xfId="0" applyFill="1" applyBorder="1" applyAlignment="1" applyProtection="1">
      <alignment horizontal="left" vertical="top" indent="1"/>
      <protection locked="0"/>
    </xf>
    <xf numFmtId="0" fontId="4" fillId="12" borderId="96"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top" wrapText="1" indent="1"/>
      <protection locked="0"/>
    </xf>
    <xf numFmtId="0" fontId="4" fillId="12" borderId="96" xfId="0" applyFont="1" applyFill="1" applyBorder="1" applyAlignment="1" applyProtection="1">
      <alignment horizontal="left" indent="1"/>
      <protection locked="0"/>
    </xf>
    <xf numFmtId="0" fontId="4" fillId="14" borderId="98" xfId="0" applyFont="1" applyFill="1" applyBorder="1" applyAlignment="1" applyProtection="1">
      <alignment horizontal="left" indent="1"/>
      <protection locked="0"/>
    </xf>
    <xf numFmtId="0" fontId="4" fillId="14" borderId="98" xfId="0" applyFont="1" applyFill="1" applyBorder="1" applyAlignment="1">
      <alignment horizontal="left" indent="1"/>
    </xf>
    <xf numFmtId="0" fontId="4" fillId="13" borderId="97" xfId="0" applyFont="1" applyFill="1" applyBorder="1" applyAlignment="1" applyProtection="1">
      <alignment horizontal="left" indent="1"/>
      <protection locked="0"/>
    </xf>
    <xf numFmtId="0" fontId="4" fillId="12" borderId="100" xfId="0" applyFont="1" applyFill="1" applyBorder="1" applyAlignment="1" applyProtection="1">
      <alignment horizontal="left" vertical="top" indent="1"/>
      <protection locked="0"/>
    </xf>
    <xf numFmtId="0" fontId="4" fillId="14" borderId="98"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2" xfId="0" applyFont="1" applyFill="1" applyBorder="1" applyAlignment="1" applyProtection="1">
      <alignment horizontal="left" vertical="top" indent="1"/>
      <protection locked="0"/>
    </xf>
    <xf numFmtId="0" fontId="1" fillId="13" borderId="89" xfId="0" applyFont="1" applyFill="1" applyBorder="1" applyAlignment="1" applyProtection="1">
      <alignment horizontal="center" vertical="center"/>
      <protection locked="0"/>
    </xf>
    <xf numFmtId="0" fontId="4" fillId="14" borderId="94" xfId="0" applyFont="1" applyFill="1" applyBorder="1" applyAlignment="1" applyProtection="1">
      <alignment horizontal="left" vertical="top" indent="1"/>
      <protection locked="0"/>
    </xf>
    <xf numFmtId="0" fontId="7" fillId="0" borderId="31" xfId="0" applyNumberFormat="1" applyFont="1" applyFill="1" applyBorder="1" applyAlignment="1" applyProtection="1">
      <alignment horizontal="center" vertical="center"/>
      <protection hidden="1"/>
    </xf>
    <xf numFmtId="0" fontId="7" fillId="0" borderId="28" xfId="0" applyNumberFormat="1" applyFont="1" applyFill="1" applyBorder="1" applyAlignment="1" applyProtection="1">
      <alignment horizontal="center" vertical="center"/>
      <protection hidden="1"/>
    </xf>
    <xf numFmtId="0" fontId="20" fillId="0" borderId="110" xfId="0" applyFont="1" applyBorder="1" applyAlignment="1">
      <alignment horizontal="center" vertical="center"/>
    </xf>
    <xf numFmtId="0" fontId="20" fillId="0" borderId="44" xfId="0" applyFont="1" applyBorder="1" applyAlignment="1">
      <alignment horizontal="center" vertical="center"/>
    </xf>
    <xf numFmtId="0" fontId="20" fillId="0" borderId="47" xfId="0" applyFont="1" applyBorder="1" applyAlignment="1">
      <alignment horizontal="center" vertical="center"/>
    </xf>
    <xf numFmtId="0" fontId="31" fillId="13" borderId="111" xfId="0" applyFont="1" applyFill="1" applyBorder="1" applyAlignment="1">
      <alignment horizontal="center" vertical="center"/>
    </xf>
    <xf numFmtId="164" fontId="20" fillId="0" borderId="34" xfId="0" applyNumberFormat="1" applyFont="1" applyBorder="1" applyAlignment="1">
      <alignment horizontal="center" vertical="center"/>
    </xf>
    <xf numFmtId="164" fontId="20" fillId="0" borderId="35" xfId="0" applyNumberFormat="1" applyFont="1" applyBorder="1" applyAlignment="1">
      <alignment horizontal="center" vertical="center"/>
    </xf>
    <xf numFmtId="0" fontId="18" fillId="13" borderId="33" xfId="0" applyFont="1" applyFill="1" applyBorder="1"/>
    <xf numFmtId="3" fontId="7" fillId="0" borderId="31"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4" xfId="0" applyFont="1" applyFill="1" applyBorder="1" applyAlignment="1">
      <alignment horizontal="center" vertical="center"/>
    </xf>
    <xf numFmtId="0" fontId="31" fillId="13" borderId="115" xfId="0" applyFont="1" applyFill="1" applyBorder="1" applyAlignment="1">
      <alignment horizontal="left" vertical="center" indent="1"/>
    </xf>
    <xf numFmtId="0" fontId="20" fillId="0" borderId="116" xfId="0" applyFont="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31" fillId="13" borderId="113" xfId="0" applyFont="1" applyFill="1" applyBorder="1" applyAlignment="1">
      <alignment horizontal="center" vertical="center"/>
    </xf>
    <xf numFmtId="0" fontId="40" fillId="0" borderId="114" xfId="0" applyFont="1" applyBorder="1" applyAlignment="1">
      <alignment horizontal="center" vertical="center"/>
    </xf>
    <xf numFmtId="0" fontId="40" fillId="0" borderId="49" xfId="0" applyFont="1" applyBorder="1" applyAlignment="1">
      <alignment horizontal="center" vertical="center"/>
    </xf>
    <xf numFmtId="0" fontId="40" fillId="0" borderId="51" xfId="0" applyFont="1" applyBorder="1" applyAlignment="1">
      <alignment horizontal="center" vertical="center"/>
    </xf>
    <xf numFmtId="165" fontId="21" fillId="13" borderId="119" xfId="0" applyNumberFormat="1" applyFont="1" applyFill="1" applyBorder="1" applyAlignment="1">
      <alignment horizontal="center" vertical="center"/>
    </xf>
    <xf numFmtId="165" fontId="21" fillId="13" borderId="111"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1" xfId="0" applyFont="1" applyFill="1" applyBorder="1" applyAlignment="1">
      <alignment horizontal="center" vertical="center"/>
    </xf>
    <xf numFmtId="0" fontId="20" fillId="0" borderId="122" xfId="0" applyFont="1" applyBorder="1" applyAlignment="1">
      <alignment horizontal="center" vertical="center"/>
    </xf>
    <xf numFmtId="0" fontId="20" fillId="0" borderId="124" xfId="0" applyFont="1" applyBorder="1" applyAlignment="1">
      <alignment horizontal="center" vertical="center"/>
    </xf>
    <xf numFmtId="0" fontId="4" fillId="12" borderId="96" xfId="0" applyFont="1" applyFill="1" applyBorder="1" applyAlignment="1" applyProtection="1">
      <alignment horizontal="left" vertical="top" wrapText="1" indent="1"/>
      <protection locked="0"/>
    </xf>
    <xf numFmtId="0" fontId="7" fillId="0" borderId="37"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71"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7" fillId="0" borderId="71" xfId="0" applyNumberFormat="1" applyFont="1" applyFill="1" applyBorder="1" applyAlignment="1" applyProtection="1">
      <alignment vertical="center"/>
      <protection hidden="1"/>
    </xf>
    <xf numFmtId="0" fontId="7" fillId="0" borderId="36"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31" fillId="13" borderId="130" xfId="0" applyFont="1" applyFill="1" applyBorder="1" applyAlignment="1">
      <alignment horizontal="center" vertical="center"/>
    </xf>
    <xf numFmtId="0" fontId="20" fillId="0" borderId="12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165" fontId="21" fillId="13" borderId="133" xfId="0" applyNumberFormat="1" applyFont="1" applyFill="1" applyBorder="1" applyAlignment="1">
      <alignment horizontal="center" vertical="center"/>
    </xf>
    <xf numFmtId="0" fontId="20" fillId="0" borderId="134" xfId="0" applyFont="1" applyBorder="1" applyAlignment="1">
      <alignment horizontal="center" vertical="center"/>
    </xf>
    <xf numFmtId="0" fontId="20" fillId="0" borderId="45" xfId="0" applyFont="1" applyBorder="1" applyAlignment="1">
      <alignment horizontal="center" vertical="center"/>
    </xf>
    <xf numFmtId="0" fontId="20" fillId="8" borderId="48"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1" xfId="0" applyNumberFormat="1" applyFont="1" applyFill="1" applyBorder="1" applyAlignment="1" applyProtection="1">
      <alignment horizontal="center" vertical="center"/>
      <protection hidden="1"/>
    </xf>
    <xf numFmtId="0" fontId="4" fillId="12" borderId="102" xfId="0" applyFont="1" applyFill="1" applyBorder="1" applyAlignment="1" applyProtection="1">
      <alignment horizontal="left" vertical="top" wrapText="1" indent="1"/>
      <protection locked="0"/>
    </xf>
    <xf numFmtId="0" fontId="4" fillId="14" borderId="94"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4" xfId="0" applyNumberFormat="1" applyFont="1" applyBorder="1" applyAlignment="1">
      <alignment horizontal="center" vertical="center"/>
    </xf>
    <xf numFmtId="0" fontId="23" fillId="0" borderId="110" xfId="0" applyNumberFormat="1" applyFont="1" applyBorder="1" applyAlignment="1">
      <alignment horizontal="center" vertical="center"/>
    </xf>
    <xf numFmtId="0" fontId="23" fillId="0" borderId="44" xfId="0" applyNumberFormat="1" applyFont="1" applyBorder="1" applyAlignment="1">
      <alignment horizontal="center" vertical="center"/>
    </xf>
    <xf numFmtId="167" fontId="23" fillId="0" borderId="47"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0" borderId="56" xfId="0" applyFont="1" applyBorder="1" applyAlignment="1">
      <alignment horizontal="center" vertical="center"/>
    </xf>
    <xf numFmtId="0" fontId="21" fillId="0" borderId="146" xfId="0" applyFont="1" applyBorder="1" applyAlignment="1">
      <alignment horizontal="right" vertical="center"/>
    </xf>
    <xf numFmtId="0" fontId="21" fillId="0" borderId="147" xfId="0" applyFont="1" applyBorder="1" applyAlignment="1">
      <alignment horizontal="center" vertical="center"/>
    </xf>
    <xf numFmtId="0" fontId="21" fillId="0" borderId="149" xfId="0" applyFont="1" applyBorder="1" applyAlignment="1">
      <alignment horizontal="left" vertical="center"/>
    </xf>
    <xf numFmtId="0" fontId="19" fillId="9" borderId="150" xfId="0" applyFont="1" applyFill="1" applyBorder="1" applyAlignment="1">
      <alignment horizontal="center"/>
    </xf>
    <xf numFmtId="0" fontId="19" fillId="9" borderId="113" xfId="0" applyFont="1" applyFill="1" applyBorder="1" applyAlignment="1">
      <alignment horizontal="center"/>
    </xf>
    <xf numFmtId="167" fontId="23" fillId="0" borderId="110" xfId="0" applyNumberFormat="1" applyFont="1" applyBorder="1" applyAlignment="1">
      <alignment horizontal="center" vertical="center"/>
    </xf>
    <xf numFmtId="0" fontId="20" fillId="0" borderId="131" xfId="0" applyFont="1" applyBorder="1" applyAlignment="1">
      <alignment horizontal="left" vertical="center"/>
    </xf>
    <xf numFmtId="0" fontId="20" fillId="0" borderId="123" xfId="0" applyFont="1" applyBorder="1" applyAlignment="1">
      <alignment horizontal="left" vertical="center"/>
    </xf>
    <xf numFmtId="0" fontId="20" fillId="0" borderId="132" xfId="0" applyFont="1" applyBorder="1" applyAlignment="1">
      <alignment horizontal="left" vertical="center"/>
    </xf>
    <xf numFmtId="0" fontId="50" fillId="0" borderId="0" xfId="0" applyNumberFormat="1" applyFont="1" applyAlignment="1">
      <alignment horizontal="center" vertical="center"/>
    </xf>
    <xf numFmtId="0" fontId="0" fillId="0" borderId="153" xfId="0" applyBorder="1"/>
    <xf numFmtId="0" fontId="0" fillId="0" borderId="154" xfId="0" applyBorder="1" applyAlignment="1">
      <alignment horizontal="left" indent="1"/>
    </xf>
    <xf numFmtId="0" fontId="0" fillId="0" borderId="105" xfId="0" applyBorder="1"/>
    <xf numFmtId="0" fontId="0" fillId="0" borderId="106" xfId="0" applyBorder="1" applyAlignment="1">
      <alignment horizontal="left" indent="1"/>
    </xf>
    <xf numFmtId="0" fontId="0" fillId="0" borderId="107" xfId="0" applyBorder="1"/>
    <xf numFmtId="0" fontId="0" fillId="0" borderId="109" xfId="0" applyBorder="1" applyAlignment="1">
      <alignment horizontal="left" indent="1"/>
    </xf>
    <xf numFmtId="0" fontId="7" fillId="0" borderId="156" xfId="0" applyNumberFormat="1" applyFont="1" applyFill="1" applyBorder="1" applyAlignment="1" applyProtection="1">
      <alignment vertical="center"/>
      <protection hidden="1"/>
    </xf>
    <xf numFmtId="0" fontId="7" fillId="0" borderId="155" xfId="0" applyNumberFormat="1" applyFont="1" applyFill="1" applyBorder="1" applyAlignment="1" applyProtection="1">
      <alignment horizontal="center" vertical="center"/>
      <protection hidden="1"/>
    </xf>
    <xf numFmtId="0" fontId="6" fillId="0" borderId="44"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1"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14" fillId="9" borderId="65" xfId="0" applyFont="1" applyFill="1" applyBorder="1" applyAlignment="1">
      <alignment horizontal="center" vertical="center" shrinkToFit="1"/>
    </xf>
    <xf numFmtId="165" fontId="14" fillId="9" borderId="61" xfId="0" applyNumberFormat="1" applyFont="1" applyFill="1" applyBorder="1" applyAlignment="1">
      <alignment vertical="center" shrinkToFit="1"/>
    </xf>
    <xf numFmtId="165" fontId="14" fillId="9" borderId="70" xfId="0" applyNumberFormat="1" applyFont="1" applyFill="1" applyBorder="1" applyAlignment="1">
      <alignment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7" xfId="0" applyFont="1" applyBorder="1" applyAlignment="1">
      <alignment horizontal="right" vertical="center" shrinkToFit="1"/>
    </xf>
    <xf numFmtId="0" fontId="6" fillId="0" borderId="138" xfId="0" applyFont="1" applyBorder="1" applyAlignment="1">
      <alignment horizontal="center" vertical="center" shrinkToFit="1"/>
    </xf>
    <xf numFmtId="0" fontId="6" fillId="0" borderId="135" xfId="0" applyFont="1" applyBorder="1" applyAlignment="1">
      <alignment horizontal="left" vertical="center" shrinkToFit="1"/>
    </xf>
    <xf numFmtId="0" fontId="16" fillId="0" borderId="139" xfId="0" applyFont="1" applyBorder="1" applyAlignment="1">
      <alignment horizontal="center" vertical="center" shrinkToFit="1"/>
    </xf>
    <xf numFmtId="0" fontId="6" fillId="8" borderId="140" xfId="0" applyFont="1" applyFill="1" applyBorder="1" applyAlignment="1">
      <alignment horizontal="center" vertical="center" shrinkToFit="1"/>
    </xf>
    <xf numFmtId="0" fontId="6" fillId="0" borderId="139" xfId="0" applyFont="1" applyBorder="1" applyAlignment="1">
      <alignment horizontal="center" vertical="center" shrinkToFit="1"/>
    </xf>
    <xf numFmtId="0" fontId="6" fillId="0" borderId="128"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0" xfId="0" applyFont="1" applyBorder="1" applyAlignment="1">
      <alignment horizontal="right" vertical="center" shrinkToFit="1"/>
    </xf>
    <xf numFmtId="0" fontId="6" fillId="0" borderId="55" xfId="0" applyFont="1" applyBorder="1" applyAlignment="1">
      <alignment horizontal="center" vertical="center" shrinkToFit="1"/>
    </xf>
    <xf numFmtId="0" fontId="6" fillId="0" borderId="49" xfId="0" applyFont="1" applyBorder="1" applyAlignment="1">
      <alignment horizontal="left" vertical="center" shrinkToFit="1"/>
    </xf>
    <xf numFmtId="0" fontId="16" fillId="0" borderId="45" xfId="0" applyFont="1" applyBorder="1" applyAlignment="1">
      <alignment horizontal="center" vertical="center" shrinkToFit="1"/>
    </xf>
    <xf numFmtId="0" fontId="6" fillId="0" borderId="43" xfId="0" applyFont="1" applyBorder="1" applyAlignment="1">
      <alignment horizontal="center" vertical="center" shrinkToFit="1"/>
    </xf>
    <xf numFmtId="0" fontId="6" fillId="8" borderId="44" xfId="0" applyFont="1" applyFill="1" applyBorder="1" applyAlignment="1">
      <alignment horizontal="center" vertical="center" shrinkToFit="1"/>
    </xf>
    <xf numFmtId="0" fontId="6" fillId="0" borderId="45"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2"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1" xfId="0" applyFont="1" applyBorder="1" applyAlignment="1">
      <alignment horizontal="left" vertical="center" shrinkToFit="1"/>
    </xf>
    <xf numFmtId="0" fontId="1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8" borderId="48"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0"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59" xfId="0" applyFont="1" applyFill="1" applyBorder="1" applyAlignment="1" applyProtection="1">
      <alignment horizontal="center"/>
      <protection locked="0"/>
    </xf>
    <xf numFmtId="0" fontId="21" fillId="0" borderId="160" xfId="0" applyFont="1" applyBorder="1" applyAlignment="1">
      <alignment horizontal="right" vertical="center"/>
    </xf>
    <xf numFmtId="0" fontId="21" fillId="0" borderId="42"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1" xfId="0" applyNumberFormat="1" applyFont="1" applyFill="1" applyBorder="1" applyAlignment="1" applyProtection="1">
      <alignment horizontal="center" vertical="center"/>
      <protection hidden="1"/>
    </xf>
    <xf numFmtId="0" fontId="53" fillId="0" borderId="161"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2" xfId="2" applyNumberFormat="1" applyBorder="1" applyAlignment="1" applyProtection="1">
      <alignment horizontal="center" vertical="center" readingOrder="1"/>
    </xf>
    <xf numFmtId="0" fontId="7" fillId="13" borderId="166" xfId="0" applyNumberFormat="1" applyFont="1" applyFill="1" applyBorder="1" applyAlignment="1" applyProtection="1">
      <alignment horizontal="center" vertical="center"/>
      <protection hidden="1"/>
    </xf>
    <xf numFmtId="0" fontId="4" fillId="14" borderId="167" xfId="0" applyFont="1" applyFill="1" applyBorder="1" applyAlignment="1" applyProtection="1">
      <alignment horizontal="left" vertical="top" wrapText="1" indent="1"/>
      <protection locked="0"/>
    </xf>
    <xf numFmtId="0" fontId="4" fillId="12" borderId="168" xfId="0" applyFont="1" applyFill="1" applyBorder="1" applyAlignment="1" applyProtection="1">
      <alignment horizontal="left" vertical="top" wrapText="1" indent="1"/>
      <protection locked="0"/>
    </xf>
    <xf numFmtId="0" fontId="4" fillId="14" borderId="169" xfId="0" applyFont="1" applyFill="1" applyBorder="1" applyAlignment="1" applyProtection="1">
      <alignment horizontal="left" vertical="top" wrapText="1" indent="1"/>
      <protection locked="0"/>
    </xf>
    <xf numFmtId="0" fontId="4" fillId="12" borderId="170" xfId="0" applyFont="1" applyFill="1" applyBorder="1" applyAlignment="1" applyProtection="1">
      <alignment horizontal="left" vertical="top" wrapText="1" indent="1"/>
      <protection locked="0"/>
    </xf>
    <xf numFmtId="0" fontId="0" fillId="13" borderId="171" xfId="0" applyFill="1" applyBorder="1" applyAlignment="1" applyProtection="1">
      <alignment horizontal="left" vertical="top" wrapText="1" indent="1"/>
      <protection locked="0"/>
    </xf>
    <xf numFmtId="0" fontId="0" fillId="14" borderId="169" xfId="0" applyFill="1" applyBorder="1" applyAlignment="1" applyProtection="1">
      <alignment horizontal="left" vertical="top" indent="1"/>
      <protection locked="0"/>
    </xf>
    <xf numFmtId="0" fontId="0" fillId="12" borderId="174" xfId="0" applyFill="1" applyBorder="1" applyAlignment="1" applyProtection="1">
      <alignment horizontal="left" vertical="top" indent="1"/>
      <protection locked="0"/>
    </xf>
    <xf numFmtId="0" fontId="0" fillId="13" borderId="175"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indent="1"/>
      <protection locked="0"/>
    </xf>
    <xf numFmtId="0" fontId="0" fillId="13" borderId="177" xfId="0" applyFill="1" applyBorder="1" applyAlignment="1" applyProtection="1">
      <alignment horizontal="left" vertical="top" wrapText="1" indent="1"/>
      <protection locked="0"/>
    </xf>
    <xf numFmtId="0" fontId="0" fillId="14" borderId="169" xfId="0" applyFill="1" applyBorder="1" applyAlignment="1" applyProtection="1">
      <alignment horizontal="left" vertical="top" wrapText="1" indent="1"/>
      <protection locked="0"/>
    </xf>
    <xf numFmtId="0" fontId="0" fillId="12" borderId="173" xfId="0" applyFill="1" applyBorder="1" applyAlignment="1" applyProtection="1">
      <alignment horizontal="left" vertical="top" wrapText="1" indent="1"/>
      <protection locked="0"/>
    </xf>
    <xf numFmtId="0" fontId="0" fillId="0" borderId="0" xfId="0" applyAlignment="1"/>
    <xf numFmtId="0" fontId="0" fillId="14" borderId="178" xfId="0" applyFill="1" applyBorder="1" applyAlignment="1" applyProtection="1">
      <alignment horizontal="left" vertical="top" wrapText="1" indent="1"/>
      <protection locked="0"/>
    </xf>
    <xf numFmtId="0" fontId="0" fillId="12" borderId="179" xfId="0" applyFill="1" applyBorder="1" applyAlignment="1" applyProtection="1">
      <alignment horizontal="left" vertical="top" wrapText="1" indent="1"/>
      <protection locked="0"/>
    </xf>
    <xf numFmtId="0" fontId="0" fillId="13" borderId="180" xfId="0" applyFill="1" applyBorder="1" applyAlignment="1" applyProtection="1">
      <alignment horizontal="left" vertical="top" wrapText="1" indent="1"/>
      <protection locked="0"/>
    </xf>
    <xf numFmtId="0" fontId="0" fillId="0" borderId="0" xfId="0" applyAlignment="1">
      <alignment horizontal="right"/>
    </xf>
    <xf numFmtId="0" fontId="54" fillId="15" borderId="159"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4" fillId="12" borderId="172" xfId="0" applyFont="1" applyFill="1" applyBorder="1" applyAlignment="1" applyProtection="1">
      <alignment horizontal="left" vertical="top" indent="1"/>
      <protection locked="0"/>
    </xf>
    <xf numFmtId="0" fontId="14" fillId="9" borderId="53" xfId="0" applyFont="1" applyFill="1" applyBorder="1" applyAlignment="1">
      <alignment horizontal="center" vertical="center" shrinkToFit="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5" fillId="0" borderId="125" xfId="0" applyFont="1" applyBorder="1" applyAlignment="1">
      <alignment horizontal="center" vertical="center" shrinkToFit="1"/>
    </xf>
    <xf numFmtId="0" fontId="55" fillId="0" borderId="126" xfId="0" applyFont="1" applyBorder="1" applyAlignment="1">
      <alignment horizontal="center" vertical="center" shrinkToFit="1"/>
    </xf>
    <xf numFmtId="0" fontId="55" fillId="0" borderId="127" xfId="0" applyFont="1" applyBorder="1" applyAlignment="1">
      <alignment horizontal="center" vertical="center" shrinkToFit="1"/>
    </xf>
    <xf numFmtId="0" fontId="41" fillId="0" borderId="0" xfId="0" applyNumberFormat="1" applyFont="1" applyBorder="1" applyAlignment="1">
      <alignment vertical="top"/>
    </xf>
    <xf numFmtId="0" fontId="7" fillId="0" borderId="181" xfId="0" applyNumberFormat="1" applyFont="1" applyFill="1" applyBorder="1" applyAlignment="1" applyProtection="1">
      <alignment horizontal="right" vertical="center" indent="1"/>
      <protection hidden="1"/>
    </xf>
    <xf numFmtId="0" fontId="7" fillId="0" borderId="183" xfId="0" applyNumberFormat="1" applyFont="1" applyFill="1" applyBorder="1" applyAlignment="1" applyProtection="1">
      <alignment horizontal="center" vertical="center"/>
      <protection hidden="1"/>
    </xf>
    <xf numFmtId="0" fontId="7" fillId="0" borderId="182" xfId="0" applyNumberFormat="1" applyFont="1" applyFill="1" applyBorder="1" applyAlignment="1" applyProtection="1">
      <alignment vertical="center"/>
      <protection hidden="1"/>
    </xf>
    <xf numFmtId="0" fontId="7" fillId="0" borderId="183"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6" xfId="0" applyNumberFormat="1" applyFont="1" applyFill="1" applyBorder="1" applyAlignment="1" applyProtection="1">
      <alignment horizontal="right" vertical="center" indent="1"/>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horizontal="center" vertical="center"/>
      <protection hidden="1"/>
    </xf>
    <xf numFmtId="0" fontId="7" fillId="0" borderId="187" xfId="0" applyNumberFormat="1" applyFont="1" applyFill="1" applyBorder="1" applyAlignment="1" applyProtection="1">
      <alignment vertical="center"/>
      <protection hidden="1"/>
    </xf>
    <xf numFmtId="0" fontId="7" fillId="0" borderId="188" xfId="0" applyNumberFormat="1" applyFont="1" applyFill="1" applyBorder="1" applyAlignment="1" applyProtection="1">
      <alignment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23" fillId="0" borderId="146" xfId="0" applyNumberFormat="1" applyFont="1" applyBorder="1" applyAlignment="1">
      <alignment horizontal="center" vertical="center"/>
    </xf>
    <xf numFmtId="0" fontId="23" fillId="0" borderId="50"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0"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2"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1"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6" fillId="0" borderId="0" xfId="0" applyFont="1" applyAlignment="1" applyProtection="1"/>
    <xf numFmtId="0" fontId="58" fillId="0" borderId="71" xfId="0" applyFont="1" applyFill="1" applyBorder="1" applyAlignment="1"/>
    <xf numFmtId="0" fontId="58"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9" fillId="0" borderId="71"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6" xfId="0" applyFont="1" applyFill="1" applyBorder="1" applyAlignment="1" applyProtection="1">
      <alignment horizontal="right" vertical="center"/>
    </xf>
    <xf numFmtId="0" fontId="22" fillId="17" borderId="147" xfId="0" applyFont="1" applyFill="1" applyBorder="1" applyAlignment="1" applyProtection="1">
      <alignment horizontal="center" vertical="center"/>
    </xf>
    <xf numFmtId="0" fontId="22" fillId="17" borderId="148" xfId="0" applyFont="1" applyFill="1" applyBorder="1" applyAlignment="1" applyProtection="1">
      <alignment horizontal="left" vertical="center"/>
    </xf>
    <xf numFmtId="0" fontId="22" fillId="17" borderId="50" xfId="0" applyFont="1" applyFill="1" applyBorder="1" applyAlignment="1" applyProtection="1">
      <alignment horizontal="right" vertical="center"/>
    </xf>
    <xf numFmtId="0" fontId="22" fillId="17" borderId="55" xfId="0" applyFont="1" applyFill="1" applyBorder="1" applyAlignment="1" applyProtection="1">
      <alignment horizontal="center" vertical="center"/>
    </xf>
    <xf numFmtId="0" fontId="22" fillId="17" borderId="49" xfId="0" applyFont="1" applyFill="1" applyBorder="1" applyAlignment="1" applyProtection="1">
      <alignment horizontal="left" vertical="center"/>
    </xf>
    <xf numFmtId="0" fontId="22" fillId="17" borderId="52"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1" xfId="0" applyFont="1" applyFill="1" applyBorder="1" applyAlignment="1" applyProtection="1">
      <alignment horizontal="left" vertical="center"/>
    </xf>
    <xf numFmtId="0" fontId="18" fillId="0" borderId="0" xfId="0" applyFont="1" applyAlignment="1">
      <alignment vertical="center"/>
    </xf>
    <xf numFmtId="0" fontId="20" fillId="10" borderId="55" xfId="0" applyFont="1" applyFill="1" applyBorder="1" applyAlignment="1" applyProtection="1">
      <alignment horizontal="center" vertical="center"/>
      <protection locked="0"/>
    </xf>
    <xf numFmtId="0" fontId="20" fillId="10" borderId="69"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199" xfId="0" applyFont="1" applyFill="1" applyBorder="1" applyAlignment="1" applyProtection="1">
      <alignment horizontal="center" vertical="center"/>
      <protection locked="0"/>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left" vertical="center"/>
    </xf>
    <xf numFmtId="0" fontId="61" fillId="0" borderId="44" xfId="0" applyFont="1" applyBorder="1" applyAlignment="1">
      <alignment horizontal="center" vertical="center"/>
    </xf>
    <xf numFmtId="0" fontId="61" fillId="0" borderId="47" xfId="0" applyFont="1" applyBorder="1" applyAlignment="1">
      <alignment horizontal="center" vertical="center"/>
    </xf>
    <xf numFmtId="0" fontId="61" fillId="0" borderId="200" xfId="0" applyFont="1" applyBorder="1" applyAlignment="1">
      <alignment horizontal="center" vertical="center"/>
    </xf>
    <xf numFmtId="0" fontId="20" fillId="0" borderId="146" xfId="0" applyFont="1" applyBorder="1" applyAlignment="1">
      <alignment horizontal="left" vertical="center"/>
    </xf>
    <xf numFmtId="0" fontId="20" fillId="0" borderId="147" xfId="0" applyFont="1" applyBorder="1" applyAlignment="1">
      <alignment horizontal="center" vertical="center"/>
    </xf>
    <xf numFmtId="0" fontId="20" fillId="0" borderId="148" xfId="0" applyFont="1" applyBorder="1" applyAlignment="1">
      <alignment horizontal="left" vertical="center"/>
    </xf>
    <xf numFmtId="0" fontId="14" fillId="9" borderId="111" xfId="0" applyFont="1" applyFill="1" applyBorder="1" applyAlignment="1">
      <alignment horizontal="center" vertical="center"/>
    </xf>
    <xf numFmtId="0" fontId="20" fillId="10" borderId="146" xfId="0" applyFont="1" applyFill="1" applyBorder="1" applyAlignment="1" applyProtection="1">
      <alignment horizontal="center" vertical="center"/>
      <protection locked="0"/>
    </xf>
    <xf numFmtId="0" fontId="20" fillId="10" borderId="149"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20" fillId="10" borderId="147" xfId="0" applyFont="1" applyFill="1" applyBorder="1" applyAlignment="1">
      <alignment horizontal="center" vertical="center"/>
    </xf>
    <xf numFmtId="0" fontId="20" fillId="10" borderId="55" xfId="0" applyFont="1" applyFill="1" applyBorder="1" applyAlignment="1">
      <alignment horizontal="center" vertical="center"/>
    </xf>
    <xf numFmtId="0" fontId="20" fillId="10" borderId="71" xfId="0" applyFont="1" applyFill="1" applyBorder="1" applyAlignment="1">
      <alignment horizontal="center" vertical="center"/>
    </xf>
    <xf numFmtId="0" fontId="21" fillId="0" borderId="200" xfId="0" applyFont="1" applyBorder="1" applyAlignment="1">
      <alignment horizontal="center" vertical="center"/>
    </xf>
    <xf numFmtId="0" fontId="21" fillId="0" borderId="201" xfId="0" applyFont="1" applyBorder="1" applyAlignment="1">
      <alignment horizontal="center" vertical="center"/>
    </xf>
    <xf numFmtId="0" fontId="14" fillId="9" borderId="113" xfId="0" applyFont="1" applyFill="1" applyBorder="1" applyAlignment="1">
      <alignment horizontal="center" vertical="center"/>
    </xf>
    <xf numFmtId="167" fontId="21" fillId="0" borderId="148"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1" xfId="0" applyNumberFormat="1" applyFont="1" applyBorder="1" applyAlignment="1">
      <alignment horizontal="center" vertical="center"/>
    </xf>
    <xf numFmtId="0" fontId="14" fillId="0" borderId="40"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7" xfId="0" applyFont="1" applyFill="1" applyBorder="1" applyAlignment="1" applyProtection="1">
      <alignment horizontal="center" vertical="center"/>
      <protection locked="0"/>
    </xf>
    <xf numFmtId="0" fontId="20" fillId="10" borderId="202"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0" borderId="206"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6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2"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2"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1" fillId="0" borderId="47" xfId="0" applyFont="1" applyBorder="1" applyAlignment="1">
      <alignment horizontal="center" vertical="center"/>
    </xf>
    <xf numFmtId="0" fontId="20" fillId="10" borderId="56" xfId="0" applyFont="1" applyFill="1" applyBorder="1" applyAlignment="1">
      <alignment horizontal="center" vertical="center"/>
    </xf>
    <xf numFmtId="0" fontId="21" fillId="0" borderId="110" xfId="0" applyFont="1" applyBorder="1" applyAlignment="1">
      <alignment horizontal="center" vertical="center"/>
    </xf>
    <xf numFmtId="0" fontId="61" fillId="0" borderId="110" xfId="0" applyFont="1" applyBorder="1" applyAlignment="1">
      <alignment horizontal="center" vertical="center"/>
    </xf>
    <xf numFmtId="0" fontId="20" fillId="0" borderId="212" xfId="0" applyFont="1" applyBorder="1" applyAlignment="1">
      <alignment horizontal="left" vertical="center"/>
    </xf>
    <xf numFmtId="0" fontId="20" fillId="0" borderId="114" xfId="0" applyFont="1" applyBorder="1" applyAlignment="1">
      <alignment horizontal="left" vertical="center"/>
    </xf>
    <xf numFmtId="0" fontId="20" fillId="10" borderId="212" xfId="0" applyFont="1" applyFill="1" applyBorder="1" applyAlignment="1" applyProtection="1">
      <alignment horizontal="center" vertical="center"/>
      <protection locked="0"/>
    </xf>
    <xf numFmtId="0" fontId="20" fillId="10" borderId="120" xfId="0" applyFont="1" applyFill="1" applyBorder="1" applyAlignment="1">
      <alignment horizontal="center" vertical="center"/>
    </xf>
    <xf numFmtId="164" fontId="6" fillId="0" borderId="140" xfId="0" applyNumberFormat="1" applyFont="1" applyBorder="1" applyAlignment="1">
      <alignment vertical="center" shrinkToFit="1"/>
    </xf>
    <xf numFmtId="0" fontId="6" fillId="0" borderId="139" xfId="0" applyFont="1" applyBorder="1" applyAlignment="1">
      <alignment horizontal="left" vertical="center" shrinkToFit="1"/>
    </xf>
    <xf numFmtId="164" fontId="6" fillId="0" borderId="43" xfId="0" applyNumberFormat="1" applyFont="1" applyBorder="1" applyAlignment="1">
      <alignment vertical="center" shrinkToFit="1"/>
    </xf>
    <xf numFmtId="0" fontId="6" fillId="0" borderId="45"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8" xfId="0" applyFont="1" applyBorder="1" applyAlignment="1">
      <alignment horizontal="left" vertical="center" shrinkToFit="1"/>
    </xf>
    <xf numFmtId="0" fontId="21" fillId="0" borderId="4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3" xfId="0" applyNumberFormat="1" applyFont="1" applyBorder="1" applyAlignment="1">
      <alignment horizontal="center" vertical="center"/>
    </xf>
    <xf numFmtId="0" fontId="21" fillId="0" borderId="46" xfId="0" applyNumberFormat="1" applyFont="1" applyBorder="1" applyAlignment="1">
      <alignment horizontal="center" vertical="center"/>
    </xf>
    <xf numFmtId="0" fontId="21" fillId="0" borderId="214" xfId="0" applyNumberFormat="1" applyFont="1" applyBorder="1" applyAlignment="1">
      <alignment horizontal="center" vertical="center"/>
    </xf>
    <xf numFmtId="0" fontId="21" fillId="0" borderId="144" xfId="0" applyNumberFormat="1" applyFont="1" applyBorder="1" applyAlignment="1">
      <alignment horizontal="center" vertical="center"/>
    </xf>
    <xf numFmtId="0" fontId="21" fillId="0" borderId="198" xfId="0" applyNumberFormat="1" applyFont="1" applyBorder="1" applyAlignment="1">
      <alignment horizontal="center" vertical="center"/>
    </xf>
    <xf numFmtId="167" fontId="21" fillId="0" borderId="110" xfId="0" applyNumberFormat="1" applyFont="1" applyBorder="1" applyAlignment="1">
      <alignment horizontal="center" vertical="center"/>
    </xf>
    <xf numFmtId="167" fontId="21" fillId="0" borderId="44"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21" fillId="0" borderId="141"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21" fillId="0" borderId="57" xfId="0" applyNumberFormat="1" applyFont="1" applyBorder="1" applyAlignment="1">
      <alignment horizontal="center" vertical="center"/>
    </xf>
    <xf numFmtId="0" fontId="14" fillId="9" borderId="150" xfId="0" applyFont="1" applyFill="1" applyBorder="1" applyAlignment="1">
      <alignment horizontal="center" vertical="center"/>
    </xf>
    <xf numFmtId="164" fontId="20" fillId="18" borderId="141" xfId="0" applyNumberFormat="1" applyFont="1" applyFill="1" applyBorder="1" applyAlignment="1">
      <alignment horizontal="center" vertical="center"/>
    </xf>
    <xf numFmtId="164" fontId="20" fillId="19" borderId="144" xfId="0" applyNumberFormat="1" applyFont="1" applyFill="1" applyBorder="1" applyAlignment="1">
      <alignment horizontal="center" vertical="center"/>
    </xf>
    <xf numFmtId="164" fontId="20" fillId="11" borderId="144" xfId="0" applyNumberFormat="1" applyFont="1" applyFill="1" applyBorder="1" applyAlignment="1">
      <alignment horizontal="center" vertical="center"/>
    </xf>
    <xf numFmtId="164" fontId="20" fillId="0" borderId="144" xfId="0" applyNumberFormat="1" applyFont="1" applyBorder="1" applyAlignment="1">
      <alignment horizontal="center" vertical="center"/>
    </xf>
    <xf numFmtId="164" fontId="20" fillId="0" borderId="198"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4"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4" xfId="0" applyFont="1" applyFill="1" applyBorder="1" applyAlignment="1">
      <alignment horizontal="center" vertical="center" shrinkToFit="1"/>
    </xf>
    <xf numFmtId="0" fontId="21" fillId="15" borderId="149" xfId="0" applyFont="1" applyFill="1" applyBorder="1" applyAlignment="1" applyProtection="1"/>
    <xf numFmtId="0" fontId="21" fillId="15" borderId="199" xfId="0" applyFont="1" applyFill="1" applyBorder="1" applyAlignment="1" applyProtection="1"/>
    <xf numFmtId="164" fontId="15" fillId="0" borderId="43" xfId="0" applyNumberFormat="1" applyFont="1" applyBorder="1" applyAlignment="1">
      <alignment horizontal="center" vertical="center" shrinkToFit="1"/>
    </xf>
    <xf numFmtId="164" fontId="15" fillId="0" borderId="46" xfId="0" applyNumberFormat="1" applyFont="1" applyBorder="1" applyAlignment="1">
      <alignment horizontal="center" vertical="center" shrinkToFit="1"/>
    </xf>
    <xf numFmtId="164" fontId="15" fillId="0" borderId="57" xfId="0" applyNumberFormat="1" applyFont="1" applyBorder="1" applyAlignment="1">
      <alignment horizontal="center" vertical="center" shrinkToFit="1"/>
    </xf>
    <xf numFmtId="0" fontId="14" fillId="9" borderId="150" xfId="0" applyFont="1" applyFill="1" applyBorder="1" applyAlignment="1">
      <alignment horizontal="center" vertical="center" shrinkToFit="1"/>
    </xf>
    <xf numFmtId="0" fontId="5" fillId="0" borderId="0" xfId="0" applyFont="1" applyAlignment="1">
      <alignment wrapText="1"/>
    </xf>
    <xf numFmtId="0" fontId="0" fillId="0" borderId="0" xfId="0" applyAlignment="1">
      <alignment horizontal="center" vertical="center"/>
    </xf>
    <xf numFmtId="0" fontId="20" fillId="0" borderId="233" xfId="0" applyFont="1" applyBorder="1" applyAlignment="1">
      <alignment horizontal="center" vertical="center"/>
    </xf>
    <xf numFmtId="0" fontId="18" fillId="0" borderId="0" xfId="0" applyFont="1" applyAlignment="1">
      <alignment horizontal="center" vertical="top"/>
    </xf>
    <xf numFmtId="0" fontId="23" fillId="0" borderId="57"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6" fillId="0" borderId="120" xfId="0" applyFont="1" applyBorder="1" applyAlignment="1">
      <alignment horizontal="center" vertical="center" shrinkToFit="1"/>
    </xf>
    <xf numFmtId="0" fontId="6" fillId="10" borderId="120" xfId="0" applyFont="1" applyFill="1" applyBorder="1" applyAlignment="1">
      <alignment horizontal="center" vertical="center" shrinkToFit="1"/>
    </xf>
    <xf numFmtId="0" fontId="6" fillId="10" borderId="213" xfId="0" applyFont="1" applyFill="1" applyBorder="1" applyAlignment="1" applyProtection="1">
      <alignment horizontal="left" vertical="center" shrinkToFit="1"/>
      <protection locked="0"/>
    </xf>
    <xf numFmtId="0" fontId="6" fillId="10" borderId="55" xfId="0" applyFont="1" applyFill="1" applyBorder="1" applyAlignment="1">
      <alignment horizontal="center" vertical="center" shrinkToFit="1"/>
    </xf>
    <xf numFmtId="0" fontId="6" fillId="10" borderId="69"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199" xfId="0" applyFont="1" applyFill="1" applyBorder="1" applyAlignment="1" applyProtection="1">
      <alignment horizontal="left" vertical="center" shrinkToFit="1"/>
      <protection locked="0"/>
    </xf>
    <xf numFmtId="0" fontId="13" fillId="0" borderId="214" xfId="0" applyFont="1" applyBorder="1" applyAlignment="1">
      <alignment horizontal="center" vertical="center" shrinkToFit="1"/>
    </xf>
    <xf numFmtId="0" fontId="13" fillId="0" borderId="144" xfId="0" applyFont="1" applyBorder="1" applyAlignment="1">
      <alignment horizontal="center" vertical="center" shrinkToFit="1"/>
    </xf>
    <xf numFmtId="0" fontId="13" fillId="0" borderId="198" xfId="0" applyFont="1" applyBorder="1" applyAlignment="1">
      <alignment horizontal="center" vertical="center" shrinkToFit="1"/>
    </xf>
    <xf numFmtId="0" fontId="6" fillId="10" borderId="120" xfId="0" applyFont="1" applyFill="1" applyBorder="1" applyAlignment="1" applyProtection="1">
      <alignment horizontal="right" vertical="center" shrinkToFit="1"/>
      <protection locked="0"/>
    </xf>
    <xf numFmtId="0" fontId="6" fillId="10" borderId="55"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167" fontId="49" fillId="0" borderId="110" xfId="0" applyNumberFormat="1" applyFont="1" applyBorder="1" applyAlignment="1">
      <alignment horizontal="center" vertical="center" shrinkToFit="1"/>
    </xf>
    <xf numFmtId="0" fontId="49" fillId="0" borderId="110" xfId="0" applyFont="1" applyBorder="1" applyAlignment="1">
      <alignment horizontal="center" vertical="center" shrinkToFit="1"/>
    </xf>
    <xf numFmtId="167" fontId="49" fillId="0" borderId="44" xfId="0" applyNumberFormat="1" applyFont="1" applyBorder="1" applyAlignment="1">
      <alignment horizontal="center" vertical="center" shrinkToFit="1"/>
    </xf>
    <xf numFmtId="0" fontId="49" fillId="0" borderId="44" xfId="0" applyFont="1" applyBorder="1" applyAlignment="1">
      <alignment horizontal="center" vertical="center" shrinkToFit="1"/>
    </xf>
    <xf numFmtId="167" fontId="49" fillId="0" borderId="47" xfId="0" applyNumberFormat="1" applyFont="1" applyBorder="1" applyAlignment="1">
      <alignment horizontal="center" vertical="center" shrinkToFit="1"/>
    </xf>
    <xf numFmtId="0" fontId="49" fillId="0" borderId="47" xfId="0" applyFont="1" applyBorder="1" applyAlignment="1">
      <alignment horizontal="center" vertical="center" shrinkToFit="1"/>
    </xf>
    <xf numFmtId="0" fontId="6" fillId="0" borderId="212"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6" fillId="0" borderId="114" xfId="0" applyFont="1" applyBorder="1" applyAlignment="1">
      <alignment vertical="center" shrinkToFit="1"/>
    </xf>
    <xf numFmtId="0" fontId="6" fillId="0" borderId="49" xfId="0" applyFont="1" applyBorder="1" applyAlignment="1">
      <alignment vertical="center" shrinkToFit="1"/>
    </xf>
    <xf numFmtId="0" fontId="6" fillId="0" borderId="51" xfId="0" applyFont="1" applyBorder="1" applyAlignment="1">
      <alignment vertical="center" shrinkToFit="1"/>
    </xf>
    <xf numFmtId="0" fontId="20" fillId="0" borderId="0" xfId="0" applyNumberFormat="1" applyFont="1" applyBorder="1" applyAlignment="1">
      <alignment horizontal="left" vertical="center"/>
    </xf>
    <xf numFmtId="0" fontId="21" fillId="0" borderId="125"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35" xfId="0" applyFont="1" applyBorder="1" applyAlignment="1">
      <alignment horizontal="center" vertical="center"/>
    </xf>
    <xf numFmtId="0" fontId="20" fillId="0" borderId="236" xfId="0" applyFont="1" applyBorder="1" applyAlignment="1">
      <alignment horizontal="center" vertical="center"/>
    </xf>
    <xf numFmtId="0" fontId="20" fillId="0" borderId="237" xfId="0" applyFont="1" applyBorder="1" applyAlignment="1">
      <alignment horizontal="center" vertical="center"/>
    </xf>
    <xf numFmtId="0" fontId="69" fillId="8" borderId="215" xfId="0" applyFont="1" applyFill="1" applyBorder="1" applyAlignment="1" applyProtection="1">
      <alignment horizontal="center" vertical="center"/>
      <protection locked="0"/>
    </xf>
    <xf numFmtId="0" fontId="69" fillId="8" borderId="216" xfId="0" applyFont="1" applyFill="1" applyBorder="1" applyAlignment="1" applyProtection="1">
      <alignment horizontal="center" vertical="center"/>
      <protection locked="0"/>
    </xf>
    <xf numFmtId="0" fontId="69" fillId="8" borderId="222" xfId="0" applyFont="1" applyFill="1" applyBorder="1" applyAlignment="1" applyProtection="1">
      <alignment horizontal="center" vertical="center"/>
      <protection locked="0"/>
    </xf>
    <xf numFmtId="0" fontId="69" fillId="8" borderId="217" xfId="0" applyFont="1" applyFill="1" applyBorder="1" applyAlignment="1" applyProtection="1">
      <alignment horizontal="center" vertical="center"/>
      <protection locked="0"/>
    </xf>
    <xf numFmtId="0" fontId="69" fillId="0" borderId="44" xfId="0" applyFont="1" applyBorder="1" applyAlignment="1" applyProtection="1">
      <alignment horizontal="center" vertical="center"/>
      <protection locked="0"/>
    </xf>
    <xf numFmtId="0" fontId="69" fillId="0" borderId="223" xfId="0" applyFont="1" applyBorder="1" applyAlignment="1" applyProtection="1">
      <alignment horizontal="center" vertical="center"/>
      <protection locked="0"/>
    </xf>
    <xf numFmtId="0" fontId="69" fillId="8" borderId="225" xfId="0" applyFont="1" applyFill="1" applyBorder="1" applyAlignment="1" applyProtection="1">
      <alignment horizontal="center" vertical="center"/>
      <protection locked="0"/>
    </xf>
    <xf numFmtId="0" fontId="69" fillId="0" borderId="226" xfId="0" applyFont="1" applyBorder="1" applyAlignment="1" applyProtection="1">
      <alignment horizontal="center" vertical="center"/>
      <protection locked="0"/>
    </xf>
    <xf numFmtId="0" fontId="69" fillId="0" borderId="227" xfId="0" applyFont="1" applyBorder="1" applyAlignment="1" applyProtection="1">
      <alignment horizontal="center" vertical="center"/>
      <protection locked="0"/>
    </xf>
    <xf numFmtId="0" fontId="0" fillId="0" borderId="247" xfId="0" applyBorder="1"/>
    <xf numFmtId="0" fontId="0" fillId="0" borderId="24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48" xfId="0" applyFont="1" applyBorder="1" applyAlignment="1">
      <alignment horizontal="center" vertical="center"/>
    </xf>
    <xf numFmtId="165" fontId="18" fillId="0" borderId="0" xfId="0" applyNumberFormat="1" applyFont="1" applyAlignment="1">
      <alignment horizontal="right" indent="1"/>
    </xf>
    <xf numFmtId="0" fontId="21" fillId="0" borderId="232" xfId="0" applyNumberFormat="1" applyFont="1" applyBorder="1" applyAlignment="1">
      <alignment horizontal="center" vertical="center"/>
    </xf>
    <xf numFmtId="167" fontId="21" fillId="0" borderId="200" xfId="0" applyNumberFormat="1" applyFont="1" applyBorder="1" applyAlignment="1">
      <alignment horizontal="center" vertical="center"/>
    </xf>
    <xf numFmtId="0" fontId="21" fillId="15" borderId="69" xfId="0" applyFont="1" applyFill="1" applyBorder="1" applyAlignment="1" applyProtection="1"/>
    <xf numFmtId="0" fontId="18" fillId="15" borderId="232" xfId="0" applyFont="1" applyFill="1" applyBorder="1" applyAlignment="1" applyProtection="1">
      <alignment horizontal="left" vertical="center" indent="1" shrinkToFit="1"/>
    </xf>
    <xf numFmtId="0" fontId="18" fillId="15" borderId="144" xfId="0" applyFont="1" applyFill="1" applyBorder="1" applyAlignment="1" applyProtection="1">
      <alignment horizontal="left" vertical="center" indent="1" shrinkToFit="1"/>
    </xf>
    <xf numFmtId="0" fontId="18" fillId="15" borderId="198" xfId="0" applyFont="1" applyFill="1" applyBorder="1" applyAlignment="1" applyProtection="1">
      <alignment horizontal="left" vertical="center" indent="1" shrinkToFit="1"/>
    </xf>
    <xf numFmtId="167" fontId="53" fillId="15" borderId="147" xfId="0" applyNumberFormat="1" applyFont="1" applyFill="1" applyBorder="1" applyAlignment="1" applyProtection="1">
      <alignment horizontal="right" indent="1"/>
    </xf>
    <xf numFmtId="167" fontId="53" fillId="15" borderId="55"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0" fontId="14" fillId="9" borderId="53"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0" xfId="0" applyFont="1" applyFill="1" applyBorder="1" applyAlignment="1">
      <alignment horizontal="center" vertical="center"/>
    </xf>
    <xf numFmtId="0" fontId="20" fillId="0" borderId="147" xfId="0" applyFont="1" applyBorder="1" applyAlignment="1">
      <alignment horizontal="left" vertical="center"/>
    </xf>
    <xf numFmtId="0" fontId="20" fillId="0" borderId="55" xfId="0" applyFont="1" applyBorder="1" applyAlignment="1">
      <alignment horizontal="left" vertical="center"/>
    </xf>
    <xf numFmtId="0" fontId="14" fillId="9" borderId="249" xfId="0" applyFont="1" applyFill="1" applyBorder="1" applyAlignment="1">
      <alignment horizontal="center" vertical="center"/>
    </xf>
    <xf numFmtId="0" fontId="19" fillId="9" borderId="150" xfId="0" applyFont="1" applyFill="1" applyBorder="1" applyAlignment="1">
      <alignment vertical="center"/>
    </xf>
    <xf numFmtId="0" fontId="19" fillId="9" borderId="133" xfId="0" applyFont="1" applyFill="1" applyBorder="1" applyAlignment="1">
      <alignment vertical="center" shrinkToFit="1"/>
    </xf>
    <xf numFmtId="164" fontId="6" fillId="0" borderId="140" xfId="0" applyNumberFormat="1"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38" xfId="0" applyFont="1" applyBorder="1" applyAlignment="1">
      <alignment horizontal="center" vertical="center"/>
    </xf>
    <xf numFmtId="0" fontId="20" fillId="0" borderId="58" xfId="0" applyFont="1" applyFill="1" applyBorder="1" applyAlignment="1" applyProtection="1">
      <alignment vertical="center" shrinkToFit="1"/>
    </xf>
    <xf numFmtId="164" fontId="6" fillId="0" borderId="43" xfId="0" applyNumberFormat="1" applyFont="1" applyBorder="1" applyAlignment="1">
      <alignment horizontal="center" vertical="center" shrinkToFit="1"/>
    </xf>
    <xf numFmtId="0" fontId="6" fillId="0" borderId="55" xfId="0" applyFont="1" applyBorder="1" applyAlignment="1">
      <alignment horizontal="center" vertical="center"/>
    </xf>
    <xf numFmtId="49" fontId="24" fillId="0" borderId="43" xfId="0" applyNumberFormat="1" applyFont="1" applyBorder="1" applyAlignment="1">
      <alignment horizontal="center" vertical="center"/>
    </xf>
    <xf numFmtId="0" fontId="20" fillId="0" borderId="45" xfId="0" applyFont="1" applyFill="1" applyBorder="1" applyAlignment="1" applyProtection="1">
      <alignment vertical="center" shrinkToFit="1"/>
    </xf>
    <xf numFmtId="164" fontId="6" fillId="0" borderId="46"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6" xfId="0" applyNumberFormat="1" applyFont="1" applyBorder="1" applyAlignment="1">
      <alignment horizontal="center" vertical="center"/>
    </xf>
    <xf numFmtId="0" fontId="20" fillId="0" borderId="48"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55"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17" borderId="146" xfId="0" applyFont="1" applyFill="1" applyBorder="1" applyAlignment="1">
      <alignment horizontal="right" vertical="center"/>
    </xf>
    <xf numFmtId="0" fontId="21" fillId="17" borderId="147" xfId="0" applyFont="1" applyFill="1" applyBorder="1" applyAlignment="1">
      <alignment horizontal="center" vertical="center"/>
    </xf>
    <xf numFmtId="0" fontId="21" fillId="17" borderId="148" xfId="0" applyFont="1" applyFill="1" applyBorder="1" applyAlignment="1">
      <alignment horizontal="left" vertical="center"/>
    </xf>
    <xf numFmtId="0" fontId="21" fillId="17" borderId="50" xfId="0" applyFont="1" applyFill="1" applyBorder="1" applyAlignment="1">
      <alignment horizontal="right" vertical="center"/>
    </xf>
    <xf numFmtId="0" fontId="21" fillId="17" borderId="55" xfId="0" applyFont="1" applyFill="1" applyBorder="1" applyAlignment="1">
      <alignment horizontal="center" vertical="center"/>
    </xf>
    <xf numFmtId="0" fontId="21" fillId="17" borderId="49" xfId="0" applyFont="1" applyFill="1" applyBorder="1" applyAlignment="1">
      <alignment horizontal="left" vertical="center"/>
    </xf>
    <xf numFmtId="0" fontId="21" fillId="17" borderId="52"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1" xfId="0" applyFont="1" applyFill="1" applyBorder="1" applyAlignment="1">
      <alignment horizontal="left" vertical="center"/>
    </xf>
    <xf numFmtId="0" fontId="21" fillId="0" borderId="44" xfId="0" applyFont="1" applyBorder="1" applyAlignment="1">
      <alignment horizontal="center" vertical="center"/>
    </xf>
    <xf numFmtId="0" fontId="20" fillId="0" borderId="71" xfId="0" applyFont="1" applyBorder="1" applyAlignment="1">
      <alignment horizontal="left" vertical="center"/>
    </xf>
    <xf numFmtId="0" fontId="20" fillId="0" borderId="71" xfId="0" applyFont="1" applyBorder="1" applyAlignment="1">
      <alignment horizontal="center" vertical="center"/>
    </xf>
    <xf numFmtId="0" fontId="20" fillId="0" borderId="256" xfId="0" applyFont="1" applyBorder="1" applyAlignment="1">
      <alignment horizontal="left" vertical="center"/>
    </xf>
    <xf numFmtId="0" fontId="18" fillId="0" borderId="0" xfId="0" quotePrefix="1" applyFont="1"/>
    <xf numFmtId="0" fontId="60" fillId="0" borderId="0" xfId="0" applyFont="1" applyBorder="1" applyAlignment="1">
      <alignment vertical="center"/>
    </xf>
    <xf numFmtId="0" fontId="60" fillId="0" borderId="260" xfId="0" applyFont="1" applyBorder="1" applyAlignment="1">
      <alignment vertical="center"/>
    </xf>
    <xf numFmtId="14" fontId="62" fillId="0" borderId="0" xfId="0" applyNumberFormat="1" applyFont="1" applyBorder="1" applyAlignment="1">
      <alignment vertical="center"/>
    </xf>
    <xf numFmtId="14" fontId="62" fillId="0" borderId="260" xfId="0" applyNumberFormat="1" applyFont="1" applyBorder="1" applyAlignment="1">
      <alignment vertical="center"/>
    </xf>
    <xf numFmtId="0" fontId="62" fillId="0" borderId="0" xfId="0" applyFont="1" applyBorder="1" applyAlignment="1">
      <alignment vertical="center"/>
    </xf>
    <xf numFmtId="0" fontId="62" fillId="0" borderId="260"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67" xfId="0" applyNumberFormat="1" applyFont="1" applyFill="1" applyBorder="1" applyAlignment="1">
      <alignment vertical="center" shrinkToFit="1"/>
    </xf>
    <xf numFmtId="0" fontId="7" fillId="0" borderId="153" xfId="1" applyNumberFormat="1" applyFont="1" applyFill="1" applyBorder="1" applyAlignment="1" applyProtection="1">
      <alignment vertical="center"/>
      <protection hidden="1"/>
    </xf>
    <xf numFmtId="0" fontId="7" fillId="0" borderId="268" xfId="1" applyNumberFormat="1" applyFont="1" applyFill="1" applyBorder="1" applyAlignment="1" applyProtection="1">
      <alignment vertical="center"/>
      <protection hidden="1"/>
    </xf>
    <xf numFmtId="0" fontId="7" fillId="0" borderId="268"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horizontal="center" vertical="center"/>
      <protection hidden="1"/>
    </xf>
    <xf numFmtId="166" fontId="7" fillId="0" borderId="108" xfId="1" applyNumberFormat="1" applyFont="1" applyFill="1" applyBorder="1" applyAlignment="1" applyProtection="1">
      <alignment horizontal="center" vertical="center"/>
      <protection hidden="1"/>
    </xf>
    <xf numFmtId="0" fontId="6" fillId="10" borderId="120" xfId="0" applyFont="1" applyFill="1" applyBorder="1" applyAlignment="1" applyProtection="1">
      <alignment horizontal="center" vertical="center" shrinkToFit="1"/>
    </xf>
    <xf numFmtId="0" fontId="6" fillId="10" borderId="55" xfId="0" applyFont="1" applyFill="1" applyBorder="1" applyAlignment="1" applyProtection="1">
      <alignment horizontal="center" vertical="center" shrinkToFit="1"/>
    </xf>
    <xf numFmtId="0" fontId="6" fillId="10" borderId="56" xfId="0" applyFont="1" applyFill="1" applyBorder="1" applyAlignment="1" applyProtection="1">
      <alignment horizontal="center" vertical="center" shrinkToFit="1"/>
    </xf>
    <xf numFmtId="0" fontId="12" fillId="0" borderId="0"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center" vertical="center"/>
      <protection hidden="1"/>
    </xf>
    <xf numFmtId="0" fontId="7" fillId="0" borderId="272"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vertical="center"/>
      <protection hidden="1"/>
    </xf>
    <xf numFmtId="0" fontId="7" fillId="0" borderId="273" xfId="0" applyNumberFormat="1" applyFont="1" applyFill="1" applyBorder="1" applyAlignment="1" applyProtection="1">
      <alignment vertical="center"/>
      <protection hidden="1"/>
    </xf>
    <xf numFmtId="0" fontId="7" fillId="0" borderId="183" xfId="0" applyNumberFormat="1" applyFont="1" applyBorder="1"/>
    <xf numFmtId="0" fontId="7" fillId="0" borderId="36"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vertical="center"/>
      <protection hidden="1"/>
    </xf>
    <xf numFmtId="0" fontId="7" fillId="0" borderId="39" xfId="0" applyNumberFormat="1" applyFont="1" applyBorder="1"/>
    <xf numFmtId="0" fontId="7" fillId="0" borderId="0" xfId="0" applyNumberFormat="1" applyFont="1" applyBorder="1"/>
    <xf numFmtId="0" fontId="7" fillId="0" borderId="40" xfId="0" applyNumberFormat="1" applyFont="1" applyBorder="1"/>
    <xf numFmtId="0" fontId="7" fillId="0" borderId="185" xfId="0" applyNumberFormat="1" applyFont="1" applyBorder="1"/>
    <xf numFmtId="0" fontId="7" fillId="0" borderId="41" xfId="0" applyNumberFormat="1" applyFont="1" applyBorder="1"/>
    <xf numFmtId="0" fontId="7" fillId="0" borderId="71" xfId="0" applyNumberFormat="1" applyFont="1" applyBorder="1"/>
    <xf numFmtId="0" fontId="7" fillId="0" borderId="42" xfId="0" applyNumberFormat="1" applyFont="1" applyBorder="1"/>
    <xf numFmtId="0" fontId="42" fillId="0" borderId="71"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40" xfId="0" applyNumberFormat="1" applyFont="1" applyBorder="1" applyAlignment="1">
      <alignment horizontal="center"/>
    </xf>
    <xf numFmtId="0" fontId="7" fillId="0" borderId="184" xfId="0" applyNumberFormat="1" applyFont="1" applyBorder="1" applyAlignment="1">
      <alignment horizontal="center"/>
    </xf>
    <xf numFmtId="0" fontId="14"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5" fillId="0" borderId="0" xfId="0" applyFont="1" applyFill="1" applyBorder="1" applyProtection="1"/>
    <xf numFmtId="0" fontId="14" fillId="9" borderId="133" xfId="0" applyFont="1" applyFill="1" applyBorder="1" applyAlignment="1">
      <alignment vertical="center" shrinkToFit="1"/>
    </xf>
    <xf numFmtId="0" fontId="6" fillId="0" borderId="58" xfId="0" applyFont="1" applyBorder="1" applyAlignment="1">
      <alignment horizontal="left" vertical="center" shrinkToFit="1"/>
    </xf>
    <xf numFmtId="0" fontId="15" fillId="0" borderId="0" xfId="0" applyFont="1" applyAlignment="1">
      <alignment horizontal="center"/>
    </xf>
    <xf numFmtId="0" fontId="18" fillId="0" borderId="0" xfId="4" applyFont="1"/>
    <xf numFmtId="0" fontId="18" fillId="0" borderId="0" xfId="4" applyFont="1" applyFill="1"/>
    <xf numFmtId="165" fontId="29" fillId="0" borderId="71" xfId="4" applyNumberFormat="1" applyFont="1" applyBorder="1" applyAlignment="1">
      <alignment wrapText="1"/>
    </xf>
    <xf numFmtId="165" fontId="29"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1" fillId="9" borderId="150" xfId="4" applyFont="1" applyFill="1" applyBorder="1" applyAlignment="1">
      <alignment horizontal="center" vertical="center"/>
    </xf>
    <xf numFmtId="0" fontId="31" fillId="9" borderId="113" xfId="4" applyFont="1" applyFill="1" applyBorder="1" applyAlignment="1">
      <alignment horizontal="center" vertical="center"/>
    </xf>
    <xf numFmtId="0" fontId="31" fillId="9" borderId="277" xfId="4" applyFont="1" applyFill="1" applyBorder="1" applyAlignment="1">
      <alignment horizontal="center" vertical="center"/>
    </xf>
    <xf numFmtId="0" fontId="72" fillId="0" borderId="0" xfId="4" applyFont="1" applyAlignment="1">
      <alignment horizontal="center"/>
    </xf>
    <xf numFmtId="0" fontId="73" fillId="0" borderId="40" xfId="4" applyNumberFormat="1" applyFont="1" applyBorder="1" applyAlignment="1">
      <alignment horizontal="center" vertical="center"/>
    </xf>
    <xf numFmtId="0" fontId="23" fillId="0" borderId="278" xfId="4" applyNumberFormat="1" applyFont="1" applyBorder="1" applyAlignment="1">
      <alignment horizontal="center" vertical="center"/>
    </xf>
    <xf numFmtId="20" fontId="20" fillId="10" borderId="146" xfId="4" applyNumberFormat="1" applyFont="1" applyFill="1" applyBorder="1" applyAlignment="1" applyProtection="1">
      <alignment horizontal="center" vertical="center"/>
      <protection locked="0"/>
    </xf>
    <xf numFmtId="0" fontId="20" fillId="10" borderId="146" xfId="4" applyFont="1" applyFill="1" applyBorder="1" applyAlignment="1" applyProtection="1">
      <alignment horizontal="center" vertical="center"/>
      <protection locked="0"/>
    </xf>
    <xf numFmtId="0" fontId="20" fillId="10" borderId="50" xfId="4" applyFont="1" applyFill="1" applyBorder="1" applyAlignment="1" applyProtection="1">
      <alignment horizontal="right" vertical="center"/>
      <protection locked="0"/>
    </xf>
    <xf numFmtId="0" fontId="20" fillId="10" borderId="55" xfId="4" applyFont="1" applyFill="1" applyBorder="1" applyAlignment="1" applyProtection="1">
      <alignment horizontal="center" vertical="center"/>
    </xf>
    <xf numFmtId="0" fontId="20" fillId="10" borderId="49" xfId="4" applyFont="1" applyFill="1" applyBorder="1" applyAlignment="1" applyProtection="1">
      <alignment horizontal="left" vertical="center"/>
      <protection locked="0"/>
    </xf>
    <xf numFmtId="0" fontId="20" fillId="0" borderId="212" xfId="4" applyFont="1" applyBorder="1" applyAlignment="1">
      <alignment horizontal="left" vertical="center" shrinkToFit="1"/>
    </xf>
    <xf numFmtId="0" fontId="20" fillId="0" borderId="120" xfId="4" applyFont="1" applyBorder="1" applyAlignment="1">
      <alignment horizontal="center" vertical="center" shrinkToFit="1"/>
    </xf>
    <xf numFmtId="0" fontId="20" fillId="0" borderId="114" xfId="4" applyFont="1" applyBorder="1" applyAlignment="1">
      <alignment horizontal="left" vertical="center" shrinkToFit="1"/>
    </xf>
    <xf numFmtId="0" fontId="20" fillId="10" borderId="146" xfId="4" applyFont="1" applyFill="1" applyBorder="1" applyAlignment="1" applyProtection="1">
      <alignment horizontal="right" vertical="center"/>
      <protection locked="0"/>
    </xf>
    <xf numFmtId="0" fontId="20" fillId="10" borderId="120" xfId="4" applyFont="1" applyFill="1" applyBorder="1" applyAlignment="1">
      <alignment horizontal="center" vertical="center"/>
    </xf>
    <xf numFmtId="0" fontId="20" fillId="10" borderId="148" xfId="4" applyFont="1" applyFill="1" applyBorder="1" applyAlignment="1" applyProtection="1">
      <alignment horizontal="left" vertical="center"/>
      <protection locked="0"/>
    </xf>
    <xf numFmtId="0" fontId="20" fillId="10" borderId="212" xfId="4" applyFont="1" applyFill="1" applyBorder="1" applyAlignment="1" applyProtection="1">
      <alignment horizontal="right" vertical="center"/>
      <protection locked="0"/>
    </xf>
    <xf numFmtId="0" fontId="20" fillId="10" borderId="213" xfId="4" applyFont="1" applyFill="1" applyBorder="1" applyAlignment="1" applyProtection="1">
      <alignment horizontal="left" vertical="center"/>
      <protection locked="0"/>
    </xf>
    <xf numFmtId="0" fontId="20" fillId="0" borderId="279" xfId="4" applyFont="1" applyBorder="1" applyAlignment="1">
      <alignment horizontal="center" vertical="center" shrinkToFit="1"/>
    </xf>
    <xf numFmtId="0" fontId="53" fillId="0" borderId="0" xfId="4" applyFont="1" applyAlignment="1">
      <alignment horizontal="left" vertical="center"/>
    </xf>
    <xf numFmtId="0" fontId="18" fillId="0" borderId="0" xfId="4" applyFont="1" applyAlignment="1">
      <alignment horizontal="center" vertical="center"/>
    </xf>
    <xf numFmtId="0" fontId="74" fillId="0" borderId="0" xfId="4" applyFont="1" applyAlignment="1">
      <alignment horizontal="center" vertical="center"/>
    </xf>
    <xf numFmtId="0" fontId="23" fillId="0" borderId="43" xfId="4" applyNumberFormat="1" applyFont="1" applyBorder="1" applyAlignment="1">
      <alignment horizontal="center" vertical="center"/>
    </xf>
    <xf numFmtId="0" fontId="20" fillId="10" borderId="50" xfId="4" applyFont="1" applyFill="1" applyBorder="1" applyAlignment="1" applyProtection="1">
      <alignment horizontal="center" vertical="center"/>
      <protection locked="0"/>
    </xf>
    <xf numFmtId="0" fontId="20" fillId="0" borderId="50" xfId="4" applyFont="1" applyBorder="1" applyAlignment="1">
      <alignment horizontal="left" vertical="center" shrinkToFit="1"/>
    </xf>
    <xf numFmtId="0" fontId="20" fillId="0" borderId="55" xfId="4" applyFont="1" applyBorder="1" applyAlignment="1">
      <alignment horizontal="center" vertical="center" shrinkToFit="1"/>
    </xf>
    <xf numFmtId="0" fontId="20" fillId="0" borderId="49" xfId="4" applyFont="1" applyBorder="1" applyAlignment="1">
      <alignment horizontal="left" vertical="center" shrinkToFit="1"/>
    </xf>
    <xf numFmtId="0" fontId="20" fillId="10" borderId="55" xfId="4" applyFont="1" applyFill="1" applyBorder="1" applyAlignment="1">
      <alignment horizontal="center" vertical="center"/>
    </xf>
    <xf numFmtId="0" fontId="20" fillId="10" borderId="69" xfId="4" applyFont="1" applyFill="1" applyBorder="1" applyAlignment="1" applyProtection="1">
      <alignment horizontal="left" vertical="center"/>
      <protection locked="0"/>
    </xf>
    <xf numFmtId="0" fontId="20" fillId="0" borderId="280" xfId="4" applyFont="1" applyBorder="1" applyAlignment="1">
      <alignment horizontal="center" vertical="center" shrinkToFit="1"/>
    </xf>
    <xf numFmtId="0" fontId="23" fillId="0" borderId="46" xfId="4" applyNumberFormat="1" applyFont="1" applyBorder="1" applyAlignment="1">
      <alignment horizontal="center" vertical="center"/>
    </xf>
    <xf numFmtId="0" fontId="20" fillId="10" borderId="52" xfId="4" applyFont="1" applyFill="1" applyBorder="1" applyAlignment="1" applyProtection="1">
      <alignment horizontal="center" vertical="center"/>
      <protection locked="0"/>
    </xf>
    <xf numFmtId="0" fontId="20" fillId="10" borderId="52" xfId="4" applyFont="1" applyFill="1" applyBorder="1" applyAlignment="1" applyProtection="1">
      <alignment horizontal="right" vertical="center"/>
      <protection locked="0"/>
    </xf>
    <xf numFmtId="0" fontId="20" fillId="10" borderId="56" xfId="4" applyFont="1" applyFill="1" applyBorder="1" applyAlignment="1" applyProtection="1">
      <alignment horizontal="center" vertical="center"/>
    </xf>
    <xf numFmtId="0" fontId="20" fillId="10" borderId="51" xfId="4" applyFont="1" applyFill="1" applyBorder="1" applyAlignment="1" applyProtection="1">
      <alignment horizontal="left" vertical="center"/>
      <protection locked="0"/>
    </xf>
    <xf numFmtId="0" fontId="20" fillId="0" borderId="52" xfId="4" applyFont="1" applyBorder="1" applyAlignment="1">
      <alignment horizontal="left" vertical="center" shrinkToFit="1"/>
    </xf>
    <xf numFmtId="0" fontId="20" fillId="0" borderId="56" xfId="4" applyFont="1" applyBorder="1" applyAlignment="1">
      <alignment horizontal="center" vertical="center" shrinkToFit="1"/>
    </xf>
    <xf numFmtId="0" fontId="20" fillId="0" borderId="51" xfId="4" applyFont="1" applyBorder="1" applyAlignment="1">
      <alignment horizontal="left" vertical="center" shrinkToFit="1"/>
    </xf>
    <xf numFmtId="0" fontId="20" fillId="10" borderId="56" xfId="4" applyFont="1" applyFill="1" applyBorder="1" applyAlignment="1">
      <alignment horizontal="center" vertical="center"/>
    </xf>
    <xf numFmtId="0" fontId="20" fillId="10" borderId="199" xfId="4" applyFont="1" applyFill="1" applyBorder="1" applyAlignment="1" applyProtection="1">
      <alignment horizontal="left" vertical="center"/>
      <protection locked="0"/>
    </xf>
    <xf numFmtId="0" fontId="20" fillId="0" borderId="281"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49" fontId="24" fillId="0" borderId="57" xfId="0" applyNumberFormat="1" applyFont="1" applyBorder="1" applyAlignment="1">
      <alignment horizontal="center" vertical="center"/>
    </xf>
    <xf numFmtId="49" fontId="24" fillId="0" borderId="59" xfId="0" applyNumberFormat="1" applyFont="1" applyBorder="1" applyAlignment="1">
      <alignment horizontal="center" vertical="center"/>
    </xf>
    <xf numFmtId="0" fontId="42" fillId="0" borderId="71"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6" fillId="0" borderId="274" xfId="0" applyFont="1" applyBorder="1" applyAlignment="1">
      <alignment horizontal="center" vertical="center"/>
    </xf>
    <xf numFmtId="0" fontId="6" fillId="0" borderId="275" xfId="0" applyFont="1" applyBorder="1" applyAlignment="1">
      <alignment horizontal="center" vertical="center"/>
    </xf>
    <xf numFmtId="0" fontId="6" fillId="0" borderId="276" xfId="0" applyFont="1" applyBorder="1" applyAlignment="1">
      <alignment horizontal="center" vertical="center"/>
    </xf>
    <xf numFmtId="0" fontId="67" fillId="0" borderId="0" xfId="0" applyFont="1" applyAlignment="1">
      <alignment wrapText="1"/>
    </xf>
    <xf numFmtId="0" fontId="20" fillId="10" borderId="147" xfId="0" applyFont="1" applyFill="1" applyBorder="1" applyAlignment="1" applyProtection="1">
      <alignment horizontal="center" vertical="center"/>
    </xf>
    <xf numFmtId="0" fontId="20" fillId="10" borderId="55" xfId="0" applyFont="1" applyFill="1" applyBorder="1" applyAlignment="1" applyProtection="1">
      <alignment horizontal="center" vertical="center"/>
    </xf>
    <xf numFmtId="0" fontId="20" fillId="10" borderId="79" xfId="0" applyFont="1" applyFill="1" applyBorder="1" applyAlignment="1" applyProtection="1">
      <alignment horizontal="center" vertical="center"/>
    </xf>
    <xf numFmtId="0" fontId="21" fillId="10" borderId="131" xfId="0" applyFont="1" applyFill="1" applyBorder="1" applyAlignment="1" applyProtection="1">
      <alignment horizontal="center" vertical="center"/>
      <protection locked="0"/>
    </xf>
    <xf numFmtId="0" fontId="21" fillId="10" borderId="123" xfId="0" applyFont="1" applyFill="1" applyBorder="1" applyAlignment="1" applyProtection="1">
      <alignment horizontal="center" vertical="center"/>
      <protection locked="0"/>
    </xf>
    <xf numFmtId="0" fontId="21" fillId="10" borderId="282" xfId="0" applyFont="1" applyFill="1" applyBorder="1" applyAlignment="1" applyProtection="1">
      <alignment horizontal="center" vertical="center"/>
      <protection locked="0"/>
    </xf>
    <xf numFmtId="0" fontId="21" fillId="0" borderId="268" xfId="0" applyFont="1" applyFill="1" applyBorder="1" applyAlignment="1" applyProtection="1">
      <alignment horizontal="center" vertical="center"/>
    </xf>
    <xf numFmtId="0" fontId="20" fillId="10" borderId="80" xfId="0" applyFont="1" applyFill="1" applyBorder="1" applyAlignment="1" applyProtection="1">
      <alignment horizontal="center" vertical="center"/>
      <protection locked="0"/>
    </xf>
    <xf numFmtId="0" fontId="20" fillId="10" borderId="71" xfId="0" applyFont="1" applyFill="1" applyBorder="1" applyAlignment="1" applyProtection="1">
      <alignment horizontal="center" vertical="center"/>
    </xf>
    <xf numFmtId="0" fontId="20" fillId="10" borderId="42" xfId="0" applyFont="1" applyFill="1" applyBorder="1" applyAlignment="1" applyProtection="1">
      <alignment horizontal="center" vertical="center"/>
      <protection locked="0"/>
    </xf>
    <xf numFmtId="0" fontId="14" fillId="9" borderId="111" xfId="0" applyFont="1" applyFill="1" applyBorder="1" applyAlignment="1">
      <alignment horizontal="center" vertical="center"/>
    </xf>
    <xf numFmtId="0" fontId="20" fillId="10" borderId="114" xfId="0" applyFont="1" applyFill="1" applyBorder="1" applyAlignment="1" applyProtection="1">
      <alignment horizontal="center" vertical="center"/>
      <protection locked="0"/>
    </xf>
    <xf numFmtId="0" fontId="20" fillId="10" borderId="49" xfId="0" applyFont="1" applyFill="1" applyBorder="1" applyAlignment="1" applyProtection="1">
      <alignment horizontal="center" vertical="center"/>
      <protection locked="0"/>
    </xf>
    <xf numFmtId="0" fontId="20" fillId="10" borderId="284"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160" xfId="0" applyFont="1" applyFill="1" applyBorder="1" applyAlignment="1" applyProtection="1">
      <alignment horizontal="center" vertical="center"/>
      <protection locked="0"/>
    </xf>
    <xf numFmtId="0" fontId="7" fillId="0" borderId="182" xfId="0" applyNumberFormat="1" applyFont="1" applyFill="1" applyBorder="1" applyAlignment="1" applyProtection="1">
      <alignment horizontal="center" vertical="center"/>
      <protection hidden="1"/>
    </xf>
    <xf numFmtId="0" fontId="7" fillId="0" borderId="285" xfId="0" applyNumberFormat="1" applyFont="1" applyFill="1" applyBorder="1" applyAlignment="1" applyProtection="1">
      <alignment horizontal="center" vertical="center"/>
      <protection hidden="1"/>
    </xf>
    <xf numFmtId="165" fontId="14" fillId="0" borderId="0" xfId="0" applyNumberFormat="1" applyFont="1" applyFill="1" applyBorder="1" applyAlignment="1" applyProtection="1">
      <alignment horizontal="center" vertical="center" shrinkToFit="1"/>
    </xf>
    <xf numFmtId="165" fontId="6"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18" fillId="0" borderId="132" xfId="0" applyFont="1" applyBorder="1" applyAlignment="1">
      <alignment vertical="center"/>
    </xf>
    <xf numFmtId="0" fontId="21" fillId="10" borderId="132" xfId="0" applyFont="1" applyFill="1" applyBorder="1" applyAlignment="1" applyProtection="1">
      <alignment horizontal="center" vertical="center"/>
      <protection locked="0"/>
    </xf>
    <xf numFmtId="0" fontId="20" fillId="10" borderId="211" xfId="0" applyFont="1" applyFill="1" applyBorder="1" applyAlignment="1" applyProtection="1">
      <alignment horizontal="center" vertical="center"/>
      <protection locked="0"/>
    </xf>
    <xf numFmtId="0" fontId="0" fillId="0" borderId="0" xfId="0" applyAlignment="1">
      <alignment vertical="center"/>
    </xf>
    <xf numFmtId="0" fontId="20" fillId="10" borderId="56" xfId="0" applyFont="1" applyFill="1" applyBorder="1" applyAlignment="1" applyProtection="1">
      <alignment horizontal="center" vertical="center"/>
    </xf>
    <xf numFmtId="0" fontId="20" fillId="10" borderId="142" xfId="0" applyFont="1" applyFill="1" applyBorder="1" applyAlignment="1" applyProtection="1">
      <alignment horizontal="center" vertical="center"/>
    </xf>
    <xf numFmtId="0" fontId="20" fillId="10" borderId="148" xfId="0" applyFont="1" applyFill="1" applyBorder="1" applyAlignment="1" applyProtection="1">
      <alignment horizontal="center" vertical="center"/>
      <protection locked="0"/>
    </xf>
    <xf numFmtId="0" fontId="6" fillId="10" borderId="114" xfId="0" applyFont="1" applyFill="1" applyBorder="1" applyAlignment="1" applyProtection="1">
      <alignment horizontal="left" vertical="center" shrinkToFit="1"/>
      <protection locked="0"/>
    </xf>
    <xf numFmtId="0" fontId="6" fillId="10" borderId="212" xfId="0" applyFont="1" applyFill="1" applyBorder="1" applyAlignment="1" applyProtection="1">
      <alignment horizontal="left" vertical="center" shrinkToFit="1"/>
      <protection locked="0"/>
    </xf>
    <xf numFmtId="0" fontId="6" fillId="10" borderId="49" xfId="0" applyFont="1" applyFill="1" applyBorder="1" applyAlignment="1" applyProtection="1">
      <alignment horizontal="left" vertical="center" shrinkToFit="1"/>
      <protection locked="0"/>
    </xf>
    <xf numFmtId="0" fontId="6" fillId="10" borderId="50" xfId="0" applyFont="1" applyFill="1" applyBorder="1" applyAlignment="1" applyProtection="1">
      <alignment horizontal="left" vertical="center" shrinkToFit="1"/>
      <protection locked="0"/>
    </xf>
    <xf numFmtId="0" fontId="6" fillId="10" borderId="51" xfId="0" applyFont="1" applyFill="1" applyBorder="1" applyAlignment="1" applyProtection="1">
      <alignment horizontal="left" vertical="center" shrinkToFit="1"/>
      <protection locked="0"/>
    </xf>
    <xf numFmtId="0" fontId="6" fillId="10" borderId="52" xfId="0" applyFont="1" applyFill="1" applyBorder="1" applyAlignment="1" applyProtection="1">
      <alignment horizontal="left" vertical="center" shrinkToFit="1"/>
      <protection locked="0"/>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50" fillId="0" borderId="0" xfId="0" applyFont="1" applyAlignment="1">
      <alignment horizontal="center"/>
    </xf>
    <xf numFmtId="0" fontId="7" fillId="0" borderId="0" xfId="0" applyNumberFormat="1" applyFont="1" applyFill="1" applyAlignment="1" applyProtection="1">
      <alignment horizontal="left" vertical="center"/>
      <protection hidden="1"/>
    </xf>
    <xf numFmtId="0" fontId="42" fillId="0" borderId="0" xfId="0" applyNumberFormat="1" applyFont="1" applyFill="1" applyBorder="1" applyAlignment="1" applyProtection="1">
      <alignment horizontal="center" vertical="center"/>
      <protection hidden="1"/>
    </xf>
    <xf numFmtId="0" fontId="75" fillId="0" borderId="0" xfId="0" applyFont="1" applyAlignment="1">
      <alignment horizontal="center"/>
    </xf>
    <xf numFmtId="0" fontId="75" fillId="0" borderId="0" xfId="0" applyFont="1"/>
    <xf numFmtId="0" fontId="18"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9" fillId="0" borderId="0" xfId="0" applyFont="1" applyAlignment="1">
      <alignment vertical="center"/>
    </xf>
    <xf numFmtId="0" fontId="77" fillId="9" borderId="286" xfId="0" applyFont="1" applyFill="1" applyBorder="1" applyAlignment="1">
      <alignment horizontal="center" vertical="center"/>
    </xf>
    <xf numFmtId="0" fontId="77" fillId="9" borderId="287" xfId="0" applyFont="1" applyFill="1" applyBorder="1" applyAlignment="1">
      <alignment horizontal="center" vertical="center"/>
    </xf>
    <xf numFmtId="0" fontId="77" fillId="9" borderId="288" xfId="0" applyFont="1" applyFill="1" applyBorder="1" applyAlignment="1">
      <alignment horizontal="center" vertical="center"/>
    </xf>
    <xf numFmtId="0" fontId="77" fillId="9" borderId="289" xfId="0" applyFont="1" applyFill="1" applyBorder="1" applyAlignment="1">
      <alignment horizontal="center" vertical="center"/>
    </xf>
    <xf numFmtId="0" fontId="3" fillId="0" borderId="290" xfId="0" applyFont="1" applyBorder="1" applyAlignment="1">
      <alignment horizontal="center" vertical="center"/>
    </xf>
    <xf numFmtId="167" fontId="0" fillId="0" borderId="200" xfId="0" applyNumberFormat="1" applyBorder="1" applyAlignment="1">
      <alignment horizontal="center" vertical="center"/>
    </xf>
    <xf numFmtId="0" fontId="0" fillId="0" borderId="146" xfId="0" applyBorder="1" applyAlignment="1">
      <alignment horizontal="center" vertical="center"/>
    </xf>
    <xf numFmtId="0" fontId="0" fillId="0" borderId="291" xfId="0" applyBorder="1" applyAlignment="1">
      <alignment vertical="center"/>
    </xf>
    <xf numFmtId="167" fontId="0" fillId="0" borderId="44" xfId="0" applyNumberFormat="1" applyBorder="1" applyAlignment="1">
      <alignment horizontal="center" vertical="center"/>
    </xf>
    <xf numFmtId="0" fontId="0" fillId="0" borderId="50" xfId="0" applyBorder="1" applyAlignment="1">
      <alignment horizontal="center" vertical="center"/>
    </xf>
    <xf numFmtId="0" fontId="0" fillId="0" borderId="236" xfId="0" applyBorder="1" applyAlignment="1">
      <alignment vertical="center"/>
    </xf>
    <xf numFmtId="0" fontId="3" fillId="0" borderId="107" xfId="0" applyFont="1" applyBorder="1" applyAlignment="1">
      <alignment horizontal="center" vertical="center"/>
    </xf>
    <xf numFmtId="167" fontId="0" fillId="0" borderId="292" xfId="0" applyNumberFormat="1" applyBorder="1" applyAlignment="1">
      <alignment horizontal="center" vertical="center"/>
    </xf>
    <xf numFmtId="0" fontId="0" fillId="0" borderId="293" xfId="0" applyBorder="1" applyAlignment="1">
      <alignment horizontal="center" vertical="center"/>
    </xf>
    <xf numFmtId="0" fontId="0" fillId="0" borderId="294" xfId="0" applyBorder="1" applyAlignment="1">
      <alignment vertical="center"/>
    </xf>
    <xf numFmtId="0" fontId="78" fillId="0" borderId="0" xfId="0" applyFont="1" applyAlignment="1">
      <alignment horizontal="center"/>
    </xf>
    <xf numFmtId="0" fontId="0" fillId="0" borderId="72" xfId="0" applyBorder="1" applyAlignment="1">
      <alignment horizontal="center"/>
    </xf>
    <xf numFmtId="0" fontId="0" fillId="0" borderId="73" xfId="0" applyNumberFormat="1" applyBorder="1" applyAlignment="1">
      <alignment horizontal="center"/>
    </xf>
    <xf numFmtId="0" fontId="0" fillId="0" borderId="73" xfId="0" applyBorder="1" applyAlignment="1">
      <alignment horizontal="center"/>
    </xf>
    <xf numFmtId="0" fontId="0" fillId="0" borderId="73" xfId="0" applyBorder="1"/>
    <xf numFmtId="0" fontId="0" fillId="0" borderId="74" xfId="0" applyBorder="1" applyAlignment="1">
      <alignment horizontal="center"/>
    </xf>
    <xf numFmtId="0" fontId="0" fillId="0" borderId="1" xfId="0" applyBorder="1" applyAlignment="1">
      <alignment horizontal="center"/>
    </xf>
    <xf numFmtId="0" fontId="0" fillId="0" borderId="0" xfId="0" applyNumberFormat="1"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NumberFormat="1" applyBorder="1" applyAlignment="1">
      <alignment horizontal="center"/>
    </xf>
    <xf numFmtId="0" fontId="0" fillId="0" borderId="77" xfId="0" applyBorder="1" applyAlignment="1">
      <alignment horizontal="center"/>
    </xf>
    <xf numFmtId="0" fontId="0" fillId="0" borderId="77" xfId="0" applyBorder="1"/>
    <xf numFmtId="0" fontId="0" fillId="0" borderId="78" xfId="0" applyBorder="1" applyAlignment="1">
      <alignment horizontal="center"/>
    </xf>
    <xf numFmtId="0" fontId="25" fillId="0" borderId="0" xfId="0" applyFont="1" applyAlignment="1">
      <alignment horizontal="center"/>
    </xf>
    <xf numFmtId="0" fontId="14" fillId="9" borderId="295" xfId="0" applyFont="1" applyFill="1" applyBorder="1" applyAlignment="1">
      <alignment horizontal="center" vertical="center"/>
    </xf>
    <xf numFmtId="165" fontId="29" fillId="0" borderId="0" xfId="0" applyNumberFormat="1" applyFont="1" applyBorder="1" applyAlignment="1">
      <alignment wrapText="1"/>
    </xf>
    <xf numFmtId="0" fontId="21" fillId="10" borderId="131" xfId="0" applyFont="1" applyFill="1" applyBorder="1" applyAlignment="1" applyProtection="1">
      <alignment horizontal="center"/>
      <protection locked="0"/>
    </xf>
    <xf numFmtId="0" fontId="21" fillId="10" borderId="123" xfId="0" applyFont="1" applyFill="1" applyBorder="1" applyAlignment="1" applyProtection="1">
      <alignment horizontal="center"/>
      <protection locked="0"/>
    </xf>
    <xf numFmtId="0" fontId="21" fillId="10" borderId="282" xfId="0" applyFont="1" applyFill="1" applyBorder="1" applyAlignment="1" applyProtection="1">
      <alignment horizontal="center"/>
      <protection locked="0"/>
    </xf>
    <xf numFmtId="0" fontId="21" fillId="10" borderId="297" xfId="0" applyFont="1" applyFill="1" applyBorder="1" applyAlignment="1" applyProtection="1">
      <alignment horizontal="center"/>
      <protection locked="0"/>
    </xf>
    <xf numFmtId="0" fontId="19" fillId="9" borderId="295" xfId="0" applyFont="1" applyFill="1" applyBorder="1" applyAlignment="1">
      <alignment horizontal="center" shrinkToFit="1"/>
    </xf>
    <xf numFmtId="0" fontId="21" fillId="10" borderId="298" xfId="0" applyFont="1" applyFill="1" applyBorder="1" applyAlignment="1" applyProtection="1">
      <alignment horizontal="center" vertical="center" shrinkToFit="1"/>
      <protection locked="0"/>
    </xf>
    <xf numFmtId="0" fontId="21" fillId="10" borderId="129" xfId="0" applyFont="1" applyFill="1" applyBorder="1" applyAlignment="1" applyProtection="1">
      <alignment horizontal="center" vertical="center" shrinkToFit="1"/>
      <protection locked="0"/>
    </xf>
    <xf numFmtId="0" fontId="21" fillId="10" borderId="234" xfId="0" applyFont="1" applyFill="1" applyBorder="1" applyAlignment="1" applyProtection="1">
      <alignment horizontal="center" vertical="center" shrinkToFit="1"/>
      <protection locked="0"/>
    </xf>
    <xf numFmtId="0" fontId="13" fillId="0" borderId="296" xfId="0" applyFont="1" applyBorder="1" applyAlignment="1">
      <alignment horizontal="center" vertical="center"/>
    </xf>
    <xf numFmtId="0" fontId="13" fillId="0" borderId="129" xfId="0" applyFont="1" applyBorder="1" applyAlignment="1">
      <alignment horizontal="center" vertical="center"/>
    </xf>
    <xf numFmtId="0" fontId="13" fillId="0" borderId="192" xfId="0" applyFont="1" applyBorder="1" applyAlignment="1">
      <alignment horizontal="center" vertical="center"/>
    </xf>
    <xf numFmtId="0" fontId="17" fillId="0" borderId="299" xfId="0" applyFont="1" applyFill="1" applyBorder="1" applyAlignment="1" applyProtection="1">
      <alignment vertical="top"/>
    </xf>
    <xf numFmtId="0" fontId="17" fillId="0" borderId="0" xfId="0" applyFont="1" applyFill="1" applyBorder="1" applyAlignment="1" applyProtection="1">
      <alignment vertical="top"/>
    </xf>
    <xf numFmtId="14" fontId="26" fillId="0" borderId="299"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299" xfId="0" applyFont="1" applyFill="1" applyBorder="1" applyAlignment="1" applyProtection="1">
      <alignment vertical="center"/>
    </xf>
    <xf numFmtId="0" fontId="26" fillId="0" borderId="0" xfId="0" applyFont="1" applyFill="1" applyBorder="1" applyAlignment="1" applyProtection="1">
      <alignment vertical="center"/>
    </xf>
    <xf numFmtId="0" fontId="57" fillId="0" borderId="300" xfId="0" applyFont="1" applyFill="1" applyBorder="1" applyAlignment="1" applyProtection="1"/>
    <xf numFmtId="0" fontId="57" fillId="0" borderId="0" xfId="0" applyFont="1" applyFill="1" applyBorder="1" applyAlignment="1" applyProtection="1"/>
    <xf numFmtId="0" fontId="14" fillId="9" borderId="295" xfId="0" applyFont="1" applyFill="1" applyBorder="1" applyAlignment="1">
      <alignment horizontal="center" vertical="center" shrinkToFit="1"/>
    </xf>
    <xf numFmtId="0" fontId="21" fillId="10" borderId="296" xfId="0" applyFont="1" applyFill="1" applyBorder="1" applyAlignment="1" applyProtection="1">
      <alignment horizontal="center" vertical="center" shrinkToFit="1"/>
      <protection locked="0"/>
    </xf>
    <xf numFmtId="0" fontId="21" fillId="10" borderId="197" xfId="0" applyFont="1" applyFill="1" applyBorder="1" applyAlignment="1" applyProtection="1">
      <alignment horizontal="center" vertical="center" shrinkToFit="1"/>
      <protection locked="0"/>
    </xf>
    <xf numFmtId="0" fontId="21" fillId="10" borderId="192" xfId="0" applyFont="1" applyFill="1" applyBorder="1" applyAlignment="1" applyProtection="1">
      <alignment horizontal="center" vertical="center" shrinkToFit="1"/>
      <protection locked="0"/>
    </xf>
    <xf numFmtId="0" fontId="21" fillId="10" borderId="128" xfId="0" applyFont="1" applyFill="1" applyBorder="1" applyAlignment="1" applyProtection="1">
      <alignment horizontal="center" vertical="center"/>
      <protection locked="0"/>
    </xf>
    <xf numFmtId="0" fontId="21" fillId="10" borderId="192" xfId="0" applyFont="1" applyFill="1" applyBorder="1" applyAlignment="1" applyProtection="1">
      <alignment horizontal="center" vertical="center"/>
      <protection locked="0"/>
    </xf>
    <xf numFmtId="0" fontId="21" fillId="10" borderId="129" xfId="0" applyFont="1" applyFill="1" applyBorder="1" applyAlignment="1" applyProtection="1">
      <alignment horizontal="center" vertical="center"/>
      <protection locked="0"/>
    </xf>
    <xf numFmtId="0" fontId="21" fillId="10" borderId="197" xfId="0" applyFont="1" applyFill="1" applyBorder="1" applyAlignment="1" applyProtection="1">
      <alignment horizontal="center" vertical="center"/>
      <protection locked="0"/>
    </xf>
    <xf numFmtId="0" fontId="68"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1" xfId="0" applyFont="1" applyBorder="1" applyAlignment="1">
      <alignment horizontal="left" vertical="center"/>
    </xf>
    <xf numFmtId="0" fontId="18" fillId="0" borderId="0" xfId="0" applyFont="1" applyAlignment="1">
      <alignment horizontal="center" wrapText="1"/>
    </xf>
    <xf numFmtId="0" fontId="18" fillId="0" borderId="108" xfId="0" applyFont="1" applyBorder="1" applyAlignment="1">
      <alignment horizontal="center" wrapText="1"/>
    </xf>
    <xf numFmtId="167" fontId="20" fillId="10" borderId="142" xfId="0" applyNumberFormat="1" applyFont="1" applyFill="1" applyBorder="1" applyAlignment="1" applyProtection="1">
      <alignment horizontal="right" vertical="center" indent="1"/>
      <protection locked="0"/>
    </xf>
    <xf numFmtId="167" fontId="20" fillId="10" borderId="55" xfId="0" applyNumberFormat="1" applyFont="1" applyFill="1" applyBorder="1" applyAlignment="1" applyProtection="1">
      <alignment horizontal="right" vertical="center" indent="1"/>
      <protection locked="0"/>
    </xf>
    <xf numFmtId="0" fontId="20" fillId="0" borderId="143" xfId="0" applyFont="1" applyBorder="1" applyAlignment="1">
      <alignment horizontal="left" vertical="center"/>
    </xf>
    <xf numFmtId="0" fontId="20" fillId="0" borderId="69" xfId="0" applyFont="1" applyBorder="1" applyAlignment="1">
      <alignment horizontal="left" vertical="center"/>
    </xf>
    <xf numFmtId="0" fontId="20" fillId="10" borderId="55" xfId="0" applyFont="1" applyFill="1" applyBorder="1" applyAlignment="1" applyProtection="1">
      <alignment horizontal="right" vertical="center" indent="1"/>
      <protection locked="0"/>
    </xf>
    <xf numFmtId="0" fontId="20" fillId="15" borderId="229" xfId="0" applyFont="1" applyFill="1" applyBorder="1" applyAlignment="1">
      <alignment horizontal="center" vertical="center"/>
    </xf>
    <xf numFmtId="0" fontId="20" fillId="15" borderId="231" xfId="0" applyFont="1" applyFill="1" applyBorder="1" applyAlignment="1">
      <alignment horizontal="center" vertical="center"/>
    </xf>
    <xf numFmtId="165" fontId="66" fillId="0" borderId="0" xfId="0" applyNumberFormat="1" applyFont="1" applyAlignment="1" applyProtection="1">
      <alignment horizontal="left" vertical="top" wrapText="1" indent="1"/>
    </xf>
    <xf numFmtId="0" fontId="20" fillId="10" borderId="79" xfId="0" applyFont="1" applyFill="1" applyBorder="1" applyAlignment="1" applyProtection="1">
      <alignment horizontal="right" vertical="center" indent="1"/>
      <protection locked="0"/>
    </xf>
    <xf numFmtId="0" fontId="65" fillId="0" borderId="69" xfId="0" applyFont="1" applyBorder="1" applyAlignment="1">
      <alignment horizontal="left" vertical="center"/>
    </xf>
    <xf numFmtId="0" fontId="65" fillId="0" borderId="80" xfId="0" applyFont="1" applyBorder="1" applyAlignment="1">
      <alignment horizontal="left" vertical="center"/>
    </xf>
    <xf numFmtId="167" fontId="20" fillId="15" borderId="268" xfId="0" applyNumberFormat="1" applyFont="1" applyFill="1" applyBorder="1" applyAlignment="1">
      <alignment horizontal="right" vertical="center" indent="1"/>
    </xf>
    <xf numFmtId="167" fontId="20" fillId="15" borderId="108" xfId="0" applyNumberFormat="1" applyFont="1" applyFill="1" applyBorder="1" applyAlignment="1">
      <alignment horizontal="right" vertical="center" indent="1"/>
    </xf>
    <xf numFmtId="0" fontId="19" fillId="9" borderId="61"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65" xfId="0" applyFont="1" applyFill="1" applyBorder="1" applyAlignment="1">
      <alignment horizontal="left" vertical="center"/>
    </xf>
    <xf numFmtId="0" fontId="19" fillId="9" borderId="66" xfId="0" applyFont="1" applyFill="1" applyBorder="1" applyAlignment="1">
      <alignment horizontal="left" vertical="center"/>
    </xf>
    <xf numFmtId="0" fontId="19" fillId="9" borderId="111" xfId="0" applyFont="1" applyFill="1" applyBorder="1" applyAlignment="1">
      <alignment horizontal="center"/>
    </xf>
    <xf numFmtId="0" fontId="19" fillId="9" borderId="133" xfId="0" applyFont="1" applyFill="1" applyBorder="1" applyAlignment="1">
      <alignment horizontal="center"/>
    </xf>
    <xf numFmtId="0" fontId="21" fillId="0" borderId="141" xfId="0" applyFont="1" applyBorder="1" applyAlignment="1">
      <alignment horizontal="left" vertical="center" indent="1"/>
    </xf>
    <xf numFmtId="0" fontId="21" fillId="0" borderId="144" xfId="0" applyFont="1" applyBorder="1" applyAlignment="1">
      <alignment horizontal="left" vertical="center" indent="1"/>
    </xf>
    <xf numFmtId="49" fontId="24" fillId="0" borderId="60" xfId="0" applyNumberFormat="1" applyFont="1" applyBorder="1" applyAlignment="1">
      <alignment horizontal="center" vertical="center"/>
    </xf>
    <xf numFmtId="49" fontId="24" fillId="0" borderId="57"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0" fillId="10" borderId="58" xfId="0" applyFont="1" applyFill="1" applyBorder="1" applyAlignment="1" applyProtection="1">
      <alignment horizontal="left" vertical="center"/>
      <protection locked="0"/>
    </xf>
    <xf numFmtId="49" fontId="24" fillId="0" borderId="59" xfId="0" applyNumberFormat="1" applyFont="1" applyBorder="1" applyAlignment="1">
      <alignment horizontal="center" vertical="center"/>
    </xf>
    <xf numFmtId="0" fontId="20" fillId="10" borderId="63" xfId="0" applyFont="1" applyFill="1" applyBorder="1" applyAlignment="1" applyProtection="1">
      <alignment horizontal="left" vertical="center"/>
      <protection locked="0"/>
    </xf>
    <xf numFmtId="0" fontId="21" fillId="15" borderId="228" xfId="0" applyFont="1" applyFill="1" applyBorder="1" applyAlignment="1">
      <alignment horizontal="left" vertical="center" indent="1"/>
    </xf>
    <xf numFmtId="0" fontId="21" fillId="15" borderId="230" xfId="0" applyFont="1" applyFill="1" applyBorder="1" applyAlignment="1">
      <alignment horizontal="left" vertical="center" indent="1"/>
    </xf>
    <xf numFmtId="0" fontId="21" fillId="0" borderId="145" xfId="0" applyFont="1" applyBorder="1" applyAlignment="1">
      <alignment horizontal="left" vertical="center" indent="1"/>
    </xf>
    <xf numFmtId="0" fontId="20" fillId="10" borderId="68"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1" xfId="0" applyNumberFormat="1" applyFont="1" applyFill="1" applyBorder="1" applyAlignment="1">
      <alignment horizontal="center" vertical="center"/>
    </xf>
    <xf numFmtId="0" fontId="24" fillId="0" borderId="0" xfId="0" applyFont="1" applyAlignment="1">
      <alignment horizontal="left" vertical="center"/>
    </xf>
    <xf numFmtId="0" fontId="24" fillId="0" borderId="71" xfId="0" applyFont="1" applyBorder="1" applyAlignment="1">
      <alignment horizontal="left" vertical="center"/>
    </xf>
    <xf numFmtId="49" fontId="24" fillId="0" borderId="67" xfId="0" applyNumberFormat="1" applyFont="1" applyBorder="1" applyAlignment="1">
      <alignment horizontal="center" vertical="center"/>
    </xf>
    <xf numFmtId="0" fontId="0" fillId="0" borderId="0" xfId="0" applyAlignment="1">
      <alignment horizontal="center" vertical="center"/>
    </xf>
    <xf numFmtId="0" fontId="51" fillId="0" borderId="0" xfId="0" applyFont="1" applyAlignment="1">
      <alignment horizontal="center" vertical="top" textRotation="90"/>
    </xf>
    <xf numFmtId="0" fontId="59" fillId="0" borderId="0" xfId="0" applyFont="1" applyAlignment="1" applyProtection="1">
      <alignment horizontal="center" vertical="top" wrapText="1"/>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56" fillId="0" borderId="71" xfId="0" applyFont="1" applyBorder="1" applyAlignment="1">
      <alignment horizontal="center"/>
    </xf>
    <xf numFmtId="0" fontId="13" fillId="9" borderId="36"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14" fillId="9" borderId="37"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252" xfId="0" applyFont="1" applyFill="1" applyBorder="1" applyAlignment="1">
      <alignment horizontal="center" vertical="center" shrinkToFit="1"/>
    </xf>
    <xf numFmtId="0" fontId="14" fillId="9" borderId="253" xfId="0" applyFont="1" applyFill="1" applyBorder="1" applyAlignment="1">
      <alignment horizontal="center" vertical="center" shrinkToFit="1"/>
    </xf>
    <xf numFmtId="0" fontId="14" fillId="9" borderId="254" xfId="0" applyFont="1" applyFill="1" applyBorder="1" applyAlignment="1">
      <alignment horizontal="center" vertical="center" shrinkToFit="1"/>
    </xf>
    <xf numFmtId="0" fontId="38" fillId="0" borderId="0" xfId="0" applyFont="1" applyAlignment="1">
      <alignment horizontal="center"/>
    </xf>
    <xf numFmtId="0" fontId="14" fillId="9" borderId="111" xfId="0" applyFont="1" applyFill="1" applyBorder="1" applyAlignment="1">
      <alignment horizontal="center" vertical="center"/>
    </xf>
    <xf numFmtId="0" fontId="14" fillId="9" borderId="133" xfId="0" applyFont="1" applyFill="1" applyBorder="1" applyAlignment="1">
      <alignment horizontal="center" vertical="center"/>
    </xf>
    <xf numFmtId="0" fontId="17" fillId="10" borderId="238" xfId="0" applyFont="1" applyFill="1" applyBorder="1" applyAlignment="1" applyProtection="1">
      <alignment horizontal="center" vertical="top"/>
      <protection locked="0"/>
    </xf>
    <xf numFmtId="0" fontId="17" fillId="10" borderId="239" xfId="0" applyFont="1" applyFill="1" applyBorder="1" applyAlignment="1" applyProtection="1">
      <alignment horizontal="center" vertical="top"/>
      <protection locked="0"/>
    </xf>
    <xf numFmtId="14" fontId="26" fillId="10" borderId="241" xfId="0" applyNumberFormat="1" applyFont="1" applyFill="1" applyBorder="1" applyAlignment="1" applyProtection="1">
      <alignment horizontal="center" vertical="center"/>
      <protection locked="0"/>
    </xf>
    <xf numFmtId="14" fontId="26" fillId="10" borderId="205" xfId="0" applyNumberFormat="1" applyFont="1" applyFill="1" applyBorder="1" applyAlignment="1" applyProtection="1">
      <alignment horizontal="center" vertical="center"/>
      <protection locked="0"/>
    </xf>
    <xf numFmtId="0" fontId="26" fillId="10" borderId="241" xfId="0" applyFont="1" applyFill="1" applyBorder="1" applyAlignment="1" applyProtection="1">
      <alignment horizontal="center" vertical="center"/>
      <protection locked="0"/>
    </xf>
    <xf numFmtId="0" fontId="26" fillId="10" borderId="205" xfId="0" applyFont="1" applyFill="1" applyBorder="1" applyAlignment="1" applyProtection="1">
      <alignment horizontal="center" vertical="center"/>
      <protection locked="0"/>
    </xf>
    <xf numFmtId="0" fontId="26" fillId="10" borderId="243" xfId="0" applyFont="1" applyFill="1" applyBorder="1" applyAlignment="1" applyProtection="1">
      <alignment horizontal="center" vertical="center"/>
      <protection locked="0"/>
    </xf>
    <xf numFmtId="0" fontId="26" fillId="10" borderId="244" xfId="0" applyFont="1" applyFill="1" applyBorder="1" applyAlignment="1" applyProtection="1">
      <alignment horizontal="center" vertical="center"/>
      <protection locked="0"/>
    </xf>
    <xf numFmtId="0" fontId="57" fillId="16" borderId="193" xfId="0" applyFont="1" applyFill="1" applyBorder="1" applyAlignment="1" applyProtection="1">
      <alignment horizontal="center" vertical="center"/>
    </xf>
    <xf numFmtId="0" fontId="57" fillId="16" borderId="194" xfId="0" applyFont="1" applyFill="1" applyBorder="1" applyAlignment="1" applyProtection="1">
      <alignment horizontal="center" vertical="center"/>
    </xf>
    <xf numFmtId="0" fontId="57" fillId="16" borderId="195" xfId="0" applyFont="1" applyFill="1" applyBorder="1" applyAlignment="1" applyProtection="1">
      <alignment horizontal="center" vertical="center"/>
    </xf>
    <xf numFmtId="0" fontId="57" fillId="16" borderId="196" xfId="0" applyFont="1" applyFill="1" applyBorder="1" applyAlignment="1" applyProtection="1">
      <alignment horizontal="center" vertical="center"/>
    </xf>
    <xf numFmtId="0" fontId="15" fillId="0" borderId="71" xfId="4" applyFont="1" applyBorder="1" applyAlignment="1">
      <alignment horizontal="left" vertical="center"/>
    </xf>
    <xf numFmtId="0" fontId="31" fillId="9" borderId="249" xfId="4" applyFont="1" applyFill="1" applyBorder="1" applyAlignment="1">
      <alignment horizontal="center" vertical="center"/>
    </xf>
    <xf numFmtId="0" fontId="31" fillId="9" borderId="130" xfId="4" applyFont="1" applyFill="1" applyBorder="1" applyAlignment="1">
      <alignment horizontal="center" vertical="center"/>
    </xf>
    <xf numFmtId="0" fontId="31" fillId="9" borderId="113" xfId="4" applyFont="1" applyFill="1" applyBorder="1" applyAlignment="1">
      <alignment horizontal="center" vertical="center"/>
    </xf>
    <xf numFmtId="0" fontId="14" fillId="9" borderId="249" xfId="4" applyFont="1" applyFill="1" applyBorder="1" applyAlignment="1">
      <alignment horizontal="center" vertical="center"/>
    </xf>
    <xf numFmtId="0" fontId="14" fillId="9" borderId="130" xfId="4" applyFont="1" applyFill="1" applyBorder="1" applyAlignment="1">
      <alignment horizontal="center" vertical="center"/>
    </xf>
    <xf numFmtId="0" fontId="14" fillId="9" borderId="113" xfId="4" applyFont="1" applyFill="1" applyBorder="1" applyAlignment="1">
      <alignment horizontal="center" vertical="center"/>
    </xf>
    <xf numFmtId="0" fontId="14" fillId="9" borderId="269" xfId="4" applyFont="1" applyFill="1" applyBorder="1" applyAlignment="1">
      <alignment horizontal="center" vertical="center"/>
    </xf>
    <xf numFmtId="0" fontId="63" fillId="16" borderId="0" xfId="4" applyFont="1" applyFill="1" applyBorder="1" applyAlignment="1">
      <alignment horizontal="center" vertical="center"/>
    </xf>
    <xf numFmtId="0" fontId="71" fillId="0" borderId="71" xfId="4" applyNumberFormat="1" applyFont="1" applyBorder="1" applyAlignment="1">
      <alignment horizontal="center" wrapText="1"/>
    </xf>
    <xf numFmtId="0" fontId="60" fillId="0" borderId="238" xfId="4" applyFont="1" applyBorder="1" applyAlignment="1">
      <alignment horizontal="center" vertical="center"/>
    </xf>
    <xf numFmtId="0" fontId="60" fillId="0" borderId="239" xfId="4" applyFont="1" applyBorder="1" applyAlignment="1">
      <alignment horizontal="center" vertical="center"/>
    </xf>
    <xf numFmtId="0" fontId="60" fillId="0" borderId="240" xfId="4" applyFont="1" applyBorder="1" applyAlignment="1">
      <alignment horizontal="center" vertical="center"/>
    </xf>
    <xf numFmtId="14" fontId="62" fillId="0" borderId="241" xfId="4" applyNumberFormat="1" applyFont="1" applyBorder="1" applyAlignment="1">
      <alignment horizontal="center" vertical="center"/>
    </xf>
    <xf numFmtId="14" fontId="62" fillId="0" borderId="205" xfId="4" applyNumberFormat="1" applyFont="1" applyBorder="1" applyAlignment="1">
      <alignment horizontal="center" vertical="center"/>
    </xf>
    <xf numFmtId="14" fontId="62" fillId="0" borderId="242" xfId="4" applyNumberFormat="1" applyFont="1" applyBorder="1" applyAlignment="1">
      <alignment horizontal="center" vertical="center"/>
    </xf>
    <xf numFmtId="0" fontId="62" fillId="0" borderId="241" xfId="4" applyFont="1" applyBorder="1" applyAlignment="1">
      <alignment horizontal="center" vertical="center"/>
    </xf>
    <xf numFmtId="0" fontId="62" fillId="0" borderId="205" xfId="4" applyFont="1" applyBorder="1" applyAlignment="1">
      <alignment horizontal="center" vertical="center"/>
    </xf>
    <xf numFmtId="0" fontId="62" fillId="0" borderId="242" xfId="4" applyFont="1" applyBorder="1" applyAlignment="1">
      <alignment horizontal="center" vertical="center"/>
    </xf>
    <xf numFmtId="0" fontId="62" fillId="0" borderId="243" xfId="4" applyFont="1" applyBorder="1" applyAlignment="1">
      <alignment horizontal="center" vertical="center"/>
    </xf>
    <xf numFmtId="0" fontId="62" fillId="0" borderId="244" xfId="4" applyFont="1" applyBorder="1" applyAlignment="1">
      <alignment horizontal="center" vertical="center"/>
    </xf>
    <xf numFmtId="0" fontId="62" fillId="0" borderId="245" xfId="4" applyFont="1" applyBorder="1" applyAlignment="1">
      <alignment horizontal="center" vertical="center"/>
    </xf>
    <xf numFmtId="0" fontId="75" fillId="0" borderId="0" xfId="0" applyFont="1" applyAlignment="1">
      <alignment horizontal="center"/>
    </xf>
    <xf numFmtId="0" fontId="40" fillId="0" borderId="56" xfId="0" applyFont="1" applyBorder="1" applyAlignment="1">
      <alignment horizontal="left" vertical="center" indent="1"/>
    </xf>
    <xf numFmtId="0" fontId="40" fillId="0" borderId="199" xfId="0" applyFont="1" applyBorder="1" applyAlignment="1">
      <alignment horizontal="left" vertical="center" indent="1"/>
    </xf>
    <xf numFmtId="0" fontId="21" fillId="0" borderId="126" xfId="0" applyFont="1" applyBorder="1" applyAlignment="1">
      <alignment horizontal="left" vertical="center"/>
    </xf>
    <xf numFmtId="0" fontId="21" fillId="0" borderId="127" xfId="0" applyFont="1" applyBorder="1" applyAlignment="1">
      <alignment horizontal="left" vertical="center"/>
    </xf>
    <xf numFmtId="0" fontId="40" fillId="0" borderId="55" xfId="0" applyFont="1" applyBorder="1" applyAlignment="1">
      <alignment horizontal="left" vertical="center" indent="1"/>
    </xf>
    <xf numFmtId="0" fontId="40" fillId="0" borderId="69" xfId="0" applyFont="1" applyBorder="1" applyAlignment="1">
      <alignment horizontal="left" vertical="center" indent="1"/>
    </xf>
    <xf numFmtId="0" fontId="40" fillId="18" borderId="142" xfId="0" applyFont="1" applyFill="1" applyBorder="1" applyAlignment="1">
      <alignment horizontal="left" vertical="center" indent="1"/>
    </xf>
    <xf numFmtId="0" fontId="40" fillId="18" borderId="143" xfId="0" applyFont="1" applyFill="1" applyBorder="1" applyAlignment="1">
      <alignment horizontal="left" vertical="center" indent="1"/>
    </xf>
    <xf numFmtId="0" fontId="40" fillId="19" borderId="55" xfId="0" applyFont="1" applyFill="1" applyBorder="1" applyAlignment="1">
      <alignment horizontal="left" vertical="center" indent="1"/>
    </xf>
    <xf numFmtId="0" fontId="40" fillId="19" borderId="69" xfId="0" applyFont="1" applyFill="1" applyBorder="1" applyAlignment="1">
      <alignment horizontal="left" vertical="center" indent="1"/>
    </xf>
    <xf numFmtId="0" fontId="40" fillId="11" borderId="55" xfId="0" applyFont="1" applyFill="1" applyBorder="1" applyAlignment="1">
      <alignment horizontal="left" vertical="center" indent="1"/>
    </xf>
    <xf numFmtId="0" fontId="40" fillId="11" borderId="69" xfId="0" applyFont="1" applyFill="1" applyBorder="1" applyAlignment="1">
      <alignment horizontal="left" vertical="center" indent="1"/>
    </xf>
    <xf numFmtId="0" fontId="14" fillId="9" borderId="32"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167" fontId="21" fillId="15" borderId="0" xfId="0" applyNumberFormat="1" applyFont="1" applyFill="1" applyBorder="1" applyAlignment="1">
      <alignment horizontal="right" vertical="center" indent="1"/>
    </xf>
    <xf numFmtId="0" fontId="14" fillId="9" borderId="30" xfId="0" applyFont="1" applyFill="1" applyBorder="1" applyAlignment="1">
      <alignment horizontal="center" vertical="center"/>
    </xf>
    <xf numFmtId="167" fontId="24" fillId="0" borderId="71" xfId="0" applyNumberFormat="1" applyFont="1" applyBorder="1" applyAlignment="1">
      <alignment horizontal="left"/>
    </xf>
    <xf numFmtId="0" fontId="60" fillId="0" borderId="238" xfId="0" applyFont="1" applyBorder="1" applyAlignment="1">
      <alignment horizontal="center" vertical="center"/>
    </xf>
    <xf numFmtId="0" fontId="60" fillId="0" borderId="239" xfId="0" applyFont="1" applyBorder="1" applyAlignment="1">
      <alignment horizontal="center" vertical="center"/>
    </xf>
    <xf numFmtId="0" fontId="60" fillId="0" borderId="240" xfId="0" applyFont="1" applyBorder="1" applyAlignment="1">
      <alignment horizontal="center" vertical="center"/>
    </xf>
    <xf numFmtId="14" fontId="62" fillId="0" borderId="241" xfId="0" applyNumberFormat="1" applyFont="1" applyBorder="1" applyAlignment="1">
      <alignment horizontal="center" vertical="center"/>
    </xf>
    <xf numFmtId="14" fontId="62" fillId="0" borderId="205" xfId="0" applyNumberFormat="1" applyFont="1" applyBorder="1" applyAlignment="1">
      <alignment horizontal="center" vertical="center"/>
    </xf>
    <xf numFmtId="14" fontId="62" fillId="0" borderId="242" xfId="0" applyNumberFormat="1" applyFont="1" applyBorder="1" applyAlignment="1">
      <alignment horizontal="center" vertical="center"/>
    </xf>
    <xf numFmtId="0" fontId="62" fillId="0" borderId="241" xfId="0" applyFont="1" applyBorder="1" applyAlignment="1">
      <alignment horizontal="center" vertical="center"/>
    </xf>
    <xf numFmtId="0" fontId="62" fillId="0" borderId="205" xfId="0" applyFont="1" applyBorder="1" applyAlignment="1">
      <alignment horizontal="center" vertical="center"/>
    </xf>
    <xf numFmtId="0" fontId="62" fillId="0" borderId="242" xfId="0" applyFont="1" applyBorder="1" applyAlignment="1">
      <alignment horizontal="center" vertical="center"/>
    </xf>
    <xf numFmtId="0" fontId="62" fillId="0" borderId="243" xfId="0" applyFont="1" applyBorder="1" applyAlignment="1">
      <alignment horizontal="center" vertical="center"/>
    </xf>
    <xf numFmtId="0" fontId="62" fillId="0" borderId="244" xfId="0" applyFont="1" applyBorder="1" applyAlignment="1">
      <alignment horizontal="center" vertical="center"/>
    </xf>
    <xf numFmtId="0" fontId="62" fillId="0" borderId="245" xfId="0" applyFont="1" applyBorder="1" applyAlignment="1">
      <alignment horizontal="center" vertical="center"/>
    </xf>
    <xf numFmtId="0" fontId="14" fillId="9" borderId="283" xfId="0" applyFont="1" applyFill="1" applyBorder="1" applyAlignment="1">
      <alignment horizontal="center" vertical="center"/>
    </xf>
    <xf numFmtId="0" fontId="63" fillId="16" borderId="261" xfId="0" applyFont="1" applyFill="1" applyBorder="1" applyAlignment="1">
      <alignment horizontal="center" vertical="center"/>
    </xf>
    <xf numFmtId="0" fontId="63" fillId="16" borderId="262" xfId="0" applyFont="1" applyFill="1" applyBorder="1" applyAlignment="1">
      <alignment horizontal="center" vertical="center"/>
    </xf>
    <xf numFmtId="0" fontId="63" fillId="16" borderId="263" xfId="0" applyFont="1" applyFill="1" applyBorder="1" applyAlignment="1">
      <alignment horizontal="center" vertical="center"/>
    </xf>
    <xf numFmtId="0" fontId="63" fillId="16" borderId="264" xfId="0" applyFont="1" applyFill="1" applyBorder="1" applyAlignment="1">
      <alignment horizontal="center" vertical="center"/>
    </xf>
    <xf numFmtId="0" fontId="63" fillId="16" borderId="265" xfId="0" applyFont="1" applyFill="1" applyBorder="1" applyAlignment="1">
      <alignment horizontal="center" vertical="center"/>
    </xf>
    <xf numFmtId="0" fontId="63" fillId="16" borderId="266" xfId="0" applyFont="1" applyFill="1" applyBorder="1" applyAlignment="1">
      <alignment horizontal="center" vertical="center"/>
    </xf>
    <xf numFmtId="0" fontId="40" fillId="0" borderId="55" xfId="0" applyFont="1" applyBorder="1" applyAlignment="1">
      <alignment horizontal="left" vertical="center"/>
    </xf>
    <xf numFmtId="0" fontId="40" fillId="0" borderId="69" xfId="0" applyFont="1" applyBorder="1" applyAlignment="1">
      <alignment horizontal="left" vertical="center"/>
    </xf>
    <xf numFmtId="0" fontId="40" fillId="0" borderId="56" xfId="0" applyFont="1" applyBorder="1" applyAlignment="1">
      <alignment horizontal="left" vertical="center"/>
    </xf>
    <xf numFmtId="0" fontId="40" fillId="0" borderId="199" xfId="0" applyFont="1" applyBorder="1" applyAlignment="1">
      <alignment horizontal="left" vertical="center"/>
    </xf>
    <xf numFmtId="0" fontId="40" fillId="11" borderId="55" xfId="0" applyFont="1" applyFill="1" applyBorder="1" applyAlignment="1">
      <alignment horizontal="left" vertical="center"/>
    </xf>
    <xf numFmtId="0" fontId="40" fillId="11" borderId="69" xfId="0" applyFont="1" applyFill="1" applyBorder="1" applyAlignment="1">
      <alignment horizontal="left" vertical="center"/>
    </xf>
    <xf numFmtId="0" fontId="21" fillId="0" borderId="207" xfId="0" applyFont="1" applyBorder="1" applyAlignment="1">
      <alignment horizontal="left" vertical="center"/>
    </xf>
    <xf numFmtId="0" fontId="21" fillId="0" borderId="208" xfId="0" applyFont="1" applyBorder="1" applyAlignment="1">
      <alignment horizontal="left" vertical="center"/>
    </xf>
    <xf numFmtId="0" fontId="40" fillId="18" borderId="142" xfId="0" applyFont="1" applyFill="1" applyBorder="1" applyAlignment="1">
      <alignment horizontal="left" vertical="center"/>
    </xf>
    <xf numFmtId="0" fontId="40" fillId="18" borderId="143" xfId="0" applyFont="1" applyFill="1" applyBorder="1" applyAlignment="1">
      <alignment horizontal="left" vertical="center"/>
    </xf>
    <xf numFmtId="0" fontId="40" fillId="19" borderId="55" xfId="0" applyFont="1" applyFill="1" applyBorder="1" applyAlignment="1">
      <alignment horizontal="left" vertical="center"/>
    </xf>
    <xf numFmtId="0" fontId="40" fillId="19" borderId="69" xfId="0" applyFont="1" applyFill="1" applyBorder="1" applyAlignment="1">
      <alignment horizontal="left" vertical="center"/>
    </xf>
    <xf numFmtId="167" fontId="24" fillId="0" borderId="246" xfId="0" applyNumberFormat="1" applyFont="1" applyBorder="1" applyAlignment="1">
      <alignment horizontal="left"/>
    </xf>
    <xf numFmtId="0" fontId="25" fillId="0" borderId="0" xfId="0" applyFont="1" applyAlignment="1">
      <alignment horizontal="center" vertical="center"/>
    </xf>
    <xf numFmtId="0" fontId="64" fillId="0" borderId="0" xfId="0" applyFont="1" applyAlignment="1">
      <alignment horizontal="center" vertical="top"/>
    </xf>
    <xf numFmtId="0" fontId="46" fillId="0" borderId="0" xfId="0" applyFont="1" applyAlignment="1">
      <alignment horizontal="left" vertical="center"/>
    </xf>
    <xf numFmtId="0" fontId="21" fillId="0" borderId="257" xfId="0" applyFont="1" applyBorder="1" applyAlignment="1">
      <alignment horizontal="left" vertical="center"/>
    </xf>
    <xf numFmtId="0" fontId="21" fillId="0" borderId="258" xfId="0" applyFont="1" applyBorder="1" applyAlignment="1">
      <alignment horizontal="left" vertical="center"/>
    </xf>
    <xf numFmtId="0" fontId="21" fillId="0" borderId="259" xfId="0" applyFont="1" applyBorder="1" applyAlignment="1">
      <alignment horizontal="left" vertical="center"/>
    </xf>
    <xf numFmtId="0" fontId="56" fillId="0" borderId="71" xfId="0" applyFont="1" applyBorder="1" applyAlignment="1">
      <alignment horizontal="left"/>
    </xf>
    <xf numFmtId="0" fontId="70" fillId="0" borderId="71" xfId="0" applyFont="1" applyBorder="1" applyAlignment="1">
      <alignment horizontal="left"/>
    </xf>
    <xf numFmtId="0" fontId="70" fillId="0" borderId="0" xfId="0" applyFont="1" applyBorder="1" applyAlignment="1">
      <alignment horizontal="left"/>
    </xf>
    <xf numFmtId="0" fontId="13" fillId="9" borderId="250" xfId="0" applyFont="1" applyFill="1" applyBorder="1" applyAlignment="1">
      <alignment horizontal="center" vertical="center" shrinkToFit="1"/>
    </xf>
    <xf numFmtId="0" fontId="13" fillId="9" borderId="251" xfId="0" applyFont="1" applyFill="1" applyBorder="1" applyAlignment="1">
      <alignment horizontal="center" vertical="center" shrinkToFit="1"/>
    </xf>
    <xf numFmtId="0" fontId="76" fillId="0" borderId="0" xfId="0" applyFont="1" applyAlignment="1">
      <alignment horizontal="center" vertical="center"/>
    </xf>
    <xf numFmtId="0" fontId="35" fillId="13" borderId="93" xfId="0" applyFont="1" applyFill="1" applyBorder="1" applyAlignment="1">
      <alignment horizontal="center" vertical="center" wrapText="1"/>
    </xf>
    <xf numFmtId="0" fontId="35" fillId="13" borderId="95" xfId="0" applyFont="1" applyFill="1" applyBorder="1" applyAlignment="1">
      <alignment horizontal="center" vertical="center"/>
    </xf>
    <xf numFmtId="0" fontId="34" fillId="0" borderId="88"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0" xfId="0" applyBorder="1" applyAlignment="1" applyProtection="1">
      <alignment horizontal="center"/>
      <protection locked="0"/>
    </xf>
    <xf numFmtId="0" fontId="39" fillId="14" borderId="91" xfId="0" applyFont="1" applyFill="1" applyBorder="1" applyAlignment="1">
      <alignment horizontal="center" vertical="center" wrapText="1"/>
    </xf>
    <xf numFmtId="0" fontId="39" fillId="14" borderId="94" xfId="0" applyFont="1" applyFill="1" applyBorder="1" applyAlignment="1">
      <alignment horizontal="center" vertical="center"/>
    </xf>
    <xf numFmtId="0" fontId="39" fillId="12" borderId="157" xfId="0" applyFont="1" applyFill="1" applyBorder="1" applyAlignment="1">
      <alignment horizontal="center" vertical="center" wrapText="1"/>
    </xf>
    <xf numFmtId="0" fontId="39" fillId="12" borderId="158" xfId="0" applyFont="1" applyFill="1" applyBorder="1" applyAlignment="1">
      <alignment horizontal="center" vertical="center"/>
    </xf>
    <xf numFmtId="0" fontId="18" fillId="11" borderId="84" xfId="0" applyFont="1" applyFill="1" applyBorder="1" applyAlignment="1" applyProtection="1">
      <alignment horizontal="center"/>
    </xf>
    <xf numFmtId="0" fontId="18" fillId="11" borderId="85" xfId="0" applyFont="1" applyFill="1" applyBorder="1" applyAlignment="1" applyProtection="1">
      <alignment horizontal="center"/>
    </xf>
    <xf numFmtId="0" fontId="18" fillId="11" borderId="151" xfId="0" applyFont="1" applyFill="1" applyBorder="1" applyAlignment="1" applyProtection="1">
      <alignment horizontal="center"/>
    </xf>
    <xf numFmtId="0" fontId="18" fillId="11" borderId="86"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7" xfId="0" applyFont="1" applyFill="1" applyBorder="1" applyAlignment="1" applyProtection="1">
      <alignment horizontal="center" vertical="center"/>
    </xf>
    <xf numFmtId="0" fontId="30" fillId="11" borderId="86"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7" xfId="3" applyFill="1" applyBorder="1" applyAlignment="1" applyProtection="1">
      <alignment horizontal="center" vertical="center"/>
      <protection locked="0"/>
    </xf>
    <xf numFmtId="0" fontId="18" fillId="11" borderId="103" xfId="0" applyFont="1" applyFill="1" applyBorder="1" applyAlignment="1" applyProtection="1">
      <alignment horizontal="center"/>
    </xf>
    <xf numFmtId="0" fontId="18" fillId="11" borderId="104" xfId="0" applyFont="1" applyFill="1" applyBorder="1" applyAlignment="1" applyProtection="1">
      <alignment horizontal="center"/>
    </xf>
    <xf numFmtId="0" fontId="18" fillId="11" borderId="152"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2" fillId="0" borderId="71" xfId="0" applyNumberFormat="1" applyFont="1" applyFill="1" applyBorder="1" applyAlignment="1" applyProtection="1">
      <alignment horizontal="center" vertical="center"/>
      <protection hidden="1"/>
    </xf>
    <xf numFmtId="3" fontId="7" fillId="0" borderId="112" xfId="0" applyNumberFormat="1" applyFont="1" applyFill="1" applyBorder="1" applyAlignment="1" applyProtection="1">
      <alignment horizontal="center" vertical="center"/>
      <protection hidden="1"/>
    </xf>
    <xf numFmtId="0" fontId="7" fillId="0" borderId="112" xfId="0" applyNumberFormat="1" applyFont="1" applyFill="1" applyBorder="1" applyAlignment="1" applyProtection="1">
      <alignment horizontal="center" vertical="center"/>
      <protection hidden="1"/>
    </xf>
    <xf numFmtId="0" fontId="50" fillId="0" borderId="163" xfId="0" applyNumberFormat="1" applyFont="1" applyBorder="1" applyAlignment="1">
      <alignment horizontal="center" vertical="center"/>
    </xf>
    <xf numFmtId="0" fontId="50" fillId="0" borderId="164" xfId="0" applyNumberFormat="1" applyFont="1" applyBorder="1" applyAlignment="1">
      <alignment horizontal="center" vertical="center"/>
    </xf>
    <xf numFmtId="0" fontId="50" fillId="0" borderId="165"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DDE96A6C-A63C-4371-A4A2-12FAE9250528}"/>
  </cellStyles>
  <dxfs count="45">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b/>
        <i val="0"/>
        <color rgb="FFDA0000"/>
      </font>
    </dxf>
    <dxf>
      <font>
        <b/>
        <i val="0"/>
        <color rgb="FFDA0000"/>
      </font>
    </dxf>
    <dxf>
      <font>
        <b/>
        <i val="0"/>
        <color rgb="FFDA0000"/>
      </font>
    </dxf>
    <dxf>
      <numFmt numFmtId="165" formatCode=";;;"/>
    </dxf>
    <dxf>
      <font>
        <color rgb="FFFF0000"/>
      </font>
    </dxf>
    <dxf>
      <font>
        <color rgb="FFDA0000"/>
      </font>
    </dxf>
    <dxf>
      <numFmt numFmtId="165" formatCode=";;;"/>
    </dxf>
    <dxf>
      <font>
        <color theme="2" tint="-9.9948118533890809E-2"/>
      </font>
    </dxf>
    <dxf>
      <numFmt numFmtId="165" formatCode=";;;"/>
    </dxf>
    <dxf>
      <font>
        <color rgb="FFFF0000"/>
      </font>
    </dxf>
    <dxf>
      <font>
        <color theme="2" tint="-9.9948118533890809E-2"/>
      </font>
    </dxf>
    <dxf>
      <font>
        <color theme="2" tint="-9.9948118533890809E-2"/>
      </font>
    </dxf>
    <dxf>
      <font>
        <color rgb="FFFF0000"/>
      </font>
    </dxf>
    <dxf>
      <font>
        <color rgb="FFDA0000"/>
      </font>
    </dxf>
    <dxf>
      <font>
        <color rgb="FFDA0000"/>
      </font>
    </dxf>
    <dxf>
      <numFmt numFmtId="165" formatCode=";;;"/>
    </dxf>
    <dxf>
      <font>
        <color rgb="FFFF0000"/>
      </font>
    </dxf>
    <dxf>
      <font>
        <color theme="2" tint="-9.9948118533890809E-2"/>
      </font>
    </dxf>
    <dxf>
      <font>
        <color rgb="FFFF0000"/>
      </font>
    </dxf>
    <dxf>
      <font>
        <color theme="2" tint="-9.9948118533890809E-2"/>
      </font>
    </dxf>
    <dxf>
      <numFmt numFmtId="165" formatCode=";;;"/>
    </dxf>
    <dxf>
      <font>
        <color rgb="FFFF0000"/>
      </font>
    </dxf>
    <dxf>
      <font>
        <color theme="2" tint="-9.9948118533890809E-2"/>
      </font>
    </dxf>
    <dxf>
      <font>
        <color rgb="FFFF0000"/>
      </font>
    </dxf>
    <dxf>
      <font>
        <color theme="2" tint="-9.9948118533890809E-2"/>
      </font>
    </dxf>
    <dxf>
      <font>
        <color theme="2" tint="-9.9948118533890809E-2"/>
      </font>
    </dxf>
    <dxf>
      <font>
        <color theme="2" tint="-9.9948118533890809E-2"/>
      </font>
    </dxf>
    <dxf>
      <font>
        <color rgb="FFFF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FFE0"/>
      <color rgb="FFFFB4B4"/>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1</xdr:row>
      <xdr:rowOff>142875</xdr:rowOff>
    </xdr:from>
    <xdr:to>
      <xdr:col>5</xdr:col>
      <xdr:colOff>600075</xdr:colOff>
      <xdr:row>6</xdr:row>
      <xdr:rowOff>9525</xdr:rowOff>
    </xdr:to>
    <xdr:pic>
      <xdr:nvPicPr>
        <xdr:cNvPr id="4" name="Grafik 3">
          <a:extLst>
            <a:ext uri="{FF2B5EF4-FFF2-40B4-BE49-F238E27FC236}">
              <a16:creationId xmlns:a16="http://schemas.microsoft.com/office/drawing/2014/main" id="{84DB84AA-358A-4121-AC49-A3356A89F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31432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2" name="Grafik 1">
          <a:extLst>
            <a:ext uri="{FF2B5EF4-FFF2-40B4-BE49-F238E27FC236}">
              <a16:creationId xmlns:a16="http://schemas.microsoft.com/office/drawing/2014/main" id="{5CF7E29F-E1F0-4C93-B8F6-3BAEC2AAE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3</xdr:col>
      <xdr:colOff>504825</xdr:colOff>
      <xdr:row>5</xdr:row>
      <xdr:rowOff>123825</xdr:rowOff>
    </xdr:to>
    <xdr:pic>
      <xdr:nvPicPr>
        <xdr:cNvPr id="3" name="Grafik 2">
          <a:extLst>
            <a:ext uri="{FF2B5EF4-FFF2-40B4-BE49-F238E27FC236}">
              <a16:creationId xmlns:a16="http://schemas.microsoft.com/office/drawing/2014/main" id="{4A2B3439-AA2B-499E-9611-7F1276B8A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1</xdr:row>
      <xdr:rowOff>152400</xdr:rowOff>
    </xdr:from>
    <xdr:to>
      <xdr:col>3</xdr:col>
      <xdr:colOff>438150</xdr:colOff>
      <xdr:row>5</xdr:row>
      <xdr:rowOff>123825</xdr:rowOff>
    </xdr:to>
    <xdr:pic>
      <xdr:nvPicPr>
        <xdr:cNvPr id="3" name="Grafik 2">
          <a:extLst>
            <a:ext uri="{FF2B5EF4-FFF2-40B4-BE49-F238E27FC236}">
              <a16:creationId xmlns:a16="http://schemas.microsoft.com/office/drawing/2014/main" id="{1D55BB5F-46FA-4B3E-A1D4-5EB18EF89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3238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1</xdr:row>
      <xdr:rowOff>171450</xdr:rowOff>
    </xdr:from>
    <xdr:to>
      <xdr:col>3</xdr:col>
      <xdr:colOff>457200</xdr:colOff>
      <xdr:row>5</xdr:row>
      <xdr:rowOff>142875</xdr:rowOff>
    </xdr:to>
    <xdr:pic>
      <xdr:nvPicPr>
        <xdr:cNvPr id="3" name="Grafik 2">
          <a:extLst>
            <a:ext uri="{FF2B5EF4-FFF2-40B4-BE49-F238E27FC236}">
              <a16:creationId xmlns:a16="http://schemas.microsoft.com/office/drawing/2014/main" id="{74BD6790-06B0-401B-8B05-4C9C50DB4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66675</xdr:colOff>
      <xdr:row>1</xdr:row>
      <xdr:rowOff>161925</xdr:rowOff>
    </xdr:from>
    <xdr:to>
      <xdr:col>5</xdr:col>
      <xdr:colOff>323850</xdr:colOff>
      <xdr:row>5</xdr:row>
      <xdr:rowOff>142875</xdr:rowOff>
    </xdr:to>
    <xdr:pic>
      <xdr:nvPicPr>
        <xdr:cNvPr id="3" name="Grafik 2">
          <a:extLst>
            <a:ext uri="{FF2B5EF4-FFF2-40B4-BE49-F238E27FC236}">
              <a16:creationId xmlns:a16="http://schemas.microsoft.com/office/drawing/2014/main" id="{CBFA94B2-6706-4790-983C-2958D2437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33337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p>
        <a:p>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in order to view the tables for the direct encounters in the event of a tie in </a:t>
          </a:r>
        </a:p>
        <a:p>
          <a:r>
            <a:rPr lang="de-DE" sz="1400">
              <a:solidFill>
                <a:schemeClr val="dk1"/>
              </a:solidFill>
              <a:effectLst/>
              <a:latin typeface="+mn-lt"/>
              <a:ea typeface="+mn-ea"/>
              <a:cs typeface="+mn-cs"/>
            </a:rPr>
            <a:t>criteria 1 and 2.</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C39"/>
  <sheetViews>
    <sheetView showGridLines="0" showRowColHeaders="0" workbookViewId="0">
      <selection activeCell="C7" sqref="C7:C8"/>
    </sheetView>
  </sheetViews>
  <sheetFormatPr baseColWidth="10" defaultColWidth="0" defaultRowHeight="15.75" zeroHeight="1" x14ac:dyDescent="0.25"/>
  <cols>
    <col min="1" max="1" width="10.7109375" style="46" customWidth="1"/>
    <col min="2" max="2" width="6.7109375" style="46" customWidth="1"/>
    <col min="3" max="3" width="29.85546875" style="46" customWidth="1"/>
    <col min="4" max="4" width="11.42578125" style="46" customWidth="1"/>
    <col min="5" max="6" width="9.85546875" style="46" customWidth="1"/>
    <col min="7" max="7" width="7.28515625" style="46" customWidth="1"/>
    <col min="8" max="8" width="4.5703125" style="46" customWidth="1"/>
    <col min="9" max="9" width="4.7109375" style="46" customWidth="1"/>
    <col min="10" max="10" width="3" style="46" customWidth="1"/>
    <col min="11" max="11" width="4.7109375" style="46" customWidth="1"/>
    <col min="12" max="12" width="24.7109375" style="46" customWidth="1"/>
    <col min="13" max="13" width="3.85546875" style="46" customWidth="1"/>
    <col min="14" max="14" width="24.7109375" style="46" customWidth="1"/>
    <col min="15" max="15" width="15.7109375" style="46" customWidth="1"/>
    <col min="16" max="16" width="9" style="46" customWidth="1"/>
    <col min="17" max="17" width="8.42578125" style="46" customWidth="1"/>
    <col min="18" max="18" width="29.7109375" style="166" customWidth="1"/>
    <col min="19" max="19" width="12.42578125" style="166" customWidth="1"/>
    <col min="20" max="20" width="11.42578125" style="166" customWidth="1"/>
    <col min="21" max="21" width="10.7109375" style="166" customWidth="1"/>
    <col min="22" max="22" width="11.42578125" hidden="1" customWidth="1"/>
    <col min="23" max="29" width="4.7109375" hidden="1" customWidth="1"/>
    <col min="30" max="16384" width="11.42578125" hidden="1"/>
  </cols>
  <sheetData>
    <row r="1" spans="1:29" ht="9.75" customHeight="1" x14ac:dyDescent="0.25">
      <c r="A1" s="160"/>
    </row>
    <row r="2" spans="1:29" ht="33.75" x14ac:dyDescent="0.5">
      <c r="A2" s="159"/>
      <c r="B2" s="236"/>
      <c r="C2" s="236"/>
      <c r="D2" s="236"/>
      <c r="E2" s="792" t="str">
        <f>Language!$E$30</f>
        <v>Participants and schedule</v>
      </c>
      <c r="F2" s="792"/>
      <c r="G2" s="792"/>
      <c r="H2" s="792"/>
      <c r="I2" s="792"/>
      <c r="J2" s="792"/>
      <c r="K2" s="792"/>
      <c r="L2" s="792"/>
      <c r="M2" s="792"/>
      <c r="N2" s="792"/>
      <c r="O2" s="761"/>
      <c r="P2" s="236"/>
      <c r="Q2" s="236"/>
      <c r="R2" s="236"/>
      <c r="S2" s="236"/>
      <c r="T2" s="236"/>
    </row>
    <row r="3" spans="1:29" x14ac:dyDescent="0.25"/>
    <row r="4" spans="1:29" ht="29.25" customHeight="1" thickBot="1" x14ac:dyDescent="0.3">
      <c r="C4" s="306" t="str">
        <f>Language!$E$16&amp;" A"</f>
        <v>Group A</v>
      </c>
      <c r="D4" s="169"/>
      <c r="E4" s="793" t="str">
        <f>Language!$E$32</f>
        <v>Schedule</v>
      </c>
      <c r="F4" s="793"/>
      <c r="G4" s="344"/>
      <c r="H4" s="344"/>
      <c r="I4" s="344"/>
      <c r="J4" s="344"/>
      <c r="K4" s="344"/>
      <c r="L4" s="344"/>
      <c r="M4" s="344"/>
      <c r="N4" s="344"/>
      <c r="O4" s="763"/>
      <c r="P4" s="794" t="str">
        <f>Language!$E$20</f>
        <v>Addit. Pause (min)</v>
      </c>
      <c r="R4" s="397" t="str">
        <f>Language!$E$41</f>
        <v>Playing times</v>
      </c>
    </row>
    <row r="5" spans="1:29" ht="15.95" customHeight="1" thickTop="1" thickBot="1" x14ac:dyDescent="0.3">
      <c r="A5" s="66"/>
      <c r="B5" s="809"/>
      <c r="C5" s="811" t="str">
        <f>Language!$E$10</f>
        <v>Participant or team</v>
      </c>
      <c r="D5" s="62"/>
      <c r="E5" s="183" t="str">
        <f>Language!$E$33</f>
        <v>Game no.</v>
      </c>
      <c r="F5" s="184" t="str">
        <f>Language!$E$39</f>
        <v>Start</v>
      </c>
      <c r="G5" s="184" t="str">
        <f>Language!$E$48</f>
        <v>Field</v>
      </c>
      <c r="H5" s="184" t="str">
        <f>Language!$E$17</f>
        <v>Grp</v>
      </c>
      <c r="I5" s="813" t="str">
        <f>Language!$E$34</f>
        <v>Pairings</v>
      </c>
      <c r="J5" s="813"/>
      <c r="K5" s="813"/>
      <c r="L5" s="813" t="str">
        <f>Language!$E$31</f>
        <v>Participants</v>
      </c>
      <c r="M5" s="813"/>
      <c r="N5" s="814"/>
      <c r="O5" s="768" t="str">
        <f>Language!$E$68</f>
        <v>Referee</v>
      </c>
      <c r="P5" s="795"/>
      <c r="R5" s="815" t="str">
        <f>Language!$E$39</f>
        <v>Start</v>
      </c>
      <c r="S5" s="796">
        <v>0.375</v>
      </c>
      <c r="T5" s="798" t="str">
        <f>Language!$E$45</f>
        <v xml:space="preserve"> </v>
      </c>
      <c r="U5" s="167"/>
      <c r="W5" s="445"/>
      <c r="X5" s="446">
        <v>1</v>
      </c>
      <c r="Y5" s="446">
        <v>2</v>
      </c>
      <c r="Z5" s="446">
        <v>3</v>
      </c>
      <c r="AA5" s="446">
        <v>4</v>
      </c>
      <c r="AB5" s="446">
        <v>5</v>
      </c>
      <c r="AC5" s="447">
        <v>6</v>
      </c>
    </row>
    <row r="6" spans="1:29" ht="15.95" customHeight="1" x14ac:dyDescent="0.25">
      <c r="A6" s="66"/>
      <c r="B6" s="810"/>
      <c r="C6" s="812"/>
      <c r="D6" s="514">
        <v>1</v>
      </c>
      <c r="E6" s="465">
        <f>IF($D6&gt;Calc1!$B$14,"",1)</f>
        <v>1</v>
      </c>
      <c r="F6" s="185">
        <f>IF(OR($V$15,$D6&gt;Calc1!$B$14),"",$S$5)</f>
        <v>0.375</v>
      </c>
      <c r="G6" s="175" t="str">
        <f>IF(OR($V$15,$D6&gt;Calc1!$B$14),"","1")</f>
        <v>1</v>
      </c>
      <c r="H6" s="325" t="str">
        <f ca="1">IF($I6="","",IF(LEFT($I6,1)&lt;&gt;LEFT($K6,1),"??",LEFT($I6,1)))</f>
        <v>A</v>
      </c>
      <c r="I6" s="347" t="str">
        <f t="array" aca="1" ref="I6:I35" ca="1">IF(Calc1!$F$14&lt;3,"",IF(OFFSET(Pairings!$A$1,0,(Calc1!$F$14-2)*4-1,30,1)="","",OFFSET(Pairings!$A$1,0,(Calc1!$F$14-2)*4-1,30,1)))</f>
        <v>A5</v>
      </c>
      <c r="J6" s="348" t="s">
        <v>4</v>
      </c>
      <c r="K6" s="349" t="str">
        <f t="array" aca="1" ref="K6:K35" ca="1">IF(Calc1!$F$14&lt;3,"",IF(OFFSET(Pairings!$A$1,0,(Calc1!$F$14-2)*4,30,1)="","",OFFSET(Pairings!$A$1,0,(Calc1!$F$14-2)*4,30,1)))</f>
        <v>A2</v>
      </c>
      <c r="L6" s="180" t="str">
        <f ca="1">IF($I6="","",IF(VLOOKUP($I6,$B$7:$C$35,2,0)="","",VLOOKUP($I6,$B$7:$C$35,2,0)))</f>
        <v>VFB Essenheim</v>
      </c>
      <c r="M6" s="181" t="s">
        <v>4</v>
      </c>
      <c r="N6" s="182" t="str">
        <f ca="1">IF($K6="","",IF(VLOOKUP($K6,$B$7:$C$35,2,0)="","",VLOOKUP($K6,$B$7:$C$35,2,0)))</f>
        <v>FC Barcelona</v>
      </c>
      <c r="O6" s="769"/>
      <c r="P6" s="764"/>
      <c r="Q6" s="345"/>
      <c r="R6" s="816"/>
      <c r="S6" s="797"/>
      <c r="T6" s="799"/>
      <c r="U6" s="167"/>
      <c r="W6" s="448">
        <v>1</v>
      </c>
      <c r="X6" s="500">
        <v>6</v>
      </c>
      <c r="Y6" s="501">
        <v>6</v>
      </c>
      <c r="Z6" s="501">
        <v>6</v>
      </c>
      <c r="AA6" s="501">
        <v>6</v>
      </c>
      <c r="AB6" s="501">
        <v>6</v>
      </c>
      <c r="AC6" s="502">
        <v>6</v>
      </c>
    </row>
    <row r="7" spans="1:29" ht="15.95" customHeight="1" x14ac:dyDescent="0.25">
      <c r="A7" s="66"/>
      <c r="B7" s="817" t="s">
        <v>194</v>
      </c>
      <c r="C7" s="819" t="s">
        <v>248</v>
      </c>
      <c r="D7" s="514">
        <v>2</v>
      </c>
      <c r="E7" s="466">
        <f t="array" aca="1" ref="E7" ca="1">IF($D7&gt;Calc1!$B$14,"",ROW(2:2)-SUM((($L$6:$L6="")+($N$6:$N6="")&gt;0)*1))</f>
        <v>2</v>
      </c>
      <c r="F7" s="174">
        <f ca="1">IF(OR($V$15,$D7&gt;Calc1!$B$14),"",$S$5+QUOTIENT(($E7-1),$V$11)*($S$7+$S$9)/1440+SUM($P$6:$P6)/1440)</f>
        <v>0.375</v>
      </c>
      <c r="G7" s="176">
        <f ca="1">IF(OR($V$15,$D7&gt;Calc1!$B$14),"",MOD($E7-1,$V$11)+1)</f>
        <v>2</v>
      </c>
      <c r="H7" s="325" t="str">
        <f t="shared" ref="H7:H35" ca="1" si="0">IF($I7="","",IF(LEFT($I7,1)&lt;&gt;LEFT($K7,1),"??",LEFT($I7,1)))</f>
        <v>B</v>
      </c>
      <c r="I7" s="350" t="str">
        <f ca="1"/>
        <v>B5</v>
      </c>
      <c r="J7" s="351" t="s">
        <v>4</v>
      </c>
      <c r="K7" s="352" t="str">
        <f ca="1"/>
        <v>B2</v>
      </c>
      <c r="L7" s="180" t="str">
        <f t="shared" ref="L7:L35" ca="1" si="1">IF($I7="","",IF(VLOOKUP($I7,$B$7:$C$35,2,0)="","",VLOOKUP($I7,$B$7:$C$35,2,0)))</f>
        <v>FC Grönlingen</v>
      </c>
      <c r="M7" s="47" t="s">
        <v>4</v>
      </c>
      <c r="N7" s="182" t="str">
        <f t="shared" ref="N7:N35" ca="1" si="2">IF($K7="","",IF(VLOOKUP($K7,$B$7:$C$35,2,0)="","",VLOOKUP($K7,$B$7:$C$35,2,0)))</f>
        <v>Inter Mailand</v>
      </c>
      <c r="O7" s="770"/>
      <c r="P7" s="765"/>
      <c r="Q7" s="345"/>
      <c r="R7" s="816" t="str">
        <f>Language!$E$42</f>
        <v>Playing time per match:</v>
      </c>
      <c r="S7" s="800">
        <v>30</v>
      </c>
      <c r="T7" s="799" t="s">
        <v>158</v>
      </c>
      <c r="U7" s="120"/>
      <c r="V7" t="s">
        <v>260</v>
      </c>
      <c r="W7" s="448">
        <v>2</v>
      </c>
      <c r="X7" s="503">
        <v>6</v>
      </c>
      <c r="Y7" s="504">
        <v>6</v>
      </c>
      <c r="Z7" s="504">
        <v>6</v>
      </c>
      <c r="AA7" s="504">
        <v>6</v>
      </c>
      <c r="AB7" s="504">
        <v>6</v>
      </c>
      <c r="AC7" s="505">
        <v>6</v>
      </c>
    </row>
    <row r="8" spans="1:29" ht="15.95" customHeight="1" x14ac:dyDescent="0.25">
      <c r="A8" s="66"/>
      <c r="B8" s="818"/>
      <c r="C8" s="820"/>
      <c r="D8" s="514">
        <v>3</v>
      </c>
      <c r="E8" s="466">
        <f t="array" aca="1" ref="E8" ca="1">IF($D8&gt;Calc1!$B$14,"",ROW(3:3)-SUM((($L$6:$L7="")+($N$6:$N7="")&gt;0)*1))</f>
        <v>3</v>
      </c>
      <c r="F8" s="174">
        <f ca="1">IF(OR($V$15,$D8&gt;Calc1!$B$14),"",$S$5+QUOTIENT(($E8-1),$V$11)*($S$7+$S$9)/1440+SUM($P$6:$P7)/1440)</f>
        <v>0.375</v>
      </c>
      <c r="G8" s="176">
        <f ca="1">IF(OR($V$15,$D8&gt;Calc1!$B$14),"",MOD($E8-1,$V$11)+1)</f>
        <v>3</v>
      </c>
      <c r="H8" s="325" t="str">
        <f t="shared" ca="1" si="0"/>
        <v>A</v>
      </c>
      <c r="I8" s="350" t="str">
        <f ca="1"/>
        <v>A3</v>
      </c>
      <c r="J8" s="351" t="s">
        <v>4</v>
      </c>
      <c r="K8" s="352" t="str">
        <f ca="1"/>
        <v>A4</v>
      </c>
      <c r="L8" s="180" t="str">
        <f t="shared" ca="1" si="1"/>
        <v>Eintracht Frankfurt</v>
      </c>
      <c r="M8" s="47" t="s">
        <v>4</v>
      </c>
      <c r="N8" s="182" t="str">
        <f t="shared" ca="1" si="2"/>
        <v>Maibach 1822 eV</v>
      </c>
      <c r="O8" s="770"/>
      <c r="P8" s="765"/>
      <c r="Q8" s="345"/>
      <c r="R8" s="816"/>
      <c r="S8" s="800"/>
      <c r="T8" s="799"/>
      <c r="U8" s="167"/>
      <c r="V8" t="s">
        <v>259</v>
      </c>
      <c r="W8" s="448">
        <v>3</v>
      </c>
      <c r="X8" s="503">
        <v>6</v>
      </c>
      <c r="Y8" s="504">
        <v>6</v>
      </c>
      <c r="Z8" s="504">
        <v>6</v>
      </c>
      <c r="AA8" s="504">
        <v>6</v>
      </c>
      <c r="AB8" s="504">
        <v>6</v>
      </c>
      <c r="AC8" s="505">
        <v>6</v>
      </c>
    </row>
    <row r="9" spans="1:29" ht="15.95" customHeight="1" x14ac:dyDescent="0.25">
      <c r="A9" s="66"/>
      <c r="B9" s="821" t="s">
        <v>196</v>
      </c>
      <c r="C9" s="822" t="s">
        <v>249</v>
      </c>
      <c r="D9" s="514">
        <v>4</v>
      </c>
      <c r="E9" s="466">
        <f t="array" aca="1" ref="E9" ca="1">IF($D9&gt;Calc1!$B$14,"",ROW(4:4)-SUM((($L$6:$L8="")+($N$6:$N8="")&gt;0)*1))</f>
        <v>4</v>
      </c>
      <c r="F9" s="174">
        <f ca="1">IF(OR($V$15,$D9&gt;Calc1!$B$14),"",$S$5+QUOTIENT(($E9-1),$V$11)*($S$7+$S$9)/1440+SUM($P$6:$P8)/1440)</f>
        <v>0.375</v>
      </c>
      <c r="G9" s="176">
        <f ca="1">IF(OR($V$15,$D9&gt;Calc1!$B$14),"",MOD($E9-1,$V$11)+1)</f>
        <v>4</v>
      </c>
      <c r="H9" s="325" t="str">
        <f t="shared" ca="1" si="0"/>
        <v>B</v>
      </c>
      <c r="I9" s="350" t="str">
        <f ca="1"/>
        <v>B3</v>
      </c>
      <c r="J9" s="351" t="s">
        <v>4</v>
      </c>
      <c r="K9" s="352" t="str">
        <f ca="1"/>
        <v>B4</v>
      </c>
      <c r="L9" s="180" t="str">
        <f t="shared" ca="1" si="1"/>
        <v>SSV Wildbach</v>
      </c>
      <c r="M9" s="47" t="s">
        <v>4</v>
      </c>
      <c r="N9" s="182" t="str">
        <f t="shared" ca="1" si="2"/>
        <v>Manchester City</v>
      </c>
      <c r="O9" s="770"/>
      <c r="P9" s="765"/>
      <c r="Q9" s="345"/>
      <c r="R9" s="816" t="str">
        <f>Language!$E$43</f>
        <v>Change time:</v>
      </c>
      <c r="S9" s="800">
        <v>5</v>
      </c>
      <c r="T9" s="799" t="s">
        <v>158</v>
      </c>
      <c r="U9" s="167"/>
      <c r="V9" t="s">
        <v>258</v>
      </c>
      <c r="W9" s="448">
        <v>4</v>
      </c>
      <c r="X9" s="503">
        <v>6</v>
      </c>
      <c r="Y9" s="504">
        <v>6</v>
      </c>
      <c r="Z9" s="504">
        <v>6</v>
      </c>
      <c r="AA9" s="504">
        <v>6</v>
      </c>
      <c r="AB9" s="504">
        <v>6</v>
      </c>
      <c r="AC9" s="505">
        <v>6</v>
      </c>
    </row>
    <row r="10" spans="1:29" ht="15.95" customHeight="1" x14ac:dyDescent="0.25">
      <c r="A10" s="66"/>
      <c r="B10" s="818"/>
      <c r="C10" s="820"/>
      <c r="D10" s="514">
        <v>5</v>
      </c>
      <c r="E10" s="466">
        <f t="array" aca="1" ref="E10" ca="1">IF($D10&gt;Calc1!$B$14,"",ROW(5:5)-SUM((($L$6:$L9="")+($N$6:$N9="")&gt;0)*1))</f>
        <v>5</v>
      </c>
      <c r="F10" s="174">
        <f ca="1">IF(OR($V$15,$D10&gt;Calc1!$B$14),"",$S$5+QUOTIENT(($E10-1),$V$11)*($S$7+$S$9)/1440+SUM($P$6:$P9)/1440)</f>
        <v>0.39930555555555558</v>
      </c>
      <c r="G10" s="176">
        <f ca="1">IF(OR($V$15,$D10&gt;Calc1!$B$14),"",MOD($E10-1,$V$11)+1)</f>
        <v>1</v>
      </c>
      <c r="H10" s="325" t="str">
        <f t="shared" ca="1" si="0"/>
        <v>A</v>
      </c>
      <c r="I10" s="350" t="str">
        <f ca="1"/>
        <v>A5</v>
      </c>
      <c r="J10" s="351" t="s">
        <v>4</v>
      </c>
      <c r="K10" s="352" t="str">
        <f ca="1"/>
        <v>A1</v>
      </c>
      <c r="L10" s="180" t="str">
        <f t="shared" ca="1" si="1"/>
        <v>VFB Essenheim</v>
      </c>
      <c r="M10" s="47" t="s">
        <v>4</v>
      </c>
      <c r="N10" s="182" t="str">
        <f t="shared" ca="1" si="2"/>
        <v>1. FC Riedwald</v>
      </c>
      <c r="O10" s="770"/>
      <c r="P10" s="765"/>
      <c r="Q10" s="345"/>
      <c r="R10" s="816"/>
      <c r="S10" s="800"/>
      <c r="T10" s="799"/>
      <c r="U10" s="167"/>
      <c r="V10" s="450">
        <f>IF(OR(Calc1!$F$13&lt;1,Calc2!$F$13&lt;1),6,INDEX($X$6:$AC$11,Calc1!$F$13,Calc2!$F$13))</f>
        <v>6</v>
      </c>
      <c r="W10" s="448">
        <v>5</v>
      </c>
      <c r="X10" s="503">
        <v>6</v>
      </c>
      <c r="Y10" s="504">
        <v>6</v>
      </c>
      <c r="Z10" s="504">
        <v>6</v>
      </c>
      <c r="AA10" s="504">
        <v>6</v>
      </c>
      <c r="AB10" s="504">
        <v>6</v>
      </c>
      <c r="AC10" s="505">
        <v>6</v>
      </c>
    </row>
    <row r="11" spans="1:29" ht="15.95" customHeight="1" thickBot="1" x14ac:dyDescent="0.3">
      <c r="A11" s="66"/>
      <c r="B11" s="821" t="s">
        <v>192</v>
      </c>
      <c r="C11" s="822" t="s">
        <v>250</v>
      </c>
      <c r="D11" s="514">
        <v>6</v>
      </c>
      <c r="E11" s="466">
        <f t="array" aca="1" ref="E11" ca="1">IF($D11&gt;Calc1!$B$14,"",ROW(6:6)-SUM((($L$6:$L10="")+($N$6:$N10="")&gt;0)*1))</f>
        <v>6</v>
      </c>
      <c r="F11" s="174">
        <f ca="1">IF(OR($V$15,$D11&gt;Calc1!$B$14),"",$S$5+QUOTIENT(($E11-1),$V$11)*($S$7+$S$9)/1440+SUM($P$6:$P10)/1440)</f>
        <v>0.39930555555555558</v>
      </c>
      <c r="G11" s="176">
        <f ca="1">IF(OR($V$15,$D11&gt;Calc1!$B$14),"",MOD($E11-1,$V$11)+1)</f>
        <v>2</v>
      </c>
      <c r="H11" s="325" t="str">
        <f t="shared" ca="1" si="0"/>
        <v>B</v>
      </c>
      <c r="I11" s="350" t="str">
        <f ca="1"/>
        <v>B5</v>
      </c>
      <c r="J11" s="351" t="s">
        <v>4</v>
      </c>
      <c r="K11" s="352" t="str">
        <f ca="1"/>
        <v>B1</v>
      </c>
      <c r="L11" s="180" t="str">
        <f t="shared" ca="1" si="1"/>
        <v>FC Grönlingen</v>
      </c>
      <c r="M11" s="47" t="s">
        <v>4</v>
      </c>
      <c r="N11" s="182" t="str">
        <f t="shared" ca="1" si="2"/>
        <v>Mainz 05</v>
      </c>
      <c r="O11" s="770"/>
      <c r="P11" s="765"/>
      <c r="Q11" s="345"/>
      <c r="R11" s="816" t="str">
        <f>Language!$E$44</f>
        <v>Number of fields:</v>
      </c>
      <c r="S11" s="800">
        <v>4</v>
      </c>
      <c r="T11" s="805" t="str">
        <f>"(max. "&amp;$V$10&amp;")"</f>
        <v>(max. 6)</v>
      </c>
      <c r="V11" s="450">
        <f>MIN($S$11,$V$10)</f>
        <v>4</v>
      </c>
      <c r="W11" s="449">
        <v>6</v>
      </c>
      <c r="X11" s="506">
        <v>6</v>
      </c>
      <c r="Y11" s="507">
        <v>6</v>
      </c>
      <c r="Z11" s="507">
        <v>6</v>
      </c>
      <c r="AA11" s="507">
        <v>6</v>
      </c>
      <c r="AB11" s="507">
        <v>6</v>
      </c>
      <c r="AC11" s="508">
        <v>6</v>
      </c>
    </row>
    <row r="12" spans="1:29" ht="15.95" customHeight="1" thickTop="1" thickBot="1" x14ac:dyDescent="0.3">
      <c r="A12" s="66"/>
      <c r="B12" s="818"/>
      <c r="C12" s="820"/>
      <c r="D12" s="514">
        <v>7</v>
      </c>
      <c r="E12" s="466">
        <f t="array" aca="1" ref="E12" ca="1">IF($D12&gt;Calc1!$B$14,"",ROW(7:7)-SUM((($L$6:$L11="")+($N$6:$N11="")&gt;0)*1))</f>
        <v>7</v>
      </c>
      <c r="F12" s="174">
        <f ca="1">IF(OR($V$15,$D12&gt;Calc1!$B$14),"",$S$5+QUOTIENT(($E12-1),$V$11)*($S$7+$S$9)/1440+SUM($P$6:$P11)/1440)</f>
        <v>0.39930555555555558</v>
      </c>
      <c r="G12" s="176">
        <f ca="1">IF(OR($V$15,$D12&gt;Calc1!$B$14),"",MOD($E12-1,$V$11)+1)</f>
        <v>3</v>
      </c>
      <c r="H12" s="325" t="str">
        <f t="shared" ca="1" si="0"/>
        <v>A</v>
      </c>
      <c r="I12" s="350" t="str">
        <f ca="1"/>
        <v>A2</v>
      </c>
      <c r="J12" s="351" t="s">
        <v>4</v>
      </c>
      <c r="K12" s="352" t="str">
        <f ca="1"/>
        <v>A3</v>
      </c>
      <c r="L12" s="180" t="str">
        <f t="shared" ca="1" si="1"/>
        <v>FC Barcelona</v>
      </c>
      <c r="M12" s="47" t="s">
        <v>4</v>
      </c>
      <c r="N12" s="182" t="str">
        <f t="shared" ca="1" si="2"/>
        <v>Eintracht Frankfurt</v>
      </c>
      <c r="O12" s="770"/>
      <c r="P12" s="765"/>
      <c r="Q12" s="345"/>
      <c r="R12" s="825"/>
      <c r="S12" s="804"/>
      <c r="T12" s="806"/>
      <c r="U12" s="120"/>
      <c r="V12" s="464" t="s">
        <v>275</v>
      </c>
    </row>
    <row r="13" spans="1:29" ht="15.95" customHeight="1" x14ac:dyDescent="0.25">
      <c r="A13" s="66"/>
      <c r="B13" s="821" t="s">
        <v>198</v>
      </c>
      <c r="C13" s="822" t="s">
        <v>251</v>
      </c>
      <c r="D13" s="514">
        <v>8</v>
      </c>
      <c r="E13" s="466">
        <f t="array" aca="1" ref="E13" ca="1">IF($D13&gt;Calc1!$B$14,"",ROW(8:8)-SUM((($L$6:$L12="")+($N$6:$N12="")&gt;0)*1))</f>
        <v>8</v>
      </c>
      <c r="F13" s="174">
        <f ca="1">IF(OR($V$15,$D13&gt;Calc1!$B$14),"",$S$5+QUOTIENT(($E13-1),$V$11)*($S$7+$S$9)/1440+SUM($P$6:$P12)/1440)</f>
        <v>0.39930555555555558</v>
      </c>
      <c r="G13" s="176">
        <f ca="1">IF(OR($V$15,$D13&gt;Calc1!$B$14),"",MOD($E13-1,$V$11)+1)</f>
        <v>4</v>
      </c>
      <c r="H13" s="325" t="str">
        <f t="shared" ca="1" si="0"/>
        <v>B</v>
      </c>
      <c r="I13" s="350" t="str">
        <f ca="1"/>
        <v>B2</v>
      </c>
      <c r="J13" s="351" t="s">
        <v>4</v>
      </c>
      <c r="K13" s="352" t="str">
        <f ca="1"/>
        <v>B3</v>
      </c>
      <c r="L13" s="180" t="str">
        <f t="shared" ca="1" si="1"/>
        <v>Inter Mailand</v>
      </c>
      <c r="M13" s="47" t="s">
        <v>4</v>
      </c>
      <c r="N13" s="182" t="str">
        <f t="shared" ca="1" si="2"/>
        <v>SSV Wildbach</v>
      </c>
      <c r="O13" s="770"/>
      <c r="P13" s="765"/>
      <c r="Q13" s="345"/>
      <c r="R13" s="823" t="str">
        <f>Language!$E$40</f>
        <v>End of preliminary round:</v>
      </c>
      <c r="S13" s="807">
        <f t="array" aca="1" ref="S13" ca="1">IF($V$15,"",$S$5+(ROUNDUP((Calc1!$B$14-SUM(((OFFSET($L$6,,,Calc1!$B$14,1)="")+(OFFSET($N$6,,,Calc1!$B$14,1)="")&gt;0)*1))/$V11,0)*($S$7+$S$9)-$S$9)/1440+SUM(OFFSET($P$6,,,Calc1!$B$14-1,1))/1440)</f>
        <v>0.49305555555555558</v>
      </c>
      <c r="T13" s="801"/>
      <c r="U13" s="167"/>
      <c r="V13" s="451" t="s">
        <v>261</v>
      </c>
    </row>
    <row r="14" spans="1:29" ht="15.95" customHeight="1" thickBot="1" x14ac:dyDescent="0.3">
      <c r="A14" s="66"/>
      <c r="B14" s="818"/>
      <c r="C14" s="820"/>
      <c r="D14" s="514">
        <v>9</v>
      </c>
      <c r="E14" s="466">
        <f t="array" aca="1" ref="E14" ca="1">IF($D14&gt;Calc1!$B$14,"",ROW(9:9)-SUM((($L$6:$L13="")+($N$6:$N13="")&gt;0)*1))</f>
        <v>9</v>
      </c>
      <c r="F14" s="174">
        <f ca="1">IF(OR($V$15,$D14&gt;Calc1!$B$14),"",$S$5+QUOTIENT(($E14-1),$V$11)*($S$7+$S$9)/1440+SUM($P$6:$P13)/1440)</f>
        <v>0.4236111111111111</v>
      </c>
      <c r="G14" s="176">
        <f ca="1">IF(OR($V$15,$D14&gt;Calc1!$B$14),"",MOD($E14-1,$V$11)+1)</f>
        <v>1</v>
      </c>
      <c r="H14" s="325" t="str">
        <f t="shared" ca="1" si="0"/>
        <v>A</v>
      </c>
      <c r="I14" s="350" t="str">
        <f ca="1"/>
        <v>A1</v>
      </c>
      <c r="J14" s="351" t="s">
        <v>4</v>
      </c>
      <c r="K14" s="352" t="str">
        <f ca="1"/>
        <v>A4</v>
      </c>
      <c r="L14" s="180" t="str">
        <f t="shared" ca="1" si="1"/>
        <v>1. FC Riedwald</v>
      </c>
      <c r="M14" s="47" t="s">
        <v>4</v>
      </c>
      <c r="N14" s="182" t="str">
        <f t="shared" ca="1" si="2"/>
        <v>Maibach 1822 eV</v>
      </c>
      <c r="O14" s="770"/>
      <c r="P14" s="765"/>
      <c r="Q14" s="345"/>
      <c r="R14" s="824"/>
      <c r="S14" s="808"/>
      <c r="T14" s="802"/>
      <c r="U14" s="167"/>
      <c r="V14" s="451" t="s">
        <v>262</v>
      </c>
    </row>
    <row r="15" spans="1:29" ht="15.95" customHeight="1" x14ac:dyDescent="0.25">
      <c r="A15" s="66"/>
      <c r="B15" s="821" t="s">
        <v>200</v>
      </c>
      <c r="C15" s="822" t="s">
        <v>322</v>
      </c>
      <c r="D15" s="514">
        <v>10</v>
      </c>
      <c r="E15" s="466">
        <f t="array" aca="1" ref="E15" ca="1">IF($D15&gt;Calc1!$B$14,"",ROW(10:10)-SUM((($L$6:$L14="")+($N$6:$N14="")&gt;0)*1))</f>
        <v>10</v>
      </c>
      <c r="F15" s="174">
        <f ca="1">IF(OR($V$15,$D15&gt;Calc1!$B$14),"",$S$5+QUOTIENT(($E15-1),$V$11)*($S$7+$S$9)/1440+SUM($P$6:$P14)/1440)</f>
        <v>0.4236111111111111</v>
      </c>
      <c r="G15" s="176">
        <f ca="1">IF(OR($V$15,$D15&gt;Calc1!$B$14),"",MOD($E15-1,$V$11)+1)</f>
        <v>2</v>
      </c>
      <c r="H15" s="325" t="str">
        <f t="shared" ca="1" si="0"/>
        <v>B</v>
      </c>
      <c r="I15" s="350" t="str">
        <f ca="1"/>
        <v>B1</v>
      </c>
      <c r="J15" s="351" t="s">
        <v>4</v>
      </c>
      <c r="K15" s="352" t="str">
        <f ca="1"/>
        <v>B4</v>
      </c>
      <c r="L15" s="180" t="str">
        <f t="shared" ca="1" si="1"/>
        <v>Mainz 05</v>
      </c>
      <c r="M15" s="47" t="s">
        <v>4</v>
      </c>
      <c r="N15" s="182" t="str">
        <f t="shared" ca="1" si="2"/>
        <v>Manchester City</v>
      </c>
      <c r="O15" s="770"/>
      <c r="P15" s="765"/>
      <c r="Q15" s="345"/>
      <c r="R15" s="518" t="str">
        <f>Language!$E$93</f>
        <v>End of tournament (final round 1):</v>
      </c>
      <c r="S15" s="521">
        <f ca="1">'Finals 1'!$I$19</f>
        <v>0.54166666666666674</v>
      </c>
      <c r="T15" s="455"/>
      <c r="U15" s="167"/>
      <c r="V15" s="452" t="b">
        <f>OR($S$5="",$S$7="",$S$9="",$S$11="",Calc1!$F$14&lt;3)</f>
        <v>0</v>
      </c>
    </row>
    <row r="16" spans="1:29" ht="15.95" customHeight="1" x14ac:dyDescent="0.25">
      <c r="A16" s="66"/>
      <c r="B16" s="818"/>
      <c r="C16" s="820"/>
      <c r="D16" s="514">
        <v>11</v>
      </c>
      <c r="E16" s="466">
        <f t="array" aca="1" ref="E16" ca="1">IF($D16&gt;Calc1!$B$14,"",ROW(11:11)-SUM((($L$6:$L15="")+($N$6:$N15="")&gt;0)*1))</f>
        <v>11</v>
      </c>
      <c r="F16" s="174">
        <f ca="1">IF(OR($V$15,$D16&gt;Calc1!$B$14),"",$S$5+QUOTIENT(($E16-1),$V$11)*($S$7+$S$9)/1440+SUM($P$6:$P15)/1440)</f>
        <v>0.4236111111111111</v>
      </c>
      <c r="G16" s="176">
        <f ca="1">IF(OR($V$15,$D16&gt;Calc1!$B$14),"",MOD($E16-1,$V$11)+1)</f>
        <v>3</v>
      </c>
      <c r="H16" s="325" t="str">
        <f t="shared" ca="1" si="0"/>
        <v>A</v>
      </c>
      <c r="I16" s="350" t="str">
        <f ca="1"/>
        <v>A3</v>
      </c>
      <c r="J16" s="351" t="s">
        <v>4</v>
      </c>
      <c r="K16" s="352" t="str">
        <f ca="1"/>
        <v>A5</v>
      </c>
      <c r="L16" s="180" t="str">
        <f t="shared" ca="1" si="1"/>
        <v>Eintracht Frankfurt</v>
      </c>
      <c r="M16" s="47" t="s">
        <v>4</v>
      </c>
      <c r="N16" s="182" t="str">
        <f t="shared" ca="1" si="2"/>
        <v>VFB Essenheim</v>
      </c>
      <c r="O16" s="770"/>
      <c r="P16" s="765"/>
      <c r="Q16" s="345"/>
      <c r="R16" s="519" t="str">
        <f>Language!$E$94</f>
        <v>End of tournament (final round 2):</v>
      </c>
      <c r="S16" s="522">
        <f ca="1">'Finals 2'!$I$23</f>
        <v>0.60069444444444453</v>
      </c>
      <c r="T16" s="517"/>
      <c r="U16" s="167"/>
    </row>
    <row r="17" spans="1:29" ht="15.95" customHeight="1" x14ac:dyDescent="0.25">
      <c r="A17" s="66"/>
      <c r="B17" s="821" t="s">
        <v>202</v>
      </c>
      <c r="C17" s="822"/>
      <c r="D17" s="514">
        <v>12</v>
      </c>
      <c r="E17" s="466">
        <f t="array" aca="1" ref="E17" ca="1">IF($D17&gt;Calc1!$B$14,"",ROW(12:12)-SUM((($L$6:$L16="")+($N$6:$N16="")&gt;0)*1))</f>
        <v>12</v>
      </c>
      <c r="F17" s="174">
        <f ca="1">IF(OR($V$15,$D17&gt;Calc1!$B$14),"",$S$5+QUOTIENT(($E17-1),$V$11)*($S$7+$S$9)/1440+SUM($P$6:$P16)/1440)</f>
        <v>0.4236111111111111</v>
      </c>
      <c r="G17" s="176">
        <f ca="1">IF(OR($V$15,$D17&gt;Calc1!$B$14),"",MOD($E17-1,$V$11)+1)</f>
        <v>4</v>
      </c>
      <c r="H17" s="325" t="str">
        <f t="shared" ca="1" si="0"/>
        <v>B</v>
      </c>
      <c r="I17" s="350" t="str">
        <f ca="1"/>
        <v>B3</v>
      </c>
      <c r="J17" s="351" t="s">
        <v>4</v>
      </c>
      <c r="K17" s="352" t="str">
        <f ca="1"/>
        <v>B5</v>
      </c>
      <c r="L17" s="180" t="str">
        <f t="shared" ca="1" si="1"/>
        <v>SSV Wildbach</v>
      </c>
      <c r="M17" s="47" t="s">
        <v>4</v>
      </c>
      <c r="N17" s="182" t="str">
        <f t="shared" ca="1" si="2"/>
        <v>FC Grönlingen</v>
      </c>
      <c r="O17" s="770"/>
      <c r="P17" s="765"/>
      <c r="Q17" s="345"/>
      <c r="R17" s="519" t="str">
        <f>Language!$E$95</f>
        <v>End of tournament (final round 3):</v>
      </c>
      <c r="S17" s="522">
        <f ca="1">'Finals 3'!$I$18</f>
        <v>0.56597222222222232</v>
      </c>
      <c r="T17" s="517"/>
      <c r="U17" s="167"/>
      <c r="W17" s="165">
        <f>Calc1!$F$13</f>
        <v>5</v>
      </c>
      <c r="X17" s="165">
        <f>Calc2!$F$13</f>
        <v>5</v>
      </c>
    </row>
    <row r="18" spans="1:29" ht="15.95" customHeight="1" thickBot="1" x14ac:dyDescent="0.3">
      <c r="A18" s="66"/>
      <c r="B18" s="831"/>
      <c r="C18" s="826"/>
      <c r="D18" s="514">
        <v>13</v>
      </c>
      <c r="E18" s="466">
        <f t="array" aca="1" ref="E18" ca="1">IF($D18&gt;Calc1!$B$14,"",ROW(13:13)-SUM((($L$6:$L17="")+($N$6:$N17="")&gt;0)*1))</f>
        <v>13</v>
      </c>
      <c r="F18" s="174">
        <f ca="1">IF(OR($V$15,$D18&gt;Calc1!$B$14),"",$S$5+QUOTIENT(($E18-1),$V$11)*($S$7+$S$9)/1440+SUM($P$6:$P17)/1440)</f>
        <v>0.44791666666666669</v>
      </c>
      <c r="G18" s="176">
        <f ca="1">IF(OR($V$15,$D18&gt;Calc1!$B$14),"",MOD($E18-1,$V$11)+1)</f>
        <v>1</v>
      </c>
      <c r="H18" s="325" t="str">
        <f t="shared" ca="1" si="0"/>
        <v>A</v>
      </c>
      <c r="I18" s="350" t="str">
        <f ca="1"/>
        <v>A2</v>
      </c>
      <c r="J18" s="351" t="s">
        <v>4</v>
      </c>
      <c r="K18" s="352" t="str">
        <f ca="1"/>
        <v>A4</v>
      </c>
      <c r="L18" s="180" t="str">
        <f t="shared" ca="1" si="1"/>
        <v>FC Barcelona</v>
      </c>
      <c r="M18" s="47" t="s">
        <v>4</v>
      </c>
      <c r="N18" s="182" t="str">
        <f t="shared" ca="1" si="2"/>
        <v>Maibach 1822 eV</v>
      </c>
      <c r="O18" s="770"/>
      <c r="P18" s="765"/>
      <c r="Q18" s="345"/>
      <c r="R18" s="520" t="str">
        <f>Language!$E$96</f>
        <v>End of tournament (final round 4):</v>
      </c>
      <c r="S18" s="523">
        <f ca="1">'Finals 4'!$K$31</f>
        <v>0.59027777777777779</v>
      </c>
      <c r="T18" s="456"/>
      <c r="U18" s="167"/>
    </row>
    <row r="19" spans="1:29" ht="15.95" customHeight="1" thickTop="1" thickBot="1" x14ac:dyDescent="0.3">
      <c r="A19" s="66"/>
      <c r="B19" s="290"/>
      <c r="C19" s="289"/>
      <c r="D19" s="514">
        <v>14</v>
      </c>
      <c r="E19" s="466">
        <f t="array" aca="1" ref="E19" ca="1">IF($D19&gt;Calc1!$B$14,"",ROW(14:14)-SUM((($L$6:$L18="")+($N$6:$N18="")&gt;0)*1))</f>
        <v>14</v>
      </c>
      <c r="F19" s="174">
        <f ca="1">IF(OR($V$15,$D19&gt;Calc1!$B$14),"",$S$5+QUOTIENT(($E19-1),$V$11)*($S$7+$S$9)/1440+SUM($P$6:$P18)/1440)</f>
        <v>0.44791666666666669</v>
      </c>
      <c r="G19" s="176">
        <f ca="1">IF(OR($V$15,$D19&gt;Calc1!$B$14),"",MOD($E19-1,$V$11)+1)</f>
        <v>2</v>
      </c>
      <c r="H19" s="325" t="str">
        <f t="shared" ca="1" si="0"/>
        <v>B</v>
      </c>
      <c r="I19" s="350" t="str">
        <f ca="1"/>
        <v>B2</v>
      </c>
      <c r="J19" s="351" t="s">
        <v>4</v>
      </c>
      <c r="K19" s="352" t="str">
        <f ca="1"/>
        <v>B4</v>
      </c>
      <c r="L19" s="180" t="str">
        <f t="shared" ca="1" si="1"/>
        <v>Inter Mailand</v>
      </c>
      <c r="M19" s="47" t="s">
        <v>4</v>
      </c>
      <c r="N19" s="182" t="str">
        <f t="shared" ca="1" si="2"/>
        <v>Manchester City</v>
      </c>
      <c r="O19" s="770"/>
      <c r="P19" s="765"/>
      <c r="Q19" s="345"/>
      <c r="U19" s="167"/>
      <c r="W19" s="445"/>
      <c r="X19" s="446">
        <v>1</v>
      </c>
      <c r="Y19" s="446">
        <v>2</v>
      </c>
      <c r="Z19" s="446">
        <v>3</v>
      </c>
      <c r="AA19" s="446">
        <v>4</v>
      </c>
      <c r="AB19" s="446">
        <v>5</v>
      </c>
      <c r="AC19" s="447">
        <v>6</v>
      </c>
    </row>
    <row r="20" spans="1:29" ht="15.95" customHeight="1" x14ac:dyDescent="0.25">
      <c r="A20" s="66"/>
      <c r="B20" s="827"/>
      <c r="C20" s="829" t="str">
        <f>Language!$E$16&amp;" B"</f>
        <v>Group B</v>
      </c>
      <c r="D20" s="514">
        <v>15</v>
      </c>
      <c r="E20" s="466">
        <f t="array" aca="1" ref="E20" ca="1">IF($D20&gt;Calc1!$B$14,"",ROW(15:15)-SUM((($L$6:$L19="")+($N$6:$N19="")&gt;0)*1))</f>
        <v>15</v>
      </c>
      <c r="F20" s="174">
        <f ca="1">IF(OR($V$15,$D20&gt;Calc1!$B$14),"",$S$5+QUOTIENT(($E20-1),$V$11)*($S$7+$S$9)/1440+SUM($P$6:$P19)/1440)</f>
        <v>0.44791666666666669</v>
      </c>
      <c r="G20" s="176">
        <f ca="1">IF(OR($V$15,$D20&gt;Calc1!$B$14),"",MOD($E20-1,$V$11)+1)</f>
        <v>3</v>
      </c>
      <c r="H20" s="325" t="str">
        <f t="shared" ca="1" si="0"/>
        <v>A</v>
      </c>
      <c r="I20" s="350" t="str">
        <f ca="1"/>
        <v>A3</v>
      </c>
      <c r="J20" s="351" t="s">
        <v>4</v>
      </c>
      <c r="K20" s="352" t="str">
        <f ca="1"/>
        <v>A1</v>
      </c>
      <c r="L20" s="180" t="str">
        <f t="shared" ca="1" si="1"/>
        <v>Eintracht Frankfurt</v>
      </c>
      <c r="M20" s="47" t="s">
        <v>4</v>
      </c>
      <c r="N20" s="182" t="str">
        <f t="shared" ca="1" si="2"/>
        <v>1. FC Riedwald</v>
      </c>
      <c r="O20" s="770"/>
      <c r="P20" s="765"/>
      <c r="Q20" s="345"/>
      <c r="U20" s="167"/>
      <c r="W20" s="448">
        <v>1</v>
      </c>
      <c r="X20" s="500">
        <v>1</v>
      </c>
      <c r="Y20" s="501">
        <v>1</v>
      </c>
      <c r="Z20" s="501">
        <v>1</v>
      </c>
      <c r="AA20" s="501">
        <v>2</v>
      </c>
      <c r="AB20" s="501">
        <v>2</v>
      </c>
      <c r="AC20" s="502">
        <v>3</v>
      </c>
    </row>
    <row r="21" spans="1:29" ht="15.95" customHeight="1" thickBot="1" x14ac:dyDescent="0.3">
      <c r="A21" s="66"/>
      <c r="B21" s="828"/>
      <c r="C21" s="830"/>
      <c r="D21" s="514">
        <v>16</v>
      </c>
      <c r="E21" s="466">
        <f t="array" aca="1" ref="E21" ca="1">IF($D21&gt;Calc1!$B$14,"",ROW(16:16)-SUM((($L$6:$L20="")+($N$6:$N20="")&gt;0)*1))</f>
        <v>16</v>
      </c>
      <c r="F21" s="174">
        <f ca="1">IF(OR($V$15,$D21&gt;Calc1!$B$14),"",$S$5+QUOTIENT(($E21-1),$V$11)*($S$7+$S$9)/1440+SUM($P$6:$P20)/1440)</f>
        <v>0.44791666666666669</v>
      </c>
      <c r="G21" s="176">
        <f ca="1">IF(OR($V$15,$D21&gt;Calc1!$B$14),"",MOD($E21-1,$V$11)+1)</f>
        <v>4</v>
      </c>
      <c r="H21" s="325" t="str">
        <f t="shared" ca="1" si="0"/>
        <v>B</v>
      </c>
      <c r="I21" s="350" t="str">
        <f ca="1"/>
        <v>B3</v>
      </c>
      <c r="J21" s="351" t="s">
        <v>4</v>
      </c>
      <c r="K21" s="352" t="str">
        <f ca="1"/>
        <v>B1</v>
      </c>
      <c r="L21" s="180" t="str">
        <f t="shared" ca="1" si="1"/>
        <v>SSV Wildbach</v>
      </c>
      <c r="M21" s="47" t="s">
        <v>4</v>
      </c>
      <c r="N21" s="182" t="str">
        <f t="shared" ca="1" si="2"/>
        <v>Mainz 05</v>
      </c>
      <c r="O21" s="770"/>
      <c r="P21" s="765"/>
      <c r="Q21" s="345"/>
      <c r="U21" s="167"/>
      <c r="W21" s="448">
        <v>2</v>
      </c>
      <c r="X21" s="503">
        <v>1</v>
      </c>
      <c r="Y21" s="504">
        <v>2</v>
      </c>
      <c r="Z21" s="504">
        <v>1</v>
      </c>
      <c r="AA21" s="504">
        <v>2</v>
      </c>
      <c r="AB21" s="504">
        <v>2</v>
      </c>
      <c r="AC21" s="505">
        <v>3</v>
      </c>
    </row>
    <row r="22" spans="1:29" ht="15.95" customHeight="1" thickTop="1" x14ac:dyDescent="0.25">
      <c r="A22" s="66"/>
      <c r="B22" s="809"/>
      <c r="C22" s="811" t="str">
        <f>Language!$E$10</f>
        <v>Participant or team</v>
      </c>
      <c r="D22" s="514">
        <v>17</v>
      </c>
      <c r="E22" s="466">
        <f t="array" aca="1" ref="E22" ca="1">IF($D22&gt;Calc1!$B$14,"",ROW(17:17)-SUM((($L$6:$L21="")+($N$6:$N21="")&gt;0)*1))</f>
        <v>17</v>
      </c>
      <c r="F22" s="174">
        <f ca="1">IF(OR($V$15,$D22&gt;Calc1!$B$14),"",$S$5+QUOTIENT(($E22-1),$V$11)*($S$7+$S$9)/1440+SUM($P$6:$P21)/1440)</f>
        <v>0.47222222222222221</v>
      </c>
      <c r="G22" s="176">
        <f ca="1">IF(OR($V$15,$D22&gt;Calc1!$B$14),"",MOD($E22-1,$V$11)+1)</f>
        <v>1</v>
      </c>
      <c r="H22" s="325" t="str">
        <f t="shared" ca="1" si="0"/>
        <v>A</v>
      </c>
      <c r="I22" s="350" t="str">
        <f ca="1"/>
        <v>A4</v>
      </c>
      <c r="J22" s="351" t="s">
        <v>4</v>
      </c>
      <c r="K22" s="352" t="str">
        <f ca="1"/>
        <v>A5</v>
      </c>
      <c r="L22" s="180" t="str">
        <f t="shared" ca="1" si="1"/>
        <v>Maibach 1822 eV</v>
      </c>
      <c r="M22" s="47" t="s">
        <v>4</v>
      </c>
      <c r="N22" s="182" t="str">
        <f t="shared" ca="1" si="2"/>
        <v>VFB Essenheim</v>
      </c>
      <c r="O22" s="770"/>
      <c r="P22" s="765"/>
      <c r="Q22" s="345"/>
      <c r="R22" s="803" t="str">
        <f>Language!$E$91&amp;$V$10&amp;Language!$E$92</f>
        <v>Due to time conflicts, you can only play on a maximum of 6 pitches at the same time.</v>
      </c>
      <c r="S22" s="803"/>
      <c r="T22" s="803"/>
      <c r="U22" s="167"/>
      <c r="W22" s="448">
        <v>3</v>
      </c>
      <c r="X22" s="503">
        <v>1</v>
      </c>
      <c r="Y22" s="504">
        <v>1</v>
      </c>
      <c r="Z22" s="504">
        <v>2</v>
      </c>
      <c r="AA22" s="504">
        <v>3</v>
      </c>
      <c r="AB22" s="504">
        <v>2</v>
      </c>
      <c r="AC22" s="505">
        <v>4</v>
      </c>
    </row>
    <row r="23" spans="1:29" ht="15.95" customHeight="1" x14ac:dyDescent="0.25">
      <c r="A23" s="66"/>
      <c r="B23" s="810"/>
      <c r="C23" s="812"/>
      <c r="D23" s="514">
        <v>18</v>
      </c>
      <c r="E23" s="466">
        <f t="array" aca="1" ref="E23" ca="1">IF($D23&gt;Calc1!$B$14,"",ROW(18:18)-SUM((($L$6:$L22="")+($N$6:$N22="")&gt;0)*1))</f>
        <v>18</v>
      </c>
      <c r="F23" s="174">
        <f ca="1">IF(OR($V$15,$D23&gt;Calc1!$B$14),"",$S$5+QUOTIENT(($E23-1),$V$11)*($S$7+$S$9)/1440+SUM($P$6:$P22)/1440)</f>
        <v>0.47222222222222221</v>
      </c>
      <c r="G23" s="176">
        <f ca="1">IF(OR($V$15,$D23&gt;Calc1!$B$14),"",MOD($E23-1,$V$11)+1)</f>
        <v>2</v>
      </c>
      <c r="H23" s="325" t="str">
        <f t="shared" ca="1" si="0"/>
        <v>B</v>
      </c>
      <c r="I23" s="350" t="str">
        <f ca="1"/>
        <v>B4</v>
      </c>
      <c r="J23" s="351" t="s">
        <v>4</v>
      </c>
      <c r="K23" s="352" t="str">
        <f ca="1"/>
        <v>B5</v>
      </c>
      <c r="L23" s="180" t="str">
        <f t="shared" ca="1" si="1"/>
        <v>Manchester City</v>
      </c>
      <c r="M23" s="47" t="s">
        <v>4</v>
      </c>
      <c r="N23" s="182" t="str">
        <f t="shared" ca="1" si="2"/>
        <v>FC Grönlingen</v>
      </c>
      <c r="O23" s="770"/>
      <c r="P23" s="765"/>
      <c r="Q23" s="345"/>
      <c r="R23" s="803"/>
      <c r="S23" s="803"/>
      <c r="T23" s="803"/>
      <c r="U23" s="167"/>
      <c r="W23" s="448">
        <v>4</v>
      </c>
      <c r="X23" s="503">
        <v>2</v>
      </c>
      <c r="Y23" s="504">
        <v>2</v>
      </c>
      <c r="Z23" s="504">
        <v>3</v>
      </c>
      <c r="AA23" s="504">
        <v>4</v>
      </c>
      <c r="AB23" s="504">
        <v>3</v>
      </c>
      <c r="AC23" s="505">
        <v>3</v>
      </c>
    </row>
    <row r="24" spans="1:29" ht="15.95" customHeight="1" x14ac:dyDescent="0.25">
      <c r="A24" s="66"/>
      <c r="B24" s="817" t="s">
        <v>195</v>
      </c>
      <c r="C24" s="819" t="s">
        <v>252</v>
      </c>
      <c r="D24" s="514">
        <v>19</v>
      </c>
      <c r="E24" s="466">
        <f t="array" aca="1" ref="E24" ca="1">IF($D24&gt;Calc1!$B$14,"",ROW(19:19)-SUM((($L$6:$L23="")+($N$6:$N23="")&gt;0)*1))</f>
        <v>19</v>
      </c>
      <c r="F24" s="174">
        <f ca="1">IF(OR($V$15,$D24&gt;Calc1!$B$14),"",$S$5+QUOTIENT(($E24-1),$V$11)*($S$7+$S$9)/1440+SUM($P$6:$P23)/1440)</f>
        <v>0.47222222222222221</v>
      </c>
      <c r="G24" s="176">
        <f ca="1">IF(OR($V$15,$D24&gt;Calc1!$B$14),"",MOD($E24-1,$V$11)+1)</f>
        <v>3</v>
      </c>
      <c r="H24" s="325" t="str">
        <f t="shared" ca="1" si="0"/>
        <v>A</v>
      </c>
      <c r="I24" s="350" t="str">
        <f ca="1"/>
        <v>A1</v>
      </c>
      <c r="J24" s="351" t="s">
        <v>4</v>
      </c>
      <c r="K24" s="352" t="str">
        <f ca="1"/>
        <v>A2</v>
      </c>
      <c r="L24" s="180" t="str">
        <f t="shared" ca="1" si="1"/>
        <v>1. FC Riedwald</v>
      </c>
      <c r="M24" s="47" t="s">
        <v>4</v>
      </c>
      <c r="N24" s="182" t="str">
        <f t="shared" ca="1" si="2"/>
        <v>FC Barcelona</v>
      </c>
      <c r="O24" s="770"/>
      <c r="P24" s="765"/>
      <c r="Q24" s="345"/>
      <c r="R24" s="453"/>
      <c r="S24" s="496" t="str">
        <f t="array" aca="1" ref="S24" ca="1">IFERROR(proof!$E$3-SUM(((OFFSET($L$6,0,0,proof!$E$3,1)="")+(OFFSET($N$6,0,0,proof!$E$3,1)="")&gt;0)*1),"")</f>
        <v/>
      </c>
      <c r="T24" s="496" t="str">
        <f t="array" aca="1" ref="T24" ca="1">IFERROR(proof!$E$4-SUM(((OFFSET($L$6,0,0,proof!$E$4,1)="")+(OFFSET($N$6,0,0,proof!$E$4,1)="")&gt;0)*1),"")</f>
        <v/>
      </c>
      <c r="U24" s="167"/>
      <c r="W24" s="448">
        <v>5</v>
      </c>
      <c r="X24" s="503">
        <v>2</v>
      </c>
      <c r="Y24" s="504">
        <v>2</v>
      </c>
      <c r="Z24" s="504">
        <v>2</v>
      </c>
      <c r="AA24" s="504">
        <v>3</v>
      </c>
      <c r="AB24" s="504">
        <v>4</v>
      </c>
      <c r="AC24" s="505">
        <v>5</v>
      </c>
    </row>
    <row r="25" spans="1:29" ht="15.95" customHeight="1" thickBot="1" x14ac:dyDescent="0.3">
      <c r="B25" s="818"/>
      <c r="C25" s="820"/>
      <c r="D25" s="514">
        <v>20</v>
      </c>
      <c r="E25" s="466">
        <f t="array" aca="1" ref="E25" ca="1">IF($D25&gt;Calc1!$B$14,"",ROW(20:20)-SUM((($L$6:$L24="")+($N$6:$N24="")&gt;0)*1))</f>
        <v>20</v>
      </c>
      <c r="F25" s="174">
        <f ca="1">IF(OR($V$15,$D25&gt;Calc1!$B$14),"",$S$5+QUOTIENT(($E25-1),$V$11)*($S$7+$S$9)/1440+SUM($P$6:$P24)/1440)</f>
        <v>0.47222222222222221</v>
      </c>
      <c r="G25" s="176">
        <f ca="1">IF(OR($V$15,$D25&gt;Calc1!$B$14),"",MOD($E25-1,$V$11)+1)</f>
        <v>4</v>
      </c>
      <c r="H25" s="325" t="str">
        <f t="shared" ca="1" si="0"/>
        <v>B</v>
      </c>
      <c r="I25" s="350" t="str">
        <f ca="1"/>
        <v>B1</v>
      </c>
      <c r="J25" s="351" t="s">
        <v>4</v>
      </c>
      <c r="K25" s="352" t="str">
        <f ca="1"/>
        <v>B2</v>
      </c>
      <c r="L25" s="180" t="str">
        <f t="shared" ca="1" si="1"/>
        <v>Mainz 05</v>
      </c>
      <c r="M25" s="47" t="s">
        <v>4</v>
      </c>
      <c r="N25" s="182" t="str">
        <f t="shared" ca="1" si="2"/>
        <v>Inter Mailand</v>
      </c>
      <c r="O25" s="770"/>
      <c r="P25" s="765"/>
      <c r="Q25" s="345"/>
      <c r="R25" s="791" t="str">
        <f ca="1">IF($V$15,"",IF(proof!$G$2="FEHLER",Language!$E$98&amp;proof!$E$6,""))</f>
        <v/>
      </c>
      <c r="S25" s="791"/>
      <c r="T25" s="791"/>
      <c r="U25" s="167"/>
      <c r="W25" s="449">
        <v>6</v>
      </c>
      <c r="X25" s="506">
        <v>3</v>
      </c>
      <c r="Y25" s="507">
        <v>3</v>
      </c>
      <c r="Z25" s="507">
        <v>4</v>
      </c>
      <c r="AA25" s="507">
        <v>3</v>
      </c>
      <c r="AB25" s="507">
        <v>5</v>
      </c>
      <c r="AC25" s="508">
        <v>6</v>
      </c>
    </row>
    <row r="26" spans="1:29" ht="15.95" customHeight="1" thickTop="1" x14ac:dyDescent="0.25">
      <c r="B26" s="821" t="s">
        <v>197</v>
      </c>
      <c r="C26" s="822" t="s">
        <v>253</v>
      </c>
      <c r="D26" s="514">
        <v>21</v>
      </c>
      <c r="E26" s="466" t="str">
        <f t="array" ref="E26">IF($D26&gt;Calc1!$B$14,"",ROW(21:21)-SUM((($L$6:$L25="")+($N$6:$N25="")&gt;0)*1))</f>
        <v/>
      </c>
      <c r="F26" s="174" t="str">
        <f>IF(OR($V$15,$D26&gt;Calc1!$B$14),"",$S$5+QUOTIENT(($E26-1),$V$11)*($S$7+$S$9)/1440+SUM($P$6:$P25)/1440)</f>
        <v/>
      </c>
      <c r="G26" s="176" t="str">
        <f>IF(OR($V$15,$D26&gt;Calc1!$B$14),"",MOD($E26-1,$V$11)+1)</f>
        <v/>
      </c>
      <c r="H26" s="325" t="str">
        <f t="shared" ca="1" si="0"/>
        <v/>
      </c>
      <c r="I26" s="350" t="str">
        <f ca="1"/>
        <v/>
      </c>
      <c r="J26" s="351" t="s">
        <v>4</v>
      </c>
      <c r="K26" s="352" t="str">
        <f ca="1"/>
        <v/>
      </c>
      <c r="L26" s="180" t="str">
        <f t="shared" ca="1" si="1"/>
        <v/>
      </c>
      <c r="M26" s="47" t="s">
        <v>4</v>
      </c>
      <c r="N26" s="182" t="str">
        <f t="shared" ca="1" si="2"/>
        <v/>
      </c>
      <c r="O26" s="770"/>
      <c r="P26" s="765"/>
      <c r="Q26" s="345"/>
      <c r="R26" s="791" t="str">
        <f ca="1">IF($V$15,"",IF(proof!$G$2="FEHLER",Language!$E$99&amp;$S$24&amp;Language!$E$100&amp;$T$24,""))</f>
        <v/>
      </c>
      <c r="S26" s="791"/>
      <c r="T26" s="791"/>
      <c r="U26" s="167"/>
    </row>
    <row r="27" spans="1:29" ht="15.95" customHeight="1" x14ac:dyDescent="0.25">
      <c r="B27" s="818"/>
      <c r="C27" s="820"/>
      <c r="D27" s="514">
        <v>22</v>
      </c>
      <c r="E27" s="466" t="str">
        <f t="array" ref="E27">IF($D27&gt;Calc1!$B$14,"",ROW(22:22)-SUM((($L$6:$L26="")+($N$6:$N26="")&gt;0)*1))</f>
        <v/>
      </c>
      <c r="F27" s="174" t="str">
        <f>IF(OR($V$15,$D27&gt;Calc1!$B$14),"",$S$5+QUOTIENT(($E27-1),$V$11)*($S$7+$S$9)/1440+SUM($P$6:$P26)/1440)</f>
        <v/>
      </c>
      <c r="G27" s="176" t="str">
        <f>IF(OR($V$15,$D27&gt;Calc1!$B$14),"",MOD($E27-1,$V$11)+1)</f>
        <v/>
      </c>
      <c r="H27" s="325" t="str">
        <f t="shared" ca="1" si="0"/>
        <v/>
      </c>
      <c r="I27" s="350" t="str">
        <f ca="1"/>
        <v/>
      </c>
      <c r="J27" s="351" t="s">
        <v>4</v>
      </c>
      <c r="K27" s="352" t="str">
        <f ca="1"/>
        <v/>
      </c>
      <c r="L27" s="180" t="str">
        <f t="shared" ca="1" si="1"/>
        <v/>
      </c>
      <c r="M27" s="47" t="s">
        <v>4</v>
      </c>
      <c r="N27" s="182" t="str">
        <f t="shared" ca="1" si="2"/>
        <v/>
      </c>
      <c r="O27" s="770"/>
      <c r="P27" s="765"/>
      <c r="Q27" s="345"/>
      <c r="R27" s="453"/>
      <c r="S27" s="171"/>
      <c r="T27" s="171"/>
      <c r="U27" s="167"/>
    </row>
    <row r="28" spans="1:29" ht="15.95" customHeight="1" x14ac:dyDescent="0.25">
      <c r="B28" s="821" t="s">
        <v>193</v>
      </c>
      <c r="C28" s="822" t="s">
        <v>255</v>
      </c>
      <c r="D28" s="514">
        <v>23</v>
      </c>
      <c r="E28" s="466" t="str">
        <f t="array" ref="E28">IF($D28&gt;Calc1!$B$14,"",ROW(23:23)-SUM((($L$6:$L27="")+($N$6:$N27="")&gt;0)*1))</f>
        <v/>
      </c>
      <c r="F28" s="174" t="str">
        <f>IF(OR($V$15,$D28&gt;Calc1!$B$14),"",$S$5+QUOTIENT(($E28-1),$V$11)*($S$7+$S$9)/1440+SUM($P$6:$P27)/1440)</f>
        <v/>
      </c>
      <c r="G28" s="176" t="str">
        <f>IF(OR($V$15,$D28&gt;Calc1!$B$14),"",MOD($E28-1,$V$11)+1)</f>
        <v/>
      </c>
      <c r="H28" s="325" t="str">
        <f t="shared" ca="1" si="0"/>
        <v/>
      </c>
      <c r="I28" s="350" t="str">
        <f ca="1"/>
        <v/>
      </c>
      <c r="J28" s="351" t="s">
        <v>4</v>
      </c>
      <c r="K28" s="352" t="str">
        <f ca="1"/>
        <v/>
      </c>
      <c r="L28" s="49" t="str">
        <f t="shared" ca="1" si="1"/>
        <v/>
      </c>
      <c r="M28" s="47" t="s">
        <v>4</v>
      </c>
      <c r="N28" s="48" t="str">
        <f t="shared" ca="1" si="2"/>
        <v/>
      </c>
      <c r="O28" s="770"/>
      <c r="P28" s="765"/>
      <c r="Q28" s="345"/>
      <c r="R28" s="171"/>
      <c r="S28" s="171"/>
      <c r="T28" s="171"/>
      <c r="U28" s="167"/>
    </row>
    <row r="29" spans="1:29" ht="15.95" customHeight="1" x14ac:dyDescent="0.25">
      <c r="B29" s="818"/>
      <c r="C29" s="820"/>
      <c r="D29" s="514">
        <v>24</v>
      </c>
      <c r="E29" s="466" t="str">
        <f t="array" ref="E29">IF($D29&gt;Calc1!$B$14,"",ROW(24:24)-SUM((($L$6:$L28="")+($N$6:$N28="")&gt;0)*1))</f>
        <v/>
      </c>
      <c r="F29" s="174" t="str">
        <f>IF(OR($V$15,$D29&gt;Calc1!$B$14),"",$S$5+QUOTIENT(($E29-1),$V$11)*($S$7+$S$9)/1440+SUM($P$6:$P28)/1440)</f>
        <v/>
      </c>
      <c r="G29" s="176" t="str">
        <f>IF(OR($V$15,$D29&gt;Calc1!$B$14),"",MOD($E29-1,$V$11)+1)</f>
        <v/>
      </c>
      <c r="H29" s="325" t="str">
        <f t="shared" ca="1" si="0"/>
        <v/>
      </c>
      <c r="I29" s="350" t="str">
        <f ca="1"/>
        <v/>
      </c>
      <c r="J29" s="351" t="s">
        <v>4</v>
      </c>
      <c r="K29" s="352" t="str">
        <f ca="1"/>
        <v/>
      </c>
      <c r="L29" s="180" t="str">
        <f t="shared" ca="1" si="1"/>
        <v/>
      </c>
      <c r="M29" s="47" t="s">
        <v>4</v>
      </c>
      <c r="N29" s="182" t="str">
        <f t="shared" ca="1" si="2"/>
        <v/>
      </c>
      <c r="O29" s="770"/>
      <c r="P29" s="765"/>
      <c r="Q29" s="345"/>
      <c r="R29" s="453"/>
      <c r="S29" s="171"/>
      <c r="T29" s="171"/>
      <c r="U29" s="167"/>
    </row>
    <row r="30" spans="1:29" ht="15.95" customHeight="1" x14ac:dyDescent="0.25">
      <c r="B30" s="821" t="s">
        <v>199</v>
      </c>
      <c r="C30" s="822" t="s">
        <v>254</v>
      </c>
      <c r="D30" s="514">
        <v>25</v>
      </c>
      <c r="E30" s="466" t="str">
        <f t="array" ref="E30">IF($D30&gt;Calc1!$B$14,"",ROW(25:25)-SUM((($L$6:$L29="")+($N$6:$N29="")&gt;0)*1))</f>
        <v/>
      </c>
      <c r="F30" s="174" t="str">
        <f>IF(OR($V$15,$D30&gt;Calc1!$B$14),"",$S$5+QUOTIENT(($E30-1),$V$11)*($S$7+$S$9)/1440+SUM($P$6:$P29)/1440)</f>
        <v/>
      </c>
      <c r="G30" s="176" t="str">
        <f>IF(OR($V$15,$D30&gt;Calc1!$B$14),"",MOD($E30-1,$V$11)+1)</f>
        <v/>
      </c>
      <c r="H30" s="325" t="str">
        <f t="shared" ca="1" si="0"/>
        <v/>
      </c>
      <c r="I30" s="350" t="str">
        <f ca="1"/>
        <v/>
      </c>
      <c r="J30" s="351" t="s">
        <v>4</v>
      </c>
      <c r="K30" s="352" t="str">
        <f ca="1"/>
        <v/>
      </c>
      <c r="L30" s="180" t="str">
        <f t="shared" ca="1" si="1"/>
        <v/>
      </c>
      <c r="M30" s="47" t="s">
        <v>4</v>
      </c>
      <c r="N30" s="182" t="str">
        <f t="shared" ca="1" si="2"/>
        <v/>
      </c>
      <c r="O30" s="770"/>
      <c r="P30" s="765"/>
      <c r="Q30" s="345"/>
      <c r="R30" s="453"/>
      <c r="S30" s="171"/>
      <c r="T30" s="171"/>
      <c r="U30" s="167"/>
    </row>
    <row r="31" spans="1:29" ht="15.95" customHeight="1" x14ac:dyDescent="0.25">
      <c r="B31" s="818"/>
      <c r="C31" s="820"/>
      <c r="D31" s="514">
        <v>26</v>
      </c>
      <c r="E31" s="466" t="str">
        <f t="array" ref="E31">IF($D31&gt;Calc1!$B$14,"",ROW(26:26)-SUM((($L$6:$L30="")+($N$6:$N30="")&gt;0)*1))</f>
        <v/>
      </c>
      <c r="F31" s="174" t="str">
        <f>IF(OR($V$15,$D31&gt;Calc1!$B$14),"",$S$5+QUOTIENT(($E31-1),$V$11)*($S$7+$S$9)/1440+SUM($P$6:$P30)/1440)</f>
        <v/>
      </c>
      <c r="G31" s="176" t="str">
        <f>IF(OR($V$15,$D31&gt;Calc1!$B$14),"",MOD($E31-1,$V$11)+1)</f>
        <v/>
      </c>
      <c r="H31" s="325" t="str">
        <f t="shared" ca="1" si="0"/>
        <v/>
      </c>
      <c r="I31" s="350" t="str">
        <f ca="1"/>
        <v/>
      </c>
      <c r="J31" s="351" t="s">
        <v>4</v>
      </c>
      <c r="K31" s="352" t="str">
        <f ca="1"/>
        <v/>
      </c>
      <c r="L31" s="180" t="str">
        <f t="shared" ca="1" si="1"/>
        <v/>
      </c>
      <c r="M31" s="47" t="s">
        <v>4</v>
      </c>
      <c r="N31" s="182" t="str">
        <f t="shared" ca="1" si="2"/>
        <v/>
      </c>
      <c r="O31" s="770"/>
      <c r="P31" s="765"/>
      <c r="Q31" s="345"/>
      <c r="R31" s="453"/>
      <c r="S31" s="171"/>
      <c r="T31" s="171"/>
      <c r="U31" s="167"/>
    </row>
    <row r="32" spans="1:29" ht="15.95" customHeight="1" x14ac:dyDescent="0.25">
      <c r="B32" s="821" t="s">
        <v>201</v>
      </c>
      <c r="C32" s="822" t="s">
        <v>256</v>
      </c>
      <c r="D32" s="514">
        <v>27</v>
      </c>
      <c r="E32" s="466" t="str">
        <f t="array" ref="E32">IF($D32&gt;Calc1!$B$14,"",ROW(27:27)-SUM((($L$6:$L31="")+($N$6:$N31="")&gt;0)*1))</f>
        <v/>
      </c>
      <c r="F32" s="174" t="str">
        <f>IF(OR($V$15,$D32&gt;Calc1!$B$14),"",$S$5+QUOTIENT(($E32-1),$V$11)*($S$7+$S$9)/1440+SUM($P$6:$P31)/1440)</f>
        <v/>
      </c>
      <c r="G32" s="176" t="str">
        <f>IF(OR($V$15,$D32&gt;Calc1!$B$14),"",MOD($E32-1,$V$11)+1)</f>
        <v/>
      </c>
      <c r="H32" s="326" t="str">
        <f t="shared" ca="1" si="0"/>
        <v/>
      </c>
      <c r="I32" s="350" t="str">
        <f ca="1"/>
        <v/>
      </c>
      <c r="J32" s="351" t="s">
        <v>4</v>
      </c>
      <c r="K32" s="352" t="str">
        <f ca="1"/>
        <v/>
      </c>
      <c r="L32" s="49" t="str">
        <f t="shared" ca="1" si="1"/>
        <v/>
      </c>
      <c r="M32" s="47" t="s">
        <v>4</v>
      </c>
      <c r="N32" s="48" t="str">
        <f t="shared" ca="1" si="2"/>
        <v/>
      </c>
      <c r="O32" s="770"/>
      <c r="P32" s="765"/>
      <c r="Q32" s="345"/>
      <c r="R32" s="453"/>
      <c r="S32" s="171"/>
      <c r="T32" s="171"/>
      <c r="U32" s="167"/>
    </row>
    <row r="33" spans="2:21" ht="15.95" customHeight="1" x14ac:dyDescent="0.25">
      <c r="B33" s="818"/>
      <c r="C33" s="820"/>
      <c r="D33" s="514">
        <v>28</v>
      </c>
      <c r="E33" s="466" t="str">
        <f t="array" ref="E33">IF($D33&gt;Calc1!$B$14,"",ROW(28:28)-SUM((($L$6:$L32="")+($N$6:$N32="")&gt;0)*1))</f>
        <v/>
      </c>
      <c r="F33" s="174" t="str">
        <f>IF(OR($V$15,$D33&gt;Calc1!$B$14),"",$S$5+QUOTIENT(($E33-1),$V$11)*($S$7+$S$9)/1440+SUM($P$6:$P32)/1440)</f>
        <v/>
      </c>
      <c r="G33" s="176" t="str">
        <f>IF(OR($V$15,$D33&gt;Calc1!$B$14),"",MOD($E33-1,$V$11)+1)</f>
        <v/>
      </c>
      <c r="H33" s="326" t="str">
        <f t="shared" ca="1" si="0"/>
        <v/>
      </c>
      <c r="I33" s="350" t="str">
        <f ca="1"/>
        <v/>
      </c>
      <c r="J33" s="351" t="s">
        <v>4</v>
      </c>
      <c r="K33" s="352" t="str">
        <f ca="1"/>
        <v/>
      </c>
      <c r="L33" s="49" t="str">
        <f t="shared" ca="1" si="1"/>
        <v/>
      </c>
      <c r="M33" s="47" t="s">
        <v>4</v>
      </c>
      <c r="N33" s="48" t="str">
        <f t="shared" ca="1" si="2"/>
        <v/>
      </c>
      <c r="O33" s="770"/>
      <c r="P33" s="765"/>
      <c r="Q33" s="345"/>
      <c r="R33" s="453"/>
      <c r="S33" s="171"/>
      <c r="T33" s="171"/>
      <c r="U33" s="167"/>
    </row>
    <row r="34" spans="2:21" ht="15.95" customHeight="1" x14ac:dyDescent="0.25">
      <c r="B34" s="821" t="s">
        <v>203</v>
      </c>
      <c r="C34" s="822"/>
      <c r="D34" s="514">
        <v>29</v>
      </c>
      <c r="E34" s="466" t="str">
        <f t="array" ref="E34">IF($D34&gt;Calc1!$B$14,"",ROW(29:29)-SUM((($L$6:$L33="")+($N$6:$N33="")&gt;0)*1))</f>
        <v/>
      </c>
      <c r="F34" s="174" t="str">
        <f>IF(OR($V$15,$D34&gt;Calc1!$B$14),"",$S$5+QUOTIENT(($E34-1),$V$11)*($S$7+$S$9)/1440+SUM($P$6:$P33)/1440)</f>
        <v/>
      </c>
      <c r="G34" s="176" t="str">
        <f>IF(OR($V$15,$D34&gt;Calc1!$B$14),"",MOD($E34-1,$V$11)+1)</f>
        <v/>
      </c>
      <c r="H34" s="325" t="str">
        <f t="shared" ca="1" si="0"/>
        <v/>
      </c>
      <c r="I34" s="350" t="str">
        <f ca="1"/>
        <v/>
      </c>
      <c r="J34" s="351" t="s">
        <v>4</v>
      </c>
      <c r="K34" s="352" t="str">
        <f ca="1"/>
        <v/>
      </c>
      <c r="L34" s="49" t="str">
        <f t="shared" ca="1" si="1"/>
        <v/>
      </c>
      <c r="M34" s="47" t="s">
        <v>4</v>
      </c>
      <c r="N34" s="48" t="str">
        <f t="shared" ca="1" si="2"/>
        <v/>
      </c>
      <c r="O34" s="770"/>
      <c r="P34" s="766"/>
      <c r="Q34" s="345"/>
      <c r="R34" s="453"/>
      <c r="S34" s="171"/>
      <c r="T34" s="171"/>
      <c r="U34" s="167"/>
    </row>
    <row r="35" spans="2:21" ht="15.95" customHeight="1" thickBot="1" x14ac:dyDescent="0.3">
      <c r="B35" s="831"/>
      <c r="C35" s="826"/>
      <c r="D35" s="514">
        <v>30</v>
      </c>
      <c r="E35" s="467" t="str">
        <f t="array" ref="E35">IF($D35&gt;Calc1!$B$14,"",ROW(30:30)-SUM((($L$6:$L34="")+($N$6:$N34="")&gt;0)*1))</f>
        <v/>
      </c>
      <c r="F35" s="177" t="str">
        <f>IF(OR($V$15,$D35&gt;Calc1!$B$14),"",$S$5+QUOTIENT(($E35-1),$V$11)*($S$7+$S$9)/1440+SUM($P$6:$P34)/1440)</f>
        <v/>
      </c>
      <c r="G35" s="178" t="str">
        <f>IF(OR($V$15,$D35&gt;Calc1!$B$14),"",MOD($E35-1,$V$11)+1)</f>
        <v/>
      </c>
      <c r="H35" s="331" t="str">
        <f t="shared" ca="1" si="0"/>
        <v/>
      </c>
      <c r="I35" s="353" t="str">
        <f ca="1"/>
        <v/>
      </c>
      <c r="J35" s="354" t="s">
        <v>4</v>
      </c>
      <c r="K35" s="355" t="str">
        <f ca="1"/>
        <v/>
      </c>
      <c r="L35" s="242" t="str">
        <f t="shared" ca="1" si="1"/>
        <v/>
      </c>
      <c r="M35" s="179" t="s">
        <v>4</v>
      </c>
      <c r="N35" s="243" t="str">
        <f t="shared" ca="1" si="2"/>
        <v/>
      </c>
      <c r="O35" s="771"/>
      <c r="P35" s="767"/>
      <c r="Q35" s="387">
        <f ca="1">OFFSET($P$6,Calc1!$B$14-1,0)</f>
        <v>0</v>
      </c>
      <c r="R35" s="453"/>
      <c r="S35" s="171"/>
      <c r="T35" s="171"/>
      <c r="U35" s="167"/>
    </row>
    <row r="36" spans="2:21" ht="18" thickTop="1" x14ac:dyDescent="0.25">
      <c r="D36" s="168"/>
      <c r="E36" s="297"/>
      <c r="F36" s="298"/>
      <c r="G36" s="299"/>
      <c r="H36" s="299"/>
      <c r="I36" s="300"/>
      <c r="J36" s="301"/>
      <c r="K36" s="302"/>
      <c r="L36" s="303"/>
      <c r="M36" s="304"/>
      <c r="N36" s="305"/>
      <c r="O36" s="305"/>
      <c r="P36" s="170"/>
      <c r="Q36" s="170"/>
      <c r="R36" s="453"/>
      <c r="S36" s="171"/>
      <c r="T36" s="171"/>
      <c r="U36" s="346"/>
    </row>
    <row r="37" spans="2:21" ht="17.25" x14ac:dyDescent="0.25">
      <c r="D37" s="168"/>
      <c r="E37" s="297"/>
      <c r="F37" s="298"/>
      <c r="G37" s="299"/>
      <c r="H37" s="299"/>
      <c r="I37" s="300"/>
      <c r="J37" s="301"/>
      <c r="K37" s="302"/>
      <c r="L37" s="303"/>
      <c r="M37" s="304"/>
      <c r="N37" s="305"/>
      <c r="O37" s="305"/>
      <c r="P37" s="170"/>
      <c r="Q37" s="170"/>
      <c r="R37" s="453"/>
      <c r="S37" s="171"/>
      <c r="T37" s="171"/>
      <c r="U37" s="346"/>
    </row>
    <row r="38" spans="2:21" ht="17.25" x14ac:dyDescent="0.25">
      <c r="D38" s="168"/>
      <c r="E38" s="297"/>
      <c r="F38" s="298"/>
      <c r="G38" s="299"/>
      <c r="H38" s="299"/>
      <c r="I38" s="300"/>
      <c r="J38" s="301"/>
      <c r="K38" s="302"/>
      <c r="L38" s="303"/>
      <c r="M38" s="304"/>
      <c r="N38" s="305"/>
      <c r="O38" s="305"/>
      <c r="P38" s="170"/>
      <c r="Q38" s="170"/>
      <c r="R38" s="453"/>
      <c r="S38" s="171"/>
      <c r="T38" s="171"/>
      <c r="U38" s="171"/>
    </row>
    <row r="39" spans="2:21" ht="17.25" hidden="1" x14ac:dyDescent="0.25">
      <c r="D39" s="168"/>
      <c r="E39" s="297"/>
      <c r="F39" s="298"/>
      <c r="G39" s="299"/>
      <c r="H39" s="299"/>
      <c r="I39" s="300"/>
      <c r="J39" s="301"/>
      <c r="K39" s="302"/>
      <c r="L39" s="303"/>
      <c r="M39" s="304"/>
      <c r="N39" s="305"/>
      <c r="O39" s="305"/>
      <c r="P39" s="170"/>
      <c r="Q39" s="170"/>
      <c r="R39" s="171"/>
      <c r="S39" s="171"/>
      <c r="T39" s="171"/>
      <c r="U39" s="171"/>
    </row>
  </sheetData>
  <sheetProtection sheet="1" selectLockedCells="1"/>
  <mergeCells count="53">
    <mergeCell ref="B22:B23"/>
    <mergeCell ref="C22:C23"/>
    <mergeCell ref="B24:B25"/>
    <mergeCell ref="C24:C25"/>
    <mergeCell ref="B26:B27"/>
    <mergeCell ref="C26:C27"/>
    <mergeCell ref="B34:B35"/>
    <mergeCell ref="C34:C35"/>
    <mergeCell ref="B28:B29"/>
    <mergeCell ref="C28:C29"/>
    <mergeCell ref="B30:B31"/>
    <mergeCell ref="C30:C31"/>
    <mergeCell ref="B32:B33"/>
    <mergeCell ref="C32:C33"/>
    <mergeCell ref="C17:C18"/>
    <mergeCell ref="B20:B21"/>
    <mergeCell ref="C20:C21"/>
    <mergeCell ref="B15:B16"/>
    <mergeCell ref="C15:C16"/>
    <mergeCell ref="B17:B18"/>
    <mergeCell ref="B9:B10"/>
    <mergeCell ref="C9:C10"/>
    <mergeCell ref="R9:R10"/>
    <mergeCell ref="B13:B14"/>
    <mergeCell ref="C13:C14"/>
    <mergeCell ref="R13:R14"/>
    <mergeCell ref="B11:B12"/>
    <mergeCell ref="C11:C12"/>
    <mergeCell ref="R11:R12"/>
    <mergeCell ref="B7:B8"/>
    <mergeCell ref="C7:C8"/>
    <mergeCell ref="R7:R8"/>
    <mergeCell ref="S7:S8"/>
    <mergeCell ref="T7:T8"/>
    <mergeCell ref="B5:B6"/>
    <mergeCell ref="C5:C6"/>
    <mergeCell ref="I5:K5"/>
    <mergeCell ref="L5:N5"/>
    <mergeCell ref="R5:R6"/>
    <mergeCell ref="R25:T25"/>
    <mergeCell ref="R26:T26"/>
    <mergeCell ref="E2:N2"/>
    <mergeCell ref="E4:F4"/>
    <mergeCell ref="P4:P5"/>
    <mergeCell ref="S5:S6"/>
    <mergeCell ref="T5:T6"/>
    <mergeCell ref="S9:S10"/>
    <mergeCell ref="T9:T10"/>
    <mergeCell ref="T13:T14"/>
    <mergeCell ref="R22:T23"/>
    <mergeCell ref="S11:S12"/>
    <mergeCell ref="T11:T12"/>
    <mergeCell ref="S13:S14"/>
  </mergeCells>
  <conditionalFormatting sqref="R22:T23">
    <cfRule type="expression" dxfId="44" priority="6">
      <formula>AND($S$11&gt;$V$11,NOT($V$15))</formula>
    </cfRule>
  </conditionalFormatting>
  <conditionalFormatting sqref="C7:C18 C24:C35">
    <cfRule type="duplicateValues" dxfId="43" priority="4"/>
  </conditionalFormatting>
  <conditionalFormatting sqref="H6:H35">
    <cfRule type="expression" dxfId="42" priority="1">
      <formula>$H6="??"</formula>
    </cfRule>
  </conditionalFormatting>
  <conditionalFormatting sqref="E6:N35">
    <cfRule type="expression" dxfId="41" priority="313">
      <formula>AND($L6&lt;&gt;"",$N6&lt;&gt;"",OR($E6=$S$24,$E6=$T$24),NOT($V$15))</formula>
    </cfRule>
    <cfRule type="expression" dxfId="40"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62">
        <f ca="1">COUNTIF($C$3:$C$62,"")</f>
        <v>0</v>
      </c>
      <c r="F2" s="462">
        <f t="array" aca="1" ref="F2" ca="1">SUMPRODUCT(($C$3:$C$62&lt;&gt;"")/($D$3:$D$62+($C$3:$C$62="")))</f>
        <v>60</v>
      </c>
      <c r="G2" s="463" t="str">
        <f ca="1">IF(E2+F2&lt;60,"FEHLER","okay")</f>
        <v>okay</v>
      </c>
    </row>
    <row r="3" spans="2:7" ht="13.5" thickTop="1" x14ac:dyDescent="0.2">
      <c r="B3" s="165">
        <v>1</v>
      </c>
      <c r="C3" t="str">
        <f ca="1">IF(OR(Planning!$L6="",Planning!$N6=""),"Z"&amp;ROW($M6),Planning!$I6&amp;Planning!$F6)</f>
        <v>A50,375</v>
      </c>
      <c r="D3" s="165">
        <f t="array" aca="1" ref="D3:D62" ca="1">COUNTIF($C$3:$C$62,$C$3:$C$62)</f>
        <v>1</v>
      </c>
      <c r="E3" s="165" t="e">
        <f ca="1">IF($F$8&gt;30,$F$8-30,$F$8)</f>
        <v>#NUM!</v>
      </c>
      <c r="F3" s="451" t="s">
        <v>276</v>
      </c>
    </row>
    <row r="4" spans="2:7" x14ac:dyDescent="0.2">
      <c r="B4" s="165">
        <v>2</v>
      </c>
      <c r="C4" t="str">
        <f ca="1">IF(OR(Planning!$L7="",Planning!$N7=""),"Z"&amp;ROW($M7),Planning!$I7&amp;Planning!$F7)</f>
        <v>B50,375</v>
      </c>
      <c r="D4" s="165">
        <f ca="1"/>
        <v>1</v>
      </c>
      <c r="E4" s="165" t="e">
        <f ca="1">IF($F$9&gt;30,$F$9-30,$F$9)</f>
        <v>#NUM!</v>
      </c>
      <c r="F4" s="451" t="s">
        <v>277</v>
      </c>
    </row>
    <row r="5" spans="2:7" x14ac:dyDescent="0.2">
      <c r="B5" s="165">
        <v>3</v>
      </c>
      <c r="C5" t="str">
        <f ca="1">IF(OR(Planning!$L8="",Planning!$N8=""),"Z"&amp;ROW($M8),Planning!$I8&amp;Planning!$F8)</f>
        <v>A30,375</v>
      </c>
      <c r="D5" s="165">
        <f ca="1"/>
        <v>1</v>
      </c>
      <c r="E5" s="451" t="str">
        <f t="array" aca="1" ref="E5" ca="1">VLOOKUP(MATCH($E$7,$D$3:$D$62,0),$B$3:$C$62,2,0)</f>
        <v>A50,375</v>
      </c>
      <c r="F5" s="495" t="s">
        <v>278</v>
      </c>
    </row>
    <row r="6" spans="2:7" ht="13.5" thickBot="1" x14ac:dyDescent="0.25">
      <c r="B6" s="165">
        <v>4</v>
      </c>
      <c r="C6" t="str">
        <f ca="1">IF(OR(Planning!$L9="",Planning!$N9=""),"Z"&amp;ROW($M9),Planning!$I9&amp;Planning!$F9)</f>
        <v>B30,375</v>
      </c>
      <c r="D6" s="165">
        <f ca="1"/>
        <v>1</v>
      </c>
      <c r="E6" s="165" t="str">
        <f ca="1">LEFT($E$5,2)</f>
        <v>A5</v>
      </c>
      <c r="F6" s="165"/>
    </row>
    <row r="7" spans="2:7" ht="13.5" thickBot="1" x14ac:dyDescent="0.25">
      <c r="B7" s="165">
        <v>5</v>
      </c>
      <c r="C7" t="str">
        <f ca="1">IF(OR(Planning!$L10="",Planning!$N10=""),"Z"&amp;ROW($M10),Planning!$I10&amp;Planning!$F10)</f>
        <v>A50,399305555555556</v>
      </c>
      <c r="D7" s="165">
        <f ca="1"/>
        <v>1</v>
      </c>
      <c r="E7" s="513">
        <f ca="1">MAX($D$3:$D$62)</f>
        <v>1</v>
      </c>
    </row>
    <row r="8" spans="2:7" x14ac:dyDescent="0.2">
      <c r="B8" s="165">
        <v>6</v>
      </c>
      <c r="C8" t="str">
        <f ca="1">IF(OR(Planning!$L11="",Planning!$N11=""),"Z"&amp;ROW($M11),Planning!$I11&amp;Planning!$F11)</f>
        <v>B50,399305555555556</v>
      </c>
      <c r="D8" s="165">
        <f ca="1"/>
        <v>1</v>
      </c>
      <c r="E8" s="165">
        <f t="array" aca="1" ref="E8" ca="1">MATCH($E$7,$D$3:$D$62,0)</f>
        <v>1</v>
      </c>
      <c r="F8" s="165" t="e">
        <f ca="1">IF($E$8&lt;$E$9,$E$8,$E$9)</f>
        <v>#NUM!</v>
      </c>
    </row>
    <row r="9" spans="2:7" x14ac:dyDescent="0.2">
      <c r="B9" s="165">
        <v>7</v>
      </c>
      <c r="C9" t="str">
        <f ca="1">IF(OR(Planning!$L12="",Planning!$N12=""),"Z"&amp;ROW($M12),Planning!$I12&amp;Planning!$F12)</f>
        <v>A20,399305555555556</v>
      </c>
      <c r="D9" s="165">
        <f ca="1"/>
        <v>1</v>
      </c>
      <c r="E9" s="165" t="e">
        <f t="array" aca="1" ref="E9" ca="1">INDEX($B$3:$B$62,SMALL(IF($E$5=$C$3:$C$62,ROW($C$3:$C$62)-ROW($C$3)+1),2))</f>
        <v>#NUM!</v>
      </c>
      <c r="F9" s="165" t="e">
        <f ca="1">IF($E$8&gt;$E$9,$E$8,$E$9)</f>
        <v>#NUM!</v>
      </c>
    </row>
    <row r="10" spans="2:7" x14ac:dyDescent="0.2">
      <c r="B10" s="165">
        <v>8</v>
      </c>
      <c r="C10" t="str">
        <f ca="1">IF(OR(Planning!$L13="",Planning!$N13=""),"Z"&amp;ROW($M13),Planning!$I13&amp;Planning!$F13)</f>
        <v>B20,399305555555556</v>
      </c>
      <c r="D10" s="165">
        <f ca="1"/>
        <v>1</v>
      </c>
    </row>
    <row r="11" spans="2:7" x14ac:dyDescent="0.2">
      <c r="B11" s="165">
        <v>9</v>
      </c>
      <c r="C11" t="str">
        <f ca="1">IF(OR(Planning!$L14="",Planning!$N14=""),"Z"&amp;ROW($M14),Planning!$I14&amp;Planning!$F14)</f>
        <v>A10,423611111111111</v>
      </c>
      <c r="D11" s="165">
        <f ca="1"/>
        <v>1</v>
      </c>
    </row>
    <row r="12" spans="2:7" x14ac:dyDescent="0.2">
      <c r="B12" s="165">
        <v>10</v>
      </c>
      <c r="C12" t="str">
        <f ca="1">IF(OR(Planning!$L15="",Planning!$N15=""),"Z"&amp;ROW($M15),Planning!$I15&amp;Planning!$F15)</f>
        <v>B10,423611111111111</v>
      </c>
      <c r="D12" s="165">
        <f ca="1"/>
        <v>1</v>
      </c>
    </row>
    <row r="13" spans="2:7" x14ac:dyDescent="0.2">
      <c r="B13" s="165">
        <v>11</v>
      </c>
      <c r="C13" t="str">
        <f ca="1">IF(OR(Planning!$L16="",Planning!$N16=""),"Z"&amp;ROW($M16),Planning!$I16&amp;Planning!$F16)</f>
        <v>A30,423611111111111</v>
      </c>
      <c r="D13" s="165">
        <f ca="1"/>
        <v>1</v>
      </c>
    </row>
    <row r="14" spans="2:7" x14ac:dyDescent="0.2">
      <c r="B14" s="165">
        <v>12</v>
      </c>
      <c r="C14" t="str">
        <f ca="1">IF(OR(Planning!$L17="",Planning!$N17=""),"Z"&amp;ROW($M17),Planning!$I17&amp;Planning!$F17)</f>
        <v>B30,423611111111111</v>
      </c>
      <c r="D14" s="165">
        <f ca="1"/>
        <v>1</v>
      </c>
    </row>
    <row r="15" spans="2:7" x14ac:dyDescent="0.2">
      <c r="B15" s="165">
        <v>13</v>
      </c>
      <c r="C15" t="str">
        <f ca="1">IF(OR(Planning!$L18="",Planning!$N18=""),"Z"&amp;ROW($M18),Planning!$I18&amp;Planning!$F18)</f>
        <v>A20,447916666666667</v>
      </c>
      <c r="D15" s="165">
        <f ca="1"/>
        <v>1</v>
      </c>
    </row>
    <row r="16" spans="2:7" x14ac:dyDescent="0.2">
      <c r="B16" s="165">
        <v>14</v>
      </c>
      <c r="C16" t="str">
        <f ca="1">IF(OR(Planning!$L19="",Planning!$N19=""),"Z"&amp;ROW($M19),Planning!$I19&amp;Planning!$F19)</f>
        <v>B20,447916666666667</v>
      </c>
      <c r="D16" s="165">
        <f ca="1"/>
        <v>1</v>
      </c>
    </row>
    <row r="17" spans="1:7" x14ac:dyDescent="0.2">
      <c r="B17" s="165">
        <v>15</v>
      </c>
      <c r="C17" t="str">
        <f ca="1">IF(OR(Planning!$L20="",Planning!$N20=""),"Z"&amp;ROW($M20),Planning!$I20&amp;Planning!$F20)</f>
        <v>A30,447916666666667</v>
      </c>
      <c r="D17" s="165">
        <f ca="1"/>
        <v>1</v>
      </c>
    </row>
    <row r="18" spans="1:7" x14ac:dyDescent="0.2">
      <c r="B18" s="165">
        <v>16</v>
      </c>
      <c r="C18" t="str">
        <f ca="1">IF(OR(Planning!$L21="",Planning!$N21=""),"Z"&amp;ROW($M21),Planning!$I21&amp;Planning!$F21)</f>
        <v>B30,447916666666667</v>
      </c>
      <c r="D18" s="165">
        <f ca="1"/>
        <v>1</v>
      </c>
    </row>
    <row r="19" spans="1:7" x14ac:dyDescent="0.2">
      <c r="B19" s="165">
        <v>17</v>
      </c>
      <c r="C19" t="str">
        <f ca="1">IF(OR(Planning!$L22="",Planning!$N22=""),"Z"&amp;ROW($M22),Planning!$I22&amp;Planning!$F22)</f>
        <v>A40,472222222222222</v>
      </c>
      <c r="D19" s="165">
        <f ca="1"/>
        <v>1</v>
      </c>
    </row>
    <row r="20" spans="1:7" x14ac:dyDescent="0.2">
      <c r="B20" s="165">
        <v>18</v>
      </c>
      <c r="C20" t="str">
        <f ca="1">IF(OR(Planning!$L23="",Planning!$N23=""),"Z"&amp;ROW($M23),Planning!$I23&amp;Planning!$F23)</f>
        <v>B40,472222222222222</v>
      </c>
      <c r="D20" s="165">
        <f ca="1"/>
        <v>1</v>
      </c>
    </row>
    <row r="21" spans="1:7" x14ac:dyDescent="0.2">
      <c r="B21" s="165">
        <v>19</v>
      </c>
      <c r="C21" t="str">
        <f ca="1">IF(OR(Planning!$L24="",Planning!$N24=""),"Z"&amp;ROW($M24),Planning!$I24&amp;Planning!$F24)</f>
        <v>A10,472222222222222</v>
      </c>
      <c r="D21" s="165">
        <f ca="1"/>
        <v>1</v>
      </c>
      <c r="G21" s="832" t="s">
        <v>248</v>
      </c>
    </row>
    <row r="22" spans="1:7" x14ac:dyDescent="0.2">
      <c r="B22" s="165">
        <v>20</v>
      </c>
      <c r="C22" t="str">
        <f ca="1">IF(OR(Planning!$L25="",Planning!$N25=""),"Z"&amp;ROW($M25),Planning!$I25&amp;Planning!$F25)</f>
        <v>B10,472222222222222</v>
      </c>
      <c r="D22" s="165">
        <f ca="1"/>
        <v>1</v>
      </c>
      <c r="G22" s="832"/>
    </row>
    <row r="23" spans="1:7" x14ac:dyDescent="0.2">
      <c r="B23" s="165">
        <v>21</v>
      </c>
      <c r="C23" t="str">
        <f ca="1">IF(OR(Planning!$L26="",Planning!$N26=""),"Z"&amp;ROW($M26),Planning!$I26&amp;Planning!$F26)</f>
        <v>Z26</v>
      </c>
      <c r="D23" s="165">
        <f ca="1"/>
        <v>1</v>
      </c>
      <c r="G23" s="832" t="s">
        <v>249</v>
      </c>
    </row>
    <row r="24" spans="1:7" x14ac:dyDescent="0.2">
      <c r="B24" s="165">
        <v>22</v>
      </c>
      <c r="C24" t="str">
        <f ca="1">IF(OR(Planning!$L27="",Planning!$N27=""),"Z"&amp;ROW($M27),Planning!$I27&amp;Planning!$F27)</f>
        <v>Z27</v>
      </c>
      <c r="D24" s="165">
        <f ca="1"/>
        <v>1</v>
      </c>
      <c r="G24" s="832"/>
    </row>
    <row r="25" spans="1:7" x14ac:dyDescent="0.2">
      <c r="B25" s="165">
        <v>23</v>
      </c>
      <c r="C25" t="str">
        <f ca="1">IF(OR(Planning!$L28="",Planning!$N28=""),"Z"&amp;ROW($M28),Planning!$I28&amp;Planning!$F28)</f>
        <v>Z28</v>
      </c>
      <c r="D25" s="165">
        <f ca="1"/>
        <v>1</v>
      </c>
      <c r="G25" s="832" t="s">
        <v>250</v>
      </c>
    </row>
    <row r="26" spans="1:7" x14ac:dyDescent="0.2">
      <c r="B26" s="165">
        <v>24</v>
      </c>
      <c r="C26" t="str">
        <f ca="1">IF(OR(Planning!$L29="",Planning!$N29=""),"Z"&amp;ROW($M29),Planning!$I29&amp;Planning!$F29)</f>
        <v>Z29</v>
      </c>
      <c r="D26" s="165">
        <f ca="1"/>
        <v>1</v>
      </c>
      <c r="G26" s="832"/>
    </row>
    <row r="27" spans="1:7" x14ac:dyDescent="0.2">
      <c r="B27" s="165">
        <v>25</v>
      </c>
      <c r="C27" t="str">
        <f ca="1">IF(OR(Planning!$L30="",Planning!$N30=""),"Z"&amp;ROW($M30),Planning!$I30&amp;Planning!$F30)</f>
        <v>Z30</v>
      </c>
      <c r="D27" s="165">
        <f ca="1"/>
        <v>1</v>
      </c>
      <c r="G27" s="832" t="s">
        <v>251</v>
      </c>
    </row>
    <row r="28" spans="1:7" x14ac:dyDescent="0.2">
      <c r="B28" s="165">
        <v>26</v>
      </c>
      <c r="C28" t="str">
        <f ca="1">IF(OR(Planning!$L31="",Planning!$N31=""),"Z"&amp;ROW($M31),Planning!$I31&amp;Planning!$F31)</f>
        <v>Z31</v>
      </c>
      <c r="D28" s="165">
        <f ca="1"/>
        <v>1</v>
      </c>
      <c r="G28" s="832"/>
    </row>
    <row r="29" spans="1:7" x14ac:dyDescent="0.2">
      <c r="B29" s="165">
        <v>27</v>
      </c>
      <c r="C29" t="str">
        <f ca="1">IF(OR(Planning!$L32="",Planning!$N32=""),"Z"&amp;ROW($M32),Planning!$I32&amp;Planning!$F32)</f>
        <v>Z32</v>
      </c>
      <c r="D29" s="165">
        <f ca="1"/>
        <v>1</v>
      </c>
      <c r="G29" s="832" t="s">
        <v>322</v>
      </c>
    </row>
    <row r="30" spans="1:7" x14ac:dyDescent="0.2">
      <c r="B30" s="165">
        <v>28</v>
      </c>
      <c r="C30" t="str">
        <f ca="1">IF(OR(Planning!$L33="",Planning!$N33=""),"Z"&amp;ROW($M33),Planning!$I33&amp;Planning!$F33)</f>
        <v>Z33</v>
      </c>
      <c r="D30" s="165">
        <f ca="1"/>
        <v>1</v>
      </c>
      <c r="G30" s="832"/>
    </row>
    <row r="31" spans="1:7" x14ac:dyDescent="0.2">
      <c r="B31" s="165">
        <v>29</v>
      </c>
      <c r="C31" t="str">
        <f ca="1">IF(OR(Planning!$L34="",Planning!$N34=""),"Z"&amp;ROW($M34),Planning!$I34&amp;Planning!$F34)</f>
        <v>Z34</v>
      </c>
      <c r="D31" s="165">
        <f ca="1"/>
        <v>1</v>
      </c>
      <c r="G31" s="165"/>
    </row>
    <row r="32" spans="1:7" ht="13.5" thickBot="1" x14ac:dyDescent="0.25">
      <c r="A32" s="509"/>
      <c r="B32" s="510">
        <v>30</v>
      </c>
      <c r="C32" s="509" t="str">
        <f ca="1">IF(OR(Planning!$L35="",Planning!$N35=""),"Z"&amp;ROW($M35),Planning!$I35&amp;Planning!$F35)</f>
        <v>Z35</v>
      </c>
      <c r="D32" s="165">
        <f ca="1"/>
        <v>1</v>
      </c>
      <c r="G32" s="165"/>
    </row>
    <row r="33" spans="1:7" x14ac:dyDescent="0.2">
      <c r="A33" s="165"/>
      <c r="B33" s="165">
        <v>31</v>
      </c>
      <c r="C33" t="str">
        <f ca="1">IF(OR(Planning!$L6="",Planning!$N6=""),"ZZ"&amp;ROW($M6)+45,Planning!$K6&amp;Planning!$F6)</f>
        <v>A20,375</v>
      </c>
      <c r="D33" s="165">
        <f ca="1"/>
        <v>1</v>
      </c>
      <c r="G33" s="832" t="s">
        <v>252</v>
      </c>
    </row>
    <row r="34" spans="1:7" x14ac:dyDescent="0.2">
      <c r="A34" s="165"/>
      <c r="B34" s="165">
        <v>32</v>
      </c>
      <c r="C34" t="str">
        <f ca="1">IF(OR(Planning!$L7="",Planning!$N7=""),"ZZ"&amp;ROW($M7)+45,Planning!$K7&amp;Planning!$F7)</f>
        <v>B20,375</v>
      </c>
      <c r="D34" s="165">
        <f ca="1"/>
        <v>1</v>
      </c>
      <c r="G34" s="832"/>
    </row>
    <row r="35" spans="1:7" x14ac:dyDescent="0.2">
      <c r="A35" s="165"/>
      <c r="B35" s="165">
        <v>33</v>
      </c>
      <c r="C35" t="str">
        <f ca="1">IF(OR(Planning!$L8="",Planning!$N8=""),"ZZ"&amp;ROW($M8)+45,Planning!$K8&amp;Planning!$F8)</f>
        <v>A40,375</v>
      </c>
      <c r="D35" s="165">
        <f ca="1"/>
        <v>1</v>
      </c>
      <c r="G35" s="832" t="s">
        <v>253</v>
      </c>
    </row>
    <row r="36" spans="1:7" x14ac:dyDescent="0.2">
      <c r="A36" s="165"/>
      <c r="B36" s="165">
        <v>34</v>
      </c>
      <c r="C36" t="str">
        <f ca="1">IF(OR(Planning!$L9="",Planning!$N9=""),"ZZ"&amp;ROW($M9)+45,Planning!$K9&amp;Planning!$F9)</f>
        <v>B40,375</v>
      </c>
      <c r="D36" s="165">
        <f ca="1"/>
        <v>1</v>
      </c>
      <c r="G36" s="832"/>
    </row>
    <row r="37" spans="1:7" x14ac:dyDescent="0.2">
      <c r="A37" s="165"/>
      <c r="B37" s="165">
        <v>35</v>
      </c>
      <c r="C37" t="str">
        <f ca="1">IF(OR(Planning!$L10="",Planning!$N10=""),"ZZ"&amp;ROW($M10)+45,Planning!$K10&amp;Planning!$F10)</f>
        <v>A10,399305555555556</v>
      </c>
      <c r="D37" s="165">
        <f ca="1"/>
        <v>1</v>
      </c>
      <c r="G37" s="832" t="s">
        <v>255</v>
      </c>
    </row>
    <row r="38" spans="1:7" x14ac:dyDescent="0.2">
      <c r="A38" s="165"/>
      <c r="B38" s="165">
        <v>36</v>
      </c>
      <c r="C38" t="str">
        <f ca="1">IF(OR(Planning!$L11="",Planning!$N11=""),"ZZ"&amp;ROW($M11)+45,Planning!$K11&amp;Planning!$F11)</f>
        <v>B10,399305555555556</v>
      </c>
      <c r="D38" s="165">
        <f ca="1"/>
        <v>1</v>
      </c>
      <c r="G38" s="832"/>
    </row>
    <row r="39" spans="1:7" x14ac:dyDescent="0.2">
      <c r="A39" s="165"/>
      <c r="B39" s="165">
        <v>37</v>
      </c>
      <c r="C39" t="str">
        <f ca="1">IF(OR(Planning!$L12="",Planning!$N12=""),"ZZ"&amp;ROW($M12)+45,Planning!$K12&amp;Planning!$F12)</f>
        <v>A30,399305555555556</v>
      </c>
      <c r="D39" s="165">
        <f ca="1"/>
        <v>1</v>
      </c>
      <c r="G39" s="832" t="s">
        <v>254</v>
      </c>
    </row>
    <row r="40" spans="1:7" x14ac:dyDescent="0.2">
      <c r="A40" s="165"/>
      <c r="B40" s="165">
        <v>38</v>
      </c>
      <c r="C40" t="str">
        <f ca="1">IF(OR(Planning!$L13="",Planning!$N13=""),"ZZ"&amp;ROW($M13)+45,Planning!$K13&amp;Planning!$F13)</f>
        <v>B30,399305555555556</v>
      </c>
      <c r="D40" s="165">
        <f ca="1"/>
        <v>1</v>
      </c>
      <c r="G40" s="832"/>
    </row>
    <row r="41" spans="1:7" x14ac:dyDescent="0.2">
      <c r="A41" s="165"/>
      <c r="B41" s="165">
        <v>39</v>
      </c>
      <c r="C41" t="str">
        <f ca="1">IF(OR(Planning!$L14="",Planning!$N14=""),"ZZ"&amp;ROW($M14)+45,Planning!$K14&amp;Planning!$F14)</f>
        <v>A40,423611111111111</v>
      </c>
      <c r="D41" s="165">
        <f ca="1"/>
        <v>1</v>
      </c>
      <c r="G41" s="832" t="s">
        <v>256</v>
      </c>
    </row>
    <row r="42" spans="1:7" x14ac:dyDescent="0.2">
      <c r="A42" s="165"/>
      <c r="B42" s="165">
        <v>40</v>
      </c>
      <c r="C42" t="str">
        <f ca="1">IF(OR(Planning!$L15="",Planning!$N15=""),"ZZ"&amp;ROW($M15)+45,Planning!$K15&amp;Planning!$F15)</f>
        <v>B40,423611111111111</v>
      </c>
      <c r="D42" s="165">
        <f ca="1"/>
        <v>1</v>
      </c>
      <c r="G42" s="832"/>
    </row>
    <row r="43" spans="1:7" x14ac:dyDescent="0.2">
      <c r="A43" s="165"/>
      <c r="B43" s="165">
        <v>41</v>
      </c>
      <c r="C43" t="str">
        <f ca="1">IF(OR(Planning!$L16="",Planning!$N16=""),"ZZ"&amp;ROW($M16)+45,Planning!$K16&amp;Planning!$F16)</f>
        <v>A50,423611111111111</v>
      </c>
      <c r="D43" s="165">
        <f ca="1"/>
        <v>1</v>
      </c>
    </row>
    <row r="44" spans="1:7" x14ac:dyDescent="0.2">
      <c r="A44" s="165"/>
      <c r="B44" s="165">
        <v>42</v>
      </c>
      <c r="C44" t="str">
        <f ca="1">IF(OR(Planning!$L17="",Planning!$N17=""),"ZZ"&amp;ROW($M17)+45,Planning!$K17&amp;Planning!$F17)</f>
        <v>B50,423611111111111</v>
      </c>
      <c r="D44" s="165">
        <f ca="1"/>
        <v>1</v>
      </c>
    </row>
    <row r="45" spans="1:7" x14ac:dyDescent="0.2">
      <c r="A45" s="165"/>
      <c r="B45" s="165">
        <v>43</v>
      </c>
      <c r="C45" t="str">
        <f ca="1">IF(OR(Planning!$L18="",Planning!$N18=""),"ZZ"&amp;ROW($M18)+45,Planning!$K18&amp;Planning!$F18)</f>
        <v>A40,447916666666667</v>
      </c>
      <c r="D45" s="165">
        <f ca="1"/>
        <v>1</v>
      </c>
    </row>
    <row r="46" spans="1:7" x14ac:dyDescent="0.2">
      <c r="A46" s="165"/>
      <c r="B46" s="165">
        <v>44</v>
      </c>
      <c r="C46" t="str">
        <f ca="1">IF(OR(Planning!$L19="",Planning!$N19=""),"ZZ"&amp;ROW($M19)+45,Planning!$K19&amp;Planning!$F19)</f>
        <v>B40,447916666666667</v>
      </c>
      <c r="D46" s="165">
        <f ca="1"/>
        <v>1</v>
      </c>
    </row>
    <row r="47" spans="1:7" x14ac:dyDescent="0.2">
      <c r="A47" s="165"/>
      <c r="B47" s="165">
        <v>45</v>
      </c>
      <c r="C47" t="str">
        <f ca="1">IF(OR(Planning!$L20="",Planning!$N20=""),"ZZ"&amp;ROW($M20)+45,Planning!$K20&amp;Planning!$F20)</f>
        <v>A10,447916666666667</v>
      </c>
      <c r="D47" s="165">
        <f ca="1"/>
        <v>1</v>
      </c>
    </row>
    <row r="48" spans="1:7" x14ac:dyDescent="0.2">
      <c r="A48" s="165"/>
      <c r="B48" s="165">
        <v>46</v>
      </c>
      <c r="C48" t="str">
        <f ca="1">IF(OR(Planning!$L21="",Planning!$N21=""),"ZZ"&amp;ROW($M21)+45,Planning!$K21&amp;Planning!$F21)</f>
        <v>B10,447916666666667</v>
      </c>
      <c r="D48" s="165">
        <f ca="1"/>
        <v>1</v>
      </c>
    </row>
    <row r="49" spans="1:4" x14ac:dyDescent="0.2">
      <c r="A49" s="165"/>
      <c r="B49" s="165">
        <v>47</v>
      </c>
      <c r="C49" t="str">
        <f ca="1">IF(OR(Planning!$L22="",Planning!$N22=""),"ZZ"&amp;ROW($M22)+45,Planning!$K22&amp;Planning!$F22)</f>
        <v>A50,472222222222222</v>
      </c>
      <c r="D49" s="165">
        <f ca="1"/>
        <v>1</v>
      </c>
    </row>
    <row r="50" spans="1:4" x14ac:dyDescent="0.2">
      <c r="A50" s="165"/>
      <c r="B50" s="165">
        <v>48</v>
      </c>
      <c r="C50" t="str">
        <f ca="1">IF(OR(Planning!$L23="",Planning!$N23=""),"ZZ"&amp;ROW($M23)+45,Planning!$K23&amp;Planning!$F23)</f>
        <v>B50,472222222222222</v>
      </c>
      <c r="D50" s="165">
        <f ca="1"/>
        <v>1</v>
      </c>
    </row>
    <row r="51" spans="1:4" x14ac:dyDescent="0.2">
      <c r="A51" s="165"/>
      <c r="B51" s="165">
        <v>49</v>
      </c>
      <c r="C51" t="str">
        <f ca="1">IF(OR(Planning!$L24="",Planning!$N24=""),"ZZ"&amp;ROW($M24)+45,Planning!$K24&amp;Planning!$F24)</f>
        <v>A20,472222222222222</v>
      </c>
      <c r="D51" s="165">
        <f ca="1"/>
        <v>1</v>
      </c>
    </row>
    <row r="52" spans="1:4" x14ac:dyDescent="0.2">
      <c r="A52" s="165"/>
      <c r="B52" s="165">
        <v>50</v>
      </c>
      <c r="C52" t="str">
        <f ca="1">IF(OR(Planning!$L25="",Planning!$N25=""),"ZZ"&amp;ROW($M25)+45,Planning!$K25&amp;Planning!$F25)</f>
        <v>B20,472222222222222</v>
      </c>
      <c r="D52" s="165">
        <f ca="1"/>
        <v>1</v>
      </c>
    </row>
    <row r="53" spans="1:4" x14ac:dyDescent="0.2">
      <c r="A53" s="165"/>
      <c r="B53" s="165">
        <v>51</v>
      </c>
      <c r="C53" t="str">
        <f ca="1">IF(OR(Planning!$L26="",Planning!$N26=""),"ZZ"&amp;ROW($M26)+45,Planning!$K26&amp;Planning!$F26)</f>
        <v>ZZ71</v>
      </c>
      <c r="D53" s="165">
        <f ca="1"/>
        <v>1</v>
      </c>
    </row>
    <row r="54" spans="1:4" x14ac:dyDescent="0.2">
      <c r="A54" s="165"/>
      <c r="B54" s="165">
        <v>52</v>
      </c>
      <c r="C54" t="str">
        <f ca="1">IF(OR(Planning!$L27="",Planning!$N27=""),"ZZ"&amp;ROW($M27)+45,Planning!$K27&amp;Planning!$F27)</f>
        <v>ZZ72</v>
      </c>
      <c r="D54" s="165">
        <f ca="1"/>
        <v>1</v>
      </c>
    </row>
    <row r="55" spans="1:4" x14ac:dyDescent="0.2">
      <c r="A55" s="165"/>
      <c r="B55" s="165">
        <v>53</v>
      </c>
      <c r="C55" t="str">
        <f ca="1">IF(OR(Planning!$L28="",Planning!$N28=""),"ZZ"&amp;ROW($M28)+45,Planning!$K28&amp;Planning!$F28)</f>
        <v>ZZ73</v>
      </c>
      <c r="D55" s="165">
        <f ca="1"/>
        <v>1</v>
      </c>
    </row>
    <row r="56" spans="1:4" x14ac:dyDescent="0.2">
      <c r="A56" s="165"/>
      <c r="B56" s="165">
        <v>54</v>
      </c>
      <c r="C56" t="str">
        <f ca="1">IF(OR(Planning!$L29="",Planning!$N29=""),"ZZ"&amp;ROW($M29)+45,Planning!$K29&amp;Planning!$F29)</f>
        <v>ZZ74</v>
      </c>
      <c r="D56" s="165">
        <f ca="1"/>
        <v>1</v>
      </c>
    </row>
    <row r="57" spans="1:4" x14ac:dyDescent="0.2">
      <c r="A57" s="165"/>
      <c r="B57" s="165">
        <v>55</v>
      </c>
      <c r="C57" t="str">
        <f ca="1">IF(OR(Planning!$L30="",Planning!$N30=""),"ZZ"&amp;ROW($M30)+45,Planning!$K30&amp;Planning!$F30)</f>
        <v>ZZ75</v>
      </c>
      <c r="D57" s="165">
        <f ca="1"/>
        <v>1</v>
      </c>
    </row>
    <row r="58" spans="1:4" x14ac:dyDescent="0.2">
      <c r="A58" s="165"/>
      <c r="B58" s="165">
        <v>56</v>
      </c>
      <c r="C58" t="str">
        <f ca="1">IF(OR(Planning!$L31="",Planning!$N31=""),"ZZ"&amp;ROW($M31)+45,Planning!$K31&amp;Planning!$F31)</f>
        <v>ZZ76</v>
      </c>
      <c r="D58" s="165">
        <f ca="1"/>
        <v>1</v>
      </c>
    </row>
    <row r="59" spans="1:4" x14ac:dyDescent="0.2">
      <c r="A59" s="165"/>
      <c r="B59" s="165">
        <v>57</v>
      </c>
      <c r="C59" t="str">
        <f ca="1">IF(OR(Planning!$L32="",Planning!$N32=""),"ZZ"&amp;ROW($M32)+45,Planning!$K32&amp;Planning!$F32)</f>
        <v>ZZ77</v>
      </c>
      <c r="D59" s="165">
        <f ca="1"/>
        <v>1</v>
      </c>
    </row>
    <row r="60" spans="1:4" x14ac:dyDescent="0.2">
      <c r="A60" s="165"/>
      <c r="B60" s="165">
        <v>58</v>
      </c>
      <c r="C60" t="str">
        <f ca="1">IF(OR(Planning!$L33="",Planning!$N33=""),"ZZ"&amp;ROW($M33)+45,Planning!$K33&amp;Planning!$F33)</f>
        <v>ZZ78</v>
      </c>
      <c r="D60" s="165">
        <f ca="1"/>
        <v>1</v>
      </c>
    </row>
    <row r="61" spans="1:4" x14ac:dyDescent="0.2">
      <c r="A61" s="165"/>
      <c r="B61" s="165">
        <v>59</v>
      </c>
      <c r="C61" t="str">
        <f ca="1">IF(OR(Planning!$L34="",Planning!$N34=""),"ZZ"&amp;ROW($M34)+45,Planning!$K34&amp;Planning!$F34)</f>
        <v>ZZ79</v>
      </c>
      <c r="D61" s="165">
        <f ca="1"/>
        <v>1</v>
      </c>
    </row>
    <row r="62" spans="1:4" x14ac:dyDescent="0.2">
      <c r="A62" s="165"/>
      <c r="B62" s="165">
        <v>60</v>
      </c>
      <c r="C62" t="str">
        <f ca="1">IF(OR(Planning!$L35="",Planning!$N35=""),"ZZ"&amp;ROW($M35)+45,Planning!$K35&amp;Planning!$F35)</f>
        <v>ZZ80</v>
      </c>
      <c r="D62" s="165">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39" priority="7">
      <formula>G2="FEHLER"</formula>
    </cfRule>
  </conditionalFormatting>
  <conditionalFormatting sqref="C3:C62">
    <cfRule type="duplicateValues" dxfId="38" priority="6"/>
  </conditionalFormatting>
  <conditionalFormatting sqref="E3">
    <cfRule type="cellIs" dxfId="37" priority="3" operator="greaterThan">
      <formula>0</formula>
    </cfRule>
  </conditionalFormatting>
  <conditionalFormatting sqref="E4">
    <cfRule type="cellIs" dxfId="36" priority="2" operator="greaterThan">
      <formula>0</formula>
    </cfRule>
  </conditionalFormatting>
  <conditionalFormatting sqref="E7">
    <cfRule type="expression" dxfId="35"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33" t="str">
        <f>Language!$E$50</f>
        <v>Matchups</v>
      </c>
      <c r="C1" s="237" t="s">
        <v>180</v>
      </c>
      <c r="D1" s="244" t="s">
        <v>192</v>
      </c>
      <c r="E1" s="244" t="s">
        <v>196</v>
      </c>
      <c r="G1" s="237" t="s">
        <v>171</v>
      </c>
      <c r="H1" s="72" t="s">
        <v>194</v>
      </c>
      <c r="I1" s="72" t="s">
        <v>198</v>
      </c>
      <c r="K1" s="237" t="s">
        <v>172</v>
      </c>
      <c r="L1" s="72" t="s">
        <v>200</v>
      </c>
      <c r="M1" s="72" t="s">
        <v>196</v>
      </c>
      <c r="O1" s="237" t="s">
        <v>173</v>
      </c>
      <c r="P1" s="72" t="s">
        <v>194</v>
      </c>
      <c r="Q1" s="72" t="s">
        <v>202</v>
      </c>
    </row>
    <row r="2" spans="1:17" x14ac:dyDescent="0.2">
      <c r="A2" s="833"/>
      <c r="C2" s="330"/>
      <c r="D2" s="244" t="s">
        <v>193</v>
      </c>
      <c r="E2" s="244" t="s">
        <v>197</v>
      </c>
      <c r="G2" s="330"/>
      <c r="H2" s="72" t="s">
        <v>195</v>
      </c>
      <c r="I2" s="72" t="s">
        <v>199</v>
      </c>
      <c r="J2" s="72"/>
      <c r="K2" s="330"/>
      <c r="L2" s="72" t="s">
        <v>201</v>
      </c>
      <c r="M2" s="72" t="s">
        <v>197</v>
      </c>
      <c r="O2" s="330"/>
      <c r="P2" s="72" t="s">
        <v>195</v>
      </c>
      <c r="Q2" s="72" t="s">
        <v>203</v>
      </c>
    </row>
    <row r="3" spans="1:17" ht="12.75" customHeight="1" x14ac:dyDescent="0.2">
      <c r="A3" s="833"/>
      <c r="C3" s="327"/>
      <c r="D3" s="244" t="s">
        <v>192</v>
      </c>
      <c r="E3" s="244" t="s">
        <v>194</v>
      </c>
      <c r="G3" s="327"/>
      <c r="H3" s="72" t="s">
        <v>192</v>
      </c>
      <c r="I3" s="72" t="s">
        <v>196</v>
      </c>
      <c r="K3" s="328"/>
      <c r="L3" s="72" t="s">
        <v>192</v>
      </c>
      <c r="M3" s="72" t="s">
        <v>198</v>
      </c>
      <c r="O3" s="165"/>
      <c r="P3" s="72" t="s">
        <v>200</v>
      </c>
      <c r="Q3" s="72" t="s">
        <v>196</v>
      </c>
    </row>
    <row r="4" spans="1:17" ht="12.75" customHeight="1" x14ac:dyDescent="0.2">
      <c r="A4" s="833"/>
      <c r="C4" s="327"/>
      <c r="D4" s="244" t="s">
        <v>193</v>
      </c>
      <c r="E4" s="244" t="s">
        <v>195</v>
      </c>
      <c r="G4" s="327"/>
      <c r="H4" s="72" t="s">
        <v>193</v>
      </c>
      <c r="I4" s="72" t="s">
        <v>197</v>
      </c>
      <c r="K4" s="328"/>
      <c r="L4" s="72" t="s">
        <v>193</v>
      </c>
      <c r="M4" s="72" t="s">
        <v>199</v>
      </c>
      <c r="O4" s="165"/>
      <c r="P4" s="72" t="s">
        <v>201</v>
      </c>
      <c r="Q4" s="72" t="s">
        <v>197</v>
      </c>
    </row>
    <row r="5" spans="1:17" x14ac:dyDescent="0.2">
      <c r="A5" s="833"/>
      <c r="C5" s="327"/>
      <c r="D5" s="244" t="s">
        <v>194</v>
      </c>
      <c r="E5" s="244" t="s">
        <v>196</v>
      </c>
      <c r="G5" s="327"/>
      <c r="H5" s="72" t="s">
        <v>192</v>
      </c>
      <c r="I5" s="72" t="s">
        <v>194</v>
      </c>
      <c r="K5" s="329"/>
      <c r="L5" s="72" t="s">
        <v>200</v>
      </c>
      <c r="M5" s="72" t="s">
        <v>194</v>
      </c>
      <c r="P5" s="72" t="s">
        <v>192</v>
      </c>
      <c r="Q5" s="72" t="s">
        <v>198</v>
      </c>
    </row>
    <row r="6" spans="1:17" x14ac:dyDescent="0.2">
      <c r="A6" s="833"/>
      <c r="C6" s="327"/>
      <c r="D6" s="244" t="s">
        <v>195</v>
      </c>
      <c r="E6" s="244" t="s">
        <v>197</v>
      </c>
      <c r="G6" s="327"/>
      <c r="H6" s="72" t="s">
        <v>196</v>
      </c>
      <c r="I6" s="72" t="s">
        <v>198</v>
      </c>
      <c r="J6" s="511" t="s">
        <v>285</v>
      </c>
      <c r="K6" s="72"/>
      <c r="L6" s="72" t="s">
        <v>201</v>
      </c>
      <c r="M6" s="72" t="s">
        <v>195</v>
      </c>
      <c r="P6" s="72" t="s">
        <v>193</v>
      </c>
      <c r="Q6" s="72" t="s">
        <v>199</v>
      </c>
    </row>
    <row r="7" spans="1:17" ht="12.75" customHeight="1" x14ac:dyDescent="0.2">
      <c r="A7" s="833"/>
      <c r="C7" s="327"/>
      <c r="D7" s="244"/>
      <c r="E7" s="244"/>
      <c r="G7" s="327"/>
      <c r="H7" s="72" t="s">
        <v>193</v>
      </c>
      <c r="I7" s="72" t="s">
        <v>195</v>
      </c>
      <c r="J7" s="511" t="s">
        <v>285</v>
      </c>
      <c r="K7" s="72"/>
      <c r="L7" s="72" t="s">
        <v>196</v>
      </c>
      <c r="M7" s="72" t="s">
        <v>192</v>
      </c>
      <c r="P7" s="72" t="s">
        <v>200</v>
      </c>
      <c r="Q7" s="72" t="s">
        <v>194</v>
      </c>
    </row>
    <row r="8" spans="1:17" ht="12.75" customHeight="1" x14ac:dyDescent="0.2">
      <c r="A8" s="833"/>
      <c r="C8" s="327"/>
      <c r="D8" s="244"/>
      <c r="E8" s="244"/>
      <c r="G8" s="327"/>
      <c r="H8" s="72" t="s">
        <v>197</v>
      </c>
      <c r="I8" s="72" t="s">
        <v>199</v>
      </c>
      <c r="K8" s="329"/>
      <c r="L8" s="72" t="s">
        <v>197</v>
      </c>
      <c r="M8" s="72" t="s">
        <v>193</v>
      </c>
      <c r="P8" s="72" t="s">
        <v>201</v>
      </c>
      <c r="Q8" s="72" t="s">
        <v>195</v>
      </c>
    </row>
    <row r="9" spans="1:17" x14ac:dyDescent="0.2">
      <c r="A9" s="833"/>
      <c r="C9" s="327"/>
      <c r="D9" s="244"/>
      <c r="E9" s="244"/>
      <c r="G9" s="327"/>
      <c r="H9" s="72" t="s">
        <v>194</v>
      </c>
      <c r="I9" s="72" t="s">
        <v>196</v>
      </c>
      <c r="K9" s="329"/>
      <c r="L9" s="72" t="s">
        <v>194</v>
      </c>
      <c r="M9" s="72" t="s">
        <v>198</v>
      </c>
      <c r="P9" s="72" t="s">
        <v>198</v>
      </c>
      <c r="Q9" s="72" t="s">
        <v>202</v>
      </c>
    </row>
    <row r="10" spans="1:17" x14ac:dyDescent="0.2">
      <c r="A10" s="833"/>
      <c r="C10" s="327"/>
      <c r="D10" s="244"/>
      <c r="E10" s="244"/>
      <c r="G10" s="327"/>
      <c r="H10" s="72" t="s">
        <v>195</v>
      </c>
      <c r="I10" s="72" t="s">
        <v>197</v>
      </c>
      <c r="K10" s="329"/>
      <c r="L10" s="72" t="s">
        <v>195</v>
      </c>
      <c r="M10" s="72" t="s">
        <v>199</v>
      </c>
      <c r="P10" s="72" t="s">
        <v>199</v>
      </c>
      <c r="Q10" s="72" t="s">
        <v>203</v>
      </c>
    </row>
    <row r="11" spans="1:17" ht="13.5" customHeight="1" x14ac:dyDescent="0.2">
      <c r="A11" s="833"/>
      <c r="C11" s="327"/>
      <c r="D11" s="244"/>
      <c r="E11" s="244"/>
      <c r="G11" s="327"/>
      <c r="H11" s="72" t="s">
        <v>198</v>
      </c>
      <c r="I11" s="72" t="s">
        <v>192</v>
      </c>
      <c r="K11" s="327"/>
      <c r="L11" s="72" t="s">
        <v>192</v>
      </c>
      <c r="M11" s="72" t="s">
        <v>200</v>
      </c>
      <c r="P11" s="72" t="s">
        <v>196</v>
      </c>
      <c r="Q11" s="72" t="s">
        <v>192</v>
      </c>
    </row>
    <row r="12" spans="1:17" ht="13.5" customHeight="1" x14ac:dyDescent="0.2">
      <c r="A12" s="833"/>
      <c r="C12" s="327"/>
      <c r="D12" s="244"/>
      <c r="E12" s="244"/>
      <c r="G12" s="327"/>
      <c r="H12" s="72" t="s">
        <v>199</v>
      </c>
      <c r="I12" s="72" t="s">
        <v>193</v>
      </c>
      <c r="K12" s="327"/>
      <c r="L12" s="72" t="s">
        <v>193</v>
      </c>
      <c r="M12" s="72" t="s">
        <v>201</v>
      </c>
      <c r="P12" s="72" t="s">
        <v>197</v>
      </c>
      <c r="Q12" s="72" t="s">
        <v>193</v>
      </c>
    </row>
    <row r="13" spans="1:17" ht="12.75" customHeight="1" x14ac:dyDescent="0.2">
      <c r="A13" s="833"/>
      <c r="D13" s="72"/>
      <c r="E13" s="72"/>
      <c r="G13" s="327"/>
      <c r="H13" s="72"/>
      <c r="I13" s="72"/>
      <c r="K13" s="327"/>
      <c r="L13" s="72" t="s">
        <v>196</v>
      </c>
      <c r="M13" s="72" t="s">
        <v>198</v>
      </c>
      <c r="P13" s="72" t="s">
        <v>194</v>
      </c>
      <c r="Q13" s="72" t="s">
        <v>198</v>
      </c>
    </row>
    <row r="14" spans="1:17" ht="12.75" customHeight="1" x14ac:dyDescent="0.2">
      <c r="A14" s="833"/>
      <c r="D14" s="72"/>
      <c r="E14" s="72"/>
      <c r="G14" s="327"/>
      <c r="K14" s="327"/>
      <c r="L14" s="72" t="s">
        <v>197</v>
      </c>
      <c r="M14" s="72" t="s">
        <v>199</v>
      </c>
      <c r="P14" s="72" t="s">
        <v>195</v>
      </c>
      <c r="Q14" s="72" t="s">
        <v>199</v>
      </c>
    </row>
    <row r="15" spans="1:17" x14ac:dyDescent="0.2">
      <c r="A15" s="833"/>
      <c r="C15" s="245"/>
      <c r="D15" s="72"/>
      <c r="E15" s="72"/>
      <c r="G15" s="327"/>
      <c r="H15" s="72"/>
      <c r="I15" s="512"/>
      <c r="J15" s="511" t="s">
        <v>292</v>
      </c>
      <c r="K15" s="327"/>
      <c r="L15" s="72" t="s">
        <v>192</v>
      </c>
      <c r="M15" s="72" t="s">
        <v>194</v>
      </c>
      <c r="P15" s="72" t="s">
        <v>192</v>
      </c>
      <c r="Q15" s="72" t="s">
        <v>200</v>
      </c>
    </row>
    <row r="16" spans="1:17" x14ac:dyDescent="0.2">
      <c r="A16" s="833"/>
      <c r="C16" s="245"/>
      <c r="D16" s="72"/>
      <c r="E16" s="72"/>
      <c r="G16" s="327"/>
      <c r="H16" s="72"/>
      <c r="I16" s="72"/>
      <c r="J16" s="451" t="s">
        <v>286</v>
      </c>
      <c r="K16" s="327"/>
      <c r="L16" s="72" t="s">
        <v>193</v>
      </c>
      <c r="M16" s="72" t="s">
        <v>195</v>
      </c>
      <c r="P16" s="72" t="s">
        <v>193</v>
      </c>
      <c r="Q16" s="72" t="s">
        <v>201</v>
      </c>
    </row>
    <row r="17" spans="1:17" x14ac:dyDescent="0.2">
      <c r="A17" s="833"/>
      <c r="C17" s="245"/>
      <c r="D17" s="72"/>
      <c r="E17" s="72"/>
      <c r="G17" s="327"/>
      <c r="H17" s="72"/>
      <c r="I17" s="72"/>
      <c r="J17" s="451" t="s">
        <v>161</v>
      </c>
      <c r="K17" s="327"/>
      <c r="L17" s="72" t="s">
        <v>198</v>
      </c>
      <c r="M17" s="72" t="s">
        <v>200</v>
      </c>
      <c r="P17" s="72" t="s">
        <v>202</v>
      </c>
      <c r="Q17" s="72" t="s">
        <v>196</v>
      </c>
    </row>
    <row r="18" spans="1:17" x14ac:dyDescent="0.2">
      <c r="A18" s="833"/>
      <c r="C18" s="245"/>
      <c r="D18" s="72"/>
      <c r="E18" s="72"/>
      <c r="G18" s="327"/>
      <c r="H18" s="72"/>
      <c r="I18" s="72"/>
      <c r="J18" s="451" t="s">
        <v>287</v>
      </c>
      <c r="K18" s="327"/>
      <c r="L18" s="72" t="s">
        <v>199</v>
      </c>
      <c r="M18" s="72" t="s">
        <v>201</v>
      </c>
      <c r="P18" s="72" t="s">
        <v>203</v>
      </c>
      <c r="Q18" s="72" t="s">
        <v>197</v>
      </c>
    </row>
    <row r="19" spans="1:17" x14ac:dyDescent="0.2">
      <c r="A19" s="833"/>
      <c r="C19" s="245"/>
      <c r="D19" s="72"/>
      <c r="E19" s="72"/>
      <c r="G19" s="327"/>
      <c r="H19" s="72"/>
      <c r="I19" s="72"/>
      <c r="J19" s="451" t="s">
        <v>288</v>
      </c>
      <c r="K19" s="327"/>
      <c r="L19" s="72" t="s">
        <v>194</v>
      </c>
      <c r="M19" s="72" t="s">
        <v>196</v>
      </c>
      <c r="P19" s="72" t="s">
        <v>192</v>
      </c>
      <c r="Q19" s="72" t="s">
        <v>194</v>
      </c>
    </row>
    <row r="20" spans="1:17" x14ac:dyDescent="0.2">
      <c r="A20" s="833"/>
      <c r="C20" s="245"/>
      <c r="D20" s="72"/>
      <c r="E20" s="72"/>
      <c r="G20" s="327"/>
      <c r="H20" s="72"/>
      <c r="I20" s="72"/>
      <c r="K20" s="327"/>
      <c r="L20" s="72" t="s">
        <v>195</v>
      </c>
      <c r="M20" s="72" t="s">
        <v>197</v>
      </c>
      <c r="P20" s="72" t="s">
        <v>193</v>
      </c>
      <c r="Q20" s="72" t="s">
        <v>195</v>
      </c>
    </row>
    <row r="21" spans="1:17" x14ac:dyDescent="0.2">
      <c r="A21" s="833"/>
      <c r="C21" s="245"/>
      <c r="D21" s="72"/>
      <c r="E21" s="72"/>
      <c r="G21" s="327"/>
      <c r="H21" s="72"/>
      <c r="I21" s="512"/>
      <c r="J21" s="451" t="s">
        <v>293</v>
      </c>
      <c r="K21" s="327"/>
      <c r="L21" s="72"/>
      <c r="M21" s="72"/>
      <c r="O21" s="327"/>
      <c r="P21" s="72" t="s">
        <v>196</v>
      </c>
      <c r="Q21" s="72" t="s">
        <v>198</v>
      </c>
    </row>
    <row r="22" spans="1:17" x14ac:dyDescent="0.2">
      <c r="A22" s="833"/>
      <c r="C22" s="245"/>
      <c r="D22" s="72"/>
      <c r="E22" s="72"/>
      <c r="G22" s="327"/>
      <c r="H22" s="72"/>
      <c r="I22" s="72"/>
      <c r="J22" s="451" t="s">
        <v>289</v>
      </c>
      <c r="K22" s="327"/>
      <c r="L22" s="72"/>
      <c r="M22" s="72"/>
      <c r="O22" s="327"/>
      <c r="P22" s="72" t="s">
        <v>197</v>
      </c>
      <c r="Q22" s="72" t="s">
        <v>199</v>
      </c>
    </row>
    <row r="23" spans="1:17" x14ac:dyDescent="0.2">
      <c r="A23" s="833"/>
      <c r="D23" s="72"/>
      <c r="E23" s="72"/>
      <c r="H23" s="72"/>
      <c r="I23" s="72"/>
      <c r="J23" s="451" t="s">
        <v>290</v>
      </c>
      <c r="K23" s="327"/>
      <c r="L23" s="72"/>
      <c r="M23" s="72"/>
      <c r="O23" s="327"/>
      <c r="P23" s="72" t="s">
        <v>200</v>
      </c>
      <c r="Q23" s="72" t="s">
        <v>202</v>
      </c>
    </row>
    <row r="24" spans="1:17" x14ac:dyDescent="0.2">
      <c r="A24" s="833"/>
      <c r="D24" s="72"/>
      <c r="E24" s="72"/>
      <c r="H24" s="72"/>
      <c r="I24" s="72"/>
      <c r="J24" s="451" t="s">
        <v>291</v>
      </c>
      <c r="K24" s="327"/>
      <c r="L24" s="72"/>
      <c r="M24" s="72"/>
      <c r="O24" s="327"/>
      <c r="P24" s="72" t="s">
        <v>201</v>
      </c>
      <c r="Q24" s="72" t="s">
        <v>203</v>
      </c>
    </row>
    <row r="25" spans="1:17" x14ac:dyDescent="0.2">
      <c r="A25" s="833"/>
      <c r="J25" s="451"/>
      <c r="K25" s="327"/>
      <c r="L25" s="72"/>
      <c r="M25" s="72"/>
      <c r="O25" s="327"/>
      <c r="P25" s="72" t="s">
        <v>194</v>
      </c>
      <c r="Q25" s="72" t="s">
        <v>196</v>
      </c>
    </row>
    <row r="26" spans="1:17" x14ac:dyDescent="0.2">
      <c r="A26" s="833"/>
      <c r="K26" s="327"/>
      <c r="L26" s="72"/>
      <c r="M26" s="72"/>
      <c r="O26" s="327"/>
      <c r="P26" s="72" t="s">
        <v>195</v>
      </c>
      <c r="Q26" s="72" t="s">
        <v>197</v>
      </c>
    </row>
    <row r="27" spans="1:17" x14ac:dyDescent="0.2">
      <c r="A27" s="833"/>
      <c r="K27" s="327"/>
      <c r="L27" s="72"/>
      <c r="M27" s="72"/>
      <c r="O27" s="327"/>
      <c r="P27" s="72" t="s">
        <v>202</v>
      </c>
      <c r="Q27" s="72" t="s">
        <v>192</v>
      </c>
    </row>
    <row r="28" spans="1:17" x14ac:dyDescent="0.2">
      <c r="A28" s="833"/>
      <c r="K28" s="327"/>
      <c r="L28" s="72"/>
      <c r="M28" s="72"/>
      <c r="O28" s="327"/>
      <c r="P28" s="72" t="s">
        <v>203</v>
      </c>
      <c r="Q28" s="72" t="s">
        <v>193</v>
      </c>
    </row>
    <row r="29" spans="1:17" x14ac:dyDescent="0.2">
      <c r="A29" s="833"/>
      <c r="K29" s="327"/>
      <c r="L29" s="72"/>
      <c r="M29" s="72"/>
      <c r="O29" s="327"/>
      <c r="P29" s="72" t="s">
        <v>198</v>
      </c>
      <c r="Q29" s="72" t="s">
        <v>200</v>
      </c>
    </row>
    <row r="30" spans="1:17" x14ac:dyDescent="0.2">
      <c r="A30" s="833"/>
      <c r="K30" s="329"/>
      <c r="L30" s="72"/>
      <c r="M30" s="72"/>
      <c r="O30" s="327"/>
      <c r="P30" s="72" t="s">
        <v>199</v>
      </c>
      <c r="Q30" s="72" t="s">
        <v>201</v>
      </c>
    </row>
    <row r="31" spans="1:17" x14ac:dyDescent="0.2">
      <c r="A31" s="833"/>
      <c r="L31" s="72"/>
      <c r="M31" s="72"/>
      <c r="O31" s="327"/>
      <c r="P31" s="72"/>
      <c r="Q31" s="72"/>
    </row>
    <row r="32" spans="1:17" x14ac:dyDescent="0.2">
      <c r="A32" s="833"/>
      <c r="L32" s="72"/>
      <c r="M32" s="72"/>
      <c r="O32" s="327"/>
      <c r="P32" s="72"/>
      <c r="Q32" s="72"/>
    </row>
    <row r="33" spans="12:17" x14ac:dyDescent="0.2">
      <c r="L33" s="72"/>
      <c r="M33" s="72"/>
      <c r="O33" s="327"/>
      <c r="P33" s="72"/>
      <c r="Q33" s="72"/>
    </row>
    <row r="34" spans="12:17" x14ac:dyDescent="0.2">
      <c r="L34" s="72"/>
      <c r="M34" s="72"/>
      <c r="O34" s="327"/>
      <c r="P34" s="72"/>
      <c r="Q34" s="72"/>
    </row>
    <row r="35" spans="12:17" x14ac:dyDescent="0.2">
      <c r="P35" s="72"/>
      <c r="Q35" s="72"/>
    </row>
    <row r="36" spans="12:17" x14ac:dyDescent="0.2">
      <c r="P36" s="72"/>
      <c r="Q36" s="72"/>
    </row>
    <row r="37" spans="12:17" x14ac:dyDescent="0.2">
      <c r="P37" s="72"/>
      <c r="Q37" s="72"/>
    </row>
    <row r="38" spans="12:17" x14ac:dyDescent="0.2">
      <c r="P38" s="72"/>
      <c r="Q38" s="72"/>
    </row>
    <row r="39" spans="12:17" x14ac:dyDescent="0.2">
      <c r="P39" s="72"/>
      <c r="Q39" s="72"/>
    </row>
    <row r="40" spans="12:17" x14ac:dyDescent="0.2">
      <c r="P40" s="72"/>
      <c r="Q40" s="72"/>
    </row>
    <row r="41" spans="12:17" x14ac:dyDescent="0.2">
      <c r="P41" s="72"/>
      <c r="Q41" s="72"/>
    </row>
    <row r="42" spans="12:17" x14ac:dyDescent="0.2">
      <c r="P42" s="72"/>
      <c r="Q42" s="72"/>
    </row>
    <row r="43" spans="12:17" x14ac:dyDescent="0.2">
      <c r="P43" s="72"/>
      <c r="Q43" s="72"/>
    </row>
    <row r="44" spans="12:17" x14ac:dyDescent="0.2">
      <c r="P44" s="72"/>
      <c r="Q44" s="72"/>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Q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2.7109375" style="41" customWidth="1"/>
    <col min="2" max="2" width="6.7109375" style="41" customWidth="1"/>
    <col min="3" max="3" width="8.5703125" style="41" customWidth="1"/>
    <col min="4" max="4" width="6.5703125" style="41" customWidth="1"/>
    <col min="5" max="5" width="4.85546875" style="41" customWidth="1"/>
    <col min="6" max="6" width="26.7109375" style="41" customWidth="1"/>
    <col min="7" max="7" width="3" style="41" customWidth="1"/>
    <col min="8" max="8" width="26.7109375" style="41" customWidth="1"/>
    <col min="9" max="9" width="4.7109375" style="41" customWidth="1"/>
    <col min="10" max="10" width="2" style="41" customWidth="1"/>
    <col min="11" max="12" width="4.7109375" style="41" customWidth="1"/>
    <col min="13" max="13" width="2.28515625" style="41" customWidth="1"/>
    <col min="14" max="14" width="4.7109375" style="41" customWidth="1"/>
    <col min="15" max="15" width="15.7109375" style="41" customWidth="1"/>
    <col min="16" max="16" width="4.42578125" style="41" customWidth="1"/>
    <col min="17" max="17" width="4.140625" style="41" customWidth="1"/>
    <col min="18" max="18" width="26.7109375" style="41" customWidth="1"/>
    <col min="19" max="22" width="5.7109375" style="41" customWidth="1"/>
    <col min="23" max="23" width="3.7109375" style="41" customWidth="1"/>
    <col min="24" max="24" width="2.140625" style="41" customWidth="1"/>
    <col min="25" max="25" width="3.7109375" style="41" customWidth="1"/>
    <col min="26" max="26" width="5.7109375" style="41" customWidth="1"/>
    <col min="27" max="27" width="2.140625" style="41" customWidth="1"/>
    <col min="28" max="28" width="5.7109375" style="41" customWidth="1"/>
    <col min="29" max="30" width="6.7109375" style="41" customWidth="1"/>
    <col min="31" max="36" width="7.85546875" style="41" customWidth="1"/>
    <col min="37" max="37" width="26.7109375" style="41" customWidth="1"/>
    <col min="38" max="38" width="4.140625" style="41" customWidth="1"/>
    <col min="39" max="39" width="11.42578125" style="41" hidden="1" customWidth="1"/>
    <col min="40" max="40" width="8" style="41" hidden="1" customWidth="1"/>
    <col min="41" max="41" width="30.7109375" style="41" hidden="1" customWidth="1"/>
    <col min="42" max="42" width="11.42578125" style="41" hidden="1" customWidth="1"/>
    <col min="43" max="43" width="12.42578125" style="41" hidden="1" customWidth="1"/>
    <col min="44" max="16384" width="11.42578125" style="41" hidden="1"/>
  </cols>
  <sheetData>
    <row r="1" spans="1:43" ht="13.5" thickBot="1" x14ac:dyDescent="0.25">
      <c r="B1" s="342"/>
      <c r="C1" s="342"/>
      <c r="D1" s="277"/>
      <c r="E1" s="277"/>
      <c r="F1" s="277"/>
      <c r="G1" s="277"/>
      <c r="H1" s="277"/>
      <c r="I1" s="277"/>
      <c r="J1" s="277"/>
      <c r="K1" s="277"/>
      <c r="L1" s="277"/>
      <c r="M1" s="277"/>
      <c r="N1" s="277"/>
      <c r="Q1" s="846"/>
      <c r="R1" s="846"/>
      <c r="AI1" s="342"/>
      <c r="AJ1" s="342"/>
    </row>
    <row r="2" spans="1:43" ht="36" customHeight="1" thickTop="1" x14ac:dyDescent="0.2">
      <c r="B2" s="276"/>
      <c r="C2" s="276"/>
      <c r="G2" s="849" t="s">
        <v>380</v>
      </c>
      <c r="H2" s="850"/>
      <c r="I2" s="850"/>
      <c r="J2" s="850"/>
      <c r="K2" s="850"/>
      <c r="L2" s="850"/>
      <c r="M2" s="850"/>
      <c r="N2" s="850"/>
      <c r="O2" s="850"/>
      <c r="P2" s="850"/>
      <c r="Q2" s="850"/>
      <c r="R2" s="850"/>
      <c r="S2" s="850"/>
      <c r="T2" s="850"/>
      <c r="U2" s="850"/>
      <c r="V2" s="850"/>
      <c r="W2" s="850"/>
      <c r="X2" s="850"/>
      <c r="Y2" s="850"/>
      <c r="Z2" s="850"/>
      <c r="AA2" s="850"/>
      <c r="AB2" s="850"/>
      <c r="AC2" s="850"/>
      <c r="AD2" s="775"/>
      <c r="AE2" s="776"/>
      <c r="AF2" s="776"/>
      <c r="AI2" s="834" t="s">
        <v>377</v>
      </c>
      <c r="AJ2" s="834"/>
    </row>
    <row r="3" spans="1:43" ht="30" customHeight="1" x14ac:dyDescent="0.2">
      <c r="G3" s="851" t="s">
        <v>381</v>
      </c>
      <c r="H3" s="852"/>
      <c r="I3" s="852"/>
      <c r="J3" s="852"/>
      <c r="K3" s="852"/>
      <c r="L3" s="852"/>
      <c r="M3" s="852"/>
      <c r="N3" s="852"/>
      <c r="O3" s="852"/>
      <c r="P3" s="852"/>
      <c r="Q3" s="852"/>
      <c r="R3" s="852"/>
      <c r="S3" s="852"/>
      <c r="T3" s="852"/>
      <c r="U3" s="852"/>
      <c r="V3" s="852"/>
      <c r="W3" s="852"/>
      <c r="X3" s="852"/>
      <c r="Y3" s="852"/>
      <c r="Z3" s="852"/>
      <c r="AA3" s="852"/>
      <c r="AB3" s="852"/>
      <c r="AC3" s="852"/>
      <c r="AD3" s="777"/>
      <c r="AE3" s="778"/>
      <c r="AF3" s="778"/>
    </row>
    <row r="4" spans="1:43" ht="30" customHeight="1" x14ac:dyDescent="0.2">
      <c r="G4" s="853" t="s">
        <v>382</v>
      </c>
      <c r="H4" s="854"/>
      <c r="I4" s="854"/>
      <c r="J4" s="854"/>
      <c r="K4" s="854"/>
      <c r="L4" s="854"/>
      <c r="M4" s="854"/>
      <c r="N4" s="854"/>
      <c r="O4" s="854"/>
      <c r="P4" s="854"/>
      <c r="Q4" s="854"/>
      <c r="R4" s="854"/>
      <c r="S4" s="854"/>
      <c r="T4" s="854"/>
      <c r="U4" s="854"/>
      <c r="V4" s="854"/>
      <c r="W4" s="854"/>
      <c r="X4" s="854"/>
      <c r="Y4" s="854"/>
      <c r="Z4" s="854"/>
      <c r="AA4" s="854"/>
      <c r="AB4" s="854"/>
      <c r="AC4" s="854"/>
      <c r="AD4" s="779"/>
      <c r="AE4" s="780"/>
      <c r="AF4" s="780"/>
    </row>
    <row r="5" spans="1:43" ht="30" customHeight="1" thickBot="1" x14ac:dyDescent="0.25">
      <c r="G5" s="855" t="s">
        <v>383</v>
      </c>
      <c r="H5" s="856"/>
      <c r="I5" s="856"/>
      <c r="J5" s="856"/>
      <c r="K5" s="856"/>
      <c r="L5" s="856"/>
      <c r="M5" s="856"/>
      <c r="N5" s="856"/>
      <c r="O5" s="856"/>
      <c r="P5" s="856"/>
      <c r="Q5" s="856"/>
      <c r="R5" s="856"/>
      <c r="S5" s="856"/>
      <c r="T5" s="856"/>
      <c r="U5" s="856"/>
      <c r="V5" s="856"/>
      <c r="W5" s="856"/>
      <c r="X5" s="856"/>
      <c r="Y5" s="856"/>
      <c r="Z5" s="856"/>
      <c r="AA5" s="856"/>
      <c r="AB5" s="856"/>
      <c r="AC5" s="856"/>
      <c r="AD5" s="779"/>
      <c r="AE5" s="780"/>
      <c r="AF5" s="780"/>
      <c r="AN5" s="461"/>
      <c r="AO5" s="461"/>
      <c r="AP5" s="461"/>
    </row>
    <row r="6" spans="1:43" ht="9" customHeight="1" thickTop="1" thickBot="1" x14ac:dyDescent="0.25">
      <c r="B6" s="343"/>
      <c r="C6" s="343"/>
      <c r="D6" s="343"/>
      <c r="E6" s="343"/>
      <c r="F6" s="343"/>
      <c r="G6" s="343"/>
      <c r="H6" s="343"/>
      <c r="I6" s="343"/>
      <c r="J6" s="343"/>
      <c r="K6" s="343"/>
      <c r="L6" s="343"/>
      <c r="M6" s="343"/>
      <c r="N6" s="343"/>
      <c r="AN6" s="461"/>
      <c r="AO6" s="461"/>
      <c r="AP6" s="461"/>
    </row>
    <row r="7" spans="1:43" ht="30" customHeight="1" thickTop="1" x14ac:dyDescent="0.9">
      <c r="B7" s="343"/>
      <c r="C7" s="343"/>
      <c r="D7" s="343"/>
      <c r="E7" s="343"/>
      <c r="F7" s="343"/>
      <c r="G7" s="343"/>
      <c r="H7" s="343"/>
      <c r="I7" s="343"/>
      <c r="J7" s="343"/>
      <c r="K7" s="857" t="str">
        <f>Language!$E$18</f>
        <v>Preliminary round</v>
      </c>
      <c r="L7" s="858"/>
      <c r="M7" s="858"/>
      <c r="N7" s="858"/>
      <c r="O7" s="858"/>
      <c r="P7" s="858"/>
      <c r="Q7" s="858"/>
      <c r="R7" s="858"/>
      <c r="S7" s="858"/>
      <c r="T7" s="858"/>
      <c r="U7" s="858"/>
      <c r="V7" s="858"/>
      <c r="W7" s="781"/>
      <c r="X7" s="782"/>
      <c r="Y7" s="782"/>
      <c r="Z7" s="782"/>
      <c r="AK7" s="567"/>
      <c r="AN7" s="685"/>
      <c r="AO7" s="685"/>
      <c r="AP7" s="685"/>
    </row>
    <row r="8" spans="1:43" ht="30" customHeight="1" thickBot="1" x14ac:dyDescent="0.95">
      <c r="B8" s="343"/>
      <c r="C8" s="343"/>
      <c r="D8" s="343"/>
      <c r="E8" s="343"/>
      <c r="F8" s="343"/>
      <c r="G8" s="343"/>
      <c r="H8" s="343"/>
      <c r="I8" s="343"/>
      <c r="J8" s="343"/>
      <c r="K8" s="859"/>
      <c r="L8" s="860"/>
      <c r="M8" s="860"/>
      <c r="N8" s="860"/>
      <c r="O8" s="860"/>
      <c r="P8" s="860"/>
      <c r="Q8" s="860"/>
      <c r="R8" s="860"/>
      <c r="S8" s="860"/>
      <c r="T8" s="860"/>
      <c r="U8" s="860"/>
      <c r="V8" s="860"/>
      <c r="W8" s="781"/>
      <c r="X8" s="782"/>
      <c r="Y8" s="782"/>
      <c r="Z8" s="782"/>
      <c r="AN8" s="685"/>
      <c r="AO8" s="685"/>
      <c r="AP8" s="685"/>
    </row>
    <row r="9" spans="1:43" ht="13.5" customHeight="1" thickTop="1" thickBot="1" x14ac:dyDescent="0.35">
      <c r="C9" s="42"/>
      <c r="D9" s="42"/>
      <c r="E9" s="42"/>
      <c r="F9" s="341"/>
      <c r="G9" s="341"/>
      <c r="H9" s="341"/>
      <c r="I9" s="341"/>
      <c r="J9" s="341"/>
      <c r="K9" s="341"/>
      <c r="L9" s="341"/>
      <c r="M9" s="341"/>
      <c r="N9" s="341"/>
      <c r="AE9" s="310"/>
      <c r="AF9" s="310"/>
      <c r="AG9" s="310"/>
      <c r="AH9" s="310"/>
      <c r="AI9" s="310"/>
      <c r="AJ9" s="310"/>
    </row>
    <row r="10" spans="1:43" ht="24" customHeight="1" thickBot="1" x14ac:dyDescent="0.45">
      <c r="A10" s="334"/>
      <c r="B10" s="339" t="str">
        <f>Language!$E$11</f>
        <v>Results</v>
      </c>
      <c r="C10" s="335"/>
      <c r="D10" s="335"/>
      <c r="E10" s="335"/>
      <c r="F10" s="340"/>
      <c r="G10" s="340"/>
      <c r="H10" s="340"/>
      <c r="I10" s="340"/>
      <c r="J10" s="340"/>
      <c r="K10" s="340"/>
      <c r="L10" s="341"/>
      <c r="M10" s="341"/>
      <c r="N10" s="341"/>
      <c r="Q10" s="837" t="str">
        <f>Language!$E$16&amp;" A"</f>
        <v>Group A</v>
      </c>
      <c r="R10" s="837"/>
      <c r="S10" s="199"/>
      <c r="T10" s="199"/>
      <c r="U10" s="199"/>
      <c r="V10" s="199"/>
      <c r="W10" s="199"/>
      <c r="X10" s="199"/>
      <c r="Y10" s="199"/>
      <c r="Z10" s="199"/>
      <c r="AA10" s="199"/>
      <c r="AB10" s="199"/>
      <c r="AC10" s="199"/>
      <c r="AD10" s="199"/>
      <c r="AE10" s="307" t="str">
        <f ca="1">IF(LEN(R12)&gt;Settings!$C$11,LEFT(R12,Settings!$C$11)&amp;".",R12)</f>
        <v>Maibach.</v>
      </c>
      <c r="AF10" s="308" t="str">
        <f ca="1">IF(LEN(R13)&gt;Settings!$C$11,LEFT(R13,Settings!$C$11)&amp;".",R13)</f>
        <v>Eintrac.</v>
      </c>
      <c r="AG10" s="308" t="str">
        <f ca="1">IF(LEN(R14)&gt;Settings!$C$11,LEFT(R14,Settings!$C$11)&amp;".",R14)</f>
        <v>1. FC R.</v>
      </c>
      <c r="AH10" s="308" t="str">
        <f ca="1">IF(LEN(R15)&gt;Settings!$C$11,LEFT(R15,Settings!$C$11)&amp;".",R15)</f>
        <v>FC Barc.</v>
      </c>
      <c r="AI10" s="308" t="str">
        <f ca="1">IF(LEN(R16)&gt;Settings!$C$11,LEFT(R16,Settings!$C$11)&amp;".",R16)</f>
        <v>VFB Ess.</v>
      </c>
      <c r="AJ10" s="309" t="str">
        <f ca="1">IF(LEN(R17)&gt;Settings!$C$11,LEFT(R17,Settings!$C$11)&amp;".",R17)</f>
        <v/>
      </c>
      <c r="AK10" s="200"/>
      <c r="AN10" s="837" t="str">
        <f>Language!$E$16&amp;" A"</f>
        <v>Group A</v>
      </c>
      <c r="AO10" s="837"/>
      <c r="AQ10" s="614" t="str">
        <f>Language!$E$49</f>
        <v>Tie break</v>
      </c>
    </row>
    <row r="11" spans="1:43" ht="24" customHeight="1" thickTop="1" thickBot="1" x14ac:dyDescent="0.25">
      <c r="B11" s="434" t="str">
        <f>Language!$E$9</f>
        <v>No.</v>
      </c>
      <c r="C11" s="696" t="str">
        <f>Language!$E$39</f>
        <v>Start</v>
      </c>
      <c r="D11" s="696" t="str">
        <f>Language!$E$48</f>
        <v>Field</v>
      </c>
      <c r="E11" s="696" t="str">
        <f>Language!$E$17</f>
        <v>Grp</v>
      </c>
      <c r="F11" s="847" t="str">
        <f>Language!$E$14</f>
        <v>Match pairing</v>
      </c>
      <c r="G11" s="847"/>
      <c r="H11" s="847"/>
      <c r="I11" s="847" t="str">
        <f>Language!$E$61</f>
        <v>1st set</v>
      </c>
      <c r="J11" s="847"/>
      <c r="K11" s="847"/>
      <c r="L11" s="847" t="str">
        <f>Language!$E$62</f>
        <v>2nd set</v>
      </c>
      <c r="M11" s="847"/>
      <c r="N11" s="848"/>
      <c r="O11" s="762" t="str">
        <f>Language!$E$68</f>
        <v>Referee</v>
      </c>
      <c r="Q11" s="838"/>
      <c r="R11" s="839"/>
      <c r="S11" s="201" t="str">
        <f>Language!$E$21</f>
        <v>Pld</v>
      </c>
      <c r="T11" s="202" t="str">
        <f>Language!$E$22</f>
        <v>W</v>
      </c>
      <c r="U11" s="202" t="str">
        <f>Language!$E$23</f>
        <v>D</v>
      </c>
      <c r="V11" s="203" t="str">
        <f>Language!$E$24</f>
        <v>L</v>
      </c>
      <c r="W11" s="843" t="str">
        <f>Language!$E$25</f>
        <v>sets</v>
      </c>
      <c r="X11" s="844"/>
      <c r="Y11" s="845"/>
      <c r="Z11" s="840" t="str">
        <f>Language!$E$60</f>
        <v>balls</v>
      </c>
      <c r="AA11" s="841"/>
      <c r="AB11" s="842"/>
      <c r="AC11" s="202" t="str">
        <f>IF(Settings!$G$7,Language!$E$26,Language!$E$67)</f>
        <v>GD</v>
      </c>
      <c r="AD11" s="204" t="str">
        <f>Language!$E$27</f>
        <v>Pts</v>
      </c>
      <c r="AE11" s="205" t="str">
        <f ca="1">R12</f>
        <v>Maibach 1822 eV</v>
      </c>
      <c r="AF11" s="206" t="str">
        <f ca="1">R13</f>
        <v>Eintracht Frankfurt</v>
      </c>
      <c r="AG11" s="206" t="str">
        <f ca="1">R14</f>
        <v>1. FC Riedwald</v>
      </c>
      <c r="AH11" s="206" t="str">
        <f ca="1">R15</f>
        <v>FC Barcelona</v>
      </c>
      <c r="AI11" s="206" t="str">
        <f ca="1">R16</f>
        <v>VFB Essenheim</v>
      </c>
      <c r="AJ11" s="569" t="str">
        <f ca="1">R17</f>
        <v/>
      </c>
      <c r="AK11" s="200"/>
      <c r="AN11" s="460" t="str">
        <f>Language!$E$9</f>
        <v>No.</v>
      </c>
      <c r="AO11" s="612" t="str">
        <f>Language!$E$10</f>
        <v>Participant or team</v>
      </c>
      <c r="AP11" s="609"/>
    </row>
    <row r="12" spans="1:43" ht="24" customHeight="1" x14ac:dyDescent="0.2">
      <c r="B12" s="475">
        <f>Planning!$E6</f>
        <v>1</v>
      </c>
      <c r="C12" s="481">
        <f>Planning!$F6</f>
        <v>0.375</v>
      </c>
      <c r="D12" s="482" t="str">
        <f>Planning!$G6</f>
        <v>1</v>
      </c>
      <c r="E12" s="482" t="str">
        <f ca="1">Planning!$H6</f>
        <v>A</v>
      </c>
      <c r="F12" s="487" t="str">
        <f ca="1">Planning!$L6</f>
        <v>VFB Essenheim</v>
      </c>
      <c r="G12" s="468" t="s">
        <v>4</v>
      </c>
      <c r="H12" s="490" t="str">
        <f ca="1">Planning!$N6</f>
        <v>FC Barcelona</v>
      </c>
      <c r="I12" s="478">
        <v>13</v>
      </c>
      <c r="J12" s="469" t="str">
        <f>Language!$E$80</f>
        <v>-</v>
      </c>
      <c r="K12" s="714">
        <v>25</v>
      </c>
      <c r="L12" s="715">
        <v>20</v>
      </c>
      <c r="M12" s="584" t="str">
        <f>Language!$E$80</f>
        <v>-</v>
      </c>
      <c r="N12" s="470">
        <v>25</v>
      </c>
      <c r="O12" s="772" t="str">
        <f>IF(Planning!$O6="","",Planning!$O6)</f>
        <v/>
      </c>
      <c r="Q12" s="415">
        <f ca="1">IF(Calc1!$K$13=0,"",1)</f>
        <v>1</v>
      </c>
      <c r="R12" s="416" t="str">
        <f ca="1">IF(Calc1!$F$14&lt;3,"",IF(Calc1!$K$13=0,Calc1!$Q64,VLOOKUP(Calc1!B4,Calc1!$C$4:$N$12,4,0)))</f>
        <v>Maibach 1822 eV</v>
      </c>
      <c r="S12" s="207">
        <f ca="1">IF(Calc1!$K$13=0,"",VLOOKUP(Calc1!B4,Calc1!$C$4:$N$12,9,0))</f>
        <v>4</v>
      </c>
      <c r="T12" s="208">
        <f ca="1">IF(Calc1!$K$13=0,"",VLOOKUP(Calc1!B4,Calc1!$C$4:$N$12,10,0))</f>
        <v>2</v>
      </c>
      <c r="U12" s="208">
        <f ca="1">IF(Calc1!$K$13=0,"",VLOOKUP(Calc1!B4,Calc1!$C$4:$N$12,11,0))</f>
        <v>1</v>
      </c>
      <c r="V12" s="209">
        <f ca="1">IF(Calc1!$K$13=0,"",VLOOKUP(Calc1!B4,Calc1!$C$4:$N$12,12,0))</f>
        <v>1</v>
      </c>
      <c r="W12" s="210">
        <f ca="1">AD12</f>
        <v>5</v>
      </c>
      <c r="X12" s="211" t="str">
        <f>Language!$E$80</f>
        <v>-</v>
      </c>
      <c r="Y12" s="212">
        <f ca="1">IF(Calc1!$K$13=0,"",VLOOKUP(Calc1!B4,Calc1!$C$4:$AS$12,43,0))</f>
        <v>3</v>
      </c>
      <c r="Z12" s="210">
        <f ca="1">IF(Calc1!$K$13=0,"",VLOOKUP(Calc1!B4,Calc1!$C$4:$N$12,5,0))</f>
        <v>183</v>
      </c>
      <c r="AA12" s="211" t="str">
        <f>Language!$E$80</f>
        <v>-</v>
      </c>
      <c r="AB12" s="212">
        <f ca="1">IF(Calc1!$K$13=0,"",VLOOKUP(Calc1!B4,Calc1!$C$4:$N$12,6,0))</f>
        <v>159</v>
      </c>
      <c r="AC12" s="207">
        <f ca="1">IF(Calc1!$K$13=0,"",IF(VLOOKUP(Calc1!B4,Calc1!$C$4:$AR$12,42,0)=Settings!$F$7,"max",VLOOKUP(Calc1!B4,Calc1!$C$4:$AR$12,42,0)))</f>
        <v>24</v>
      </c>
      <c r="AD12" s="213">
        <f ca="1">IF(Calc1!$K$13=0,"",VLOOKUP(Calc1!B4,Calc1!$C$4:$N$12,8,0))</f>
        <v>5</v>
      </c>
      <c r="AE12" s="214"/>
      <c r="AF12" s="208" t="str">
        <f ca="1">IFERROR(VLOOKUP($R12&amp;AF$11,Calc1!$Z$64:$AI$207,Settings!$G$17,0),"")</f>
        <v>40-50</v>
      </c>
      <c r="AG12" s="208" t="str">
        <f ca="1">IFERROR(VLOOKUP($R12&amp;AG$11,Calc1!$Z$64:$AI$207,Settings!$G$17,0),"")</f>
        <v>43-41</v>
      </c>
      <c r="AH12" s="208" t="str">
        <f ca="1">IFERROR(VLOOKUP($R12&amp;AH$11,Calc1!$Z$64:$AI$207,Settings!$G$17,0),"")</f>
        <v>50-29</v>
      </c>
      <c r="AI12" s="208" t="str">
        <f ca="1">IFERROR(VLOOKUP($R12&amp;AI$11,Calc1!$Z$64:$AI$207,Settings!$G$17,0),"")</f>
        <v>50-39</v>
      </c>
      <c r="AJ12" s="215" t="str">
        <f ca="1">IFERROR(VLOOKUP($R12&amp;AJ$11,Calc1!$Z$64:$AI$207,Settings!$G$17,0),"")</f>
        <v/>
      </c>
      <c r="AK12" s="216" t="str">
        <f t="shared" ref="AK12:AK17" ca="1" si="0">R12</f>
        <v>Maibach 1822 eV</v>
      </c>
      <c r="AN12" s="459" t="s">
        <v>194</v>
      </c>
      <c r="AO12" s="613" t="str">
        <f>IF(Planning!$C7="","",Planning!$C7)</f>
        <v>1. FC Riedwald</v>
      </c>
      <c r="AP12" s="610"/>
      <c r="AQ12" s="682">
        <f>IF($AO12="",0,COUNTIF(TieBreak!$U$12:$U$17,$AO12))</f>
        <v>0</v>
      </c>
    </row>
    <row r="13" spans="1:43" ht="24" customHeight="1" x14ac:dyDescent="0.2">
      <c r="B13" s="476">
        <f ca="1">Planning!$E7</f>
        <v>2</v>
      </c>
      <c r="C13" s="483">
        <f ca="1">Planning!$F7</f>
        <v>0.375</v>
      </c>
      <c r="D13" s="484">
        <f ca="1">Planning!$G7</f>
        <v>2</v>
      </c>
      <c r="E13" s="484" t="str">
        <f ca="1">Planning!$H7</f>
        <v>B</v>
      </c>
      <c r="F13" s="488" t="str">
        <f ca="1">Planning!$L7</f>
        <v>FC Grönlingen</v>
      </c>
      <c r="G13" s="220" t="s">
        <v>4</v>
      </c>
      <c r="H13" s="491" t="str">
        <f ca="1">Planning!$N7</f>
        <v>Inter Mailand</v>
      </c>
      <c r="I13" s="479">
        <v>25</v>
      </c>
      <c r="J13" s="471" t="str">
        <f>Language!$E$80</f>
        <v>-</v>
      </c>
      <c r="K13" s="716">
        <v>20</v>
      </c>
      <c r="L13" s="717">
        <v>23</v>
      </c>
      <c r="M13" s="585" t="str">
        <f>Language!$E$80</f>
        <v>-</v>
      </c>
      <c r="N13" s="472">
        <v>25</v>
      </c>
      <c r="O13" s="773" t="str">
        <f>IF(Planning!$O7="","",Planning!$O7)</f>
        <v/>
      </c>
      <c r="Q13" s="417">
        <f ca="1">IF(Calc1!$K$13=0,"",IF(VLOOKUP(Calc1!B5,Calc1!$C$4:$E$12,3,0)=MAX(Q$12:Q12),VLOOKUP(Calc1!B5,Calc1!$C$4:$E$12,3,0),Calc1!B5))</f>
        <v>2</v>
      </c>
      <c r="R13" s="418" t="str">
        <f ca="1">IF(Calc1!$F$14&lt;3,"",IF(Calc1!$K$13=0,Calc1!$Q65,VLOOKUP(Calc1!B5,Calc1!$C$4:$N$12,4,0)))</f>
        <v>Eintracht Frankfurt</v>
      </c>
      <c r="S13" s="217">
        <f ca="1">IF(Calc1!$K$13=0,"",VLOOKUP(Calc1!B5,Calc1!$C$4:$N$12,9,0))</f>
        <v>4</v>
      </c>
      <c r="T13" s="198">
        <f ca="1">IF(Calc1!$K$13=0,"",VLOOKUP(Calc1!B5,Calc1!$C$4:$N$12,10,0))</f>
        <v>1</v>
      </c>
      <c r="U13" s="198">
        <f ca="1">IF(Calc1!$K$13=0,"",VLOOKUP(Calc1!B5,Calc1!$C$4:$N$12,11,0))</f>
        <v>3</v>
      </c>
      <c r="V13" s="218">
        <f ca="1">IF(Calc1!$K$13=0,"",VLOOKUP(Calc1!B5,Calc1!$C$4:$N$12,12,0))</f>
        <v>0</v>
      </c>
      <c r="W13" s="219">
        <f t="shared" ref="W13:W17" ca="1" si="1">AD13</f>
        <v>5</v>
      </c>
      <c r="X13" s="220" t="str">
        <f>Language!$E$80</f>
        <v>-</v>
      </c>
      <c r="Y13" s="221">
        <f ca="1">IF(Calc1!$K$13=0,"",VLOOKUP(Calc1!B5,Calc1!$C$4:$AS$12,43,0))</f>
        <v>3</v>
      </c>
      <c r="Z13" s="219">
        <f ca="1">IF(Calc1!$K$13=0,"",VLOOKUP(Calc1!B5,Calc1!$C$4:$N$12,5,0))</f>
        <v>191</v>
      </c>
      <c r="AA13" s="220" t="str">
        <f>Language!$E$80</f>
        <v>-</v>
      </c>
      <c r="AB13" s="221">
        <f ca="1">IF(Calc1!$K$13=0,"",VLOOKUP(Calc1!B5,Calc1!$C$4:$N$12,6,0))</f>
        <v>175</v>
      </c>
      <c r="AC13" s="217">
        <f ca="1">IF(Calc1!$K$13=0,"",IF(VLOOKUP(Calc1!B5,Calc1!$C$4:$AR$12,42,0)=Settings!$F$7,"max",VLOOKUP(Calc1!B5,Calc1!$C$4:$AR$12,42,0)))</f>
        <v>16</v>
      </c>
      <c r="AD13" s="222">
        <f ca="1">IF(Calc1!$K$13=0,"",VLOOKUP(Calc1!B5,Calc1!$C$4:$N$12,8,0))</f>
        <v>5</v>
      </c>
      <c r="AE13" s="223" t="str">
        <f ca="1">IFERROR(VLOOKUP($R13&amp;AE$11,Calc1!$Z$64:$AI$207,Settings!$G$17,0),"")</f>
        <v>50-40</v>
      </c>
      <c r="AF13" s="224"/>
      <c r="AG13" s="198" t="str">
        <f ca="1">IFERROR(VLOOKUP($R13&amp;AG$11,Calc1!$Z$64:$AI$207,Settings!$G$17,0),"")</f>
        <v>46-42</v>
      </c>
      <c r="AH13" s="198" t="str">
        <f ca="1">IFERROR(VLOOKUP($R13&amp;AH$11,Calc1!$Z$64:$AI$207,Settings!$G$17,0),"")</f>
        <v>48-48</v>
      </c>
      <c r="AI13" s="198" t="str">
        <f ca="1">IFERROR(VLOOKUP($R13&amp;AI$11,Calc1!$Z$64:$AI$207,Settings!$G$17,0),"")</f>
        <v>47-45</v>
      </c>
      <c r="AJ13" s="225" t="str">
        <f ca="1">IFERROR(VLOOKUP($R13&amp;AJ$11,Calc1!$Z$64:$AI$207,Settings!$G$17,0),"")</f>
        <v/>
      </c>
      <c r="AK13" s="226" t="str">
        <f t="shared" ca="1" si="0"/>
        <v>Eintracht Frankfurt</v>
      </c>
      <c r="AN13" s="457" t="s">
        <v>196</v>
      </c>
      <c r="AO13" s="418" t="str">
        <f>IF(Planning!$C9="","",Planning!$C9)</f>
        <v>FC Barcelona</v>
      </c>
      <c r="AP13" s="610"/>
      <c r="AQ13" s="683">
        <f>IF($AO13="",0,COUNTIF(TieBreak!$U$12:$U$17,$AO13))</f>
        <v>0</v>
      </c>
    </row>
    <row r="14" spans="1:43" ht="24" customHeight="1" x14ac:dyDescent="0.2">
      <c r="B14" s="476">
        <f ca="1">Planning!$E8</f>
        <v>3</v>
      </c>
      <c r="C14" s="483">
        <f ca="1">Planning!$F8</f>
        <v>0.375</v>
      </c>
      <c r="D14" s="484">
        <f ca="1">Planning!$G8</f>
        <v>3</v>
      </c>
      <c r="E14" s="484" t="str">
        <f ca="1">Planning!$H8</f>
        <v>A</v>
      </c>
      <c r="F14" s="488" t="str">
        <f ca="1">Planning!$L8</f>
        <v>Eintracht Frankfurt</v>
      </c>
      <c r="G14" s="220" t="s">
        <v>4</v>
      </c>
      <c r="H14" s="491" t="str">
        <f ca="1">Planning!$N8</f>
        <v>Maibach 1822 eV</v>
      </c>
      <c r="I14" s="479">
        <v>25</v>
      </c>
      <c r="J14" s="471" t="str">
        <f>Language!$E$80</f>
        <v>-</v>
      </c>
      <c r="K14" s="716">
        <v>21</v>
      </c>
      <c r="L14" s="717">
        <v>25</v>
      </c>
      <c r="M14" s="585" t="str">
        <f>Language!$E$80</f>
        <v>-</v>
      </c>
      <c r="N14" s="472">
        <v>19</v>
      </c>
      <c r="O14" s="773" t="str">
        <f>IF(Planning!$O8="","",Planning!$O8)</f>
        <v/>
      </c>
      <c r="Q14" s="417">
        <f ca="1">IF(Calc1!$K$13=0,"",IF(VLOOKUP(Calc1!B6,Calc1!$C$4:$E$12,3,0)=MAX(Q$12:Q13),VLOOKUP(Calc1!B6,Calc1!$C$4:$E$12,3,0),Calc1!B6))</f>
        <v>3</v>
      </c>
      <c r="R14" s="418" t="str">
        <f ca="1">IF(Calc1!$F$14&lt;3,"",IF(Calc1!$K$13=0,Calc1!$Q66,VLOOKUP(Calc1!B6,Calc1!$C$4:$N$12,4,0)))</f>
        <v>1. FC Riedwald</v>
      </c>
      <c r="S14" s="217">
        <f ca="1">IF(Calc1!$K$13=0,"",VLOOKUP(Calc1!B6,Calc1!$C$4:$N$12,9,0))</f>
        <v>4</v>
      </c>
      <c r="T14" s="198">
        <f ca="1">IF(Calc1!$K$13=0,"",VLOOKUP(Calc1!B6,Calc1!$C$4:$N$12,10,0))</f>
        <v>1</v>
      </c>
      <c r="U14" s="198">
        <f ca="1">IF(Calc1!$K$13=0,"",VLOOKUP(Calc1!B6,Calc1!$C$4:$N$12,11,0))</f>
        <v>2</v>
      </c>
      <c r="V14" s="218">
        <f ca="1">IF(Calc1!$K$13=0,"",VLOOKUP(Calc1!B6,Calc1!$C$4:$N$12,12,0))</f>
        <v>1</v>
      </c>
      <c r="W14" s="219">
        <f t="shared" ca="1" si="1"/>
        <v>4</v>
      </c>
      <c r="X14" s="220" t="str">
        <f>Language!$E$80</f>
        <v>-</v>
      </c>
      <c r="Y14" s="221">
        <f ca="1">IF(Calc1!$K$13=0,"",VLOOKUP(Calc1!B6,Calc1!$C$4:$AS$12,43,0))</f>
        <v>4</v>
      </c>
      <c r="Z14" s="219">
        <f ca="1">IF(Calc1!$K$13=0,"",VLOOKUP(Calc1!B6,Calc1!$C$4:$N$12,5,0))</f>
        <v>177</v>
      </c>
      <c r="AA14" s="220" t="str">
        <f>Language!$E$80</f>
        <v>-</v>
      </c>
      <c r="AB14" s="221">
        <f ca="1">IF(Calc1!$K$13=0,"",VLOOKUP(Calc1!B6,Calc1!$C$4:$N$12,6,0))</f>
        <v>176</v>
      </c>
      <c r="AC14" s="217">
        <f ca="1">IF(Calc1!$K$13=0,"",IF(VLOOKUP(Calc1!B6,Calc1!$C$4:$AR$12,42,0)=Settings!$F$7,"max",VLOOKUP(Calc1!B6,Calc1!$C$4:$AR$12,42,0)))</f>
        <v>1</v>
      </c>
      <c r="AD14" s="222">
        <f ca="1">IF(Calc1!$K$13=0,"",VLOOKUP(Calc1!B6,Calc1!$C$4:$N$12,8,0))</f>
        <v>4</v>
      </c>
      <c r="AE14" s="223" t="str">
        <f ca="1">IFERROR(VLOOKUP($R14&amp;AE$11,Calc1!$Z$64:$AI$207,Settings!$G$17,0),"")</f>
        <v>41-43</v>
      </c>
      <c r="AF14" s="454" t="str">
        <f ca="1">IFERROR(VLOOKUP($R14&amp;AF$11,Calc1!$Z$64:$AI$207,Settings!$G$17,0),"")</f>
        <v>42-46</v>
      </c>
      <c r="AG14" s="224"/>
      <c r="AH14" s="198" t="str">
        <f ca="1">IFERROR(VLOOKUP($R14&amp;AH$11,Calc1!$Z$64:$AI$207,Settings!$G$17,0),"")</f>
        <v>50-37</v>
      </c>
      <c r="AI14" s="198" t="str">
        <f ca="1">IFERROR(VLOOKUP($R14&amp;AI$11,Calc1!$Z$64:$AI$207,Settings!$G$17,0),"")</f>
        <v>44-50</v>
      </c>
      <c r="AJ14" s="225" t="str">
        <f ca="1">IFERROR(VLOOKUP($R14&amp;AJ$11,Calc1!$Z$64:$AI$207,Settings!$G$17,0),"")</f>
        <v/>
      </c>
      <c r="AK14" s="226" t="str">
        <f t="shared" ca="1" si="0"/>
        <v>1. FC Riedwald</v>
      </c>
      <c r="AN14" s="457" t="s">
        <v>192</v>
      </c>
      <c r="AO14" s="418" t="str">
        <f>IF(Planning!$C11="","",Planning!$C11)</f>
        <v>Eintracht Frankfurt</v>
      </c>
      <c r="AP14" s="610"/>
      <c r="AQ14" s="683">
        <f>IF($AO14="",0,COUNTIF(TieBreak!$U$12:$U$17,$AO14))</f>
        <v>0</v>
      </c>
    </row>
    <row r="15" spans="1:43" ht="24" customHeight="1" x14ac:dyDescent="0.2">
      <c r="B15" s="476">
        <f ca="1">Planning!$E9</f>
        <v>4</v>
      </c>
      <c r="C15" s="483">
        <f ca="1">Planning!$F9</f>
        <v>0.375</v>
      </c>
      <c r="D15" s="484">
        <f ca="1">Planning!$G9</f>
        <v>4</v>
      </c>
      <c r="E15" s="484" t="str">
        <f ca="1">Planning!$H9</f>
        <v>B</v>
      </c>
      <c r="F15" s="488" t="str">
        <f ca="1">Planning!$L9</f>
        <v>SSV Wildbach</v>
      </c>
      <c r="G15" s="220" t="s">
        <v>4</v>
      </c>
      <c r="H15" s="491" t="str">
        <f ca="1">Planning!$N9</f>
        <v>Manchester City</v>
      </c>
      <c r="I15" s="479">
        <v>25</v>
      </c>
      <c r="J15" s="471" t="str">
        <f>Language!$E$80</f>
        <v>-</v>
      </c>
      <c r="K15" s="716">
        <v>22</v>
      </c>
      <c r="L15" s="717">
        <v>25</v>
      </c>
      <c r="M15" s="585" t="str">
        <f>Language!$E$80</f>
        <v>-</v>
      </c>
      <c r="N15" s="472">
        <v>20</v>
      </c>
      <c r="O15" s="773" t="str">
        <f>IF(Planning!$O9="","",Planning!$O9)</f>
        <v/>
      </c>
      <c r="Q15" s="417">
        <f ca="1">IF(Calc1!$K$13=0,"",IF(VLOOKUP(Calc1!B7,Calc1!$C$4:$E$12,3,0)=MAX(Q$12:Q14),VLOOKUP(Calc1!B7,Calc1!$C$4:$E$12,3,0),Calc1!B7))</f>
        <v>4</v>
      </c>
      <c r="R15" s="418" t="str">
        <f ca="1">IF(Calc1!$F$14&lt;3,"",IF(Calc1!$K$13=0,Calc1!$Q67,VLOOKUP(Calc1!B7,Calc1!$C$4:$N$12,4,0)))</f>
        <v>FC Barcelona</v>
      </c>
      <c r="S15" s="217">
        <f ca="1">IF(Calc1!$K$13=0,"",VLOOKUP(Calc1!B7,Calc1!$C$4:$N$12,9,0))</f>
        <v>4</v>
      </c>
      <c r="T15" s="198">
        <f ca="1">IF(Calc1!$K$13=0,"",VLOOKUP(Calc1!B7,Calc1!$C$4:$N$12,10,0))</f>
        <v>1</v>
      </c>
      <c r="U15" s="198">
        <f ca="1">IF(Calc1!$K$13=0,"",VLOOKUP(Calc1!B7,Calc1!$C$4:$N$12,11,0))</f>
        <v>1</v>
      </c>
      <c r="V15" s="218">
        <f ca="1">IF(Calc1!$K$13=0,"",VLOOKUP(Calc1!B7,Calc1!$C$4:$N$12,12,0))</f>
        <v>2</v>
      </c>
      <c r="W15" s="219">
        <f t="shared" ca="1" si="1"/>
        <v>3</v>
      </c>
      <c r="X15" s="220" t="str">
        <f>Language!$E$80</f>
        <v>-</v>
      </c>
      <c r="Y15" s="221">
        <f ca="1">IF(Calc1!$K$13=0,"",VLOOKUP(Calc1!B7,Calc1!$C$4:$AS$12,43,0))</f>
        <v>5</v>
      </c>
      <c r="Z15" s="219">
        <f ca="1">IF(Calc1!$K$13=0,"",VLOOKUP(Calc1!B7,Calc1!$C$4:$N$12,5,0))</f>
        <v>164</v>
      </c>
      <c r="AA15" s="220" t="str">
        <f>Language!$E$80</f>
        <v>-</v>
      </c>
      <c r="AB15" s="221">
        <f ca="1">IF(Calc1!$K$13=0,"",VLOOKUP(Calc1!B7,Calc1!$C$4:$N$12,6,0))</f>
        <v>181</v>
      </c>
      <c r="AC15" s="217">
        <f ca="1">IF(Calc1!$K$13=0,"",IF(VLOOKUP(Calc1!B7,Calc1!$C$4:$AR$12,42,0)=Settings!$F$7,"max",VLOOKUP(Calc1!B7,Calc1!$C$4:$AR$12,42,0)))</f>
        <v>-17</v>
      </c>
      <c r="AD15" s="222">
        <f ca="1">IF(Calc1!$K$13=0,"",VLOOKUP(Calc1!B7,Calc1!$C$4:$N$12,8,0))</f>
        <v>3</v>
      </c>
      <c r="AE15" s="223" t="str">
        <f ca="1">IFERROR(VLOOKUP($R15&amp;AE$11,Calc1!$Z$64:$AI$207,Settings!$G$17,0),"")</f>
        <v>29-50</v>
      </c>
      <c r="AF15" s="454" t="str">
        <f ca="1">IFERROR(VLOOKUP($R15&amp;AF$11,Calc1!$Z$64:$AI$207,Settings!$G$17,0),"")</f>
        <v>48-48</v>
      </c>
      <c r="AG15" s="198" t="str">
        <f ca="1">IFERROR(VLOOKUP($R15&amp;AG$11,Calc1!$Z$64:$AI$207,Settings!$G$17,0),"")</f>
        <v>37-50</v>
      </c>
      <c r="AH15" s="224"/>
      <c r="AI15" s="198" t="str">
        <f ca="1">IFERROR(VLOOKUP($R15&amp;AI$11,Calc1!$Z$64:$AI$207,Settings!$G$17,0),"")</f>
        <v>50-33</v>
      </c>
      <c r="AJ15" s="225" t="str">
        <f ca="1">IFERROR(VLOOKUP($R15&amp;AJ$11,Calc1!$Z$64:$AI$207,Settings!$G$17,0),"")</f>
        <v/>
      </c>
      <c r="AK15" s="226" t="str">
        <f t="shared" ca="1" si="0"/>
        <v>FC Barcelona</v>
      </c>
      <c r="AN15" s="457" t="s">
        <v>198</v>
      </c>
      <c r="AO15" s="418" t="str">
        <f>IF(Planning!$C13="","",Planning!$C13)</f>
        <v>Maibach 1822 eV</v>
      </c>
      <c r="AP15" s="610"/>
      <c r="AQ15" s="683">
        <f>IF($AO15="",0,COUNTIF(TieBreak!$U$12:$U$17,$AO15))</f>
        <v>0</v>
      </c>
    </row>
    <row r="16" spans="1:43" ht="24" customHeight="1" x14ac:dyDescent="0.2">
      <c r="B16" s="476">
        <f ca="1">Planning!$E10</f>
        <v>5</v>
      </c>
      <c r="C16" s="483">
        <f ca="1">Planning!$F10</f>
        <v>0.39930555555555558</v>
      </c>
      <c r="D16" s="484">
        <f ca="1">Planning!$G10</f>
        <v>1</v>
      </c>
      <c r="E16" s="484" t="str">
        <f ca="1">Planning!$H10</f>
        <v>A</v>
      </c>
      <c r="F16" s="488" t="str">
        <f ca="1">Planning!$L10</f>
        <v>VFB Essenheim</v>
      </c>
      <c r="G16" s="220" t="s">
        <v>4</v>
      </c>
      <c r="H16" s="491" t="str">
        <f ca="1">Planning!$N10</f>
        <v>1. FC Riedwald</v>
      </c>
      <c r="I16" s="479">
        <v>25</v>
      </c>
      <c r="J16" s="471" t="str">
        <f>Language!$E$80</f>
        <v>-</v>
      </c>
      <c r="K16" s="716">
        <v>23</v>
      </c>
      <c r="L16" s="717">
        <v>25</v>
      </c>
      <c r="M16" s="585" t="str">
        <f>Language!$E$80</f>
        <v>-</v>
      </c>
      <c r="N16" s="472">
        <v>21</v>
      </c>
      <c r="O16" s="773" t="str">
        <f>IF(Planning!$O10="","",Planning!$O10)</f>
        <v/>
      </c>
      <c r="Q16" s="417">
        <f ca="1">IF(Calc1!$K$13=0,"",IF(VLOOKUP(Calc1!B8,Calc1!$C$4:$E$12,3,0)=MAX(Q$12:Q15),VLOOKUP(Calc1!B8,Calc1!$C$4:$E$12,3,0),Calc1!B8))</f>
        <v>5</v>
      </c>
      <c r="R16" s="418" t="str">
        <f ca="1">IF(Calc1!$F$14&lt;3,"",IF(Calc1!$K$13=0,Calc1!$Q68,VLOOKUP(Calc1!B8,Calc1!$C$4:$N$12,4,0)))</f>
        <v>VFB Essenheim</v>
      </c>
      <c r="S16" s="217">
        <f ca="1">IF(Calc1!$K$13=0,"",VLOOKUP(Calc1!B8,Calc1!$C$4:$N$12,9,0))</f>
        <v>4</v>
      </c>
      <c r="T16" s="198">
        <f ca="1">IF(Calc1!$K$13=0,"",VLOOKUP(Calc1!B8,Calc1!$C$4:$N$12,10,0))</f>
        <v>1</v>
      </c>
      <c r="U16" s="198">
        <f ca="1">IF(Calc1!$K$13=0,"",VLOOKUP(Calc1!B8,Calc1!$C$4:$N$12,11,0))</f>
        <v>1</v>
      </c>
      <c r="V16" s="218">
        <f ca="1">IF(Calc1!$K$13=0,"",VLOOKUP(Calc1!B8,Calc1!$C$4:$N$12,12,0))</f>
        <v>2</v>
      </c>
      <c r="W16" s="219">
        <f t="shared" ca="1" si="1"/>
        <v>3</v>
      </c>
      <c r="X16" s="220" t="str">
        <f>Language!$E$80</f>
        <v>-</v>
      </c>
      <c r="Y16" s="221">
        <f ca="1">IF(Calc1!$K$13=0,"",VLOOKUP(Calc1!B8,Calc1!$C$4:$AS$12,43,0))</f>
        <v>5</v>
      </c>
      <c r="Z16" s="219">
        <f ca="1">IF(Calc1!$K$13=0,"",VLOOKUP(Calc1!B8,Calc1!$C$4:$N$12,5,0))</f>
        <v>167</v>
      </c>
      <c r="AA16" s="220" t="str">
        <f>Language!$E$80</f>
        <v>-</v>
      </c>
      <c r="AB16" s="221">
        <f ca="1">IF(Calc1!$K$13=0,"",VLOOKUP(Calc1!B8,Calc1!$C$4:$N$12,6,0))</f>
        <v>191</v>
      </c>
      <c r="AC16" s="217">
        <f ca="1">IF(Calc1!$K$13=0,"",IF(VLOOKUP(Calc1!B8,Calc1!$C$4:$AR$12,42,0)=Settings!$F$7,"max",VLOOKUP(Calc1!B8,Calc1!$C$4:$AR$12,42,0)))</f>
        <v>-24</v>
      </c>
      <c r="AD16" s="222">
        <f ca="1">IF(Calc1!$K$13=0,"",VLOOKUP(Calc1!B8,Calc1!$C$4:$N$12,8,0))</f>
        <v>3</v>
      </c>
      <c r="AE16" s="223" t="str">
        <f ca="1">IFERROR(VLOOKUP($R16&amp;AE$11,Calc1!$Z$64:$AI$207,Settings!$G$17,0),"")</f>
        <v>39-50</v>
      </c>
      <c r="AF16" s="454" t="str">
        <f ca="1">IFERROR(VLOOKUP($R16&amp;AF$11,Calc1!$Z$64:$AI$207,Settings!$G$17,0),"")</f>
        <v>45-47</v>
      </c>
      <c r="AG16" s="198" t="str">
        <f ca="1">IFERROR(VLOOKUP($R16&amp;AG$11,Calc1!$Z$64:$AI$207,Settings!$G$17,0),"")</f>
        <v>50-44</v>
      </c>
      <c r="AH16" s="198" t="str">
        <f ca="1">IFERROR(VLOOKUP($R16&amp;AH$11,Calc1!$Z$64:$AI$207,Settings!$G$17,0),"")</f>
        <v>33-50</v>
      </c>
      <c r="AI16" s="224"/>
      <c r="AJ16" s="225" t="str">
        <f ca="1">IFERROR(VLOOKUP($R16&amp;AJ$11,Calc1!$Z$64:$AI$207,Settings!$G$17,0),"")</f>
        <v/>
      </c>
      <c r="AK16" s="226" t="str">
        <f t="shared" ca="1" si="0"/>
        <v>VFB Essenheim</v>
      </c>
      <c r="AN16" s="457" t="s">
        <v>200</v>
      </c>
      <c r="AO16" s="418" t="str">
        <f>IF(Planning!$C15="","",Planning!$C15)</f>
        <v>VFB Essenheim</v>
      </c>
      <c r="AP16" s="610"/>
      <c r="AQ16" s="683">
        <f>IF($AO16="",0,COUNTIF(TieBreak!$U$12:$U$17,$AO16))</f>
        <v>0</v>
      </c>
    </row>
    <row r="17" spans="2:43" ht="24" customHeight="1" thickBot="1" x14ac:dyDescent="0.25">
      <c r="B17" s="476">
        <f ca="1">Planning!$E11</f>
        <v>6</v>
      </c>
      <c r="C17" s="483">
        <f ca="1">Planning!$F11</f>
        <v>0.39930555555555558</v>
      </c>
      <c r="D17" s="484">
        <f ca="1">Planning!$G11</f>
        <v>2</v>
      </c>
      <c r="E17" s="484" t="str">
        <f ca="1">Planning!$H11</f>
        <v>B</v>
      </c>
      <c r="F17" s="488" t="str">
        <f ca="1">Planning!$L11</f>
        <v>FC Grönlingen</v>
      </c>
      <c r="G17" s="220" t="s">
        <v>4</v>
      </c>
      <c r="H17" s="491" t="str">
        <f ca="1">Planning!$N11</f>
        <v>Mainz 05</v>
      </c>
      <c r="I17" s="479">
        <v>25</v>
      </c>
      <c r="J17" s="471" t="str">
        <f>Language!$E$80</f>
        <v>-</v>
      </c>
      <c r="K17" s="716">
        <v>17</v>
      </c>
      <c r="L17" s="717">
        <v>25</v>
      </c>
      <c r="M17" s="585" t="str">
        <f>Language!$E$80</f>
        <v>-</v>
      </c>
      <c r="N17" s="472">
        <v>22</v>
      </c>
      <c r="O17" s="773" t="str">
        <f>IF(Planning!$O11="","",Planning!$O11)</f>
        <v/>
      </c>
      <c r="Q17" s="419">
        <f ca="1">IF(Calc1!$K$13=0,"",IF(VLOOKUP(Calc1!B9,Calc1!$C$4:$E$12,3,0)=MAX(Q$12:Q16),VLOOKUP(Calc1!B9,Calc1!$C$4:$E$12,3,0),Calc1!B9))</f>
        <v>6</v>
      </c>
      <c r="R17" s="420" t="str">
        <f ca="1">IF(Calc1!$F$14&lt;3,"",IF(Calc1!$K$13=0,Calc1!$Q69,VLOOKUP(Calc1!B9,Calc1!$C$4:$N$12,4,0)))</f>
        <v/>
      </c>
      <c r="S17" s="227">
        <f ca="1">IF(Calc1!$K$13=0,"",VLOOKUP(Calc1!B9,Calc1!$C$4:$N$12,9,0))</f>
        <v>0</v>
      </c>
      <c r="T17" s="228">
        <f ca="1">IF(Calc1!$K$13=0,"",VLOOKUP(Calc1!B9,Calc1!$C$4:$N$12,10,0))</f>
        <v>0</v>
      </c>
      <c r="U17" s="228">
        <f ca="1">IF(Calc1!$K$13=0,"",VLOOKUP(Calc1!B9,Calc1!$C$4:$N$12,11,0))</f>
        <v>0</v>
      </c>
      <c r="V17" s="229">
        <f ca="1">IF(Calc1!$K$13=0,"",VLOOKUP(Calc1!B9,Calc1!$C$4:$N$12,12,0))</f>
        <v>0</v>
      </c>
      <c r="W17" s="230">
        <f t="shared" ca="1" si="1"/>
        <v>0</v>
      </c>
      <c r="X17" s="231" t="str">
        <f>Language!$E$80</f>
        <v>-</v>
      </c>
      <c r="Y17" s="232">
        <f ca="1">IF(Calc1!$K$13=0,"",VLOOKUP(Calc1!B9,Calc1!$C$4:$AS$12,43,0))</f>
        <v>0</v>
      </c>
      <c r="Z17" s="230">
        <f ca="1">IF(Calc1!$K$13=0,"",VLOOKUP(Calc1!B9,Calc1!$C$4:$N$12,5,0))</f>
        <v>0</v>
      </c>
      <c r="AA17" s="231" t="str">
        <f>Language!$E$80</f>
        <v>-</v>
      </c>
      <c r="AB17" s="232">
        <f ca="1">IF(Calc1!$K$13=0,"",VLOOKUP(Calc1!B9,Calc1!$C$4:$N$12,6,0))</f>
        <v>0</v>
      </c>
      <c r="AC17" s="227">
        <f ca="1">IF(Calc1!$K$13=0,"",IF(VLOOKUP(Calc1!B9,Calc1!$C$4:$AR$12,42,0)=Settings!$F$7,"max",VLOOKUP(Calc1!B9,Calc1!$C$4:$AR$12,42,0)))</f>
        <v>0</v>
      </c>
      <c r="AD17" s="233">
        <f ca="1">IF(Calc1!$K$13=0,"",VLOOKUP(Calc1!B9,Calc1!$C$4:$N$12,8,0))</f>
        <v>0</v>
      </c>
      <c r="AE17" s="234" t="str">
        <f ca="1">IFERROR(VLOOKUP($R17&amp;AE$11,Calc1!$Z$64:$AI$207,Settings!$G$17,0),"")</f>
        <v/>
      </c>
      <c r="AF17" s="228" t="str">
        <f ca="1">IFERROR(VLOOKUP($R17&amp;AF$11,Calc1!$Z$64:$AI$207,Settings!$G$17,0),"")</f>
        <v/>
      </c>
      <c r="AG17" s="228" t="str">
        <f ca="1">IFERROR(VLOOKUP($R17&amp;AG$11,Calc1!$Z$64:$AI$207,Settings!$G$17,0),"")</f>
        <v/>
      </c>
      <c r="AH17" s="228" t="str">
        <f ca="1">IFERROR(VLOOKUP($R17&amp;AH$11,Calc1!$Z$64:$AI$207,Settings!$G$17,0),"")</f>
        <v/>
      </c>
      <c r="AI17" s="228" t="str">
        <f ca="1">IFERROR(VLOOKUP($R17&amp;AI$11,Calc1!$Z$64:$AI$207,Settings!$G$17,0),"")</f>
        <v/>
      </c>
      <c r="AJ17" s="235"/>
      <c r="AK17" s="333" t="str">
        <f t="shared" ca="1" si="0"/>
        <v/>
      </c>
      <c r="AN17" s="458" t="s">
        <v>202</v>
      </c>
      <c r="AO17" s="420" t="str">
        <f>IF(Planning!$C17="","",Planning!$C17)</f>
        <v/>
      </c>
      <c r="AP17" s="610"/>
      <c r="AQ17" s="684">
        <f>IF($AO17="",0,COUNTIF(TieBreak!$U$12:$U$17,$AO17))</f>
        <v>0</v>
      </c>
    </row>
    <row r="18" spans="2:43" ht="24" customHeight="1" thickTop="1" x14ac:dyDescent="0.2">
      <c r="B18" s="476">
        <f ca="1">Planning!$E12</f>
        <v>7</v>
      </c>
      <c r="C18" s="483">
        <f ca="1">Planning!$F12</f>
        <v>0.39930555555555558</v>
      </c>
      <c r="D18" s="484">
        <f ca="1">Planning!$G12</f>
        <v>3</v>
      </c>
      <c r="E18" s="484" t="str">
        <f ca="1">Planning!$H12</f>
        <v>A</v>
      </c>
      <c r="F18" s="488" t="str">
        <f ca="1">Planning!$L12</f>
        <v>FC Barcelona</v>
      </c>
      <c r="G18" s="220" t="s">
        <v>4</v>
      </c>
      <c r="H18" s="491" t="str">
        <f ca="1">Planning!$N12</f>
        <v>Eintracht Frankfurt</v>
      </c>
      <c r="I18" s="479">
        <v>23</v>
      </c>
      <c r="J18" s="471" t="str">
        <f>Language!$E$80</f>
        <v>-</v>
      </c>
      <c r="K18" s="716">
        <v>25</v>
      </c>
      <c r="L18" s="717">
        <v>25</v>
      </c>
      <c r="M18" s="585" t="str">
        <f>Language!$E$80</f>
        <v>-</v>
      </c>
      <c r="N18" s="472">
        <v>23</v>
      </c>
      <c r="O18" s="773" t="str">
        <f>IF(Planning!$O12="","",Planning!$O12)</f>
        <v/>
      </c>
      <c r="Q18" s="332"/>
      <c r="R18" s="285"/>
      <c r="S18" s="286"/>
      <c r="T18" s="286"/>
      <c r="U18" s="286"/>
      <c r="V18" s="286"/>
      <c r="W18" s="286"/>
      <c r="X18" s="286"/>
      <c r="Y18" s="286"/>
      <c r="Z18" s="287"/>
      <c r="AA18" s="286"/>
      <c r="AB18" s="285"/>
      <c r="AC18" s="286"/>
      <c r="AD18" s="288"/>
      <c r="AE18" s="286"/>
      <c r="AF18" s="286"/>
      <c r="AG18" s="286"/>
      <c r="AH18" s="286"/>
      <c r="AI18" s="286"/>
      <c r="AJ18" s="286"/>
      <c r="AK18" s="285"/>
      <c r="AN18" s="332"/>
      <c r="AO18" s="285"/>
      <c r="AP18" s="611"/>
    </row>
    <row r="19" spans="2:43" ht="24" customHeight="1" thickBot="1" x14ac:dyDescent="0.25">
      <c r="B19" s="476">
        <f ca="1">Planning!$E13</f>
        <v>8</v>
      </c>
      <c r="C19" s="483">
        <f ca="1">Planning!$F13</f>
        <v>0.39930555555555558</v>
      </c>
      <c r="D19" s="484">
        <f ca="1">Planning!$G13</f>
        <v>4</v>
      </c>
      <c r="E19" s="484" t="str">
        <f ca="1">Planning!$H13</f>
        <v>B</v>
      </c>
      <c r="F19" s="488" t="str">
        <f ca="1">Planning!$L13</f>
        <v>Inter Mailand</v>
      </c>
      <c r="G19" s="220" t="s">
        <v>4</v>
      </c>
      <c r="H19" s="491" t="str">
        <f ca="1">Planning!$N13</f>
        <v>SSV Wildbach</v>
      </c>
      <c r="I19" s="479">
        <v>19</v>
      </c>
      <c r="J19" s="471" t="str">
        <f>Language!$E$80</f>
        <v>-</v>
      </c>
      <c r="K19" s="716">
        <v>25</v>
      </c>
      <c r="L19" s="717">
        <v>25</v>
      </c>
      <c r="M19" s="585" t="str">
        <f>Language!$E$80</f>
        <v>-</v>
      </c>
      <c r="N19" s="472">
        <v>12</v>
      </c>
      <c r="O19" s="773" t="str">
        <f>IF(Planning!$O13="","",Planning!$O13)</f>
        <v/>
      </c>
      <c r="AE19" s="310"/>
      <c r="AF19" s="310"/>
      <c r="AG19" s="310"/>
      <c r="AH19" s="310"/>
      <c r="AI19" s="310"/>
      <c r="AJ19" s="310"/>
      <c r="AP19" s="611"/>
    </row>
    <row r="20" spans="2:43" ht="24" customHeight="1" thickBot="1" x14ac:dyDescent="0.45">
      <c r="B20" s="476">
        <f ca="1">Planning!$E14</f>
        <v>9</v>
      </c>
      <c r="C20" s="483">
        <f ca="1">Planning!$F14</f>
        <v>0.4236111111111111</v>
      </c>
      <c r="D20" s="484">
        <f ca="1">Planning!$G14</f>
        <v>1</v>
      </c>
      <c r="E20" s="484" t="str">
        <f ca="1">Planning!$H14</f>
        <v>A</v>
      </c>
      <c r="F20" s="488" t="str">
        <f ca="1">Planning!$L14</f>
        <v>1. FC Riedwald</v>
      </c>
      <c r="G20" s="220" t="s">
        <v>4</v>
      </c>
      <c r="H20" s="491" t="str">
        <f ca="1">Planning!$N14</f>
        <v>Maibach 1822 eV</v>
      </c>
      <c r="I20" s="479">
        <v>16</v>
      </c>
      <c r="J20" s="471" t="str">
        <f>Language!$E$80</f>
        <v>-</v>
      </c>
      <c r="K20" s="716">
        <v>25</v>
      </c>
      <c r="L20" s="717">
        <v>25</v>
      </c>
      <c r="M20" s="585" t="str">
        <f>Language!$E$80</f>
        <v>-</v>
      </c>
      <c r="N20" s="472">
        <v>18</v>
      </c>
      <c r="O20" s="773" t="str">
        <f>IF(Planning!$O14="","",Planning!$O14)</f>
        <v/>
      </c>
      <c r="Q20" s="837" t="str">
        <f>Language!$E$16&amp;" B"</f>
        <v>Group B</v>
      </c>
      <c r="R20" s="837"/>
      <c r="S20" s="199"/>
      <c r="T20" s="199"/>
      <c r="U20" s="199"/>
      <c r="V20" s="199"/>
      <c r="W20" s="199"/>
      <c r="X20" s="199"/>
      <c r="Y20" s="199"/>
      <c r="Z20" s="199"/>
      <c r="AA20" s="199"/>
      <c r="AB20" s="199"/>
      <c r="AC20" s="199"/>
      <c r="AD20" s="199"/>
      <c r="AE20" s="307" t="str">
        <f ca="1">IF(LEN(R22)&gt;Settings!$C$11,LEFT(R22,Settings!$C$11)&amp;".",R22)</f>
        <v>Mainz 0.</v>
      </c>
      <c r="AF20" s="308" t="str">
        <f ca="1">IF(LEN(R23)&gt;Settings!$C$11,LEFT(R23,Settings!$C$11)&amp;".",R23)</f>
        <v>Manches.</v>
      </c>
      <c r="AG20" s="308" t="str">
        <f ca="1">IF(LEN(R24)&gt;Settings!$C$11,LEFT(R24,Settings!$C$11)&amp;".",R24)</f>
        <v>FC Grön.</v>
      </c>
      <c r="AH20" s="308" t="str">
        <f ca="1">IF(LEN(R25)&gt;Settings!$C$11,LEFT(R25,Settings!$C$11)&amp;".",R25)</f>
        <v>SSV Wil.</v>
      </c>
      <c r="AI20" s="308" t="str">
        <f ca="1">IF(LEN(R26)&gt;Settings!$C$11,LEFT(R26,Settings!$C$11)&amp;".",R26)</f>
        <v>Inter M.</v>
      </c>
      <c r="AJ20" s="309" t="str">
        <f ca="1">IF(LEN(R27)&gt;Settings!$C$11,LEFT(R27,Settings!$C$11)&amp;".",R27)</f>
        <v/>
      </c>
      <c r="AK20" s="200"/>
      <c r="AN20" s="837" t="str">
        <f>Language!$E$16&amp;" B"</f>
        <v>Group B</v>
      </c>
      <c r="AO20" s="837"/>
      <c r="AP20" s="611"/>
    </row>
    <row r="21" spans="2:43" ht="24" customHeight="1" thickTop="1" thickBot="1" x14ac:dyDescent="0.25">
      <c r="B21" s="476">
        <f ca="1">Planning!$E15</f>
        <v>10</v>
      </c>
      <c r="C21" s="483">
        <f ca="1">Planning!$F15</f>
        <v>0.4236111111111111</v>
      </c>
      <c r="D21" s="484">
        <f ca="1">Planning!$G15</f>
        <v>2</v>
      </c>
      <c r="E21" s="484" t="str">
        <f ca="1">Planning!$H15</f>
        <v>B</v>
      </c>
      <c r="F21" s="488" t="str">
        <f ca="1">Planning!$L15</f>
        <v>Mainz 05</v>
      </c>
      <c r="G21" s="220" t="s">
        <v>4</v>
      </c>
      <c r="H21" s="491" t="str">
        <f ca="1">Planning!$N15</f>
        <v>Manchester City</v>
      </c>
      <c r="I21" s="479">
        <v>14</v>
      </c>
      <c r="J21" s="471" t="str">
        <f>Language!$E$80</f>
        <v>-</v>
      </c>
      <c r="K21" s="716">
        <v>25</v>
      </c>
      <c r="L21" s="717">
        <v>25</v>
      </c>
      <c r="M21" s="585" t="str">
        <f>Language!$E$80</f>
        <v>-</v>
      </c>
      <c r="N21" s="472">
        <v>19</v>
      </c>
      <c r="O21" s="773" t="str">
        <f>IF(Planning!$O15="","",Planning!$O15)</f>
        <v/>
      </c>
      <c r="Q21" s="838"/>
      <c r="R21" s="839"/>
      <c r="S21" s="201" t="str">
        <f>Language!$E$21</f>
        <v>Pld</v>
      </c>
      <c r="T21" s="202" t="str">
        <f>Language!$E$22</f>
        <v>W</v>
      </c>
      <c r="U21" s="202" t="str">
        <f>Language!$E$23</f>
        <v>D</v>
      </c>
      <c r="V21" s="275" t="str">
        <f>Language!$E$24</f>
        <v>L</v>
      </c>
      <c r="W21" s="843" t="str">
        <f>Language!$E$25</f>
        <v>sets</v>
      </c>
      <c r="X21" s="844"/>
      <c r="Y21" s="845"/>
      <c r="Z21" s="840" t="str">
        <f>Language!$E$60</f>
        <v>balls</v>
      </c>
      <c r="AA21" s="841"/>
      <c r="AB21" s="842"/>
      <c r="AC21" s="202" t="str">
        <f>IF(Settings!$G$7,Language!$E$26,Language!$E$67)</f>
        <v>GD</v>
      </c>
      <c r="AD21" s="204" t="str">
        <f>Language!$E$27</f>
        <v>Pts</v>
      </c>
      <c r="AE21" s="205" t="str">
        <f ca="1">R22</f>
        <v>Mainz 05</v>
      </c>
      <c r="AF21" s="206" t="str">
        <f ca="1">R23</f>
        <v>Manchester City</v>
      </c>
      <c r="AG21" s="206" t="str">
        <f ca="1">R24</f>
        <v>FC Grönlingen</v>
      </c>
      <c r="AH21" s="206" t="str">
        <f ca="1">R25</f>
        <v>SSV Wildbach</v>
      </c>
      <c r="AI21" s="206" t="str">
        <f ca="1">R26</f>
        <v>Inter Mailand</v>
      </c>
      <c r="AJ21" s="569" t="str">
        <f ca="1">R27</f>
        <v/>
      </c>
      <c r="AK21" s="200"/>
      <c r="AN21" s="460" t="str">
        <f>Language!$E$9</f>
        <v>No.</v>
      </c>
      <c r="AO21" s="612" t="str">
        <f>Language!$E$10</f>
        <v>Participant or team</v>
      </c>
      <c r="AP21" s="609"/>
    </row>
    <row r="22" spans="2:43" ht="24" customHeight="1" x14ac:dyDescent="0.2">
      <c r="B22" s="476">
        <f ca="1">Planning!$E16</f>
        <v>11</v>
      </c>
      <c r="C22" s="483">
        <f ca="1">Planning!$F16</f>
        <v>0.4236111111111111</v>
      </c>
      <c r="D22" s="484">
        <f ca="1">Planning!$G16</f>
        <v>3</v>
      </c>
      <c r="E22" s="484" t="str">
        <f ca="1">Planning!$H16</f>
        <v>A</v>
      </c>
      <c r="F22" s="488" t="str">
        <f ca="1">Planning!$L16</f>
        <v>Eintracht Frankfurt</v>
      </c>
      <c r="G22" s="220" t="s">
        <v>4</v>
      </c>
      <c r="H22" s="491" t="str">
        <f ca="1">Planning!$N16</f>
        <v>VFB Essenheim</v>
      </c>
      <c r="I22" s="479">
        <v>22</v>
      </c>
      <c r="J22" s="471" t="str">
        <f>Language!$E$80</f>
        <v>-</v>
      </c>
      <c r="K22" s="716">
        <v>25</v>
      </c>
      <c r="L22" s="717">
        <v>25</v>
      </c>
      <c r="M22" s="585" t="str">
        <f>Language!$E$80</f>
        <v>-</v>
      </c>
      <c r="N22" s="472">
        <v>20</v>
      </c>
      <c r="O22" s="773" t="str">
        <f>IF(Planning!$O16="","",Planning!$O16)</f>
        <v/>
      </c>
      <c r="Q22" s="415">
        <f ca="1">IF(Calc2!$K$13=0,"",1)</f>
        <v>1</v>
      </c>
      <c r="R22" s="416" t="str">
        <f ca="1">IF(Calc1!$F$14&lt;3,"",IF(Calc2!$K$13=0,Calc2!$Q64,VLOOKUP(Calc2!B4,Calc2!$C$4:$N$12,4,0)))</f>
        <v>Mainz 05</v>
      </c>
      <c r="S22" s="207">
        <f ca="1">IF(Calc2!$K$13=0,"",VLOOKUP(Calc2!B4,Calc2!$C$4:$N$12,9,0))</f>
        <v>4</v>
      </c>
      <c r="T22" s="208">
        <f ca="1">IF(Calc2!$K$13=0,"",VLOOKUP(Calc2!B4,Calc2!$C$4:$N$12,10,0))</f>
        <v>2</v>
      </c>
      <c r="U22" s="208">
        <f ca="1">IF(Calc2!$K$13=0,"",VLOOKUP(Calc2!B4,Calc2!$C$4:$N$12,11,0))</f>
        <v>1</v>
      </c>
      <c r="V22" s="209">
        <f ca="1">IF(Calc2!$K$13=0,"",VLOOKUP(Calc2!B4,Calc2!$C$4:$N$12,12,0))</f>
        <v>1</v>
      </c>
      <c r="W22" s="210">
        <f t="shared" ref="W22:W27" ca="1" si="2">AD22</f>
        <v>5</v>
      </c>
      <c r="X22" s="211" t="str">
        <f>Language!$E$80</f>
        <v>-</v>
      </c>
      <c r="Y22" s="212">
        <f ca="1">IF(Calc2!$K$13=0,"",VLOOKUP(Calc2!B4,Calc2!$C$4:$AS$12,43,0))</f>
        <v>3</v>
      </c>
      <c r="Z22" s="210">
        <f ca="1">IF(Calc2!$K$13=0,"",VLOOKUP(Calc2!B4,Calc2!$C$4:$N$12,5,0))</f>
        <v>178</v>
      </c>
      <c r="AA22" s="211" t="str">
        <f>Language!$E$80</f>
        <v>-</v>
      </c>
      <c r="AB22" s="212">
        <f ca="1">IF(Calc2!$K$13=0,"",VLOOKUP(Calc2!B4,Calc2!$C$4:$N$12,6,0))</f>
        <v>156</v>
      </c>
      <c r="AC22" s="207">
        <f ca="1">IF(Calc2!$K$13=0,"",IF(VLOOKUP(Calc2!B4,Calc2!$C$4:$AR$12,42,0)=Settings!$F$7,"max",VLOOKUP(Calc2!B4,Calc2!$C$4:$AR$12,42,0)))</f>
        <v>22</v>
      </c>
      <c r="AD22" s="213">
        <f ca="1">IF(Calc2!$K$13=0,"",VLOOKUP(Calc2!B4,Calc2!$C$4:$N$12,8,0))</f>
        <v>5</v>
      </c>
      <c r="AE22" s="214"/>
      <c r="AF22" s="208" t="str">
        <f ca="1">IFERROR(VLOOKUP($R22&amp;AF$21,Calc2!$Z$64:$AI$207,Settings!$G$17,0),"")</f>
        <v>39-44</v>
      </c>
      <c r="AG22" s="208" t="str">
        <f ca="1">IFERROR(VLOOKUP($R22&amp;AG$21,Calc2!$Z$64:$AI$207,Settings!$G$17,0),"")</f>
        <v>39-50</v>
      </c>
      <c r="AH22" s="208" t="str">
        <f ca="1">IFERROR(VLOOKUP($R22&amp;AH$21,Calc2!$Z$64:$AI$207,Settings!$G$17,0),"")</f>
        <v>50-38</v>
      </c>
      <c r="AI22" s="208" t="str">
        <f ca="1">IFERROR(VLOOKUP($R22&amp;AI$21,Calc2!$Z$64:$AI$207,Settings!$G$17,0),"")</f>
        <v>50-24</v>
      </c>
      <c r="AJ22" s="215" t="str">
        <f ca="1">IFERROR(VLOOKUP($R22&amp;AJ$21,Calc2!$Z$64:$AI$207,Settings!$G$17,0),"")</f>
        <v/>
      </c>
      <c r="AK22" s="216" t="str">
        <f t="shared" ref="AK22:AK27" ca="1" si="3">R22</f>
        <v>Mainz 05</v>
      </c>
      <c r="AN22" s="459" t="s">
        <v>195</v>
      </c>
      <c r="AO22" s="613" t="str">
        <f>IF(Planning!$C24="","",Planning!$C24)</f>
        <v>Mainz 05</v>
      </c>
      <c r="AP22" s="610"/>
      <c r="AQ22" s="682">
        <f>IF($AO22="",0,COUNTIF(TieBreak!$U$12:$U$17,$AO22))</f>
        <v>0</v>
      </c>
    </row>
    <row r="23" spans="2:43" ht="24" customHeight="1" x14ac:dyDescent="0.2">
      <c r="B23" s="476">
        <f ca="1">Planning!$E17</f>
        <v>12</v>
      </c>
      <c r="C23" s="483">
        <f ca="1">Planning!$F17</f>
        <v>0.4236111111111111</v>
      </c>
      <c r="D23" s="484">
        <f ca="1">Planning!$G17</f>
        <v>4</v>
      </c>
      <c r="E23" s="484" t="str">
        <f ca="1">Planning!$H17</f>
        <v>B</v>
      </c>
      <c r="F23" s="488" t="str">
        <f ca="1">Planning!$L17</f>
        <v>SSV Wildbach</v>
      </c>
      <c r="G23" s="220" t="s">
        <v>4</v>
      </c>
      <c r="H23" s="491" t="str">
        <f ca="1">Planning!$N17</f>
        <v>FC Grönlingen</v>
      </c>
      <c r="I23" s="479">
        <v>19</v>
      </c>
      <c r="J23" s="471" t="str">
        <f>Language!$E$80</f>
        <v>-</v>
      </c>
      <c r="K23" s="716">
        <v>25</v>
      </c>
      <c r="L23" s="717">
        <v>25</v>
      </c>
      <c r="M23" s="585" t="str">
        <f>Language!$E$80</f>
        <v>-</v>
      </c>
      <c r="N23" s="472">
        <v>19</v>
      </c>
      <c r="O23" s="773" t="str">
        <f>IF(Planning!$O17="","",Planning!$O17)</f>
        <v/>
      </c>
      <c r="Q23" s="417">
        <f ca="1">IF(Calc2!$K$13=0,"",IF(VLOOKUP(Calc2!B5,Calc2!$C$4:$E$12,3,0)=MAX(Q$22:Q22),VLOOKUP(Calc2!B5,Calc2!$C$4:$E$12,3,0),Calc2!B5))</f>
        <v>2</v>
      </c>
      <c r="R23" s="418" t="str">
        <f ca="1">IF(Calc1!$F$14&lt;3,"",IF(Calc2!$K$13=0,Calc2!$Q65,VLOOKUP(Calc2!B5,Calc2!$C$4:$N$12,4,0)))</f>
        <v>Manchester City</v>
      </c>
      <c r="S23" s="217">
        <f ca="1">IF(Calc2!$K$13=0,"",VLOOKUP(Calc2!B5,Calc2!$C$4:$N$12,9,0))</f>
        <v>4</v>
      </c>
      <c r="T23" s="198">
        <f ca="1">IF(Calc2!$K$13=0,"",VLOOKUP(Calc2!B5,Calc2!$C$4:$N$12,10,0))</f>
        <v>1</v>
      </c>
      <c r="U23" s="198">
        <f ca="1">IF(Calc2!$K$13=0,"",VLOOKUP(Calc2!B5,Calc2!$C$4:$N$12,11,0))</f>
        <v>2</v>
      </c>
      <c r="V23" s="218">
        <f ca="1">IF(Calc2!$K$13=0,"",VLOOKUP(Calc2!B5,Calc2!$C$4:$N$12,12,0))</f>
        <v>1</v>
      </c>
      <c r="W23" s="219">
        <f t="shared" ca="1" si="2"/>
        <v>4</v>
      </c>
      <c r="X23" s="220" t="str">
        <f>Language!$E$80</f>
        <v>-</v>
      </c>
      <c r="Y23" s="221">
        <f ca="1">IF(Calc2!$K$13=0,"",VLOOKUP(Calc2!B5,Calc2!$C$4:$AS$12,43,0))</f>
        <v>4</v>
      </c>
      <c r="Z23" s="219">
        <f ca="1">IF(Calc2!$K$13=0,"",VLOOKUP(Calc2!B5,Calc2!$C$4:$N$12,5,0))</f>
        <v>184</v>
      </c>
      <c r="AA23" s="220" t="str">
        <f>Language!$E$80</f>
        <v>-</v>
      </c>
      <c r="AB23" s="221">
        <f ca="1">IF(Calc2!$K$13=0,"",VLOOKUP(Calc2!B5,Calc2!$C$4:$N$12,6,0))</f>
        <v>160</v>
      </c>
      <c r="AC23" s="217">
        <f ca="1">IF(Calc2!$K$13=0,"",IF(VLOOKUP(Calc2!B5,Calc2!$C$4:$AR$12,42,0)=Settings!$F$7,"max",VLOOKUP(Calc2!B5,Calc2!$C$4:$AR$12,42,0)))</f>
        <v>24</v>
      </c>
      <c r="AD23" s="222">
        <f ca="1">IF(Calc2!$K$13=0,"",VLOOKUP(Calc2!B5,Calc2!$C$4:$N$12,8,0))</f>
        <v>4</v>
      </c>
      <c r="AE23" s="223" t="str">
        <f ca="1">IFERROR(VLOOKUP($R23&amp;AE$21,Calc2!$Z$64:$AI$207,Settings!$G$17,0),"")</f>
        <v>44-39</v>
      </c>
      <c r="AF23" s="224"/>
      <c r="AG23" s="198" t="str">
        <f ca="1">IFERROR(VLOOKUP($R23&amp;AG$21,Calc2!$Z$64:$AI$207,Settings!$G$17,0),"")</f>
        <v>50-32</v>
      </c>
      <c r="AH23" s="198" t="str">
        <f ca="1">IFERROR(VLOOKUP($R23&amp;AH$21,Calc2!$Z$64:$AI$207,Settings!$G$17,0),"")</f>
        <v>42-50</v>
      </c>
      <c r="AI23" s="198" t="str">
        <f ca="1">IFERROR(VLOOKUP($R23&amp;AI$21,Calc2!$Z$64:$AI$207,Settings!$G$17,0),"")</f>
        <v>48-39</v>
      </c>
      <c r="AJ23" s="225" t="str">
        <f ca="1">IFERROR(VLOOKUP($R23&amp;AJ$21,Calc2!$Z$64:$AI$207,Settings!$G$17,0),"")</f>
        <v/>
      </c>
      <c r="AK23" s="226" t="str">
        <f t="shared" ca="1" si="3"/>
        <v>Manchester City</v>
      </c>
      <c r="AN23" s="457" t="s">
        <v>197</v>
      </c>
      <c r="AO23" s="418" t="str">
        <f>IF(Planning!$C26="","",Planning!$C26)</f>
        <v>Inter Mailand</v>
      </c>
      <c r="AP23" s="610"/>
      <c r="AQ23" s="683">
        <f>IF($AO23="",0,COUNTIF(TieBreak!$U$12:$U$17,$AO23))</f>
        <v>0</v>
      </c>
    </row>
    <row r="24" spans="2:43" ht="24" customHeight="1" x14ac:dyDescent="0.2">
      <c r="B24" s="476">
        <f ca="1">Planning!$E18</f>
        <v>13</v>
      </c>
      <c r="C24" s="483">
        <f ca="1">Planning!$F18</f>
        <v>0.44791666666666669</v>
      </c>
      <c r="D24" s="484">
        <f ca="1">Planning!$G18</f>
        <v>1</v>
      </c>
      <c r="E24" s="484" t="str">
        <f ca="1">Planning!$H18</f>
        <v>A</v>
      </c>
      <c r="F24" s="488" t="str">
        <f ca="1">Planning!$L18</f>
        <v>FC Barcelona</v>
      </c>
      <c r="G24" s="220" t="s">
        <v>4</v>
      </c>
      <c r="H24" s="491" t="str">
        <f ca="1">Planning!$N18</f>
        <v>Maibach 1822 eV</v>
      </c>
      <c r="I24" s="479">
        <v>17</v>
      </c>
      <c r="J24" s="471" t="str">
        <f>Language!$E$80</f>
        <v>-</v>
      </c>
      <c r="K24" s="716">
        <v>25</v>
      </c>
      <c r="L24" s="717">
        <v>12</v>
      </c>
      <c r="M24" s="585" t="str">
        <f>Language!$E$80</f>
        <v>-</v>
      </c>
      <c r="N24" s="472">
        <v>25</v>
      </c>
      <c r="O24" s="773" t="str">
        <f>IF(Planning!$O18="","",Planning!$O18)</f>
        <v/>
      </c>
      <c r="Q24" s="417">
        <f ca="1">IF(Calc2!$K$13=0,"",IF(VLOOKUP(Calc2!B6,Calc2!$C$4:$E$12,3,0)=MAX(Q$22:Q23),VLOOKUP(Calc2!B6,Calc2!$C$4:$E$12,3,0),Calc2!B6))</f>
        <v>3</v>
      </c>
      <c r="R24" s="418" t="str">
        <f ca="1">IF(Calc1!$F$14&lt;3,"",IF(Calc2!$K$13=0,Calc2!$Q66,VLOOKUP(Calc2!B6,Calc2!$C$4:$N$12,4,0)))</f>
        <v>FC Grönlingen</v>
      </c>
      <c r="S24" s="217">
        <f ca="1">IF(Calc2!$K$13=0,"",VLOOKUP(Calc2!B6,Calc2!$C$4:$N$12,9,0))</f>
        <v>4</v>
      </c>
      <c r="T24" s="198">
        <f ca="1">IF(Calc2!$K$13=0,"",VLOOKUP(Calc2!B6,Calc2!$C$4:$N$12,10,0))</f>
        <v>1</v>
      </c>
      <c r="U24" s="198">
        <f ca="1">IF(Calc2!$K$13=0,"",VLOOKUP(Calc2!B6,Calc2!$C$4:$N$12,11,0))</f>
        <v>2</v>
      </c>
      <c r="V24" s="218">
        <f ca="1">IF(Calc2!$K$13=0,"",VLOOKUP(Calc2!B6,Calc2!$C$4:$N$12,12,0))</f>
        <v>1</v>
      </c>
      <c r="W24" s="219">
        <f t="shared" ca="1" si="2"/>
        <v>4</v>
      </c>
      <c r="X24" s="220" t="str">
        <f>Language!$E$80</f>
        <v>-</v>
      </c>
      <c r="Y24" s="221">
        <f ca="1">IF(Calc2!$K$13=0,"",VLOOKUP(Calc2!B6,Calc2!$C$4:$AS$12,43,0))</f>
        <v>4</v>
      </c>
      <c r="Z24" s="219">
        <f ca="1">IF(Calc2!$K$13=0,"",VLOOKUP(Calc2!B6,Calc2!$C$4:$N$12,5,0))</f>
        <v>174</v>
      </c>
      <c r="AA24" s="220" t="str">
        <f>Language!$E$80</f>
        <v>-</v>
      </c>
      <c r="AB24" s="221">
        <f ca="1">IF(Calc2!$K$13=0,"",VLOOKUP(Calc2!B6,Calc2!$C$4:$N$12,6,0))</f>
        <v>178</v>
      </c>
      <c r="AC24" s="217">
        <f ca="1">IF(Calc2!$K$13=0,"",IF(VLOOKUP(Calc2!B6,Calc2!$C$4:$AR$12,42,0)=Settings!$F$7,"max",VLOOKUP(Calc2!B6,Calc2!$C$4:$AR$12,42,0)))</f>
        <v>-4</v>
      </c>
      <c r="AD24" s="222">
        <f ca="1">IF(Calc2!$K$13=0,"",VLOOKUP(Calc2!B6,Calc2!$C$4:$N$12,8,0))</f>
        <v>4</v>
      </c>
      <c r="AE24" s="223" t="str">
        <f ca="1">IFERROR(VLOOKUP($R24&amp;AE$21,Calc2!$Z$64:$AI$207,Settings!$G$17,0),"")</f>
        <v>50-39</v>
      </c>
      <c r="AF24" s="454" t="str">
        <f ca="1">IFERROR(VLOOKUP($R24&amp;AF$21,Calc2!$Z$64:$AI$207,Settings!$G$17,0),"")</f>
        <v>32-50</v>
      </c>
      <c r="AG24" s="224"/>
      <c r="AH24" s="198" t="str">
        <f ca="1">IFERROR(VLOOKUP($R24&amp;AH$21,Calc2!$Z$64:$AI$207,Settings!$G$17,0),"")</f>
        <v>44-44</v>
      </c>
      <c r="AI24" s="198" t="str">
        <f ca="1">IFERROR(VLOOKUP($R24&amp;AI$21,Calc2!$Z$64:$AI$207,Settings!$G$17,0),"")</f>
        <v>48-45</v>
      </c>
      <c r="AJ24" s="225" t="str">
        <f ca="1">IFERROR(VLOOKUP($R24&amp;AJ$21,Calc2!$Z$64:$AI$207,Settings!$G$17,0),"")</f>
        <v/>
      </c>
      <c r="AK24" s="226" t="str">
        <f t="shared" ca="1" si="3"/>
        <v>FC Grönlingen</v>
      </c>
      <c r="AN24" s="457" t="s">
        <v>193</v>
      </c>
      <c r="AO24" s="418" t="str">
        <f>IF(Planning!$C28="","",Planning!$C28)</f>
        <v>SSV Wildbach</v>
      </c>
      <c r="AP24" s="610"/>
      <c r="AQ24" s="683">
        <f>IF($AO24="",0,COUNTIF(TieBreak!$U$12:$U$17,$AO24))</f>
        <v>0</v>
      </c>
    </row>
    <row r="25" spans="2:43" ht="24" customHeight="1" x14ac:dyDescent="0.2">
      <c r="B25" s="476">
        <f ca="1">Planning!$E19</f>
        <v>14</v>
      </c>
      <c r="C25" s="483">
        <f ca="1">Planning!$F19</f>
        <v>0.44791666666666669</v>
      </c>
      <c r="D25" s="484">
        <f ca="1">Planning!$G19</f>
        <v>2</v>
      </c>
      <c r="E25" s="484" t="str">
        <f ca="1">Planning!$H19</f>
        <v>B</v>
      </c>
      <c r="F25" s="488" t="str">
        <f ca="1">Planning!$L19</f>
        <v>Inter Mailand</v>
      </c>
      <c r="G25" s="220" t="s">
        <v>4</v>
      </c>
      <c r="H25" s="491" t="str">
        <f ca="1">Planning!$N19</f>
        <v>Manchester City</v>
      </c>
      <c r="I25" s="479">
        <v>14</v>
      </c>
      <c r="J25" s="471" t="str">
        <f>Language!$E$80</f>
        <v>-</v>
      </c>
      <c r="K25" s="716">
        <v>25</v>
      </c>
      <c r="L25" s="717">
        <v>25</v>
      </c>
      <c r="M25" s="585" t="str">
        <f>Language!$E$80</f>
        <v>-</v>
      </c>
      <c r="N25" s="472">
        <v>23</v>
      </c>
      <c r="O25" s="773" t="str">
        <f>IF(Planning!$O19="","",Planning!$O19)</f>
        <v/>
      </c>
      <c r="Q25" s="417">
        <f ca="1">IF(Calc2!$K$13=0,"",IF(VLOOKUP(Calc2!B7,Calc2!$C$4:$E$12,3,0)=MAX(Q$22:Q24),VLOOKUP(Calc2!B7,Calc2!$C$4:$E$12,3,0),Calc2!B7))</f>
        <v>4</v>
      </c>
      <c r="R25" s="418" t="str">
        <f ca="1">IF(Calc1!$F$14&lt;3,"",IF(Calc2!$K$13=0,Calc2!$Q67,VLOOKUP(Calc2!B7,Calc2!$C$4:$N$12,4,0)))</f>
        <v>SSV Wildbach</v>
      </c>
      <c r="S25" s="217">
        <f ca="1">IF(Calc2!$K$13=0,"",VLOOKUP(Calc2!B7,Calc2!$C$4:$N$12,9,0))</f>
        <v>4</v>
      </c>
      <c r="T25" s="198">
        <f ca="1">IF(Calc2!$K$13=0,"",VLOOKUP(Calc2!B7,Calc2!$C$4:$N$12,10,0))</f>
        <v>1</v>
      </c>
      <c r="U25" s="198">
        <f ca="1">IF(Calc2!$K$13=0,"",VLOOKUP(Calc2!B7,Calc2!$C$4:$N$12,11,0))</f>
        <v>2</v>
      </c>
      <c r="V25" s="218">
        <f ca="1">IF(Calc2!$K$13=0,"",VLOOKUP(Calc2!B7,Calc2!$C$4:$N$12,12,0))</f>
        <v>1</v>
      </c>
      <c r="W25" s="219">
        <f t="shared" ca="1" si="2"/>
        <v>4</v>
      </c>
      <c r="X25" s="220" t="str">
        <f>Language!$E$80</f>
        <v>-</v>
      </c>
      <c r="Y25" s="221">
        <f ca="1">IF(Calc2!$K$13=0,"",VLOOKUP(Calc2!B7,Calc2!$C$4:$AS$12,43,0))</f>
        <v>4</v>
      </c>
      <c r="Z25" s="219">
        <f ca="1">IF(Calc2!$K$13=0,"",VLOOKUP(Calc2!B7,Calc2!$C$4:$N$12,5,0))</f>
        <v>169</v>
      </c>
      <c r="AA25" s="220" t="str">
        <f>Language!$E$80</f>
        <v>-</v>
      </c>
      <c r="AB25" s="221">
        <f ca="1">IF(Calc2!$K$13=0,"",VLOOKUP(Calc2!B7,Calc2!$C$4:$N$12,6,0))</f>
        <v>180</v>
      </c>
      <c r="AC25" s="217">
        <f ca="1">IF(Calc2!$K$13=0,"",IF(VLOOKUP(Calc2!B7,Calc2!$C$4:$AR$12,42,0)=Settings!$F$7,"max",VLOOKUP(Calc2!B7,Calc2!$C$4:$AR$12,42,0)))</f>
        <v>-11</v>
      </c>
      <c r="AD25" s="222">
        <f ca="1">IF(Calc2!$K$13=0,"",VLOOKUP(Calc2!B7,Calc2!$C$4:$N$12,8,0))</f>
        <v>4</v>
      </c>
      <c r="AE25" s="223" t="str">
        <f ca="1">IFERROR(VLOOKUP($R25&amp;AE$21,Calc2!$Z$64:$AI$207,Settings!$G$17,0),"")</f>
        <v>38-50</v>
      </c>
      <c r="AF25" s="454" t="str">
        <f ca="1">IFERROR(VLOOKUP($R25&amp;AF$21,Calc2!$Z$64:$AI$207,Settings!$G$17,0),"")</f>
        <v>50-42</v>
      </c>
      <c r="AG25" s="198" t="str">
        <f ca="1">IFERROR(VLOOKUP($R25&amp;AG$21,Calc2!$Z$64:$AI$207,Settings!$G$17,0),"")</f>
        <v>44-44</v>
      </c>
      <c r="AH25" s="224"/>
      <c r="AI25" s="198" t="str">
        <f ca="1">IFERROR(VLOOKUP($R25&amp;AI$21,Calc2!$Z$64:$AI$207,Settings!$G$17,0),"")</f>
        <v>37-44</v>
      </c>
      <c r="AJ25" s="225" t="str">
        <f ca="1">IFERROR(VLOOKUP($R25&amp;AJ$21,Calc2!$Z$64:$AI$207,Settings!$G$17,0),"")</f>
        <v/>
      </c>
      <c r="AK25" s="226" t="str">
        <f t="shared" ca="1" si="3"/>
        <v>SSV Wildbach</v>
      </c>
      <c r="AN25" s="457" t="s">
        <v>199</v>
      </c>
      <c r="AO25" s="418" t="str">
        <f>IF(Planning!$C30="","",Planning!$C30)</f>
        <v>Manchester City</v>
      </c>
      <c r="AP25" s="610"/>
      <c r="AQ25" s="683">
        <f>IF($AO25="",0,COUNTIF(TieBreak!$U$12:$U$17,$AO25))</f>
        <v>0</v>
      </c>
    </row>
    <row r="26" spans="2:43" ht="24" customHeight="1" x14ac:dyDescent="0.2">
      <c r="B26" s="476">
        <f ca="1">Planning!$E20</f>
        <v>15</v>
      </c>
      <c r="C26" s="483">
        <f ca="1">Planning!$F20</f>
        <v>0.44791666666666669</v>
      </c>
      <c r="D26" s="484">
        <f ca="1">Planning!$G20</f>
        <v>3</v>
      </c>
      <c r="E26" s="484" t="str">
        <f ca="1">Planning!$H20</f>
        <v>A</v>
      </c>
      <c r="F26" s="488" t="str">
        <f ca="1">Planning!$L20</f>
        <v>Eintracht Frankfurt</v>
      </c>
      <c r="G26" s="220" t="s">
        <v>4</v>
      </c>
      <c r="H26" s="491" t="str">
        <f ca="1">Planning!$N20</f>
        <v>1. FC Riedwald</v>
      </c>
      <c r="I26" s="479">
        <v>21</v>
      </c>
      <c r="J26" s="471" t="str">
        <f>Language!$E$80</f>
        <v>-</v>
      </c>
      <c r="K26" s="716">
        <v>25</v>
      </c>
      <c r="L26" s="717">
        <v>25</v>
      </c>
      <c r="M26" s="585" t="str">
        <f>Language!$E$80</f>
        <v>-</v>
      </c>
      <c r="N26" s="472">
        <v>17</v>
      </c>
      <c r="O26" s="773" t="str">
        <f>IF(Planning!$O20="","",Planning!$O20)</f>
        <v/>
      </c>
      <c r="Q26" s="417">
        <f ca="1">IF(Calc2!$K$13=0,"",IF(VLOOKUP(Calc2!B8,Calc2!$C$4:$E$12,3,0)=MAX(Q$22:Q25),VLOOKUP(Calc2!B8,Calc2!$C$4:$E$12,3,0),Calc2!B8))</f>
        <v>5</v>
      </c>
      <c r="R26" s="418" t="str">
        <f ca="1">IF(Calc1!$F$14&lt;3,"",IF(Calc2!$K$13=0,Calc2!$Q68,VLOOKUP(Calc2!B8,Calc2!$C$4:$N$12,4,0)))</f>
        <v>Inter Mailand</v>
      </c>
      <c r="S26" s="217">
        <f ca="1">IF(Calc2!$K$13=0,"",VLOOKUP(Calc2!B8,Calc2!$C$4:$N$12,9,0))</f>
        <v>4</v>
      </c>
      <c r="T26" s="198">
        <f ca="1">IF(Calc2!$K$13=0,"",VLOOKUP(Calc2!B8,Calc2!$C$4:$N$12,10,0))</f>
        <v>0</v>
      </c>
      <c r="U26" s="198">
        <f ca="1">IF(Calc2!$K$13=0,"",VLOOKUP(Calc2!B8,Calc2!$C$4:$N$12,11,0))</f>
        <v>3</v>
      </c>
      <c r="V26" s="218">
        <f ca="1">IF(Calc2!$K$13=0,"",VLOOKUP(Calc2!B8,Calc2!$C$4:$N$12,12,0))</f>
        <v>1</v>
      </c>
      <c r="W26" s="219">
        <f t="shared" ca="1" si="2"/>
        <v>3</v>
      </c>
      <c r="X26" s="220" t="str">
        <f>Language!$E$80</f>
        <v>-</v>
      </c>
      <c r="Y26" s="221">
        <f ca="1">IF(Calc2!$K$13=0,"",VLOOKUP(Calc2!B8,Calc2!$C$4:$AS$12,43,0))</f>
        <v>5</v>
      </c>
      <c r="Z26" s="219">
        <f ca="1">IF(Calc2!$K$13=0,"",VLOOKUP(Calc2!B8,Calc2!$C$4:$N$12,5,0))</f>
        <v>152</v>
      </c>
      <c r="AA26" s="220" t="str">
        <f>Language!$E$80</f>
        <v>-</v>
      </c>
      <c r="AB26" s="221">
        <f ca="1">IF(Calc2!$K$13=0,"",VLOOKUP(Calc2!B8,Calc2!$C$4:$N$12,6,0))</f>
        <v>183</v>
      </c>
      <c r="AC26" s="217">
        <f ca="1">IF(Calc2!$K$13=0,"",IF(VLOOKUP(Calc2!B8,Calc2!$C$4:$AR$12,42,0)=Settings!$F$7,"max",VLOOKUP(Calc2!B8,Calc2!$C$4:$AR$12,42,0)))</f>
        <v>-31</v>
      </c>
      <c r="AD26" s="222">
        <f ca="1">IF(Calc2!$K$13=0,"",VLOOKUP(Calc2!B8,Calc2!$C$4:$N$12,8,0))</f>
        <v>3</v>
      </c>
      <c r="AE26" s="223" t="str">
        <f ca="1">IFERROR(VLOOKUP($R26&amp;AE$21,Calc2!$Z$64:$AI$207,Settings!$G$17,0),"")</f>
        <v>24-50</v>
      </c>
      <c r="AF26" s="454" t="str">
        <f ca="1">IFERROR(VLOOKUP($R26&amp;AF$21,Calc2!$Z$64:$AI$207,Settings!$G$17,0),"")</f>
        <v>39-48</v>
      </c>
      <c r="AG26" s="198" t="str">
        <f ca="1">IFERROR(VLOOKUP($R26&amp;AG$21,Calc2!$Z$64:$AI$207,Settings!$G$17,0),"")</f>
        <v>45-48</v>
      </c>
      <c r="AH26" s="198" t="str">
        <f ca="1">IFERROR(VLOOKUP($R26&amp;AH$21,Calc2!$Z$64:$AI$207,Settings!$G$17,0),"")</f>
        <v>44-37</v>
      </c>
      <c r="AI26" s="224"/>
      <c r="AJ26" s="225" t="str">
        <f ca="1">IFERROR(VLOOKUP($R26&amp;AJ$21,Calc2!$Z$64:$AI$207,Settings!$G$17,0),"")</f>
        <v/>
      </c>
      <c r="AK26" s="226" t="str">
        <f t="shared" ca="1" si="3"/>
        <v>Inter Mailand</v>
      </c>
      <c r="AN26" s="457" t="s">
        <v>201</v>
      </c>
      <c r="AO26" s="418" t="str">
        <f>IF(Planning!$C32="","",Planning!$C32)</f>
        <v>FC Grönlingen</v>
      </c>
      <c r="AP26" s="610"/>
      <c r="AQ26" s="683">
        <f>IF($AO26="",0,COUNTIF(TieBreak!$U$12:$U$17,$AO26))</f>
        <v>0</v>
      </c>
    </row>
    <row r="27" spans="2:43" ht="24" customHeight="1" thickBot="1" x14ac:dyDescent="0.25">
      <c r="B27" s="476">
        <f ca="1">Planning!$E21</f>
        <v>16</v>
      </c>
      <c r="C27" s="483">
        <f ca="1">Planning!$F21</f>
        <v>0.44791666666666669</v>
      </c>
      <c r="D27" s="484">
        <f ca="1">Planning!$G21</f>
        <v>4</v>
      </c>
      <c r="E27" s="484" t="str">
        <f ca="1">Planning!$H21</f>
        <v>B</v>
      </c>
      <c r="F27" s="488" t="str">
        <f ca="1">Planning!$L21</f>
        <v>SSV Wildbach</v>
      </c>
      <c r="G27" s="220" t="s">
        <v>4</v>
      </c>
      <c r="H27" s="491" t="str">
        <f ca="1">Planning!$N21</f>
        <v>Mainz 05</v>
      </c>
      <c r="I27" s="479">
        <v>20</v>
      </c>
      <c r="J27" s="471" t="str">
        <f>Language!$E$80</f>
        <v>-</v>
      </c>
      <c r="K27" s="716">
        <v>25</v>
      </c>
      <c r="L27" s="717">
        <v>18</v>
      </c>
      <c r="M27" s="585" t="str">
        <f>Language!$E$80</f>
        <v>-</v>
      </c>
      <c r="N27" s="472">
        <v>25</v>
      </c>
      <c r="O27" s="773" t="str">
        <f>IF(Planning!$O21="","",Planning!$O21)</f>
        <v/>
      </c>
      <c r="Q27" s="419">
        <f ca="1">IF(Calc2!$K$13=0,"",IF(VLOOKUP(Calc2!B9,Calc2!$C$4:$E$12,3,0)=MAX(Q$22:Q26),VLOOKUP(Calc2!B9,Calc2!$C$4:$E$12,3,0),Calc2!B9))</f>
        <v>6</v>
      </c>
      <c r="R27" s="420" t="str">
        <f ca="1">IF(Calc1!$F$14&lt;3,"",IF(Calc2!$K$13=0,Calc2!$Q69,VLOOKUP(Calc2!B9,Calc2!$C$4:$N$12,4,0)))</f>
        <v/>
      </c>
      <c r="S27" s="227">
        <f ca="1">IF(Calc2!$K$13=0,"",VLOOKUP(Calc2!B9,Calc2!$C$4:$N$12,9,0))</f>
        <v>0</v>
      </c>
      <c r="T27" s="228">
        <f ca="1">IF(Calc2!$K$13=0,"",VLOOKUP(Calc2!B9,Calc2!$C$4:$N$12,10,0))</f>
        <v>0</v>
      </c>
      <c r="U27" s="228">
        <f ca="1">IF(Calc2!$K$13=0,"",VLOOKUP(Calc2!B9,Calc2!$C$4:$N$12,11,0))</f>
        <v>0</v>
      </c>
      <c r="V27" s="229">
        <f ca="1">IF(Calc2!$K$13=0,"",VLOOKUP(Calc2!B9,Calc2!$C$4:$N$12,12,0))</f>
        <v>0</v>
      </c>
      <c r="W27" s="230">
        <f t="shared" ca="1" si="2"/>
        <v>0</v>
      </c>
      <c r="X27" s="231" t="str">
        <f>Language!$E$80</f>
        <v>-</v>
      </c>
      <c r="Y27" s="232">
        <f ca="1">IF(Calc2!$K$13=0,"",VLOOKUP(Calc2!B9,Calc2!$C$4:$AS$12,43,0))</f>
        <v>0</v>
      </c>
      <c r="Z27" s="230">
        <f ca="1">IF(Calc2!$K$13=0,"",VLOOKUP(Calc2!B9,Calc2!$C$4:$N$12,5,0))</f>
        <v>0</v>
      </c>
      <c r="AA27" s="231" t="str">
        <f>Language!$E$80</f>
        <v>-</v>
      </c>
      <c r="AB27" s="232">
        <f ca="1">IF(Calc2!$K$13=0,"",VLOOKUP(Calc2!B9,Calc2!$C$4:$N$12,6,0))</f>
        <v>0</v>
      </c>
      <c r="AC27" s="227">
        <f ca="1">IF(Calc2!$K$13=0,"",IF(VLOOKUP(Calc2!B9,Calc2!$C$4:$AR$12,42,0)=Settings!$F$7,"max",VLOOKUP(Calc2!B9,Calc2!$C$4:$AR$12,42,0)))</f>
        <v>0</v>
      </c>
      <c r="AD27" s="233">
        <f ca="1">IF(Calc2!$K$13=0,"",VLOOKUP(Calc2!B9,Calc2!$C$4:$N$12,8,0))</f>
        <v>0</v>
      </c>
      <c r="AE27" s="234" t="str">
        <f ca="1">IFERROR(VLOOKUP($R27&amp;AE$21,Calc2!$Z$64:$AI$207,Settings!$G$17,0),"")</f>
        <v/>
      </c>
      <c r="AF27" s="228" t="str">
        <f ca="1">IFERROR(VLOOKUP($R27&amp;AF$21,Calc2!$Z$64:$AI$207,Settings!$G$17,0),"")</f>
        <v/>
      </c>
      <c r="AG27" s="228" t="str">
        <f ca="1">IFERROR(VLOOKUP($R27&amp;AG$21,Calc2!$Z$64:$AI$207,Settings!$G$17,0),"")</f>
        <v/>
      </c>
      <c r="AH27" s="228" t="str">
        <f ca="1">IFERROR(VLOOKUP($R27&amp;AH$21,Calc2!$Z$64:$AI$207,Settings!$G$17,0),"")</f>
        <v/>
      </c>
      <c r="AI27" s="228" t="str">
        <f ca="1">IFERROR(VLOOKUP($R27&amp;AI$21,Calc2!$Z$64:$AI$207,Settings!$G$17,0),"")</f>
        <v/>
      </c>
      <c r="AJ27" s="235"/>
      <c r="AK27" s="333" t="str">
        <f t="shared" ca="1" si="3"/>
        <v/>
      </c>
      <c r="AN27" s="458" t="s">
        <v>203</v>
      </c>
      <c r="AO27" s="420" t="str">
        <f>IF(Planning!$C34="","",Planning!$C34)</f>
        <v/>
      </c>
      <c r="AP27" s="610"/>
      <c r="AQ27" s="684">
        <f>IF($AO27="",0,COUNTIF(TieBreak!$U$12:$U$17,$AO27))</f>
        <v>0</v>
      </c>
    </row>
    <row r="28" spans="2:43" ht="24" customHeight="1" thickTop="1" x14ac:dyDescent="0.2">
      <c r="B28" s="476">
        <f ca="1">Planning!$E22</f>
        <v>17</v>
      </c>
      <c r="C28" s="483">
        <f ca="1">Planning!$F22</f>
        <v>0.47222222222222221</v>
      </c>
      <c r="D28" s="484">
        <f ca="1">Planning!$G22</f>
        <v>1</v>
      </c>
      <c r="E28" s="484" t="str">
        <f ca="1">Planning!$H22</f>
        <v>A</v>
      </c>
      <c r="F28" s="488" t="str">
        <f ca="1">Planning!$L22</f>
        <v>Maibach 1822 eV</v>
      </c>
      <c r="G28" s="220" t="s">
        <v>4</v>
      </c>
      <c r="H28" s="491" t="str">
        <f ca="1">Planning!$N22</f>
        <v>VFB Essenheim</v>
      </c>
      <c r="I28" s="479">
        <v>25</v>
      </c>
      <c r="J28" s="471" t="str">
        <f>Language!$E$80</f>
        <v>-</v>
      </c>
      <c r="K28" s="716">
        <v>20</v>
      </c>
      <c r="L28" s="717">
        <v>25</v>
      </c>
      <c r="M28" s="585" t="str">
        <f>Language!$E$80</f>
        <v>-</v>
      </c>
      <c r="N28" s="472">
        <v>19</v>
      </c>
      <c r="O28" s="773" t="str">
        <f>IF(Planning!$O22="","",Planning!$O22)</f>
        <v/>
      </c>
    </row>
    <row r="29" spans="2:43" ht="24" customHeight="1" x14ac:dyDescent="0.2">
      <c r="B29" s="476">
        <f ca="1">Planning!$E23</f>
        <v>18</v>
      </c>
      <c r="C29" s="483">
        <f ca="1">Planning!$F23</f>
        <v>0.47222222222222221</v>
      </c>
      <c r="D29" s="484">
        <f ca="1">Planning!$G23</f>
        <v>2</v>
      </c>
      <c r="E29" s="484" t="str">
        <f ca="1">Planning!$H23</f>
        <v>B</v>
      </c>
      <c r="F29" s="488" t="str">
        <f ca="1">Planning!$L23</f>
        <v>Manchester City</v>
      </c>
      <c r="G29" s="220" t="s">
        <v>4</v>
      </c>
      <c r="H29" s="491" t="str">
        <f ca="1">Planning!$N23</f>
        <v>FC Grönlingen</v>
      </c>
      <c r="I29" s="479">
        <v>25</v>
      </c>
      <c r="J29" s="471" t="str">
        <f>Language!$E$80</f>
        <v>-</v>
      </c>
      <c r="K29" s="716">
        <v>12</v>
      </c>
      <c r="L29" s="717">
        <v>25</v>
      </c>
      <c r="M29" s="585" t="str">
        <f>Language!$E$80</f>
        <v>-</v>
      </c>
      <c r="N29" s="472">
        <v>20</v>
      </c>
      <c r="O29" s="773" t="str">
        <f>IF(Planning!$O23="","",Planning!$O23)</f>
        <v/>
      </c>
      <c r="Q29" s="278"/>
      <c r="R29" s="278"/>
      <c r="S29" s="278"/>
      <c r="T29" s="278"/>
      <c r="U29" s="278"/>
      <c r="V29" s="278"/>
      <c r="W29" s="278"/>
      <c r="X29" s="278"/>
      <c r="Y29" s="278"/>
      <c r="Z29" s="278"/>
      <c r="AA29" s="278"/>
      <c r="AB29" s="278"/>
      <c r="AC29" s="278"/>
      <c r="AD29" s="278"/>
      <c r="AE29" s="278"/>
      <c r="AF29" s="278"/>
      <c r="AG29" s="278"/>
      <c r="AH29" s="278"/>
      <c r="AI29" s="278"/>
      <c r="AJ29" s="278"/>
      <c r="AK29" s="278"/>
    </row>
    <row r="30" spans="2:43" ht="24" customHeight="1" x14ac:dyDescent="0.2">
      <c r="B30" s="476">
        <f ca="1">Planning!$E24</f>
        <v>19</v>
      </c>
      <c r="C30" s="483">
        <f ca="1">Planning!$F24</f>
        <v>0.47222222222222221</v>
      </c>
      <c r="D30" s="484">
        <f ca="1">Planning!$G24</f>
        <v>3</v>
      </c>
      <c r="E30" s="484" t="str">
        <f ca="1">Planning!$H24</f>
        <v>A</v>
      </c>
      <c r="F30" s="488" t="str">
        <f ca="1">Planning!$L24</f>
        <v>1. FC Riedwald</v>
      </c>
      <c r="G30" s="220" t="s">
        <v>4</v>
      </c>
      <c r="H30" s="491" t="str">
        <f ca="1">Planning!$N24</f>
        <v>FC Barcelona</v>
      </c>
      <c r="I30" s="479">
        <v>25</v>
      </c>
      <c r="J30" s="471" t="str">
        <f>Language!$E$80</f>
        <v>-</v>
      </c>
      <c r="K30" s="716">
        <v>16</v>
      </c>
      <c r="L30" s="717">
        <v>25</v>
      </c>
      <c r="M30" s="585" t="str">
        <f>Language!$E$80</f>
        <v>-</v>
      </c>
      <c r="N30" s="472">
        <v>21</v>
      </c>
      <c r="O30" s="773" t="str">
        <f>IF(Planning!$O24="","",Planning!$O24)</f>
        <v/>
      </c>
      <c r="Q30" s="836" t="str">
        <f>Language!$E$40</f>
        <v>End of preliminary round:</v>
      </c>
      <c r="R30" s="836"/>
      <c r="S30" s="836"/>
      <c r="T30" s="836"/>
      <c r="U30" s="836"/>
      <c r="V30" s="836"/>
      <c r="W30" s="836"/>
      <c r="X30" s="836"/>
      <c r="Y30" s="836"/>
      <c r="Z30" s="836"/>
      <c r="AA30" s="836"/>
      <c r="AB30" s="836"/>
      <c r="AC30" s="836"/>
      <c r="AD30" s="835">
        <f ca="1">Planning!$S$13</f>
        <v>0.49305555555555558</v>
      </c>
      <c r="AE30" s="835"/>
      <c r="AF30" s="835"/>
      <c r="AG30" s="835"/>
      <c r="AH30" s="835"/>
      <c r="AI30" s="835"/>
      <c r="AJ30" s="835"/>
      <c r="AK30" s="835"/>
    </row>
    <row r="31" spans="2:43" ht="24" customHeight="1" x14ac:dyDescent="0.2">
      <c r="B31" s="476">
        <f ca="1">Planning!$E25</f>
        <v>20</v>
      </c>
      <c r="C31" s="483">
        <f ca="1">Planning!$F25</f>
        <v>0.47222222222222221</v>
      </c>
      <c r="D31" s="484">
        <f ca="1">Planning!$G25</f>
        <v>4</v>
      </c>
      <c r="E31" s="484" t="str">
        <f ca="1">Planning!$H25</f>
        <v>B</v>
      </c>
      <c r="F31" s="488" t="str">
        <f ca="1">Planning!$L25</f>
        <v>Mainz 05</v>
      </c>
      <c r="G31" s="220" t="s">
        <v>4</v>
      </c>
      <c r="H31" s="491" t="str">
        <f ca="1">Planning!$N25</f>
        <v>Inter Mailand</v>
      </c>
      <c r="I31" s="479">
        <v>25</v>
      </c>
      <c r="J31" s="471" t="str">
        <f>Language!$E$80</f>
        <v>-</v>
      </c>
      <c r="K31" s="716">
        <v>2</v>
      </c>
      <c r="L31" s="717">
        <v>25</v>
      </c>
      <c r="M31" s="585" t="str">
        <f>Language!$E$80</f>
        <v>-</v>
      </c>
      <c r="N31" s="472">
        <v>22</v>
      </c>
      <c r="O31" s="773" t="str">
        <f>IF(Planning!$O25="","",Planning!$O25)</f>
        <v/>
      </c>
      <c r="Q31" s="278"/>
      <c r="R31" s="278"/>
      <c r="S31" s="278"/>
      <c r="T31" s="278"/>
      <c r="U31" s="278"/>
      <c r="V31" s="278"/>
      <c r="W31" s="278"/>
      <c r="X31" s="278"/>
      <c r="Y31" s="278"/>
      <c r="Z31" s="278"/>
      <c r="AA31" s="278"/>
      <c r="AB31" s="278"/>
      <c r="AC31" s="278"/>
      <c r="AD31" s="278"/>
      <c r="AE31" s="278"/>
      <c r="AF31" s="278"/>
      <c r="AG31" s="278"/>
      <c r="AH31" s="278"/>
      <c r="AI31" s="278"/>
      <c r="AJ31" s="278"/>
      <c r="AK31" s="278"/>
    </row>
    <row r="32" spans="2:43" ht="24" customHeight="1" x14ac:dyDescent="0.4">
      <c r="B32" s="476" t="str">
        <f>Planning!$E26</f>
        <v/>
      </c>
      <c r="C32" s="483" t="str">
        <f>Planning!$F26</f>
        <v/>
      </c>
      <c r="D32" s="484" t="str">
        <f>Planning!$G26</f>
        <v/>
      </c>
      <c r="E32" s="484" t="str">
        <f ca="1">Planning!$H26</f>
        <v/>
      </c>
      <c r="F32" s="488" t="str">
        <f ca="1">Planning!$L26</f>
        <v/>
      </c>
      <c r="G32" s="220" t="s">
        <v>4</v>
      </c>
      <c r="H32" s="491" t="str">
        <f ca="1">Planning!$N26</f>
        <v/>
      </c>
      <c r="I32" s="479"/>
      <c r="J32" s="471" t="str">
        <f>Language!$E$80</f>
        <v>-</v>
      </c>
      <c r="K32" s="716"/>
      <c r="L32" s="717"/>
      <c r="M32" s="585" t="str">
        <f>Language!$E$80</f>
        <v>-</v>
      </c>
      <c r="N32" s="472"/>
      <c r="O32" s="773" t="str">
        <f>IF(Planning!$O26="","",Planning!$O26)</f>
        <v/>
      </c>
      <c r="Q32" s="278"/>
      <c r="R32" s="278"/>
      <c r="S32" s="278"/>
      <c r="T32" s="278"/>
      <c r="U32" s="278"/>
      <c r="V32" s="278"/>
      <c r="W32" s="278"/>
      <c r="X32" s="278"/>
      <c r="Y32" s="278"/>
      <c r="Z32" s="278"/>
      <c r="AA32" s="278"/>
      <c r="AB32" s="278"/>
      <c r="AC32" s="278"/>
      <c r="AD32" s="278"/>
      <c r="AE32" s="338"/>
      <c r="AF32" s="338"/>
      <c r="AG32" s="338"/>
      <c r="AH32" s="338"/>
      <c r="AI32" s="338"/>
      <c r="AJ32" s="338"/>
      <c r="AK32" s="278"/>
    </row>
    <row r="33" spans="2:37" ht="24" customHeight="1" x14ac:dyDescent="0.2">
      <c r="B33" s="476" t="str">
        <f>Planning!$E27</f>
        <v/>
      </c>
      <c r="C33" s="483" t="str">
        <f>Planning!$F27</f>
        <v/>
      </c>
      <c r="D33" s="484" t="str">
        <f>Planning!$G27</f>
        <v/>
      </c>
      <c r="E33" s="484" t="str">
        <f ca="1">Planning!$H27</f>
        <v/>
      </c>
      <c r="F33" s="488" t="str">
        <f ca="1">Planning!$L27</f>
        <v/>
      </c>
      <c r="G33" s="220" t="s">
        <v>4</v>
      </c>
      <c r="H33" s="491" t="str">
        <f ca="1">Planning!$N27</f>
        <v/>
      </c>
      <c r="I33" s="479"/>
      <c r="J33" s="471" t="str">
        <f>Language!$E$80</f>
        <v>-</v>
      </c>
      <c r="K33" s="716"/>
      <c r="L33" s="717"/>
      <c r="M33" s="585" t="str">
        <f>Language!$E$80</f>
        <v>-</v>
      </c>
      <c r="N33" s="472"/>
      <c r="O33" s="773" t="str">
        <f>IF(Planning!$O27="","",Planning!$O27)</f>
        <v/>
      </c>
      <c r="Q33" s="279"/>
      <c r="R33" s="278"/>
      <c r="S33" s="278"/>
      <c r="T33" s="278"/>
      <c r="U33" s="278"/>
      <c r="V33" s="278"/>
      <c r="W33" s="278"/>
      <c r="X33" s="278"/>
      <c r="Y33" s="278"/>
      <c r="Z33" s="278"/>
      <c r="AA33" s="278"/>
      <c r="AB33" s="278"/>
      <c r="AC33" s="278"/>
      <c r="AD33" s="278"/>
      <c r="AE33" s="278"/>
      <c r="AF33" s="278"/>
      <c r="AG33" s="278"/>
      <c r="AH33" s="278"/>
      <c r="AI33" s="278"/>
      <c r="AJ33" s="278"/>
      <c r="AK33" s="278"/>
    </row>
    <row r="34" spans="2:37" ht="24" customHeight="1" x14ac:dyDescent="0.2">
      <c r="B34" s="476" t="str">
        <f>Planning!$E28</f>
        <v/>
      </c>
      <c r="C34" s="483" t="str">
        <f>Planning!$F28</f>
        <v/>
      </c>
      <c r="D34" s="484" t="str">
        <f>Planning!$G28</f>
        <v/>
      </c>
      <c r="E34" s="484" t="str">
        <f ca="1">Planning!$H28</f>
        <v/>
      </c>
      <c r="F34" s="488" t="str">
        <f ca="1">Planning!$L28</f>
        <v/>
      </c>
      <c r="G34" s="220" t="s">
        <v>4</v>
      </c>
      <c r="H34" s="491" t="str">
        <f ca="1">Planning!$N28</f>
        <v/>
      </c>
      <c r="I34" s="479"/>
      <c r="J34" s="471" t="str">
        <f>Language!$E$80</f>
        <v>-</v>
      </c>
      <c r="K34" s="716"/>
      <c r="L34" s="717"/>
      <c r="M34" s="585" t="str">
        <f>Language!$E$80</f>
        <v>-</v>
      </c>
      <c r="N34" s="472"/>
      <c r="O34" s="773" t="str">
        <f>IF(Planning!$O28="","",Planning!$O28)</f>
        <v/>
      </c>
      <c r="Q34" s="280"/>
      <c r="R34" s="280"/>
      <c r="S34" s="280"/>
      <c r="T34" s="280"/>
      <c r="U34" s="280"/>
      <c r="V34" s="280"/>
      <c r="W34" s="280"/>
      <c r="X34" s="280"/>
      <c r="Y34" s="280"/>
      <c r="Z34" s="280"/>
      <c r="AA34" s="280"/>
      <c r="AB34" s="280"/>
      <c r="AC34" s="280"/>
      <c r="AD34" s="280"/>
      <c r="AE34" s="281"/>
      <c r="AF34" s="281"/>
      <c r="AG34" s="281"/>
      <c r="AH34" s="281"/>
      <c r="AI34" s="281"/>
      <c r="AJ34" s="281"/>
      <c r="AK34" s="282"/>
    </row>
    <row r="35" spans="2:37" ht="24" customHeight="1" x14ac:dyDescent="0.2">
      <c r="B35" s="476" t="str">
        <f>Planning!$E29</f>
        <v/>
      </c>
      <c r="C35" s="483" t="str">
        <f>Planning!$F29</f>
        <v/>
      </c>
      <c r="D35" s="484" t="str">
        <f>Planning!$G29</f>
        <v/>
      </c>
      <c r="E35" s="484" t="str">
        <f ca="1">Planning!$H29</f>
        <v/>
      </c>
      <c r="F35" s="488" t="str">
        <f ca="1">Planning!$L29</f>
        <v/>
      </c>
      <c r="G35" s="220" t="s">
        <v>4</v>
      </c>
      <c r="H35" s="491" t="str">
        <f ca="1">Planning!$N29</f>
        <v/>
      </c>
      <c r="I35" s="479"/>
      <c r="J35" s="471" t="str">
        <f>Language!$E$80</f>
        <v>-</v>
      </c>
      <c r="K35" s="716"/>
      <c r="L35" s="717"/>
      <c r="M35" s="585" t="str">
        <f>Language!$E$80</f>
        <v>-</v>
      </c>
      <c r="N35" s="472"/>
      <c r="O35" s="773" t="str">
        <f>IF(Planning!$O29="","",Planning!$O29)</f>
        <v/>
      </c>
      <c r="Q35" s="337"/>
      <c r="R35" s="337"/>
      <c r="S35" s="283"/>
      <c r="T35" s="283"/>
      <c r="U35" s="283"/>
      <c r="V35" s="283"/>
      <c r="W35" s="283"/>
      <c r="X35" s="283"/>
      <c r="Y35" s="283"/>
      <c r="Z35" s="336"/>
      <c r="AA35" s="336"/>
      <c r="AB35" s="336"/>
      <c r="AC35" s="283"/>
      <c r="AD35" s="283"/>
      <c r="AE35" s="284"/>
      <c r="AF35" s="284"/>
      <c r="AG35" s="284"/>
      <c r="AH35" s="284"/>
      <c r="AI35" s="284"/>
      <c r="AJ35" s="284"/>
      <c r="AK35" s="282"/>
    </row>
    <row r="36" spans="2:37" ht="24" customHeight="1" x14ac:dyDescent="0.2">
      <c r="B36" s="476" t="str">
        <f>Planning!$E30</f>
        <v/>
      </c>
      <c r="C36" s="483" t="str">
        <f>Planning!$F30</f>
        <v/>
      </c>
      <c r="D36" s="484" t="str">
        <f>Planning!$G30</f>
        <v/>
      </c>
      <c r="E36" s="484" t="str">
        <f ca="1">Planning!$H30</f>
        <v/>
      </c>
      <c r="F36" s="488" t="str">
        <f ca="1">Planning!$L30</f>
        <v/>
      </c>
      <c r="G36" s="220" t="s">
        <v>4</v>
      </c>
      <c r="H36" s="491" t="str">
        <f ca="1">Planning!$N30</f>
        <v/>
      </c>
      <c r="I36" s="479"/>
      <c r="J36" s="471" t="str">
        <f>Language!$E$80</f>
        <v>-</v>
      </c>
      <c r="K36" s="716"/>
      <c r="L36" s="717"/>
      <c r="M36" s="585" t="str">
        <f>Language!$E$80</f>
        <v>-</v>
      </c>
      <c r="N36" s="472"/>
      <c r="O36" s="773" t="str">
        <f>IF(Planning!$O30="","",Planning!$O30)</f>
        <v/>
      </c>
      <c r="Q36" s="280"/>
      <c r="R36" s="285"/>
      <c r="S36" s="286"/>
      <c r="T36" s="286"/>
      <c r="U36" s="286"/>
      <c r="V36" s="286"/>
      <c r="W36" s="286"/>
      <c r="X36" s="286"/>
      <c r="Y36" s="286"/>
      <c r="Z36" s="287"/>
      <c r="AA36" s="286"/>
      <c r="AB36" s="285"/>
      <c r="AC36" s="286"/>
      <c r="AD36" s="288"/>
      <c r="AE36" s="286"/>
      <c r="AF36" s="286"/>
      <c r="AG36" s="286"/>
      <c r="AH36" s="286"/>
      <c r="AI36" s="286"/>
      <c r="AJ36" s="286"/>
      <c r="AK36" s="285"/>
    </row>
    <row r="37" spans="2:37" ht="24" customHeight="1" x14ac:dyDescent="0.2">
      <c r="B37" s="476" t="str">
        <f>Planning!$E31</f>
        <v/>
      </c>
      <c r="C37" s="483" t="str">
        <f>Planning!$F31</f>
        <v/>
      </c>
      <c r="D37" s="484" t="str">
        <f>Planning!$G31</f>
        <v/>
      </c>
      <c r="E37" s="484" t="str">
        <f ca="1">Planning!$H31</f>
        <v/>
      </c>
      <c r="F37" s="488" t="str">
        <f ca="1">Planning!$L31</f>
        <v/>
      </c>
      <c r="G37" s="220" t="s">
        <v>4</v>
      </c>
      <c r="H37" s="491" t="str">
        <f ca="1">Planning!$N31</f>
        <v/>
      </c>
      <c r="I37" s="479"/>
      <c r="J37" s="471" t="str">
        <f>Language!$E$80</f>
        <v>-</v>
      </c>
      <c r="K37" s="716"/>
      <c r="L37" s="717"/>
      <c r="M37" s="585" t="str">
        <f>Language!$E$80</f>
        <v>-</v>
      </c>
      <c r="N37" s="472"/>
      <c r="O37" s="773" t="str">
        <f>IF(Planning!$O31="","",Planning!$O31)</f>
        <v/>
      </c>
      <c r="Q37" s="280"/>
      <c r="R37" s="285"/>
      <c r="S37" s="286"/>
      <c r="T37" s="286"/>
      <c r="U37" s="286"/>
      <c r="V37" s="286"/>
      <c r="W37" s="286"/>
      <c r="X37" s="286"/>
      <c r="Y37" s="286"/>
      <c r="Z37" s="287"/>
      <c r="AA37" s="286"/>
      <c r="AB37" s="285"/>
      <c r="AC37" s="286"/>
      <c r="AD37" s="288"/>
      <c r="AE37" s="286"/>
      <c r="AF37" s="286"/>
      <c r="AG37" s="286"/>
      <c r="AH37" s="286"/>
      <c r="AI37" s="286"/>
      <c r="AJ37" s="286"/>
      <c r="AK37" s="285"/>
    </row>
    <row r="38" spans="2:37" ht="24" customHeight="1" x14ac:dyDescent="0.2">
      <c r="B38" s="476" t="str">
        <f>Planning!$E32</f>
        <v/>
      </c>
      <c r="C38" s="483" t="str">
        <f>Planning!$F32</f>
        <v/>
      </c>
      <c r="D38" s="484" t="str">
        <f>Planning!$G32</f>
        <v/>
      </c>
      <c r="E38" s="484" t="str">
        <f ca="1">Planning!$H32</f>
        <v/>
      </c>
      <c r="F38" s="488" t="str">
        <f ca="1">Planning!$L32</f>
        <v/>
      </c>
      <c r="G38" s="220" t="s">
        <v>4</v>
      </c>
      <c r="H38" s="491" t="str">
        <f ca="1">Planning!$N32</f>
        <v/>
      </c>
      <c r="I38" s="479"/>
      <c r="J38" s="471" t="str">
        <f>Language!$E$80</f>
        <v>-</v>
      </c>
      <c r="K38" s="716"/>
      <c r="L38" s="717"/>
      <c r="M38" s="585" t="str">
        <f>Language!$E$80</f>
        <v>-</v>
      </c>
      <c r="N38" s="472"/>
      <c r="O38" s="773" t="str">
        <f>IF(Planning!$O32="","",Planning!$O32)</f>
        <v/>
      </c>
      <c r="Q38" s="280"/>
      <c r="R38" s="285"/>
      <c r="S38" s="286"/>
      <c r="T38" s="286"/>
      <c r="U38" s="286"/>
      <c r="V38" s="286"/>
      <c r="W38" s="286"/>
      <c r="X38" s="286"/>
      <c r="Y38" s="286"/>
      <c r="Z38" s="287"/>
      <c r="AA38" s="286"/>
      <c r="AB38" s="285"/>
      <c r="AC38" s="286"/>
      <c r="AD38" s="288"/>
      <c r="AE38" s="286"/>
      <c r="AF38" s="286"/>
      <c r="AG38" s="286"/>
      <c r="AH38" s="286"/>
      <c r="AI38" s="286"/>
      <c r="AJ38" s="286"/>
      <c r="AK38" s="285"/>
    </row>
    <row r="39" spans="2:37" ht="24" customHeight="1" x14ac:dyDescent="0.2">
      <c r="B39" s="476" t="str">
        <f>Planning!$E33</f>
        <v/>
      </c>
      <c r="C39" s="483" t="str">
        <f>Planning!$F33</f>
        <v/>
      </c>
      <c r="D39" s="484" t="str">
        <f>Planning!$G33</f>
        <v/>
      </c>
      <c r="E39" s="484" t="str">
        <f ca="1">Planning!$H33</f>
        <v/>
      </c>
      <c r="F39" s="488" t="str">
        <f ca="1">Planning!$L33</f>
        <v/>
      </c>
      <c r="G39" s="220" t="s">
        <v>4</v>
      </c>
      <c r="H39" s="491" t="str">
        <f ca="1">Planning!$N33</f>
        <v/>
      </c>
      <c r="I39" s="479"/>
      <c r="J39" s="471" t="str">
        <f>Language!$E$80</f>
        <v>-</v>
      </c>
      <c r="K39" s="716"/>
      <c r="L39" s="717"/>
      <c r="M39" s="585" t="str">
        <f>Language!$E$80</f>
        <v>-</v>
      </c>
      <c r="N39" s="472"/>
      <c r="O39" s="773" t="str">
        <f>IF(Planning!$O33="","",Planning!$O33)</f>
        <v/>
      </c>
      <c r="Q39" s="280"/>
      <c r="R39" s="285"/>
      <c r="S39" s="286"/>
      <c r="T39" s="286"/>
      <c r="U39" s="286"/>
      <c r="V39" s="286"/>
      <c r="W39" s="286"/>
      <c r="X39" s="286"/>
      <c r="Y39" s="286"/>
      <c r="Z39" s="287"/>
      <c r="AA39" s="286"/>
      <c r="AB39" s="285"/>
      <c r="AC39" s="286"/>
      <c r="AD39" s="288"/>
      <c r="AE39" s="286"/>
      <c r="AF39" s="286"/>
      <c r="AG39" s="286"/>
      <c r="AH39" s="286"/>
      <c r="AI39" s="286"/>
      <c r="AJ39" s="286"/>
      <c r="AK39" s="285"/>
    </row>
    <row r="40" spans="2:37" ht="24" customHeight="1" x14ac:dyDescent="0.2">
      <c r="B40" s="476" t="str">
        <f>Planning!$E34</f>
        <v/>
      </c>
      <c r="C40" s="483" t="str">
        <f>Planning!$F34</f>
        <v/>
      </c>
      <c r="D40" s="484" t="str">
        <f>Planning!$G34</f>
        <v/>
      </c>
      <c r="E40" s="484" t="str">
        <f ca="1">Planning!$H34</f>
        <v/>
      </c>
      <c r="F40" s="488" t="str">
        <f ca="1">Planning!$L34</f>
        <v/>
      </c>
      <c r="G40" s="220" t="s">
        <v>4</v>
      </c>
      <c r="H40" s="491" t="str">
        <f ca="1">Planning!$N34</f>
        <v/>
      </c>
      <c r="I40" s="479"/>
      <c r="J40" s="471" t="str">
        <f>Language!$E$80</f>
        <v>-</v>
      </c>
      <c r="K40" s="716"/>
      <c r="L40" s="717"/>
      <c r="M40" s="585" t="str">
        <f>Language!$E$80</f>
        <v>-</v>
      </c>
      <c r="N40" s="472"/>
      <c r="O40" s="773" t="str">
        <f>IF(Planning!$O34="","",Planning!$O34)</f>
        <v/>
      </c>
      <c r="Q40" s="280"/>
      <c r="R40" s="285"/>
      <c r="S40" s="286"/>
      <c r="T40" s="286"/>
      <c r="U40" s="286"/>
      <c r="V40" s="286"/>
      <c r="W40" s="286"/>
      <c r="X40" s="286"/>
      <c r="Y40" s="286"/>
      <c r="Z40" s="287"/>
      <c r="AA40" s="286"/>
      <c r="AB40" s="285"/>
      <c r="AC40" s="286"/>
      <c r="AD40" s="288"/>
      <c r="AE40" s="286"/>
      <c r="AF40" s="286"/>
      <c r="AG40" s="286"/>
      <c r="AH40" s="286"/>
      <c r="AI40" s="286"/>
      <c r="AJ40" s="286"/>
      <c r="AK40" s="285"/>
    </row>
    <row r="41" spans="2:37" ht="24" customHeight="1" thickBot="1" x14ac:dyDescent="0.25">
      <c r="B41" s="477" t="str">
        <f>Planning!$E35</f>
        <v/>
      </c>
      <c r="C41" s="485" t="str">
        <f>Planning!$F35</f>
        <v/>
      </c>
      <c r="D41" s="486" t="str">
        <f>Planning!$G35</f>
        <v/>
      </c>
      <c r="E41" s="486" t="str">
        <f ca="1">Planning!$H35</f>
        <v/>
      </c>
      <c r="F41" s="489" t="str">
        <f ca="1">Planning!$L35</f>
        <v/>
      </c>
      <c r="G41" s="231" t="s">
        <v>4</v>
      </c>
      <c r="H41" s="492" t="str">
        <f ca="1">Planning!$N35</f>
        <v/>
      </c>
      <c r="I41" s="480"/>
      <c r="J41" s="473" t="str">
        <f>Language!$E$80</f>
        <v>-</v>
      </c>
      <c r="K41" s="718"/>
      <c r="L41" s="719"/>
      <c r="M41" s="586" t="str">
        <f>Language!$E$80</f>
        <v>-</v>
      </c>
      <c r="N41" s="474"/>
      <c r="O41" s="774" t="str">
        <f>IF(Planning!$O35="","",Planning!$O35)</f>
        <v/>
      </c>
      <c r="Q41" s="280"/>
      <c r="R41" s="285"/>
      <c r="S41" s="286"/>
      <c r="T41" s="286"/>
      <c r="U41" s="286"/>
      <c r="V41" s="286"/>
      <c r="W41" s="286"/>
      <c r="X41" s="286"/>
      <c r="Y41" s="286"/>
      <c r="Z41" s="287"/>
      <c r="AA41" s="286"/>
      <c r="AB41" s="285"/>
      <c r="AC41" s="286"/>
      <c r="AD41" s="288"/>
      <c r="AE41" s="286"/>
      <c r="AF41" s="286"/>
      <c r="AG41" s="286"/>
      <c r="AH41" s="286"/>
      <c r="AI41" s="286"/>
      <c r="AJ41" s="286"/>
      <c r="AK41" s="285"/>
    </row>
    <row r="42" spans="2:37" ht="24" customHeight="1" thickTop="1" x14ac:dyDescent="0.2">
      <c r="B42" s="291"/>
      <c r="C42" s="292"/>
      <c r="D42" s="293"/>
      <c r="E42" s="293"/>
      <c r="F42" s="294"/>
      <c r="G42" s="291"/>
      <c r="H42" s="294"/>
      <c r="I42" s="295"/>
      <c r="J42" s="291"/>
      <c r="K42" s="296"/>
      <c r="L42" s="296"/>
      <c r="M42" s="296"/>
      <c r="N42" s="296"/>
      <c r="Q42" s="280"/>
      <c r="R42" s="285"/>
      <c r="S42" s="286"/>
      <c r="T42" s="286"/>
      <c r="U42" s="286"/>
      <c r="V42" s="286"/>
      <c r="W42" s="286"/>
      <c r="X42" s="286"/>
      <c r="Y42" s="286"/>
      <c r="Z42" s="287"/>
      <c r="AA42" s="286"/>
      <c r="AB42" s="285"/>
      <c r="AC42" s="286"/>
      <c r="AD42" s="288"/>
      <c r="AE42" s="286"/>
      <c r="AF42" s="286"/>
      <c r="AG42" s="286"/>
      <c r="AH42" s="286"/>
      <c r="AI42" s="286"/>
      <c r="AJ42" s="286"/>
      <c r="AK42" s="285"/>
    </row>
    <row r="43" spans="2:37" x14ac:dyDescent="0.2"/>
  </sheetData>
  <sheetProtection sheet="1" selectLockedCells="1"/>
  <mergeCells count="22">
    <mergeCell ref="Q1:R1"/>
    <mergeCell ref="F11:H11"/>
    <mergeCell ref="I11:K11"/>
    <mergeCell ref="Z11:AB11"/>
    <mergeCell ref="Q11:R11"/>
    <mergeCell ref="Q10:R10"/>
    <mergeCell ref="L11:N11"/>
    <mergeCell ref="W11:Y11"/>
    <mergeCell ref="G2:AC2"/>
    <mergeCell ref="G3:AC3"/>
    <mergeCell ref="G4:AC4"/>
    <mergeCell ref="G5:AC5"/>
    <mergeCell ref="K7:V8"/>
    <mergeCell ref="AI2:AJ2"/>
    <mergeCell ref="AD30:AK30"/>
    <mergeCell ref="Q30:AC30"/>
    <mergeCell ref="AN10:AO10"/>
    <mergeCell ref="AN20:AO20"/>
    <mergeCell ref="Q21:R21"/>
    <mergeCell ref="Z21:AB21"/>
    <mergeCell ref="Q20:R20"/>
    <mergeCell ref="W21:Y21"/>
  </mergeCells>
  <conditionalFormatting sqref="B12:N41">
    <cfRule type="expression" dxfId="34" priority="4">
      <formula>OR($F12="",$H12="")</formula>
    </cfRule>
  </conditionalFormatting>
  <conditionalFormatting sqref="Q12:AK17 Q22:AK27">
    <cfRule type="expression" dxfId="33" priority="3">
      <formula>$R12=""</formula>
    </cfRule>
  </conditionalFormatting>
  <conditionalFormatting sqref="Q12:AD17 AK12:AK17 AK22:AK27 Q22:AD27">
    <cfRule type="expression" dxfId="32" priority="2">
      <formula>OR(AND($Q12=$Q11,$R11&lt;&gt;""),AND($Q12=$Q13,$R13&lt;&gt;""))</formula>
    </cfRule>
  </conditionalFormatting>
  <conditionalFormatting sqref="I12:N41">
    <cfRule type="expression" dxfId="31" priority="1">
      <formula>OR(AND($I12&lt;&gt;"",$I12=$K12),AND($L12&lt;&gt;"",$L12=$N12))</formula>
    </cfRule>
  </conditionalFormatting>
  <dataValidations count="2">
    <dataValidation type="whole" allowBlank="1" showErrorMessage="1" errorTitle="Error" error="Maximal 999 !" sqref="I12:I42 K12:N42" xr:uid="{D9E07FCF-67B7-4BAF-9BC8-AE233331B860}">
      <formula1>0</formula1>
      <formula2>999</formula2>
    </dataValidation>
    <dataValidation type="whole" allowBlank="1" showInputMessage="1" showErrorMessage="1" sqref="AP12:AP17 AP22:AP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BE99-1B0D-4846-8A87-2EA6DA8B630B}">
  <dimension ref="A1:AE33"/>
  <sheetViews>
    <sheetView showGridLines="0" showRowColHeaders="0" zoomScaleNormal="100" workbookViewId="0">
      <selection activeCell="F12" sqref="F12"/>
    </sheetView>
  </sheetViews>
  <sheetFormatPr baseColWidth="10" defaultColWidth="0" defaultRowHeight="0" customHeight="1" zeroHeight="1" x14ac:dyDescent="0.2"/>
  <cols>
    <col min="1" max="1" width="6.85546875" style="615" customWidth="1"/>
    <col min="2" max="2" width="6.7109375" style="615" customWidth="1"/>
    <col min="3" max="3" width="9.28515625" style="615" customWidth="1"/>
    <col min="4" max="4" width="10.42578125" style="615" customWidth="1"/>
    <col min="5" max="5" width="6.42578125" style="615" customWidth="1"/>
    <col min="6" max="6" width="8.7109375" style="615" customWidth="1"/>
    <col min="7" max="7" width="2" style="615" customWidth="1"/>
    <col min="8" max="8" width="8.7109375" style="615" customWidth="1"/>
    <col min="9" max="9" width="24.7109375" style="615" customWidth="1"/>
    <col min="10" max="10" width="2.85546875" style="615" customWidth="1"/>
    <col min="11" max="11" width="24.7109375" style="615" customWidth="1"/>
    <col min="12" max="12" width="4.7109375" style="615" customWidth="1"/>
    <col min="13" max="13" width="2.42578125" style="615" customWidth="1"/>
    <col min="14" max="15" width="4.7109375" style="615" customWidth="1"/>
    <col min="16" max="16" width="2.7109375" style="616" customWidth="1"/>
    <col min="17" max="18" width="4.7109375" style="615" customWidth="1"/>
    <col min="19" max="19" width="2.7109375" style="615" customWidth="1"/>
    <col min="20" max="20" width="4.7109375" style="615" customWidth="1"/>
    <col min="21" max="21" width="24.7109375" style="615" customWidth="1"/>
    <col min="22" max="22" width="9.140625" style="615" customWidth="1"/>
    <col min="23" max="23" width="8.42578125" style="615" hidden="1" customWidth="1"/>
    <col min="24" max="24" width="6.140625" style="615" hidden="1" customWidth="1"/>
    <col min="25" max="25" width="5.85546875" style="615" hidden="1" customWidth="1"/>
    <col min="26" max="26" width="6.140625" style="615" hidden="1" customWidth="1"/>
    <col min="27" max="27" width="6.42578125" style="615" hidden="1" customWidth="1"/>
    <col min="28" max="28" width="3.28515625" style="615" hidden="1" customWidth="1"/>
    <col min="29" max="30" width="14.140625" style="615" hidden="1" customWidth="1"/>
    <col min="31" max="31" width="11.85546875" style="615" hidden="1" customWidth="1"/>
    <col min="32" max="16384" width="24.7109375" style="615" hidden="1"/>
  </cols>
  <sheetData>
    <row r="1" spans="2:31" ht="13.5" thickBot="1" x14ac:dyDescent="0.25"/>
    <row r="2" spans="2:31" ht="36" customHeight="1" thickTop="1" x14ac:dyDescent="0.2">
      <c r="F2" s="871" t="str">
        <f>PreliminaryRound!$G$2</f>
        <v>International tournament U10 on Apr. 13th, 2025</v>
      </c>
      <c r="G2" s="872"/>
      <c r="H2" s="872"/>
      <c r="I2" s="872"/>
      <c r="J2" s="872"/>
      <c r="K2" s="872"/>
      <c r="L2" s="872"/>
      <c r="M2" s="872"/>
      <c r="N2" s="872"/>
      <c r="O2" s="872"/>
      <c r="P2" s="872"/>
      <c r="Q2" s="872"/>
      <c r="R2" s="872"/>
      <c r="S2" s="872"/>
      <c r="T2" s="872"/>
      <c r="U2" s="873"/>
    </row>
    <row r="3" spans="2:31" ht="30" customHeight="1" x14ac:dyDescent="0.2">
      <c r="F3" s="874" t="str">
        <f>PreliminaryRound!$G$3</f>
        <v>Organizer:  1. FC Riedwald</v>
      </c>
      <c r="G3" s="875"/>
      <c r="H3" s="875"/>
      <c r="I3" s="875"/>
      <c r="J3" s="875"/>
      <c r="K3" s="875"/>
      <c r="L3" s="875"/>
      <c r="M3" s="875"/>
      <c r="N3" s="875"/>
      <c r="O3" s="875"/>
      <c r="P3" s="875"/>
      <c r="Q3" s="875"/>
      <c r="R3" s="875"/>
      <c r="S3" s="875"/>
      <c r="T3" s="875"/>
      <c r="U3" s="876"/>
    </row>
    <row r="4" spans="2:31" ht="30" customHeight="1" x14ac:dyDescent="0.2">
      <c r="F4" s="877" t="str">
        <f>PreliminaryRound!$G$4</f>
        <v>Sports hall Wiesengrund, Wendiger Str. 51, 65432 Riedwald</v>
      </c>
      <c r="G4" s="878"/>
      <c r="H4" s="878"/>
      <c r="I4" s="878"/>
      <c r="J4" s="878"/>
      <c r="K4" s="878"/>
      <c r="L4" s="878"/>
      <c r="M4" s="878"/>
      <c r="N4" s="878"/>
      <c r="O4" s="878"/>
      <c r="P4" s="878"/>
      <c r="Q4" s="878"/>
      <c r="R4" s="878"/>
      <c r="S4" s="878"/>
      <c r="T4" s="878"/>
      <c r="U4" s="879"/>
    </row>
    <row r="5" spans="2:31" ht="30" customHeight="1" thickBot="1" x14ac:dyDescent="0.25">
      <c r="F5" s="880" t="str">
        <f>PreliminaryRound!$G$5</f>
        <v>Start:  9:00 a.m.</v>
      </c>
      <c r="G5" s="881"/>
      <c r="H5" s="881"/>
      <c r="I5" s="881"/>
      <c r="J5" s="881"/>
      <c r="K5" s="881"/>
      <c r="L5" s="881"/>
      <c r="M5" s="881"/>
      <c r="N5" s="881"/>
      <c r="O5" s="881"/>
      <c r="P5" s="881"/>
      <c r="Q5" s="881"/>
      <c r="R5" s="881"/>
      <c r="S5" s="881"/>
      <c r="T5" s="881"/>
      <c r="U5" s="882"/>
    </row>
    <row r="6" spans="2:31" ht="40.5" customHeight="1" thickTop="1" x14ac:dyDescent="0.2"/>
    <row r="7" spans="2:31" ht="30" customHeight="1" x14ac:dyDescent="0.2">
      <c r="H7" s="869" t="str">
        <f>Language!$E$6</f>
        <v>Tie break preliminary round</v>
      </c>
      <c r="I7" s="869"/>
      <c r="J7" s="869"/>
      <c r="K7" s="869"/>
      <c r="L7" s="869"/>
      <c r="M7" s="869"/>
      <c r="N7" s="869"/>
      <c r="O7" s="869"/>
      <c r="P7" s="869"/>
      <c r="Q7" s="869"/>
      <c r="R7" s="869"/>
      <c r="S7" s="869"/>
      <c r="T7" s="869"/>
    </row>
    <row r="8" spans="2:31" ht="30" customHeight="1" x14ac:dyDescent="0.2">
      <c r="H8" s="869"/>
      <c r="I8" s="869"/>
      <c r="J8" s="869"/>
      <c r="K8" s="869"/>
      <c r="L8" s="869"/>
      <c r="M8" s="869"/>
      <c r="N8" s="869"/>
      <c r="O8" s="869"/>
      <c r="P8" s="869"/>
      <c r="Q8" s="869"/>
      <c r="R8" s="869"/>
      <c r="S8" s="869"/>
      <c r="T8" s="869"/>
    </row>
    <row r="9" spans="2:31" ht="15.95" customHeight="1" x14ac:dyDescent="0.2"/>
    <row r="10" spans="2:31" ht="24" customHeight="1" thickBot="1" x14ac:dyDescent="0.3">
      <c r="C10" s="861"/>
      <c r="D10" s="861"/>
      <c r="E10" s="617"/>
      <c r="F10" s="870" t="str">
        <f>Language!$E$66</f>
        <v>e.g.  A2 - A4</v>
      </c>
      <c r="G10" s="870"/>
      <c r="H10" s="870"/>
      <c r="I10" s="617"/>
      <c r="J10" s="617"/>
      <c r="K10" s="617"/>
      <c r="L10" s="618"/>
      <c r="M10" s="618"/>
      <c r="N10" s="618"/>
      <c r="O10" s="619"/>
      <c r="P10" s="620"/>
      <c r="Q10" s="621"/>
      <c r="R10" s="621"/>
      <c r="S10" s="621"/>
      <c r="T10" s="621"/>
      <c r="U10" s="622"/>
    </row>
    <row r="11" spans="2:31" ht="24" customHeight="1" thickTop="1" x14ac:dyDescent="0.2">
      <c r="C11" s="623" t="str">
        <f>Language!$E$33</f>
        <v>Game no.</v>
      </c>
      <c r="D11" s="624" t="str">
        <f>Language!$E$39</f>
        <v>Start</v>
      </c>
      <c r="E11" s="624" t="str">
        <f>Language!$E$48</f>
        <v>Field</v>
      </c>
      <c r="F11" s="862" t="str">
        <f>Language!$E$65</f>
        <v>Team IDs</v>
      </c>
      <c r="G11" s="863"/>
      <c r="H11" s="864"/>
      <c r="I11" s="862" t="str">
        <f>Language!$E$14</f>
        <v>Match pairing</v>
      </c>
      <c r="J11" s="863"/>
      <c r="K11" s="864"/>
      <c r="L11" s="865" t="str">
        <f>Language!$E$61</f>
        <v>1st set</v>
      </c>
      <c r="M11" s="866"/>
      <c r="N11" s="867"/>
      <c r="O11" s="865" t="str">
        <f>Language!$E$62</f>
        <v>2nd set</v>
      </c>
      <c r="P11" s="866"/>
      <c r="Q11" s="867"/>
      <c r="R11" s="865" t="str">
        <f>Language!$E$63</f>
        <v>3rd set</v>
      </c>
      <c r="S11" s="866"/>
      <c r="T11" s="868"/>
      <c r="U11" s="625" t="str">
        <f>Language!$E$102</f>
        <v>Winner</v>
      </c>
      <c r="W11" s="626" t="str">
        <f>Language!$E$63&amp;"?"</f>
        <v>3rd set?</v>
      </c>
      <c r="AC11" s="626" t="s">
        <v>338</v>
      </c>
      <c r="AD11" s="626" t="s">
        <v>339</v>
      </c>
      <c r="AE11" s="626" t="s">
        <v>340</v>
      </c>
    </row>
    <row r="12" spans="2:31" ht="24" customHeight="1" x14ac:dyDescent="0.2">
      <c r="B12" s="627"/>
      <c r="C12" s="628" t="s">
        <v>6</v>
      </c>
      <c r="D12" s="629"/>
      <c r="E12" s="630"/>
      <c r="F12" s="631"/>
      <c r="G12" s="632" t="s">
        <v>4</v>
      </c>
      <c r="H12" s="633"/>
      <c r="I12" s="634" t="str">
        <f>IF($F12="","",IFERROR(VLOOKUP($F12,Planning!$B$7:$C$35,2,0),""))</f>
        <v/>
      </c>
      <c r="J12" s="635" t="s">
        <v>4</v>
      </c>
      <c r="K12" s="636" t="str">
        <f>IF($H12="","",IFERROR(VLOOKUP($H12,Planning!$B$7:$C$35,2,0),""))</f>
        <v/>
      </c>
      <c r="L12" s="637"/>
      <c r="M12" s="638" t="str">
        <f>Language!$E$80</f>
        <v>-</v>
      </c>
      <c r="N12" s="639"/>
      <c r="O12" s="637"/>
      <c r="P12" s="638" t="str">
        <f>Language!$E$80</f>
        <v>-</v>
      </c>
      <c r="Q12" s="639"/>
      <c r="R12" s="640"/>
      <c r="S12" s="638" t="str">
        <f>Language!$E$80</f>
        <v>-</v>
      </c>
      <c r="T12" s="641"/>
      <c r="U12" s="642" t="str">
        <f>IF(OR($AC12,AND($AD12,OR($O12&lt;&gt;"",$Q12&lt;&gt;""))),"",IF($X12+$Z12&gt;$Y12+$AA12,$I12,IF($X12+$Z12&lt;$Y12+$AA12,$K12,"")))</f>
        <v/>
      </c>
      <c r="V12" s="643"/>
      <c r="W12" s="644" t="b">
        <f t="shared" ref="W12:W16" si="0">AND(NOT(OR($AC12,$AD12)),$X12=1,$Y12=1)</f>
        <v>0</v>
      </c>
      <c r="X12" s="644">
        <f t="shared" ref="X12:X16" si="1">IF($AC12,0,($L12&gt;$N12)+IF($AD12,0,$O12&gt;$Q12))</f>
        <v>0</v>
      </c>
      <c r="Y12" s="644">
        <f t="shared" ref="Y12:Y16" si="2">IF($AC12,0,($L12&lt;$N12)+IF($AD12,0,$O12&lt;$Q12))</f>
        <v>0</v>
      </c>
      <c r="Z12" s="644">
        <f t="shared" ref="Z12:Z16" si="3">($O12&lt;&gt;"")*($Q12&lt;&gt;"")*($R12&lt;&gt;"")*($T12&lt;&gt;"")*(X12=1)*(Y12=1)*($R12&gt;$T12)</f>
        <v>0</v>
      </c>
      <c r="AA12" s="644">
        <f t="shared" ref="AA12:AA16" si="4">($O12&lt;&gt;"")*($Q12&lt;&gt;"")*($R12&lt;&gt;"")*($T12&lt;&gt;"")*(X12=1)*(Y12=1)*($R12&lt;$T12)</f>
        <v>0</v>
      </c>
      <c r="AB12" s="645"/>
      <c r="AC12" s="644" t="b">
        <f t="shared" ref="AC12:AC16" si="5">OR($I12="",$K12="",$L12="",$N12="",AND($L12&lt;&gt;"",$L12=$N12))</f>
        <v>1</v>
      </c>
      <c r="AD12" s="644" t="b">
        <f t="shared" ref="AD12:AD16" si="6">OR(AC12,$O12="",$Q12="",AND($O12&lt;&gt;"",$O12=$Q12))</f>
        <v>1</v>
      </c>
      <c r="AE12" s="644" t="b">
        <f t="shared" ref="AE12:AE16" si="7">OR($R12="",$T12="",$R12=$T12)</f>
        <v>1</v>
      </c>
    </row>
    <row r="13" spans="2:31" ht="24" customHeight="1" x14ac:dyDescent="0.2">
      <c r="B13" s="627"/>
      <c r="C13" s="646" t="s">
        <v>7</v>
      </c>
      <c r="D13" s="647"/>
      <c r="E13" s="647"/>
      <c r="F13" s="631"/>
      <c r="G13" s="632" t="s">
        <v>4</v>
      </c>
      <c r="H13" s="633"/>
      <c r="I13" s="648" t="str">
        <f>IF($F13="","",IFERROR(VLOOKUP($F13,Planning!$B$7:$C$35,2,0),""))</f>
        <v/>
      </c>
      <c r="J13" s="649" t="s">
        <v>4</v>
      </c>
      <c r="K13" s="650" t="str">
        <f>IF($H13="","",IFERROR(VLOOKUP($H13,Planning!$B$7:$C$35,2,0),""))</f>
        <v/>
      </c>
      <c r="L13" s="631"/>
      <c r="M13" s="651" t="str">
        <f>Language!$E$80</f>
        <v>-</v>
      </c>
      <c r="N13" s="633"/>
      <c r="O13" s="631"/>
      <c r="P13" s="651" t="str">
        <f>Language!$E$80</f>
        <v>-</v>
      </c>
      <c r="Q13" s="633"/>
      <c r="R13" s="631"/>
      <c r="S13" s="651" t="str">
        <f>Language!$E$80</f>
        <v>-</v>
      </c>
      <c r="T13" s="652"/>
      <c r="U13" s="653" t="str">
        <f t="shared" ref="U13:U17" si="8">IF(OR($AC13,AND($AD13,OR($O13&lt;&gt;"",$Q13&lt;&gt;""))),"",IF($X13+$Z13&gt;$Y13+$AA13,$I13,IF($X13+$Z13&lt;$Y13+$AA13,$K13,"")))</f>
        <v/>
      </c>
      <c r="V13" s="643"/>
      <c r="W13" s="644" t="b">
        <f t="shared" si="0"/>
        <v>0</v>
      </c>
      <c r="X13" s="644">
        <f t="shared" si="1"/>
        <v>0</v>
      </c>
      <c r="Y13" s="644">
        <f t="shared" si="2"/>
        <v>0</v>
      </c>
      <c r="Z13" s="644">
        <f t="shared" si="3"/>
        <v>0</v>
      </c>
      <c r="AA13" s="644">
        <f t="shared" si="4"/>
        <v>0</v>
      </c>
      <c r="AB13" s="645"/>
      <c r="AC13" s="644" t="b">
        <f t="shared" si="5"/>
        <v>1</v>
      </c>
      <c r="AD13" s="644" t="b">
        <f t="shared" si="6"/>
        <v>1</v>
      </c>
      <c r="AE13" s="644" t="b">
        <f t="shared" si="7"/>
        <v>1</v>
      </c>
    </row>
    <row r="14" spans="2:31" ht="24" customHeight="1" x14ac:dyDescent="0.2">
      <c r="B14" s="627"/>
      <c r="C14" s="646" t="s">
        <v>8</v>
      </c>
      <c r="D14" s="647"/>
      <c r="E14" s="647"/>
      <c r="F14" s="631"/>
      <c r="G14" s="632" t="s">
        <v>4</v>
      </c>
      <c r="H14" s="633"/>
      <c r="I14" s="648" t="str">
        <f>IF($F14="","",IFERROR(VLOOKUP($F14,Planning!$B$7:$C$35,2,0),""))</f>
        <v/>
      </c>
      <c r="J14" s="649" t="s">
        <v>4</v>
      </c>
      <c r="K14" s="650" t="str">
        <f>IF($H14="","",IFERROR(VLOOKUP($H14,Planning!$B$7:$C$35,2,0),""))</f>
        <v/>
      </c>
      <c r="L14" s="631"/>
      <c r="M14" s="651" t="str">
        <f>Language!$E$80</f>
        <v>-</v>
      </c>
      <c r="N14" s="633"/>
      <c r="O14" s="631"/>
      <c r="P14" s="651" t="str">
        <f>Language!$E$80</f>
        <v>-</v>
      </c>
      <c r="Q14" s="633"/>
      <c r="R14" s="631"/>
      <c r="S14" s="651" t="str">
        <f>Language!$E$80</f>
        <v>-</v>
      </c>
      <c r="T14" s="652"/>
      <c r="U14" s="653" t="str">
        <f t="shared" si="8"/>
        <v/>
      </c>
      <c r="V14" s="643"/>
      <c r="W14" s="644" t="b">
        <f t="shared" si="0"/>
        <v>0</v>
      </c>
      <c r="X14" s="644">
        <f t="shared" si="1"/>
        <v>0</v>
      </c>
      <c r="Y14" s="644">
        <f t="shared" si="2"/>
        <v>0</v>
      </c>
      <c r="Z14" s="644">
        <f t="shared" si="3"/>
        <v>0</v>
      </c>
      <c r="AA14" s="644">
        <f t="shared" si="4"/>
        <v>0</v>
      </c>
      <c r="AB14" s="645"/>
      <c r="AC14" s="644" t="b">
        <f t="shared" si="5"/>
        <v>1</v>
      </c>
      <c r="AD14" s="644" t="b">
        <f t="shared" si="6"/>
        <v>1</v>
      </c>
      <c r="AE14" s="644" t="b">
        <f t="shared" si="7"/>
        <v>1</v>
      </c>
    </row>
    <row r="15" spans="2:31" ht="24" customHeight="1" x14ac:dyDescent="0.2">
      <c r="B15" s="627"/>
      <c r="C15" s="646" t="s">
        <v>9</v>
      </c>
      <c r="D15" s="647"/>
      <c r="E15" s="647"/>
      <c r="F15" s="631"/>
      <c r="G15" s="632" t="s">
        <v>4</v>
      </c>
      <c r="H15" s="633"/>
      <c r="I15" s="648" t="str">
        <f>IF($F15="","",IFERROR(VLOOKUP($F15,Planning!$B$7:$C$35,2,0),""))</f>
        <v/>
      </c>
      <c r="J15" s="649" t="s">
        <v>4</v>
      </c>
      <c r="K15" s="650" t="str">
        <f>IF($H15="","",IFERROR(VLOOKUP($H15,Planning!$B$7:$C$35,2,0),""))</f>
        <v/>
      </c>
      <c r="L15" s="631"/>
      <c r="M15" s="651" t="str">
        <f>Language!$E$80</f>
        <v>-</v>
      </c>
      <c r="N15" s="633"/>
      <c r="O15" s="631"/>
      <c r="P15" s="651" t="str">
        <f>Language!$E$80</f>
        <v>-</v>
      </c>
      <c r="Q15" s="633"/>
      <c r="R15" s="631"/>
      <c r="S15" s="651" t="str">
        <f>Language!$E$80</f>
        <v>-</v>
      </c>
      <c r="T15" s="652"/>
      <c r="U15" s="653" t="str">
        <f t="shared" si="8"/>
        <v/>
      </c>
      <c r="V15" s="643"/>
      <c r="W15" s="644" t="b">
        <f t="shared" si="0"/>
        <v>0</v>
      </c>
      <c r="X15" s="644">
        <f t="shared" si="1"/>
        <v>0</v>
      </c>
      <c r="Y15" s="644">
        <f t="shared" si="2"/>
        <v>0</v>
      </c>
      <c r="Z15" s="644">
        <f t="shared" si="3"/>
        <v>0</v>
      </c>
      <c r="AA15" s="644">
        <f t="shared" si="4"/>
        <v>0</v>
      </c>
      <c r="AB15" s="645"/>
      <c r="AC15" s="644" t="b">
        <f t="shared" si="5"/>
        <v>1</v>
      </c>
      <c r="AD15" s="644" t="b">
        <f t="shared" si="6"/>
        <v>1</v>
      </c>
      <c r="AE15" s="644" t="b">
        <f t="shared" si="7"/>
        <v>1</v>
      </c>
    </row>
    <row r="16" spans="2:31" ht="24" customHeight="1" x14ac:dyDescent="0.2">
      <c r="B16" s="627"/>
      <c r="C16" s="646" t="s">
        <v>10</v>
      </c>
      <c r="D16" s="647"/>
      <c r="E16" s="647"/>
      <c r="F16" s="631"/>
      <c r="G16" s="632" t="s">
        <v>4</v>
      </c>
      <c r="H16" s="633"/>
      <c r="I16" s="648" t="str">
        <f>IF($F16="","",IFERROR(VLOOKUP($F16,Planning!$B$7:$C$35,2,0),""))</f>
        <v/>
      </c>
      <c r="J16" s="649" t="s">
        <v>4</v>
      </c>
      <c r="K16" s="650" t="str">
        <f>IF($H16="","",IFERROR(VLOOKUP($H16,Planning!$B$7:$C$35,2,0),""))</f>
        <v/>
      </c>
      <c r="L16" s="631"/>
      <c r="M16" s="651" t="str">
        <f>Language!$E$80</f>
        <v>-</v>
      </c>
      <c r="N16" s="633"/>
      <c r="O16" s="631"/>
      <c r="P16" s="651" t="str">
        <f>Language!$E$80</f>
        <v>-</v>
      </c>
      <c r="Q16" s="633"/>
      <c r="R16" s="631"/>
      <c r="S16" s="651" t="str">
        <f>Language!$E$80</f>
        <v>-</v>
      </c>
      <c r="T16" s="652"/>
      <c r="U16" s="653" t="str">
        <f t="shared" si="8"/>
        <v/>
      </c>
      <c r="V16" s="643"/>
      <c r="W16" s="644" t="b">
        <f t="shared" si="0"/>
        <v>0</v>
      </c>
      <c r="X16" s="644">
        <f t="shared" si="1"/>
        <v>0</v>
      </c>
      <c r="Y16" s="644">
        <f t="shared" si="2"/>
        <v>0</v>
      </c>
      <c r="Z16" s="644">
        <f t="shared" si="3"/>
        <v>0</v>
      </c>
      <c r="AA16" s="644">
        <f t="shared" si="4"/>
        <v>0</v>
      </c>
      <c r="AB16" s="645"/>
      <c r="AC16" s="644" t="b">
        <f t="shared" si="5"/>
        <v>1</v>
      </c>
      <c r="AD16" s="644" t="b">
        <f t="shared" si="6"/>
        <v>1</v>
      </c>
      <c r="AE16" s="644" t="b">
        <f t="shared" si="7"/>
        <v>1</v>
      </c>
    </row>
    <row r="17" spans="2:31" ht="24" customHeight="1" thickBot="1" x14ac:dyDescent="0.25">
      <c r="B17" s="627"/>
      <c r="C17" s="654" t="s">
        <v>11</v>
      </c>
      <c r="D17" s="655"/>
      <c r="E17" s="655"/>
      <c r="F17" s="656"/>
      <c r="G17" s="657" t="s">
        <v>4</v>
      </c>
      <c r="H17" s="658"/>
      <c r="I17" s="659" t="str">
        <f>IF($F17="","",IFERROR(VLOOKUP($F17,Planning!$B$7:$C$35,2,0),""))</f>
        <v/>
      </c>
      <c r="J17" s="660" t="s">
        <v>4</v>
      </c>
      <c r="K17" s="661" t="str">
        <f>IF($H17="","",IFERROR(VLOOKUP($H17,Planning!$B$7:$C$35,2,0),""))</f>
        <v/>
      </c>
      <c r="L17" s="656"/>
      <c r="M17" s="662" t="str">
        <f>Language!$E$80</f>
        <v>-</v>
      </c>
      <c r="N17" s="658"/>
      <c r="O17" s="656"/>
      <c r="P17" s="662" t="str">
        <f>Language!$E$80</f>
        <v>-</v>
      </c>
      <c r="Q17" s="658"/>
      <c r="R17" s="656"/>
      <c r="S17" s="662" t="str">
        <f>Language!$E$80</f>
        <v>-</v>
      </c>
      <c r="T17" s="663"/>
      <c r="U17" s="664" t="str">
        <f t="shared" si="8"/>
        <v/>
      </c>
      <c r="V17" s="643"/>
      <c r="W17" s="644" t="b">
        <f>AND(NOT(OR($AC17,$AD17)),$X17=1,$Y17=1)</f>
        <v>0</v>
      </c>
      <c r="X17" s="644">
        <f>IF($AC17,0,($L17&gt;$N17)+IF($AD17,0,$O17&gt;$Q17))</f>
        <v>0</v>
      </c>
      <c r="Y17" s="644">
        <f>IF($AC17,0,($L17&lt;$N17)+IF($AD17,0,$O17&lt;$Q17))</f>
        <v>0</v>
      </c>
      <c r="Z17" s="644">
        <f>($O17&lt;&gt;"")*($Q17&lt;&gt;"")*($R17&lt;&gt;"")*($T17&lt;&gt;"")*(X17=1)*(Y17=1)*($R17&gt;$T17)</f>
        <v>0</v>
      </c>
      <c r="AA17" s="644">
        <f>($O17&lt;&gt;"")*($Q17&lt;&gt;"")*($R17&lt;&gt;"")*($T17&lt;&gt;"")*(X17=1)*(Y17=1)*($R17&lt;$T17)</f>
        <v>0</v>
      </c>
      <c r="AB17" s="645"/>
      <c r="AC17" s="644" t="b">
        <f>OR($I17="",$K17="",$L17="",$N17="",AND($L17&lt;&gt;"",$L17=$N17))</f>
        <v>1</v>
      </c>
      <c r="AD17" s="644" t="b">
        <f>OR(AC17,$O17="",$Q17="",AND($O17&lt;&gt;"",$O17=$Q17))</f>
        <v>1</v>
      </c>
      <c r="AE17" s="644" t="b">
        <f>OR($R17="",$T17="",$R17=$T17)</f>
        <v>1</v>
      </c>
    </row>
    <row r="18" spans="2:31" ht="36" customHeight="1" thickTop="1" x14ac:dyDescent="0.25">
      <c r="B18" s="665"/>
      <c r="C18" s="666"/>
      <c r="D18" s="667"/>
      <c r="E18" s="668"/>
      <c r="F18" s="669"/>
      <c r="G18" s="670"/>
      <c r="H18" s="671"/>
      <c r="I18" s="672" t="s">
        <v>257</v>
      </c>
      <c r="J18" s="673"/>
      <c r="K18" s="672" t="s">
        <v>257</v>
      </c>
      <c r="L18" s="674"/>
      <c r="M18" s="675"/>
      <c r="N18" s="676"/>
      <c r="O18" s="677"/>
      <c r="P18" s="677"/>
      <c r="Q18" s="677"/>
      <c r="R18" s="677"/>
      <c r="S18" s="677"/>
      <c r="T18" s="677"/>
      <c r="U18" s="643"/>
      <c r="V18" s="643"/>
    </row>
    <row r="19" spans="2:31" ht="24" customHeight="1" x14ac:dyDescent="0.2"/>
    <row r="20" spans="2:31" ht="24" customHeight="1" x14ac:dyDescent="0.2">
      <c r="H20" s="869" t="str">
        <f>Language!$E$64</f>
        <v>Tie break final round 4</v>
      </c>
      <c r="I20" s="869"/>
      <c r="J20" s="869"/>
      <c r="K20" s="869"/>
      <c r="L20" s="869"/>
      <c r="M20" s="869"/>
      <c r="N20" s="869"/>
      <c r="O20" s="869"/>
      <c r="P20" s="869"/>
      <c r="Q20" s="869"/>
      <c r="R20" s="869"/>
      <c r="S20" s="869"/>
      <c r="T20" s="869"/>
    </row>
    <row r="21" spans="2:31" ht="24" customHeight="1" x14ac:dyDescent="0.2">
      <c r="H21" s="869"/>
      <c r="I21" s="869"/>
      <c r="J21" s="869"/>
      <c r="K21" s="869"/>
      <c r="L21" s="869"/>
      <c r="M21" s="869"/>
      <c r="N21" s="869"/>
      <c r="O21" s="869"/>
      <c r="P21" s="869"/>
      <c r="Q21" s="869"/>
      <c r="R21" s="869"/>
      <c r="S21" s="869"/>
      <c r="T21" s="869"/>
    </row>
    <row r="22" spans="2:31" ht="11.25" customHeight="1" x14ac:dyDescent="0.2"/>
    <row r="23" spans="2:31" ht="24" customHeight="1" thickBot="1" x14ac:dyDescent="0.3">
      <c r="C23" s="861"/>
      <c r="D23" s="861"/>
      <c r="E23" s="617"/>
      <c r="F23" s="617"/>
      <c r="G23" s="617"/>
      <c r="H23" s="617"/>
      <c r="I23" s="617"/>
      <c r="J23" s="617"/>
      <c r="K23" s="617"/>
      <c r="L23" s="618"/>
      <c r="M23" s="618"/>
      <c r="N23" s="618"/>
      <c r="O23" s="619"/>
      <c r="P23" s="620"/>
      <c r="Q23" s="621"/>
      <c r="R23" s="621"/>
      <c r="S23" s="621"/>
      <c r="T23" s="621"/>
      <c r="U23" s="622"/>
    </row>
    <row r="24" spans="2:31" ht="24" customHeight="1" thickTop="1" x14ac:dyDescent="0.2">
      <c r="C24" s="623" t="str">
        <f>Language!$E$33</f>
        <v>Game no.</v>
      </c>
      <c r="D24" s="624" t="str">
        <f>Language!$E$39</f>
        <v>Start</v>
      </c>
      <c r="E24" s="624" t="str">
        <f>Language!$E$48</f>
        <v>Field</v>
      </c>
      <c r="F24" s="862" t="str">
        <f>Language!$E$65</f>
        <v>Team IDs</v>
      </c>
      <c r="G24" s="863"/>
      <c r="H24" s="864"/>
      <c r="I24" s="862" t="str">
        <f>Language!$E$14</f>
        <v>Match pairing</v>
      </c>
      <c r="J24" s="863"/>
      <c r="K24" s="864"/>
      <c r="L24" s="865" t="str">
        <f>Language!$E$61</f>
        <v>1st set</v>
      </c>
      <c r="M24" s="866"/>
      <c r="N24" s="867"/>
      <c r="O24" s="865" t="str">
        <f>Language!$E$62</f>
        <v>2nd set</v>
      </c>
      <c r="P24" s="866"/>
      <c r="Q24" s="867"/>
      <c r="R24" s="865" t="str">
        <f>Language!$E$63</f>
        <v>3rd set</v>
      </c>
      <c r="S24" s="866"/>
      <c r="T24" s="868"/>
      <c r="U24" s="625" t="str">
        <f>Language!$E$102</f>
        <v>Winner</v>
      </c>
      <c r="W24" s="626" t="str">
        <f>Language!$E$63&amp;"?"</f>
        <v>3rd set?</v>
      </c>
      <c r="AC24" s="626" t="s">
        <v>338</v>
      </c>
      <c r="AD24" s="626" t="s">
        <v>339</v>
      </c>
      <c r="AE24" s="626" t="s">
        <v>340</v>
      </c>
    </row>
    <row r="25" spans="2:31" ht="24" customHeight="1" x14ac:dyDescent="0.2">
      <c r="C25" s="628" t="s">
        <v>6</v>
      </c>
      <c r="D25" s="629"/>
      <c r="E25" s="630"/>
      <c r="F25" s="631"/>
      <c r="G25" s="632" t="s">
        <v>4</v>
      </c>
      <c r="H25" s="633"/>
      <c r="I25" s="634" t="str">
        <f>IF($F25="","",IFERROR(VLOOKUP($F25,Planning!$B$7:$C$35,2,0),""))</f>
        <v/>
      </c>
      <c r="J25" s="635" t="s">
        <v>4</v>
      </c>
      <c r="K25" s="636" t="str">
        <f>IF($H25="","",IFERROR(VLOOKUP($H25,Planning!$B$7:$C$35,2,0),""))</f>
        <v/>
      </c>
      <c r="L25" s="637"/>
      <c r="M25" s="638" t="str">
        <f>Language!$E$80</f>
        <v>-</v>
      </c>
      <c r="N25" s="639"/>
      <c r="O25" s="637"/>
      <c r="P25" s="638" t="str">
        <f>Language!$E$80</f>
        <v>-</v>
      </c>
      <c r="Q25" s="639"/>
      <c r="R25" s="640"/>
      <c r="S25" s="638" t="str">
        <f>Language!$E$80</f>
        <v>-</v>
      </c>
      <c r="T25" s="641"/>
      <c r="U25" s="642" t="str">
        <f>IF(OR($AC25,AND($AD25,OR($O25&lt;&gt;"",$Q25&lt;&gt;""))),"",IF($X25+$Z25&gt;$Y25+$AA25,$I25,IF($X25+$Z25&lt;$Y25+$AA25,$K25,"")))</f>
        <v/>
      </c>
      <c r="V25" s="643"/>
      <c r="W25" s="644" t="b">
        <f t="shared" ref="W25:W29" si="9">AND(NOT(OR($AC25,$AD25)),$X25=1,$Y25=1)</f>
        <v>0</v>
      </c>
      <c r="X25" s="644">
        <f t="shared" ref="X25:X29" si="10">IF($AC25,0,($L25&gt;$N25)+IF($AD25,0,$O25&gt;$Q25))</f>
        <v>0</v>
      </c>
      <c r="Y25" s="644">
        <f t="shared" ref="Y25:Y29" si="11">IF($AC25,0,($L25&lt;$N25)+IF($AD25,0,$O25&lt;$Q25))</f>
        <v>0</v>
      </c>
      <c r="Z25" s="644">
        <f t="shared" ref="Z25:Z29" si="12">($O25&lt;&gt;"")*($Q25&lt;&gt;"")*($R25&lt;&gt;"")*($T25&lt;&gt;"")*(X25=1)*(Y25=1)*($R25&gt;$T25)</f>
        <v>0</v>
      </c>
      <c r="AA25" s="644">
        <f t="shared" ref="AA25:AA29" si="13">($O25&lt;&gt;"")*($Q25&lt;&gt;"")*($R25&lt;&gt;"")*($T25&lt;&gt;"")*(X25=1)*(Y25=1)*($R25&lt;$T25)</f>
        <v>0</v>
      </c>
      <c r="AB25" s="645"/>
      <c r="AC25" s="644" t="b">
        <f t="shared" ref="AC25:AC29" si="14">OR($I25="",$K25="",$L25="",$N25="",AND($L25&lt;&gt;"",$L25=$N25))</f>
        <v>1</v>
      </c>
      <c r="AD25" s="644" t="b">
        <f t="shared" ref="AD25:AD29" si="15">OR(AC25,$O25="",$Q25="",AND($O25&lt;&gt;"",$O25=$Q25))</f>
        <v>1</v>
      </c>
      <c r="AE25" s="644" t="b">
        <f t="shared" ref="AE25:AE29" si="16">OR($R25="",$T25="",$R25=$T25)</f>
        <v>1</v>
      </c>
    </row>
    <row r="26" spans="2:31" ht="24" customHeight="1" x14ac:dyDescent="0.2">
      <c r="C26" s="646" t="s">
        <v>7</v>
      </c>
      <c r="D26" s="647"/>
      <c r="E26" s="647"/>
      <c r="F26" s="631"/>
      <c r="G26" s="632" t="s">
        <v>4</v>
      </c>
      <c r="H26" s="633"/>
      <c r="I26" s="648" t="str">
        <f>IF($F26="","",IFERROR(VLOOKUP($F26,Planning!$B$7:$C$35,2,0),""))</f>
        <v/>
      </c>
      <c r="J26" s="649" t="s">
        <v>4</v>
      </c>
      <c r="K26" s="650" t="str">
        <f>IF($H26="","",IFERROR(VLOOKUP($H26,Planning!$B$7:$C$35,2,0),""))</f>
        <v/>
      </c>
      <c r="L26" s="631"/>
      <c r="M26" s="651" t="str">
        <f>Language!$E$80</f>
        <v>-</v>
      </c>
      <c r="N26" s="633"/>
      <c r="O26" s="631"/>
      <c r="P26" s="651" t="str">
        <f>Language!$E$80</f>
        <v>-</v>
      </c>
      <c r="Q26" s="633"/>
      <c r="R26" s="631"/>
      <c r="S26" s="651" t="str">
        <f>Language!$E$80</f>
        <v>-</v>
      </c>
      <c r="T26" s="652"/>
      <c r="U26" s="653" t="str">
        <f t="shared" ref="U26:U30" si="17">IF(OR($AC26,AND($AD26,OR($O26&lt;&gt;"",$Q26&lt;&gt;""))),"",IF($X26+$Z26&gt;$Y26+$AA26,$I26,IF($X26+$Z26&lt;$Y26+$AA26,$K26,"")))</f>
        <v/>
      </c>
      <c r="V26" s="643"/>
      <c r="W26" s="644" t="b">
        <f t="shared" si="9"/>
        <v>0</v>
      </c>
      <c r="X26" s="644">
        <f t="shared" si="10"/>
        <v>0</v>
      </c>
      <c r="Y26" s="644">
        <f t="shared" si="11"/>
        <v>0</v>
      </c>
      <c r="Z26" s="644">
        <f t="shared" si="12"/>
        <v>0</v>
      </c>
      <c r="AA26" s="644">
        <f t="shared" si="13"/>
        <v>0</v>
      </c>
      <c r="AB26" s="645"/>
      <c r="AC26" s="644" t="b">
        <f t="shared" si="14"/>
        <v>1</v>
      </c>
      <c r="AD26" s="644" t="b">
        <f t="shared" si="15"/>
        <v>1</v>
      </c>
      <c r="AE26" s="644" t="b">
        <f t="shared" si="16"/>
        <v>1</v>
      </c>
    </row>
    <row r="27" spans="2:31" ht="24" customHeight="1" x14ac:dyDescent="0.2">
      <c r="C27" s="646" t="s">
        <v>8</v>
      </c>
      <c r="D27" s="647"/>
      <c r="E27" s="647"/>
      <c r="F27" s="631"/>
      <c r="G27" s="632" t="s">
        <v>4</v>
      </c>
      <c r="H27" s="633"/>
      <c r="I27" s="648" t="str">
        <f>IF($F27="","",IFERROR(VLOOKUP($F27,Planning!$B$7:$C$35,2,0),""))</f>
        <v/>
      </c>
      <c r="J27" s="649" t="s">
        <v>4</v>
      </c>
      <c r="K27" s="650" t="str">
        <f>IF($H27="","",IFERROR(VLOOKUP($H27,Planning!$B$7:$C$35,2,0),""))</f>
        <v/>
      </c>
      <c r="L27" s="631"/>
      <c r="M27" s="651" t="str">
        <f>Language!$E$80</f>
        <v>-</v>
      </c>
      <c r="N27" s="633"/>
      <c r="O27" s="631"/>
      <c r="P27" s="651" t="str">
        <f>Language!$E$80</f>
        <v>-</v>
      </c>
      <c r="Q27" s="633"/>
      <c r="R27" s="631"/>
      <c r="S27" s="651" t="str">
        <f>Language!$E$80</f>
        <v>-</v>
      </c>
      <c r="T27" s="652"/>
      <c r="U27" s="653" t="str">
        <f t="shared" si="17"/>
        <v/>
      </c>
      <c r="V27" s="643"/>
      <c r="W27" s="644" t="b">
        <f t="shared" si="9"/>
        <v>0</v>
      </c>
      <c r="X27" s="644">
        <f t="shared" si="10"/>
        <v>0</v>
      </c>
      <c r="Y27" s="644">
        <f t="shared" si="11"/>
        <v>0</v>
      </c>
      <c r="Z27" s="644">
        <f t="shared" si="12"/>
        <v>0</v>
      </c>
      <c r="AA27" s="644">
        <f t="shared" si="13"/>
        <v>0</v>
      </c>
      <c r="AB27" s="645"/>
      <c r="AC27" s="644" t="b">
        <f t="shared" si="14"/>
        <v>1</v>
      </c>
      <c r="AD27" s="644" t="b">
        <f t="shared" si="15"/>
        <v>1</v>
      </c>
      <c r="AE27" s="644" t="b">
        <f t="shared" si="16"/>
        <v>1</v>
      </c>
    </row>
    <row r="28" spans="2:31" ht="24" customHeight="1" x14ac:dyDescent="0.2">
      <c r="C28" s="646" t="s">
        <v>9</v>
      </c>
      <c r="D28" s="647"/>
      <c r="E28" s="647"/>
      <c r="F28" s="631"/>
      <c r="G28" s="632" t="s">
        <v>4</v>
      </c>
      <c r="H28" s="633"/>
      <c r="I28" s="648" t="str">
        <f>IF($F28="","",IFERROR(VLOOKUP($F28,Planning!$B$7:$C$35,2,0),""))</f>
        <v/>
      </c>
      <c r="J28" s="649" t="s">
        <v>4</v>
      </c>
      <c r="K28" s="650" t="str">
        <f>IF($H28="","",IFERROR(VLOOKUP($H28,Planning!$B$7:$C$35,2,0),""))</f>
        <v/>
      </c>
      <c r="L28" s="631"/>
      <c r="M28" s="651" t="str">
        <f>Language!$E$80</f>
        <v>-</v>
      </c>
      <c r="N28" s="633"/>
      <c r="O28" s="631"/>
      <c r="P28" s="651" t="str">
        <f>Language!$E$80</f>
        <v>-</v>
      </c>
      <c r="Q28" s="633"/>
      <c r="R28" s="631"/>
      <c r="S28" s="651" t="str">
        <f>Language!$E$80</f>
        <v>-</v>
      </c>
      <c r="T28" s="652"/>
      <c r="U28" s="653" t="str">
        <f t="shared" si="17"/>
        <v/>
      </c>
      <c r="V28" s="643"/>
      <c r="W28" s="644" t="b">
        <f t="shared" si="9"/>
        <v>0</v>
      </c>
      <c r="X28" s="644">
        <f t="shared" si="10"/>
        <v>0</v>
      </c>
      <c r="Y28" s="644">
        <f t="shared" si="11"/>
        <v>0</v>
      </c>
      <c r="Z28" s="644">
        <f t="shared" si="12"/>
        <v>0</v>
      </c>
      <c r="AA28" s="644">
        <f t="shared" si="13"/>
        <v>0</v>
      </c>
      <c r="AB28" s="645"/>
      <c r="AC28" s="644" t="b">
        <f t="shared" si="14"/>
        <v>1</v>
      </c>
      <c r="AD28" s="644" t="b">
        <f t="shared" si="15"/>
        <v>1</v>
      </c>
      <c r="AE28" s="644" t="b">
        <f t="shared" si="16"/>
        <v>1</v>
      </c>
    </row>
    <row r="29" spans="2:31" ht="24" customHeight="1" x14ac:dyDescent="0.2">
      <c r="C29" s="646" t="s">
        <v>10</v>
      </c>
      <c r="D29" s="647"/>
      <c r="E29" s="647"/>
      <c r="F29" s="631"/>
      <c r="G29" s="632" t="s">
        <v>4</v>
      </c>
      <c r="H29" s="633"/>
      <c r="I29" s="648" t="str">
        <f>IF($F29="","",IFERROR(VLOOKUP($F29,Planning!$B$7:$C$35,2,0),""))</f>
        <v/>
      </c>
      <c r="J29" s="649" t="s">
        <v>4</v>
      </c>
      <c r="K29" s="650" t="str">
        <f>IF($H29="","",IFERROR(VLOOKUP($H29,Planning!$B$7:$C$35,2,0),""))</f>
        <v/>
      </c>
      <c r="L29" s="631"/>
      <c r="M29" s="651" t="str">
        <f>Language!$E$80</f>
        <v>-</v>
      </c>
      <c r="N29" s="633"/>
      <c r="O29" s="631"/>
      <c r="P29" s="651" t="str">
        <f>Language!$E$80</f>
        <v>-</v>
      </c>
      <c r="Q29" s="633"/>
      <c r="R29" s="631"/>
      <c r="S29" s="651" t="str">
        <f>Language!$E$80</f>
        <v>-</v>
      </c>
      <c r="T29" s="652"/>
      <c r="U29" s="653" t="str">
        <f t="shared" si="17"/>
        <v/>
      </c>
      <c r="V29" s="643"/>
      <c r="W29" s="644" t="b">
        <f t="shared" si="9"/>
        <v>0</v>
      </c>
      <c r="X29" s="644">
        <f t="shared" si="10"/>
        <v>0</v>
      </c>
      <c r="Y29" s="644">
        <f t="shared" si="11"/>
        <v>0</v>
      </c>
      <c r="Z29" s="644">
        <f t="shared" si="12"/>
        <v>0</v>
      </c>
      <c r="AA29" s="644">
        <f t="shared" si="13"/>
        <v>0</v>
      </c>
      <c r="AB29" s="645"/>
      <c r="AC29" s="644" t="b">
        <f t="shared" si="14"/>
        <v>1</v>
      </c>
      <c r="AD29" s="644" t="b">
        <f t="shared" si="15"/>
        <v>1</v>
      </c>
      <c r="AE29" s="644" t="b">
        <f t="shared" si="16"/>
        <v>1</v>
      </c>
    </row>
    <row r="30" spans="2:31" ht="24" customHeight="1" thickBot="1" x14ac:dyDescent="0.25">
      <c r="C30" s="654" t="s">
        <v>11</v>
      </c>
      <c r="D30" s="655"/>
      <c r="E30" s="655"/>
      <c r="F30" s="656"/>
      <c r="G30" s="657" t="s">
        <v>4</v>
      </c>
      <c r="H30" s="658"/>
      <c r="I30" s="659" t="str">
        <f>IF($F30="","",IFERROR(VLOOKUP($F30,Planning!$B$7:$C$35,2,0),""))</f>
        <v/>
      </c>
      <c r="J30" s="660" t="s">
        <v>4</v>
      </c>
      <c r="K30" s="661" t="str">
        <f>IF($H30="","",IFERROR(VLOOKUP($H30,Planning!$B$7:$C$35,2,0),""))</f>
        <v/>
      </c>
      <c r="L30" s="656"/>
      <c r="M30" s="662" t="str">
        <f>Language!$E$80</f>
        <v>-</v>
      </c>
      <c r="N30" s="658"/>
      <c r="O30" s="656"/>
      <c r="P30" s="662" t="str">
        <f>Language!$E$80</f>
        <v>-</v>
      </c>
      <c r="Q30" s="658"/>
      <c r="R30" s="656"/>
      <c r="S30" s="662" t="str">
        <f>Language!$E$80</f>
        <v>-</v>
      </c>
      <c r="T30" s="663"/>
      <c r="U30" s="664" t="str">
        <f t="shared" si="17"/>
        <v/>
      </c>
      <c r="V30" s="643"/>
      <c r="W30" s="644" t="b">
        <f>AND(NOT(OR($AC30,$AD30)),$X30=1,$Y30=1)</f>
        <v>0</v>
      </c>
      <c r="X30" s="644">
        <f>IF($AC30,0,($L30&gt;$N30)+IF($AD30,0,$O30&gt;$Q30))</f>
        <v>0</v>
      </c>
      <c r="Y30" s="644">
        <f>IF($AC30,0,($L30&lt;$N30)+IF($AD30,0,$O30&lt;$Q30))</f>
        <v>0</v>
      </c>
      <c r="Z30" s="644">
        <f>($O30&lt;&gt;"")*($Q30&lt;&gt;"")*($R30&lt;&gt;"")*($T30&lt;&gt;"")*(X30=1)*(Y30=1)*($R30&gt;$T30)</f>
        <v>0</v>
      </c>
      <c r="AA30" s="644">
        <f>($O30&lt;&gt;"")*($Q30&lt;&gt;"")*($R30&lt;&gt;"")*($T30&lt;&gt;"")*(X30=1)*(Y30=1)*($R30&lt;$T30)</f>
        <v>0</v>
      </c>
      <c r="AB30" s="645"/>
      <c r="AC30" s="644" t="b">
        <f>OR($I30="",$K30="",$L30="",$N30="",AND($L30&lt;&gt;"",$L30=$N30))</f>
        <v>1</v>
      </c>
      <c r="AD30" s="644" t="b">
        <f>OR(AC30,$O30="",$Q30="",AND($O30&lt;&gt;"",$O30=$Q30))</f>
        <v>1</v>
      </c>
      <c r="AE30" s="644" t="b">
        <f>OR($R30="",$T30="",$R30=$T30)</f>
        <v>1</v>
      </c>
    </row>
    <row r="31" spans="2:31" ht="39.75" customHeight="1" thickTop="1" x14ac:dyDescent="0.2"/>
    <row r="32" spans="2:31" ht="12.75" customHeight="1" x14ac:dyDescent="0.2"/>
    <row r="33" ht="12.75" customHeight="1" x14ac:dyDescent="0.2"/>
  </sheetData>
  <sheetProtection sheet="1" selectLockedCells="1"/>
  <mergeCells count="19">
    <mergeCell ref="C10:D10"/>
    <mergeCell ref="F10:H10"/>
    <mergeCell ref="F2:U2"/>
    <mergeCell ref="F3:U3"/>
    <mergeCell ref="F4:U4"/>
    <mergeCell ref="F5:U5"/>
    <mergeCell ref="H7:T8"/>
    <mergeCell ref="R24:T24"/>
    <mergeCell ref="F11:H11"/>
    <mergeCell ref="I11:K11"/>
    <mergeCell ref="L11:N11"/>
    <mergeCell ref="O11:Q11"/>
    <mergeCell ref="R11:T11"/>
    <mergeCell ref="H20:T21"/>
    <mergeCell ref="C23:D23"/>
    <mergeCell ref="F24:H24"/>
    <mergeCell ref="I24:K24"/>
    <mergeCell ref="L24:N24"/>
    <mergeCell ref="O24:Q24"/>
  </mergeCells>
  <conditionalFormatting sqref="R12:T17">
    <cfRule type="expression" dxfId="30" priority="3">
      <formula>NOT($W12)</formula>
    </cfRule>
  </conditionalFormatting>
  <conditionalFormatting sqref="R25:T30">
    <cfRule type="expression" dxfId="29" priority="2">
      <formula>NOT($W25)</formula>
    </cfRule>
  </conditionalFormatting>
  <dataValidations count="1">
    <dataValidation allowBlank="1" showInputMessage="1" showErrorMessage="1" errorTitle="Unzulässige Teilnehmernummer" error="Es müssen Zahlen von 1 bis 9 eingetragen werden!" sqref="F12:F18 H12:H18 F25:F30 H25:H30" xr:uid="{481A70DA-7163-4470-8845-CE9376B67CB7}"/>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C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6" customWidth="1"/>
    <col min="2" max="2" width="5.28515625" style="46" customWidth="1"/>
    <col min="3" max="3" width="6.85546875" style="46" customWidth="1"/>
    <col min="4" max="4" width="11.42578125" style="46" customWidth="1"/>
    <col min="5" max="5" width="8.42578125" style="46" customWidth="1"/>
    <col min="6"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15.7109375" style="46" customWidth="1"/>
    <col min="20" max="20" width="8" style="46" customWidth="1"/>
    <col min="21" max="21" width="6.140625" style="46" customWidth="1"/>
    <col min="22" max="22" width="11.42578125" style="46" customWidth="1"/>
    <col min="23" max="23" width="16.42578125" style="46" hidden="1" customWidth="1"/>
    <col min="24" max="24" width="16.140625" style="46" hidden="1" customWidth="1"/>
    <col min="25" max="26" width="11.42578125" style="46" hidden="1" customWidth="1"/>
    <col min="27" max="27" width="10.42578125" style="46" hidden="1" customWidth="1"/>
    <col min="28" max="28" width="5" style="46" hidden="1" customWidth="1"/>
    <col min="29" max="29" width="4.42578125" style="46" hidden="1" customWidth="1"/>
    <col min="30" max="16384" width="11.42578125" style="46" hidden="1"/>
  </cols>
  <sheetData>
    <row r="1" spans="2:29" ht="13.5" thickBot="1" x14ac:dyDescent="0.25"/>
    <row r="2" spans="2:29" ht="36" customHeight="1" thickTop="1" x14ac:dyDescent="0.2">
      <c r="E2" s="902" t="str">
        <f>PreliminaryRound!$G$2</f>
        <v>International tournament U10 on Apr. 13th, 2025</v>
      </c>
      <c r="F2" s="903"/>
      <c r="G2" s="903"/>
      <c r="H2" s="903"/>
      <c r="I2" s="903"/>
      <c r="J2" s="903"/>
      <c r="K2" s="903"/>
      <c r="L2" s="903"/>
      <c r="M2" s="903"/>
      <c r="N2" s="903"/>
      <c r="O2" s="903"/>
      <c r="P2" s="903"/>
      <c r="Q2" s="903"/>
      <c r="R2" s="903"/>
      <c r="S2" s="903"/>
      <c r="T2" s="904"/>
    </row>
    <row r="3" spans="2:29" ht="30" customHeight="1" x14ac:dyDescent="0.2">
      <c r="E3" s="905" t="str">
        <f>PreliminaryRound!$G$3</f>
        <v>Organizer:  1. FC Riedwald</v>
      </c>
      <c r="F3" s="906"/>
      <c r="G3" s="906"/>
      <c r="H3" s="906"/>
      <c r="I3" s="906"/>
      <c r="J3" s="906"/>
      <c r="K3" s="906"/>
      <c r="L3" s="906"/>
      <c r="M3" s="906"/>
      <c r="N3" s="906"/>
      <c r="O3" s="906"/>
      <c r="P3" s="906"/>
      <c r="Q3" s="906"/>
      <c r="R3" s="906"/>
      <c r="S3" s="906"/>
      <c r="T3" s="907"/>
    </row>
    <row r="4" spans="2:29" ht="30" customHeight="1" x14ac:dyDescent="0.2">
      <c r="E4" s="908" t="str">
        <f>PreliminaryRound!$G$4</f>
        <v>Sports hall Wiesengrund, Wendiger Str. 51, 65432 Riedwald</v>
      </c>
      <c r="F4" s="909"/>
      <c r="G4" s="909"/>
      <c r="H4" s="909"/>
      <c r="I4" s="909"/>
      <c r="J4" s="909"/>
      <c r="K4" s="909"/>
      <c r="L4" s="909"/>
      <c r="M4" s="909"/>
      <c r="N4" s="909"/>
      <c r="O4" s="909"/>
      <c r="P4" s="909"/>
      <c r="Q4" s="909"/>
      <c r="R4" s="909"/>
      <c r="S4" s="909"/>
      <c r="T4" s="910"/>
    </row>
    <row r="5" spans="2:29" ht="30" customHeight="1" thickBot="1" x14ac:dyDescent="0.25">
      <c r="E5" s="911" t="str">
        <f>PreliminaryRound!$G$5</f>
        <v>Start:  9:00 a.m.</v>
      </c>
      <c r="F5" s="912"/>
      <c r="G5" s="912"/>
      <c r="H5" s="912"/>
      <c r="I5" s="912"/>
      <c r="J5" s="912"/>
      <c r="K5" s="912"/>
      <c r="L5" s="912"/>
      <c r="M5" s="912"/>
      <c r="N5" s="912"/>
      <c r="O5" s="912"/>
      <c r="P5" s="912"/>
      <c r="Q5" s="912"/>
      <c r="R5" s="912"/>
      <c r="S5" s="912"/>
      <c r="T5" s="913"/>
    </row>
    <row r="6" spans="2:29" ht="18" customHeight="1" thickTop="1" thickBot="1" x14ac:dyDescent="0.25"/>
    <row r="7" spans="2:29" ht="30" customHeight="1" thickTop="1" x14ac:dyDescent="0.2">
      <c r="G7" s="915" t="str">
        <f>Language!$E$19</f>
        <v>Final round</v>
      </c>
      <c r="H7" s="916"/>
      <c r="I7" s="916"/>
      <c r="J7" s="916"/>
      <c r="K7" s="916"/>
      <c r="L7" s="916"/>
      <c r="M7" s="916"/>
      <c r="N7" s="916"/>
      <c r="O7" s="916"/>
      <c r="P7" s="916"/>
      <c r="Q7" s="916"/>
      <c r="R7" s="917"/>
    </row>
    <row r="8" spans="2:29" ht="30" customHeight="1" thickBot="1" x14ac:dyDescent="0.25">
      <c r="G8" s="918"/>
      <c r="H8" s="919"/>
      <c r="I8" s="919"/>
      <c r="J8" s="919"/>
      <c r="K8" s="919"/>
      <c r="L8" s="919"/>
      <c r="M8" s="919"/>
      <c r="N8" s="919"/>
      <c r="O8" s="919"/>
      <c r="P8" s="919"/>
      <c r="Q8" s="919"/>
      <c r="R8" s="920"/>
    </row>
    <row r="9" spans="2:29" ht="12.6" customHeight="1" thickTop="1" x14ac:dyDescent="0.2">
      <c r="T9" s="794" t="str">
        <f>Language!$E$20</f>
        <v>Addit. Pause (min)</v>
      </c>
    </row>
    <row r="10" spans="2:29" ht="27.95" customHeight="1" thickBot="1" x14ac:dyDescent="0.35">
      <c r="C10" s="901" t="str">
        <f>Language!$E$55&amp;IF(MIN(Calc1!$F$13,Calc2!$F$13)*2&lt;2,""," 1 - "&amp;MIN(Calc1!$F$13,Calc2!$F$13)*2)</f>
        <v>Games for places  1 - 10</v>
      </c>
      <c r="D10" s="901"/>
      <c r="E10" s="901"/>
      <c r="F10" s="901"/>
      <c r="T10" s="794"/>
    </row>
    <row r="11" spans="2:29" ht="24" customHeight="1" thickTop="1" thickBot="1" x14ac:dyDescent="0.25">
      <c r="B11" s="385"/>
      <c r="C11" s="434" t="str">
        <f>Language!$E$9</f>
        <v>No.</v>
      </c>
      <c r="D11" s="381" t="str">
        <f>Language!$E$39</f>
        <v>Start</v>
      </c>
      <c r="E11" s="371" t="str">
        <f>Language!$E$48</f>
        <v>Field</v>
      </c>
      <c r="F11" s="371"/>
      <c r="G11" s="896" t="str">
        <f>Language!$E$14</f>
        <v>Match pairing</v>
      </c>
      <c r="H11" s="897"/>
      <c r="I11" s="898"/>
      <c r="J11" s="900" t="str">
        <f>Language!$E$61</f>
        <v>1st set</v>
      </c>
      <c r="K11" s="897"/>
      <c r="L11" s="898"/>
      <c r="M11" s="914" t="str">
        <f>Language!$E$62</f>
        <v>2nd set</v>
      </c>
      <c r="N11" s="847"/>
      <c r="O11" s="847"/>
      <c r="P11" s="847" t="str">
        <f>Language!$E$63</f>
        <v>3rd set</v>
      </c>
      <c r="Q11" s="847"/>
      <c r="R11" s="848"/>
      <c r="S11" s="783" t="str">
        <f>Language!$E$68</f>
        <v>Referee</v>
      </c>
      <c r="T11" s="795"/>
      <c r="W11" s="727" t="s">
        <v>369</v>
      </c>
      <c r="X11" s="727" t="s">
        <v>370</v>
      </c>
      <c r="Y11" s="726" t="s">
        <v>368</v>
      </c>
      <c r="Z11" s="726" t="s">
        <v>372</v>
      </c>
      <c r="AA11" s="726" t="s">
        <v>371</v>
      </c>
      <c r="AB11" s="883" t="s">
        <v>332</v>
      </c>
      <c r="AC11" s="883"/>
    </row>
    <row r="12" spans="2:29" s="356" customFormat="1" ht="24" customHeight="1" x14ac:dyDescent="0.2">
      <c r="B12" s="421"/>
      <c r="C12" s="433">
        <f t="array" aca="1" ref="C12" ca="1">31-SUM(((Planning!$L$6:$L$35="")+(Planning!$N$6:$N$35="")&gt;0)*1)</f>
        <v>21</v>
      </c>
      <c r="D12" s="382">
        <f ca="1">IF(Planning!$V$15,"",Planning!$S$13+(Planning!$S$9+Planning!$Q$35)/1440)</f>
        <v>0.49652777777777779</v>
      </c>
      <c r="E12" s="379">
        <f>IF(Planning!$V$15,"",1)</f>
        <v>1</v>
      </c>
      <c r="F12" s="367" t="s">
        <v>212</v>
      </c>
      <c r="G12" s="368" t="str">
        <f ca="1">PreliminaryRound!$R$17</f>
        <v/>
      </c>
      <c r="H12" s="369" t="s">
        <v>4</v>
      </c>
      <c r="I12" s="370" t="str">
        <f ca="1">PreliminaryRound!$R$27</f>
        <v/>
      </c>
      <c r="J12" s="372"/>
      <c r="K12" s="376" t="str">
        <f>Language!$E$80</f>
        <v>-</v>
      </c>
      <c r="L12" s="388"/>
      <c r="M12" s="389"/>
      <c r="N12" s="376" t="str">
        <f>Language!$E$80</f>
        <v>-</v>
      </c>
      <c r="O12" s="697"/>
      <c r="P12" s="413"/>
      <c r="Q12" s="686" t="str">
        <f>Language!$E$80</f>
        <v>-</v>
      </c>
      <c r="R12" s="373"/>
      <c r="S12" s="784"/>
      <c r="T12" s="689"/>
      <c r="W12" s="356" t="str">
        <f ca="1">IF(AB12&gt;AC12,$G12,IF(AB12&lt;AC12,$I12,""))</f>
        <v/>
      </c>
      <c r="X12" s="356" t="str">
        <f ca="1">IF(AB12&lt;AC12,$G12,IF(AB12&gt;AC12,$I12,""))</f>
        <v/>
      </c>
      <c r="Y12" s="356" t="b">
        <f>AND($J12&lt;&gt;"",$L12&lt;&gt;"",$M12&lt;&gt;"",$O12&lt;&gt;"",$J12&lt;&gt;$L12,$M12&lt;&gt;$O12,($J12&gt;$L12)+($M12&gt;$O12)=1)</f>
        <v>0</v>
      </c>
      <c r="Z12" s="728" t="b">
        <f ca="1">AND($J12&lt;&gt;"",$L12&lt;&gt;"",$J12&lt;&gt;$L12,OR(AND($M12="",$O12=""),AND($M12&lt;&gt;"",$O12&lt;&gt;"",$M12&lt;&gt;$O12)),$G12&lt;&gt;"",$I12&lt;&gt;"",$G12&lt;&gt;$I12)</f>
        <v>0</v>
      </c>
      <c r="AA12" s="356" t="b">
        <f>AND(Y12,$P12&lt;&gt;"",$R12&lt;&gt;"",$P12&lt;&gt;$R12)</f>
        <v>0</v>
      </c>
      <c r="AB12" s="728">
        <f ca="1">(($J12&gt;$L12)+($M12&gt;$O12)+($P12&gt;$R12)*AA12)*Z12</f>
        <v>0</v>
      </c>
      <c r="AC12" s="728">
        <f ca="1">(($J12&lt;$L12)+($M12&lt;$O12)+($P12&lt;$R12)*AA12)*Z12</f>
        <v>0</v>
      </c>
    </row>
    <row r="13" spans="2:29" s="356" customFormat="1" ht="24" customHeight="1" x14ac:dyDescent="0.2">
      <c r="B13" s="421"/>
      <c r="C13" s="423">
        <f t="array" aca="1" ref="C13" ca="1">ROW(32:32)-SUM(((Planning!$L$6:$L$35="")+(Planning!$N$6:$N$35="")&gt;0)*1)-SUM((($G$12:$G12="")+($I$12:$I12="")&gt;0)*1)</f>
        <v>21</v>
      </c>
      <c r="D13" s="383">
        <f t="array" aca="1" ref="D13" ca="1">IF(Planning!$V$15,"",$D$12+QUOTIENT(($C13-$C$12),Planning!$V$11)*(Planning!$S$7+Planning!$S$9)/1440+SUM($T$12:$T12)/1440)</f>
        <v>0.49652777777777779</v>
      </c>
      <c r="E13" s="379">
        <f ca="1">IF(Planning!$V$15,"",MOD($C13-$C$12,Planning!$V$11)+1)</f>
        <v>1</v>
      </c>
      <c r="F13" s="365" t="s">
        <v>213</v>
      </c>
      <c r="G13" s="361" t="str">
        <f ca="1">PreliminaryRound!$R$16</f>
        <v>VFB Essenheim</v>
      </c>
      <c r="H13" s="153" t="s">
        <v>4</v>
      </c>
      <c r="I13" s="363" t="str">
        <f ca="1">PreliminaryRound!$R$26</f>
        <v>Inter Mailand</v>
      </c>
      <c r="J13" s="374">
        <v>25</v>
      </c>
      <c r="K13" s="376" t="str">
        <f>Language!$E$80</f>
        <v>-</v>
      </c>
      <c r="L13" s="357">
        <v>22</v>
      </c>
      <c r="M13" s="390">
        <v>25</v>
      </c>
      <c r="N13" s="376" t="str">
        <f>Language!$E$80</f>
        <v>-</v>
      </c>
      <c r="O13" s="698">
        <v>21</v>
      </c>
      <c r="P13" s="374"/>
      <c r="Q13" s="687" t="str">
        <f>Language!$E$80</f>
        <v>-</v>
      </c>
      <c r="R13" s="358"/>
      <c r="S13" s="770"/>
      <c r="T13" s="690"/>
      <c r="W13" s="356" t="str">
        <f t="shared" ref="W13:W17" ca="1" si="0">IF($AB13&gt;$AC13,$G13,IF($AB13&lt;$AC13,$I13,""))</f>
        <v>VFB Essenheim</v>
      </c>
      <c r="X13" s="356" t="str">
        <f t="shared" ref="X13:X17" ca="1" si="1">IF($AB13&lt;$AC13,$G13,IF($AB13&gt;$AC13,$I13,""))</f>
        <v>Inter Mailand</v>
      </c>
      <c r="Y13" s="356" t="b">
        <f t="shared" ref="Y13:Y17" si="2">AND($J13&lt;&gt;"",$L13&lt;&gt;"",$M13&lt;&gt;"",$O13&lt;&gt;"",$J13&lt;&gt;$L13,$M13&lt;&gt;$O13,($J13&gt;$L13)+($M13&gt;$O13)=1)</f>
        <v>0</v>
      </c>
      <c r="Z13" s="728" t="b">
        <f t="shared" ref="Z13:Z17" ca="1" si="3">AND($J13&lt;&gt;"",$L13&lt;&gt;"",$J13&lt;&gt;$L13,OR(AND($M13="",$O13=""),AND($M13&lt;&gt;"",$O13&lt;&gt;"",$M13&lt;&gt;$O13)),$G13&lt;&gt;"",$I13&lt;&gt;"",$G13&lt;&gt;$I13)</f>
        <v>1</v>
      </c>
      <c r="AA13" s="356" t="b">
        <f t="shared" ref="AA13:AA17" si="4">AND($Y13,$P13&lt;&gt;"",$R13&lt;&gt;"",$P13&lt;&gt;$R13)</f>
        <v>0</v>
      </c>
      <c r="AB13" s="728">
        <f t="shared" ref="AB13:AB17" ca="1" si="5">(($J13&gt;$L13)+($M13&gt;$O13)+($P13&gt;$R13)*$AA13)*$Z13</f>
        <v>2</v>
      </c>
      <c r="AC13" s="728">
        <f t="shared" ref="AC13:AC17" ca="1" si="6">(($J13&lt;$L13)+($M13&lt;$O13)+($P13&lt;$R13)*$AA13)*$Z13</f>
        <v>0</v>
      </c>
    </row>
    <row r="14" spans="2:29" s="356" customFormat="1" ht="24" customHeight="1" x14ac:dyDescent="0.2">
      <c r="B14" s="421"/>
      <c r="C14" s="423">
        <f t="array" aca="1" ref="C14" ca="1">ROW(33:33)-SUM(((Planning!$L$6:$L$35="")+(Planning!$N$6:$N$35="")&gt;0)*1)-SUM((($G$12:$G13="")+($I$12:$I13="")&gt;0)*1)</f>
        <v>22</v>
      </c>
      <c r="D14" s="383">
        <f t="array" aca="1" ref="D14" ca="1">IF(Planning!$V$15,"",$D$12+QUOTIENT(($C14-$C$12),Planning!$V$11)*(Planning!$S$7+Planning!$S$9)/1440+SUM($T$12:$T13)/1440)</f>
        <v>0.49652777777777779</v>
      </c>
      <c r="E14" s="379">
        <f ca="1">IF(Planning!$V$15,"",MOD($C14-$C$12,Planning!$V$11)+1)</f>
        <v>2</v>
      </c>
      <c r="F14" s="365" t="s">
        <v>214</v>
      </c>
      <c r="G14" s="361" t="str">
        <f ca="1">PreliminaryRound!$R$15</f>
        <v>FC Barcelona</v>
      </c>
      <c r="H14" s="153" t="s">
        <v>4</v>
      </c>
      <c r="I14" s="363" t="str">
        <f ca="1">PreliminaryRound!$R$25</f>
        <v>SSV Wildbach</v>
      </c>
      <c r="J14" s="374">
        <v>19</v>
      </c>
      <c r="K14" s="376" t="str">
        <f>Language!$E$80</f>
        <v>-</v>
      </c>
      <c r="L14" s="357">
        <v>25</v>
      </c>
      <c r="M14" s="390">
        <v>25</v>
      </c>
      <c r="N14" s="376" t="str">
        <f>Language!$E$80</f>
        <v>-</v>
      </c>
      <c r="O14" s="698">
        <v>20</v>
      </c>
      <c r="P14" s="374">
        <v>12</v>
      </c>
      <c r="Q14" s="687" t="str">
        <f>Language!$E$80</f>
        <v>-</v>
      </c>
      <c r="R14" s="358">
        <v>15</v>
      </c>
      <c r="S14" s="770"/>
      <c r="T14" s="690"/>
      <c r="W14" s="356" t="str">
        <f t="shared" ca="1" si="0"/>
        <v>SSV Wildbach</v>
      </c>
      <c r="X14" s="356" t="str">
        <f t="shared" ca="1" si="1"/>
        <v>FC Barcelona</v>
      </c>
      <c r="Y14" s="356" t="b">
        <f t="shared" si="2"/>
        <v>1</v>
      </c>
      <c r="Z14" s="728" t="b">
        <f t="shared" ca="1" si="3"/>
        <v>1</v>
      </c>
      <c r="AA14" s="356" t="b">
        <f t="shared" si="4"/>
        <v>1</v>
      </c>
      <c r="AB14" s="728">
        <f t="shared" ca="1" si="5"/>
        <v>1</v>
      </c>
      <c r="AC14" s="728">
        <f t="shared" ca="1" si="6"/>
        <v>2</v>
      </c>
    </row>
    <row r="15" spans="2:29" s="356" customFormat="1" ht="24" customHeight="1" x14ac:dyDescent="0.2">
      <c r="B15" s="421"/>
      <c r="C15" s="423">
        <f t="array" aca="1" ref="C15" ca="1">ROW(34:34)-SUM(((Planning!$L$6:$L$35="")+(Planning!$N$6:$N$35="")&gt;0)*1)-SUM((($G$12:$G14="")+($I$12:$I14="")&gt;0)*1)</f>
        <v>23</v>
      </c>
      <c r="D15" s="383">
        <f t="array" aca="1" ref="D15" ca="1">IF(Planning!$V$15,"",$D$12+QUOTIENT(($C15-$C$12),Planning!$V$11)*(Planning!$S$7+Planning!$S$9)/1440+SUM($T$12:$T14)/1440)</f>
        <v>0.49652777777777779</v>
      </c>
      <c r="E15" s="379">
        <f ca="1">IF(Planning!$V$15,"",MOD($C15-$C$12,Planning!$V$11)+1)</f>
        <v>3</v>
      </c>
      <c r="F15" s="365" t="s">
        <v>215</v>
      </c>
      <c r="G15" s="361" t="str">
        <f ca="1">PreliminaryRound!$R$14</f>
        <v>1. FC Riedwald</v>
      </c>
      <c r="H15" s="153" t="s">
        <v>4</v>
      </c>
      <c r="I15" s="363" t="str">
        <f ca="1">PreliminaryRound!$R$24</f>
        <v>FC Grönlingen</v>
      </c>
      <c r="J15" s="374">
        <v>25</v>
      </c>
      <c r="K15" s="377" t="str">
        <f>Language!$E$80</f>
        <v>-</v>
      </c>
      <c r="L15" s="357">
        <v>23</v>
      </c>
      <c r="M15" s="390">
        <v>25</v>
      </c>
      <c r="N15" s="377" t="str">
        <f>Language!$E$80</f>
        <v>-</v>
      </c>
      <c r="O15" s="698">
        <v>21</v>
      </c>
      <c r="P15" s="374"/>
      <c r="Q15" s="687" t="str">
        <f>Language!$E$80</f>
        <v>-</v>
      </c>
      <c r="R15" s="358"/>
      <c r="S15" s="770"/>
      <c r="T15" s="690"/>
      <c r="W15" s="356" t="str">
        <f t="shared" ca="1" si="0"/>
        <v>1. FC Riedwald</v>
      </c>
      <c r="X15" s="356" t="str">
        <f t="shared" ca="1" si="1"/>
        <v>FC Grönlingen</v>
      </c>
      <c r="Y15" s="356" t="b">
        <f t="shared" si="2"/>
        <v>0</v>
      </c>
      <c r="Z15" s="728" t="b">
        <f t="shared" ca="1" si="3"/>
        <v>1</v>
      </c>
      <c r="AA15" s="356" t="b">
        <f t="shared" si="4"/>
        <v>0</v>
      </c>
      <c r="AB15" s="728">
        <f t="shared" ca="1" si="5"/>
        <v>2</v>
      </c>
      <c r="AC15" s="728">
        <f t="shared" ca="1" si="6"/>
        <v>0</v>
      </c>
    </row>
    <row r="16" spans="2:29" s="356" customFormat="1" ht="24" customHeight="1" x14ac:dyDescent="0.2">
      <c r="B16" s="421"/>
      <c r="C16" s="423">
        <f t="array" aca="1" ref="C16" ca="1">ROW(35:35)-SUM(((Planning!$L$6:$L$35="")+(Planning!$N$6:$N$35="")&gt;0)*1)-SUM((($G$12:$G15="")+($I$12:$I15="")&gt;0)*1)</f>
        <v>24</v>
      </c>
      <c r="D16" s="383">
        <f t="array" aca="1" ref="D16" ca="1">IF(Planning!$V$15,"",$D$12+QUOTIENT(($C16-$C$12),Planning!$V$11)*(Planning!$S$7+Planning!$S$9)/1440+SUM($T$12:$T15)/1440)</f>
        <v>0.49652777777777779</v>
      </c>
      <c r="E16" s="379">
        <f ca="1">IF(Planning!$V$15,"",MOD($C16-$C$12,Planning!$V$11)+1)</f>
        <v>4</v>
      </c>
      <c r="F16" s="365" t="s">
        <v>216</v>
      </c>
      <c r="G16" s="361" t="str">
        <f ca="1">PreliminaryRound!$R$13</f>
        <v>Eintracht Frankfurt</v>
      </c>
      <c r="H16" s="153" t="s">
        <v>4</v>
      </c>
      <c r="I16" s="363" t="str">
        <f ca="1">PreliminaryRound!$R$23</f>
        <v>Manchester City</v>
      </c>
      <c r="J16" s="374">
        <v>26</v>
      </c>
      <c r="K16" s="377" t="str">
        <f>Language!$E$80</f>
        <v>-</v>
      </c>
      <c r="L16" s="357">
        <v>24</v>
      </c>
      <c r="M16" s="390">
        <v>25</v>
      </c>
      <c r="N16" s="377" t="str">
        <f>Language!$E$80</f>
        <v>-</v>
      </c>
      <c r="O16" s="698">
        <v>23</v>
      </c>
      <c r="P16" s="699"/>
      <c r="Q16" s="688" t="str">
        <f>Language!$E$80</f>
        <v>-</v>
      </c>
      <c r="R16" s="693"/>
      <c r="S16" s="785"/>
      <c r="T16" s="691"/>
      <c r="W16" s="356" t="str">
        <f t="shared" ca="1" si="0"/>
        <v>Eintracht Frankfurt</v>
      </c>
      <c r="X16" s="356" t="str">
        <f t="shared" ca="1" si="1"/>
        <v>Manchester City</v>
      </c>
      <c r="Y16" s="356" t="b">
        <f t="shared" si="2"/>
        <v>0</v>
      </c>
      <c r="Z16" s="728" t="b">
        <f t="shared" ca="1" si="3"/>
        <v>1</v>
      </c>
      <c r="AA16" s="356" t="b">
        <f t="shared" si="4"/>
        <v>0</v>
      </c>
      <c r="AB16" s="728">
        <f t="shared" ca="1" si="5"/>
        <v>2</v>
      </c>
      <c r="AC16" s="728">
        <f t="shared" ca="1" si="6"/>
        <v>0</v>
      </c>
    </row>
    <row r="17" spans="2:29" s="356" customFormat="1" ht="24" customHeight="1" thickBot="1" x14ac:dyDescent="0.25">
      <c r="B17" s="421"/>
      <c r="C17" s="424">
        <f t="array" aca="1" ref="C17" ca="1">ROW(36:36)-SUM(((Planning!$L$6:$L$35="")+(Planning!$N$6:$N$35="")&gt;0)*1)-SUM((($G$12:$G16="")+($I$12:$I16="")&gt;0)*1)</f>
        <v>25</v>
      </c>
      <c r="D17" s="384">
        <f t="array" aca="1" ref="D17" ca="1">IF(Planning!$V$15,"",$D$12+QUOTIENT(($C17-$C$12),Planning!$V$11)*(Planning!$S$7+Planning!$S$9)/1440+SUM($T$12:$T16)/1440)</f>
        <v>0.52083333333333337</v>
      </c>
      <c r="E17" s="380">
        <f ca="1">IF(Planning!$V$15,"",MOD($C17-$C$12,Planning!$V$11)+1)</f>
        <v>1</v>
      </c>
      <c r="F17" s="366" t="s">
        <v>217</v>
      </c>
      <c r="G17" s="362" t="str">
        <f ca="1">PreliminaryRound!$R$12</f>
        <v>Maibach 1822 eV</v>
      </c>
      <c r="H17" s="154" t="s">
        <v>4</v>
      </c>
      <c r="I17" s="364" t="str">
        <f ca="1">PreliminaryRound!$R$22</f>
        <v>Mainz 05</v>
      </c>
      <c r="J17" s="375">
        <v>14</v>
      </c>
      <c r="K17" s="378" t="str">
        <f>Language!$E$80</f>
        <v>-</v>
      </c>
      <c r="L17" s="359">
        <v>25</v>
      </c>
      <c r="M17" s="391">
        <v>12</v>
      </c>
      <c r="N17" s="378" t="str">
        <f>Language!$E$80</f>
        <v>-</v>
      </c>
      <c r="O17" s="700">
        <v>25</v>
      </c>
      <c r="P17" s="375"/>
      <c r="Q17" s="711" t="str">
        <f>Language!$E$80</f>
        <v>-</v>
      </c>
      <c r="R17" s="360"/>
      <c r="S17" s="786"/>
      <c r="T17" s="707"/>
      <c r="W17" s="356" t="str">
        <f t="shared" ca="1" si="0"/>
        <v>Mainz 05</v>
      </c>
      <c r="X17" s="356" t="str">
        <f t="shared" ca="1" si="1"/>
        <v>Maibach 1822 eV</v>
      </c>
      <c r="Y17" s="356" t="b">
        <f t="shared" si="2"/>
        <v>0</v>
      </c>
      <c r="Z17" s="728" t="b">
        <f t="shared" ca="1" si="3"/>
        <v>1</v>
      </c>
      <c r="AA17" s="356" t="b">
        <f t="shared" si="4"/>
        <v>0</v>
      </c>
      <c r="AB17" s="728">
        <f t="shared" ca="1" si="5"/>
        <v>0</v>
      </c>
      <c r="AC17" s="728">
        <f t="shared" ca="1" si="6"/>
        <v>2</v>
      </c>
    </row>
    <row r="18" spans="2:29" ht="13.5" thickTop="1" x14ac:dyDescent="0.2"/>
    <row r="19" spans="2:29" ht="24" customHeight="1" x14ac:dyDescent="0.2">
      <c r="C19" s="392"/>
      <c r="D19" s="392"/>
      <c r="E19" s="392"/>
      <c r="F19" s="392"/>
      <c r="G19" s="899" t="str">
        <f>Language!$E$29</f>
        <v>Tournament end:</v>
      </c>
      <c r="H19" s="899"/>
      <c r="I19" s="393">
        <f ca="1">IF(Planning!$S$13="","",$D$17+Planning!$S$7/1440)</f>
        <v>0.54166666666666674</v>
      </c>
      <c r="J19" s="394"/>
      <c r="K19" s="394"/>
      <c r="L19" s="394"/>
      <c r="M19" s="394"/>
      <c r="N19" s="394"/>
      <c r="O19" s="394"/>
      <c r="P19" s="394"/>
      <c r="Q19" s="394"/>
      <c r="R19" s="394"/>
      <c r="S19" s="394"/>
      <c r="T19" s="394"/>
    </row>
    <row r="20" spans="2:29" x14ac:dyDescent="0.2">
      <c r="D20" s="386"/>
    </row>
    <row r="21" spans="2:29" ht="13.5" thickBot="1" x14ac:dyDescent="0.25">
      <c r="D21" s="386"/>
    </row>
    <row r="22" spans="2:29" ht="22.5" customHeight="1" thickBot="1" x14ac:dyDescent="0.25">
      <c r="F22" s="494" t="str">
        <f>Language!$E$88</f>
        <v>Rank</v>
      </c>
      <c r="G22" s="886" t="str">
        <f>"  "&amp;Language!$E$10</f>
        <v xml:space="preserve">  Participant or team</v>
      </c>
      <c r="H22" s="886"/>
      <c r="I22" s="887"/>
    </row>
    <row r="23" spans="2:29" ht="24" customHeight="1" thickTop="1" x14ac:dyDescent="0.2">
      <c r="E23" s="387">
        <v>1</v>
      </c>
      <c r="F23" s="435">
        <v>1</v>
      </c>
      <c r="G23" s="890" t="str">
        <f ca="1">W17</f>
        <v>Mainz 05</v>
      </c>
      <c r="H23" s="890"/>
      <c r="I23" s="891"/>
    </row>
    <row r="24" spans="2:29" ht="24" customHeight="1" x14ac:dyDescent="0.2">
      <c r="E24" s="387">
        <v>2</v>
      </c>
      <c r="F24" s="436">
        <v>2</v>
      </c>
      <c r="G24" s="892" t="str">
        <f ca="1">X17</f>
        <v>Maibach 1822 eV</v>
      </c>
      <c r="H24" s="892"/>
      <c r="I24" s="893"/>
    </row>
    <row r="25" spans="2:29" ht="24" customHeight="1" x14ac:dyDescent="0.2">
      <c r="E25" s="387">
        <v>3</v>
      </c>
      <c r="F25" s="437">
        <v>3</v>
      </c>
      <c r="G25" s="894" t="str">
        <f ca="1">W16</f>
        <v>Eintracht Frankfurt</v>
      </c>
      <c r="H25" s="894"/>
      <c r="I25" s="895"/>
    </row>
    <row r="26" spans="2:29" ht="24" customHeight="1" x14ac:dyDescent="0.2">
      <c r="E26" s="387">
        <v>4</v>
      </c>
      <c r="F26" s="438">
        <v>4</v>
      </c>
      <c r="G26" s="888" t="str">
        <f ca="1">X16</f>
        <v>Manchester City</v>
      </c>
      <c r="H26" s="888"/>
      <c r="I26" s="889"/>
    </row>
    <row r="27" spans="2:29" ht="24" customHeight="1" x14ac:dyDescent="0.2">
      <c r="E27" s="387">
        <v>5</v>
      </c>
      <c r="F27" s="438">
        <v>5</v>
      </c>
      <c r="G27" s="888" t="str">
        <f ca="1">W15</f>
        <v>1. FC Riedwald</v>
      </c>
      <c r="H27" s="888"/>
      <c r="I27" s="889"/>
    </row>
    <row r="28" spans="2:29" ht="24" customHeight="1" x14ac:dyDescent="0.2">
      <c r="E28" s="387">
        <v>6</v>
      </c>
      <c r="F28" s="438">
        <v>6</v>
      </c>
      <c r="G28" s="888" t="str">
        <f ca="1">X15</f>
        <v>FC Grönlingen</v>
      </c>
      <c r="H28" s="888"/>
      <c r="I28" s="889"/>
    </row>
    <row r="29" spans="2:29" ht="24" customHeight="1" x14ac:dyDescent="0.2">
      <c r="E29" s="387">
        <v>7</v>
      </c>
      <c r="F29" s="438">
        <v>7</v>
      </c>
      <c r="G29" s="888" t="str">
        <f ca="1">W14</f>
        <v>SSV Wildbach</v>
      </c>
      <c r="H29" s="888"/>
      <c r="I29" s="889"/>
    </row>
    <row r="30" spans="2:29" ht="24" customHeight="1" x14ac:dyDescent="0.2">
      <c r="E30" s="387">
        <v>8</v>
      </c>
      <c r="F30" s="438">
        <v>8</v>
      </c>
      <c r="G30" s="888" t="str">
        <f ca="1">X14</f>
        <v>FC Barcelona</v>
      </c>
      <c r="H30" s="888"/>
      <c r="I30" s="889"/>
    </row>
    <row r="31" spans="2:29" ht="24" customHeight="1" x14ac:dyDescent="0.2">
      <c r="E31" s="387">
        <v>9</v>
      </c>
      <c r="F31" s="438">
        <v>9</v>
      </c>
      <c r="G31" s="888" t="str">
        <f ca="1">W13</f>
        <v>VFB Essenheim</v>
      </c>
      <c r="H31" s="888"/>
      <c r="I31" s="889"/>
    </row>
    <row r="32" spans="2:29" ht="24" customHeight="1" x14ac:dyDescent="0.2">
      <c r="E32" s="387">
        <v>10</v>
      </c>
      <c r="F32" s="438">
        <v>10</v>
      </c>
      <c r="G32" s="888" t="str">
        <f ca="1">X13</f>
        <v>Inter Mailand</v>
      </c>
      <c r="H32" s="888"/>
      <c r="I32" s="889"/>
    </row>
    <row r="33" spans="5:9" ht="24" customHeight="1" x14ac:dyDescent="0.2">
      <c r="E33" s="387">
        <v>11</v>
      </c>
      <c r="F33" s="438">
        <v>11</v>
      </c>
      <c r="G33" s="888" t="str">
        <f ca="1">W12</f>
        <v/>
      </c>
      <c r="H33" s="888"/>
      <c r="I33" s="889"/>
    </row>
    <row r="34" spans="5:9" ht="24" customHeight="1" thickBot="1" x14ac:dyDescent="0.25">
      <c r="E34" s="387">
        <v>12</v>
      </c>
      <c r="F34" s="439">
        <v>12</v>
      </c>
      <c r="G34" s="884" t="str">
        <f ca="1">X12</f>
        <v/>
      </c>
      <c r="H34" s="884"/>
      <c r="I34" s="885"/>
    </row>
    <row r="35" spans="5:9" ht="13.5" thickTop="1" x14ac:dyDescent="0.2"/>
    <row r="36" spans="5:9" x14ac:dyDescent="0.2"/>
    <row r="37" spans="5:9" x14ac:dyDescent="0.2"/>
  </sheetData>
  <sheetProtection sheet="1" selectLockedCells="1"/>
  <mergeCells count="26">
    <mergeCell ref="J11:L11"/>
    <mergeCell ref="C10:F10"/>
    <mergeCell ref="E2:T2"/>
    <mergeCell ref="E3:T3"/>
    <mergeCell ref="E4:T4"/>
    <mergeCell ref="E5:T5"/>
    <mergeCell ref="T9:T11"/>
    <mergeCell ref="M11:O11"/>
    <mergeCell ref="P11:R11"/>
    <mergeCell ref="G7:R8"/>
    <mergeCell ref="AB11:AC11"/>
    <mergeCell ref="G34:I34"/>
    <mergeCell ref="G22:I22"/>
    <mergeCell ref="G28:I28"/>
    <mergeCell ref="G29:I29"/>
    <mergeCell ref="G30:I30"/>
    <mergeCell ref="G31:I31"/>
    <mergeCell ref="G32:I32"/>
    <mergeCell ref="G33:I33"/>
    <mergeCell ref="G23:I23"/>
    <mergeCell ref="G24:I24"/>
    <mergeCell ref="G25:I25"/>
    <mergeCell ref="G26:I26"/>
    <mergeCell ref="G27:I27"/>
    <mergeCell ref="G11:I11"/>
    <mergeCell ref="G19:H19"/>
  </mergeCells>
  <conditionalFormatting sqref="C12:R17">
    <cfRule type="expression" dxfId="28" priority="4">
      <formula>OR($G12="",$I12="")</formula>
    </cfRule>
  </conditionalFormatting>
  <conditionalFormatting sqref="J12:O17">
    <cfRule type="expression" dxfId="27" priority="3">
      <formula>OR(AND($J12&lt;&gt;"",$J12=$L12),AND($M12&lt;&gt;"",$M12=$O12))</formula>
    </cfRule>
  </conditionalFormatting>
  <conditionalFormatting sqref="P12:R17">
    <cfRule type="expression" dxfId="26" priority="1">
      <formula>NOT($Y12)</formula>
    </cfRule>
    <cfRule type="expression" dxfId="25" priority="2">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17BB91E0-A3CE-4ED3-B5A3-AE335022FDB6}">
            <xm:f>$F26&gt;2*Calc1!$F$14-MOD((Calc1!$F$13+Calc2!$F$13),2)</xm:f>
            <x14:dxf>
              <numFmt numFmtId="165" formatCode=";;;"/>
            </x14:dxf>
          </x14:cfRule>
          <xm:sqref>F26:F34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C42"/>
  <sheetViews>
    <sheetView showGridLines="0" showRowColHeaders="0" workbookViewId="0">
      <selection activeCell="J12" sqref="J12"/>
    </sheetView>
  </sheetViews>
  <sheetFormatPr baseColWidth="10" defaultColWidth="0" defaultRowHeight="12.75" zeroHeight="1" x14ac:dyDescent="0.2"/>
  <cols>
    <col min="1" max="1" width="10.42578125" style="46" customWidth="1"/>
    <col min="2" max="2" width="5.28515625" style="46" customWidth="1"/>
    <col min="3" max="3" width="6.7109375" style="46" customWidth="1"/>
    <col min="4"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15.7109375" style="46" customWidth="1"/>
    <col min="20" max="21" width="8" style="46" customWidth="1"/>
    <col min="22" max="22" width="11.42578125" customWidth="1"/>
    <col min="23" max="23" width="17.85546875" hidden="1" customWidth="1"/>
    <col min="24" max="24" width="17.5703125" hidden="1" customWidth="1"/>
    <col min="25" max="25" width="11" hidden="1" customWidth="1"/>
    <col min="26" max="27" width="11.42578125" hidden="1" customWidth="1"/>
    <col min="28" max="28" width="5.42578125" hidden="1" customWidth="1"/>
    <col min="29" max="29" width="5.7109375" hidden="1" customWidth="1"/>
    <col min="30" max="16384" width="11.42578125" hidden="1"/>
  </cols>
  <sheetData>
    <row r="1" spans="1:29" ht="13.5" thickBot="1" x14ac:dyDescent="0.25"/>
    <row r="2" spans="1:29" ht="36.75" thickTop="1" x14ac:dyDescent="0.2">
      <c r="E2" s="902" t="str">
        <f>PreliminaryRound!$G$2</f>
        <v>International tournament U10 on Apr. 13th, 2025</v>
      </c>
      <c r="F2" s="903"/>
      <c r="G2" s="903"/>
      <c r="H2" s="903"/>
      <c r="I2" s="903"/>
      <c r="J2" s="903"/>
      <c r="K2" s="903"/>
      <c r="L2" s="903"/>
      <c r="M2" s="903"/>
      <c r="N2" s="903"/>
      <c r="O2" s="903"/>
      <c r="P2" s="903"/>
      <c r="Q2" s="903"/>
      <c r="R2" s="903"/>
      <c r="S2" s="903"/>
      <c r="T2" s="904"/>
    </row>
    <row r="3" spans="1:29" ht="30" customHeight="1" x14ac:dyDescent="0.2">
      <c r="E3" s="905" t="str">
        <f>PreliminaryRound!$G$3</f>
        <v>Organizer:  1. FC Riedwald</v>
      </c>
      <c r="F3" s="906"/>
      <c r="G3" s="906"/>
      <c r="H3" s="906"/>
      <c r="I3" s="906"/>
      <c r="J3" s="906"/>
      <c r="K3" s="906"/>
      <c r="L3" s="906"/>
      <c r="M3" s="906"/>
      <c r="N3" s="906"/>
      <c r="O3" s="906"/>
      <c r="P3" s="906"/>
      <c r="Q3" s="906"/>
      <c r="R3" s="906"/>
      <c r="S3" s="906"/>
      <c r="T3" s="907"/>
    </row>
    <row r="4" spans="1:29" ht="30" customHeight="1" x14ac:dyDescent="0.2">
      <c r="E4" s="908" t="str">
        <f>PreliminaryRound!$G$4</f>
        <v>Sports hall Wiesengrund, Wendiger Str. 51, 65432 Riedwald</v>
      </c>
      <c r="F4" s="909"/>
      <c r="G4" s="909"/>
      <c r="H4" s="909"/>
      <c r="I4" s="909"/>
      <c r="J4" s="909"/>
      <c r="K4" s="909"/>
      <c r="L4" s="909"/>
      <c r="M4" s="909"/>
      <c r="N4" s="909"/>
      <c r="O4" s="909"/>
      <c r="P4" s="909"/>
      <c r="Q4" s="909"/>
      <c r="R4" s="909"/>
      <c r="S4" s="909"/>
      <c r="T4" s="910"/>
    </row>
    <row r="5" spans="1:29" ht="30" customHeight="1" thickBot="1" x14ac:dyDescent="0.25">
      <c r="E5" s="911" t="str">
        <f>PreliminaryRound!$G$5</f>
        <v>Start:  9:00 a.m.</v>
      </c>
      <c r="F5" s="912"/>
      <c r="G5" s="912"/>
      <c r="H5" s="912"/>
      <c r="I5" s="912"/>
      <c r="J5" s="912"/>
      <c r="K5" s="912"/>
      <c r="L5" s="912"/>
      <c r="M5" s="912"/>
      <c r="N5" s="912"/>
      <c r="O5" s="912"/>
      <c r="P5" s="912"/>
      <c r="Q5" s="912"/>
      <c r="R5" s="912"/>
      <c r="S5" s="912"/>
      <c r="T5" s="913"/>
    </row>
    <row r="6" spans="1:29" ht="18" customHeight="1" thickTop="1" thickBot="1" x14ac:dyDescent="0.25"/>
    <row r="7" spans="1:29" ht="30" customHeight="1" thickTop="1" x14ac:dyDescent="0.2">
      <c r="G7" s="915" t="str">
        <f>Language!$E$19</f>
        <v>Final round</v>
      </c>
      <c r="H7" s="916"/>
      <c r="I7" s="916"/>
      <c r="J7" s="916"/>
      <c r="K7" s="916"/>
      <c r="L7" s="916"/>
      <c r="M7" s="916"/>
      <c r="N7" s="916"/>
      <c r="O7" s="916"/>
      <c r="P7" s="916"/>
      <c r="Q7" s="917"/>
    </row>
    <row r="8" spans="1:29" ht="30" customHeight="1" thickBot="1" x14ac:dyDescent="0.25">
      <c r="G8" s="918"/>
      <c r="H8" s="919"/>
      <c r="I8" s="919"/>
      <c r="J8" s="919"/>
      <c r="K8" s="919"/>
      <c r="L8" s="919"/>
      <c r="M8" s="919"/>
      <c r="N8" s="919"/>
      <c r="O8" s="919"/>
      <c r="P8" s="919"/>
      <c r="Q8" s="920"/>
    </row>
    <row r="9" spans="1:29" ht="12.6" customHeight="1" thickTop="1" x14ac:dyDescent="0.2">
      <c r="T9" s="794" t="str">
        <f>Language!$E$20</f>
        <v>Addit. Pause (min)</v>
      </c>
    </row>
    <row r="10" spans="1:29" ht="27.95" customHeight="1" thickBot="1" x14ac:dyDescent="0.35">
      <c r="C10" s="901" t="str">
        <f>Language!$E$55&amp;IF(MIN(Calc1!$F$13,Calc2!$F$13)*2&lt;6,""," 5 - "&amp;MIN(Calc1!$F$13,Calc2!$F$13)*2)</f>
        <v>Games for places  5 - 10</v>
      </c>
      <c r="D10" s="901"/>
      <c r="E10" s="901"/>
      <c r="F10" s="901"/>
      <c r="T10" s="794"/>
    </row>
    <row r="11" spans="1:29" ht="24" customHeight="1" thickTop="1" thickBot="1" x14ac:dyDescent="0.25">
      <c r="B11" s="385"/>
      <c r="C11" s="434" t="str">
        <f>Language!$E$9</f>
        <v>No.</v>
      </c>
      <c r="D11" s="381" t="str">
        <f>Language!$E$39</f>
        <v>Start</v>
      </c>
      <c r="E11" s="371" t="str">
        <f>Language!$E$48</f>
        <v>Field</v>
      </c>
      <c r="F11" s="371"/>
      <c r="G11" s="847" t="str">
        <f>Language!$E$14</f>
        <v>Match pairing</v>
      </c>
      <c r="H11" s="847"/>
      <c r="I11" s="847"/>
      <c r="J11" s="847" t="str">
        <f>Language!$E$61</f>
        <v>1st set</v>
      </c>
      <c r="K11" s="847"/>
      <c r="L11" s="847"/>
      <c r="M11" s="847" t="str">
        <f>Language!$E$62</f>
        <v>2nd set</v>
      </c>
      <c r="N11" s="847"/>
      <c r="O11" s="847"/>
      <c r="P11" s="847" t="str">
        <f>Language!$E$63</f>
        <v>3rd set</v>
      </c>
      <c r="Q11" s="847"/>
      <c r="R11" s="848"/>
      <c r="S11" s="783" t="str">
        <f>Language!$E$68</f>
        <v>Referee</v>
      </c>
      <c r="T11" s="795"/>
      <c r="W11" s="727" t="s">
        <v>369</v>
      </c>
      <c r="X11" s="727" t="s">
        <v>370</v>
      </c>
      <c r="Y11" s="726" t="s">
        <v>368</v>
      </c>
      <c r="Z11" s="726" t="s">
        <v>372</v>
      </c>
      <c r="AA11" s="726" t="s">
        <v>371</v>
      </c>
      <c r="AB11" s="883" t="s">
        <v>332</v>
      </c>
      <c r="AC11" s="883"/>
    </row>
    <row r="12" spans="1:29" ht="24" customHeight="1" x14ac:dyDescent="0.2">
      <c r="A12" s="356"/>
      <c r="B12" s="421"/>
      <c r="C12" s="425">
        <f t="array" aca="1" ref="C12" ca="1">31-SUM(((Planning!$L$6:$L$35="")+(Planning!$N$6:$N$35="")&gt;0)*1)</f>
        <v>21</v>
      </c>
      <c r="D12" s="428">
        <f ca="1">IF(Planning!$V$15,"",Planning!$S$13+(Planning!$S$9+Planning!$Q$35)/1440)</f>
        <v>0.49652777777777779</v>
      </c>
      <c r="E12" s="409">
        <f>IF(Planning!$V$15,"",1)</f>
        <v>1</v>
      </c>
      <c r="F12" s="410" t="s">
        <v>212</v>
      </c>
      <c r="G12" s="411" t="str">
        <f ca="1">PreliminaryRound!$R$17</f>
        <v/>
      </c>
      <c r="H12" s="152" t="s">
        <v>4</v>
      </c>
      <c r="I12" s="412" t="str">
        <f ca="1">PreliminaryRound!$R$27</f>
        <v/>
      </c>
      <c r="J12" s="413"/>
      <c r="K12" s="414" t="str">
        <f>Language!$E$80</f>
        <v>-</v>
      </c>
      <c r="L12" s="697"/>
      <c r="M12" s="413"/>
      <c r="N12" s="414" t="str">
        <f>Language!$E$80</f>
        <v>-</v>
      </c>
      <c r="O12" s="697"/>
      <c r="P12" s="372"/>
      <c r="Q12" s="686" t="str">
        <f>Language!$E$80</f>
        <v>-</v>
      </c>
      <c r="R12" s="373"/>
      <c r="S12" s="784"/>
      <c r="T12" s="689"/>
      <c r="U12" s="356"/>
      <c r="W12" s="356" t="str">
        <f ca="1">IF($AB12&gt;$AC12,$G12,IF($AB12&lt;$AC12,$I12,""))</f>
        <v/>
      </c>
      <c r="X12" s="356" t="str">
        <f ca="1">IF($AB12&lt;$AC12,$G12,IF($AB12&gt;$AC12,$I12,""))</f>
        <v/>
      </c>
      <c r="Y12" s="356" t="b">
        <f>AND($J12&lt;&gt;"",$L12&lt;&gt;"",$M12&lt;&gt;"",$O12&lt;&gt;"",$J12&lt;&gt;$L12,$M12&lt;&gt;$O12,($J12&gt;$L12)+($M12&gt;$O12)=1)</f>
        <v>0</v>
      </c>
      <c r="Z12" s="728" t="b">
        <f ca="1">AND($J12&lt;&gt;"",$L12&lt;&gt;"",$J12&lt;&gt;$L12,OR(AND($M12="",$O12=""),AND($M12&lt;&gt;"",$O12&lt;&gt;"",$M12&lt;&gt;$O12)),$G12&lt;&gt;"",$I12&lt;&gt;"",$G12&lt;&gt;$I12)</f>
        <v>0</v>
      </c>
      <c r="AA12" s="356" t="b">
        <f>AND($Y12,$P12&lt;&gt;"",$R12&lt;&gt;"",$P12&lt;&gt;$R12)</f>
        <v>0</v>
      </c>
      <c r="AB12" s="728">
        <f ca="1">(($J12&gt;$L12)+($M12&gt;$O12)+($P12&gt;$R12)*$AA12)*$Z12</f>
        <v>0</v>
      </c>
      <c r="AC12" s="728">
        <f ca="1">(($J12&lt;$L12)+($M12&lt;$O12)+($P12&lt;$R12)*$AA12)*$Z12</f>
        <v>0</v>
      </c>
    </row>
    <row r="13" spans="1:29" ht="24" customHeight="1" x14ac:dyDescent="0.2">
      <c r="A13" s="356"/>
      <c r="B13" s="421"/>
      <c r="C13" s="426">
        <f t="array" aca="1" ref="C13" ca="1">ROW(32:32)-SUM(((Planning!$L$6:$L$35="")+(Planning!$N$6:$N$35="")&gt;0)*1)-SUM((($G$12:$G12="")+($I$12:$I12="")&gt;0)*1)</f>
        <v>21</v>
      </c>
      <c r="D13" s="429">
        <f t="array" aca="1" ref="D13" ca="1">IF(Planning!$V$15,"",$D$12+QUOTIENT(($C13-$C$12),Planning!$V$11)*(Planning!$S$7+Planning!$S$9)/1440+SUM($T$12:$T12)/1440)</f>
        <v>0.49652777777777779</v>
      </c>
      <c r="E13" s="556">
        <f ca="1">IF(Planning!$V$15,"",MOD($C13-$C$12,Planning!$V$11)+1)</f>
        <v>1</v>
      </c>
      <c r="F13" s="365" t="s">
        <v>213</v>
      </c>
      <c r="G13" s="361" t="str">
        <f ca="1">PreliminaryRound!$R$16</f>
        <v>VFB Essenheim</v>
      </c>
      <c r="H13" s="153" t="s">
        <v>4</v>
      </c>
      <c r="I13" s="363" t="str">
        <f ca="1">PreliminaryRound!$R$26</f>
        <v>Inter Mailand</v>
      </c>
      <c r="J13" s="374">
        <v>19</v>
      </c>
      <c r="K13" s="376" t="str">
        <f>Language!$E$80</f>
        <v>-</v>
      </c>
      <c r="L13" s="698">
        <v>25</v>
      </c>
      <c r="M13" s="374">
        <v>25</v>
      </c>
      <c r="N13" s="376" t="str">
        <f>Language!$E$80</f>
        <v>-</v>
      </c>
      <c r="O13" s="698">
        <v>17</v>
      </c>
      <c r="P13" s="374">
        <v>18</v>
      </c>
      <c r="Q13" s="687" t="str">
        <f>Language!$E$80</f>
        <v>-</v>
      </c>
      <c r="R13" s="358">
        <v>16</v>
      </c>
      <c r="S13" s="770"/>
      <c r="T13" s="690"/>
      <c r="U13" s="356"/>
      <c r="W13" s="710" t="str">
        <f t="shared" ref="W13:W15" ca="1" si="0">IF($AB13&gt;$AC13,$G13,IF($AB13&lt;$AC13,$I13,""))</f>
        <v>VFB Essenheim</v>
      </c>
      <c r="X13" s="710" t="str">
        <f t="shared" ref="X13:X15" ca="1" si="1">IF($AB13&lt;$AC13,$G13,IF($AB13&gt;$AC13,$I13,""))</f>
        <v>Inter Mailand</v>
      </c>
      <c r="Y13" s="356" t="b">
        <f t="shared" ref="Y13:Y15" si="2">AND($J13&lt;&gt;"",$L13&lt;&gt;"",$M13&lt;&gt;"",$O13&lt;&gt;"",$J13&lt;&gt;$L13,$M13&lt;&gt;$O13,($J13&gt;$L13)+($M13&gt;$O13)=1)</f>
        <v>1</v>
      </c>
      <c r="Z13" s="728" t="b">
        <f t="shared" ref="Z13:Z15" ca="1" si="3">AND($J13&lt;&gt;"",$L13&lt;&gt;"",$J13&lt;&gt;$L13,OR(AND($M13="",$O13=""),AND($M13&lt;&gt;"",$O13&lt;&gt;"",$M13&lt;&gt;$O13)),$G13&lt;&gt;"",$I13&lt;&gt;"",$G13&lt;&gt;$I13)</f>
        <v>1</v>
      </c>
      <c r="AA13" s="356" t="b">
        <f t="shared" ref="AA13:AA15" si="4">AND($Y13,$P13&lt;&gt;"",$R13&lt;&gt;"",$P13&lt;&gt;$R13)</f>
        <v>1</v>
      </c>
      <c r="AB13" s="728">
        <f t="shared" ref="AB13:AB15" ca="1" si="5">(($J13&gt;$L13)+($M13&gt;$O13)+($P13&gt;$R13)*$AA13)*$Z13</f>
        <v>2</v>
      </c>
      <c r="AC13" s="728">
        <f t="shared" ref="AC13:AC15" ca="1" si="6">(($J13&lt;$L13)+($M13&lt;$O13)+($P13&lt;$R13)*$AA13)*$Z13</f>
        <v>1</v>
      </c>
    </row>
    <row r="14" spans="1:29" ht="24" customHeight="1" x14ac:dyDescent="0.2">
      <c r="A14" s="356"/>
      <c r="B14" s="421"/>
      <c r="C14" s="426">
        <f t="array" aca="1" ref="C14" ca="1">ROW(33:33)-SUM(((Planning!$L$6:$L$35="")+(Planning!$N$6:$N$35="")&gt;0)*1)-SUM((($G$12:$G13="")+($I$12:$I13="")&gt;0)*1)</f>
        <v>22</v>
      </c>
      <c r="D14" s="429">
        <f t="array" aca="1" ref="D14" ca="1">IF(Planning!$V$15,"",$D$12+QUOTIENT(($C14-$C$12),Planning!$V$11)*(Planning!$S$7+Planning!$S$9)/1440+SUM($T$12:$T13)/1440)</f>
        <v>0.49652777777777779</v>
      </c>
      <c r="E14" s="556">
        <f ca="1">IF(Planning!$V$15,"",MOD($C14-$C$12,Planning!$V$11)+1)</f>
        <v>2</v>
      </c>
      <c r="F14" s="365" t="s">
        <v>214</v>
      </c>
      <c r="G14" s="361" t="str">
        <f ca="1">PreliminaryRound!$R$15</f>
        <v>FC Barcelona</v>
      </c>
      <c r="H14" s="153" t="s">
        <v>4</v>
      </c>
      <c r="I14" s="363" t="str">
        <f ca="1">PreliminaryRound!$R$25</f>
        <v>SSV Wildbach</v>
      </c>
      <c r="J14" s="374">
        <v>15</v>
      </c>
      <c r="K14" s="376" t="str">
        <f>Language!$E$80</f>
        <v>-</v>
      </c>
      <c r="L14" s="698">
        <v>25</v>
      </c>
      <c r="M14" s="374">
        <v>20</v>
      </c>
      <c r="N14" s="376" t="str">
        <f>Language!$E$80</f>
        <v>-</v>
      </c>
      <c r="O14" s="698">
        <v>25</v>
      </c>
      <c r="P14" s="374"/>
      <c r="Q14" s="687" t="str">
        <f>Language!$E$80</f>
        <v>-</v>
      </c>
      <c r="R14" s="358"/>
      <c r="S14" s="770"/>
      <c r="T14" s="690"/>
      <c r="U14" s="356"/>
      <c r="W14" s="710" t="str">
        <f t="shared" ca="1" si="0"/>
        <v>SSV Wildbach</v>
      </c>
      <c r="X14" s="710" t="str">
        <f t="shared" ca="1" si="1"/>
        <v>FC Barcelona</v>
      </c>
      <c r="Y14" s="356" t="b">
        <f t="shared" si="2"/>
        <v>0</v>
      </c>
      <c r="Z14" s="728" t="b">
        <f t="shared" ca="1" si="3"/>
        <v>1</v>
      </c>
      <c r="AA14" s="356" t="b">
        <f t="shared" si="4"/>
        <v>0</v>
      </c>
      <c r="AB14" s="728">
        <f t="shared" ca="1" si="5"/>
        <v>0</v>
      </c>
      <c r="AC14" s="728">
        <f t="shared" ca="1" si="6"/>
        <v>2</v>
      </c>
    </row>
    <row r="15" spans="1:29" ht="24" customHeight="1" thickBot="1" x14ac:dyDescent="0.25">
      <c r="A15" s="356"/>
      <c r="B15" s="421"/>
      <c r="C15" s="427">
        <f t="array" aca="1" ref="C15" ca="1">ROW(34:34)-SUM(((Planning!$L$6:$L$35="")+(Planning!$N$6:$N$35="")&gt;0)*1)-SUM((($G$12:$G14="")+($I$12:$I14="")&gt;0)*1)</f>
        <v>23</v>
      </c>
      <c r="D15" s="430">
        <f t="array" aca="1" ref="D15" ca="1">IF(Planning!$V$15,"",$D$12+QUOTIENT(($C15-$C$12),Planning!$V$11)*(Planning!$S$7+Planning!$S$9)/1440+SUM($T$12:$T14)/1440)</f>
        <v>0.49652777777777779</v>
      </c>
      <c r="E15" s="407">
        <f ca="1">IF(Planning!$V$15,"",MOD($C15-$C$12,Planning!$V$11)+1)</f>
        <v>3</v>
      </c>
      <c r="F15" s="366" t="s">
        <v>215</v>
      </c>
      <c r="G15" s="362" t="str">
        <f ca="1">PreliminaryRound!$R$14</f>
        <v>1. FC Riedwald</v>
      </c>
      <c r="H15" s="154" t="s">
        <v>4</v>
      </c>
      <c r="I15" s="364" t="str">
        <f ca="1">PreliminaryRound!$R$24</f>
        <v>FC Grönlingen</v>
      </c>
      <c r="J15" s="375">
        <v>26</v>
      </c>
      <c r="K15" s="408" t="str">
        <f>Language!$E$80</f>
        <v>-</v>
      </c>
      <c r="L15" s="700">
        <v>24</v>
      </c>
      <c r="M15" s="375">
        <v>25</v>
      </c>
      <c r="N15" s="408" t="str">
        <f>Language!$E$80</f>
        <v>-</v>
      </c>
      <c r="O15" s="700">
        <v>22</v>
      </c>
      <c r="P15" s="375"/>
      <c r="Q15" s="711" t="str">
        <f>Language!$E$80</f>
        <v>-</v>
      </c>
      <c r="R15" s="360"/>
      <c r="S15" s="786"/>
      <c r="T15" s="708"/>
      <c r="U15" s="356"/>
      <c r="W15" s="710" t="str">
        <f t="shared" ca="1" si="0"/>
        <v>1. FC Riedwald</v>
      </c>
      <c r="X15" s="710" t="str">
        <f t="shared" ca="1" si="1"/>
        <v>FC Grönlingen</v>
      </c>
      <c r="Y15" s="356" t="b">
        <f t="shared" si="2"/>
        <v>0</v>
      </c>
      <c r="Z15" s="728" t="b">
        <f t="shared" ca="1" si="3"/>
        <v>1</v>
      </c>
      <c r="AA15" s="356" t="b">
        <f t="shared" si="4"/>
        <v>0</v>
      </c>
      <c r="AB15" s="728">
        <f t="shared" ca="1" si="5"/>
        <v>2</v>
      </c>
      <c r="AC15" s="728">
        <f t="shared" ca="1" si="6"/>
        <v>0</v>
      </c>
    </row>
    <row r="16" spans="1:29" ht="27.95" customHeight="1" thickTop="1" thickBot="1" x14ac:dyDescent="0.35">
      <c r="A16" s="356"/>
      <c r="B16" s="422"/>
      <c r="C16" s="933" t="str">
        <f>Language!$E$53</f>
        <v>Semi-finals</v>
      </c>
      <c r="D16" s="933"/>
      <c r="E16" s="933"/>
      <c r="F16" s="933"/>
      <c r="G16" s="444" t="s">
        <v>257</v>
      </c>
      <c r="H16" s="120"/>
      <c r="I16" s="444" t="s">
        <v>257</v>
      </c>
      <c r="J16" s="396"/>
      <c r="K16" s="396"/>
      <c r="L16" s="396"/>
      <c r="M16" s="396"/>
      <c r="N16" s="396"/>
      <c r="O16" s="396"/>
      <c r="P16" s="396"/>
      <c r="Q16" s="396"/>
      <c r="R16" s="396"/>
      <c r="S16" s="304"/>
      <c r="T16" s="398"/>
      <c r="U16" s="356"/>
      <c r="W16" s="710"/>
      <c r="X16" s="710"/>
      <c r="Y16" s="356"/>
      <c r="Z16" s="728"/>
      <c r="AA16" s="356"/>
      <c r="AB16" s="728"/>
      <c r="AC16" s="728"/>
    </row>
    <row r="17" spans="1:29" ht="24" customHeight="1" thickTop="1" x14ac:dyDescent="0.2">
      <c r="A17" s="356"/>
      <c r="B17" s="421"/>
      <c r="C17" s="431">
        <f t="array" aca="1" ref="C17" ca="1">ROW(35:35)-SUM(((Planning!$L$6:$L$35="")+(Planning!$N$6:$N$35="")&gt;0)*1)-SUM((($G$12:$G16="")+($I$12:$I16="")&gt;0)*1)</f>
        <v>24</v>
      </c>
      <c r="D17" s="432">
        <f t="array" aca="1" ref="D17" ca="1">IF(Planning!$V$15,"",$D$12+QUOTIENT(($C17-$C$12),Planning!$V$11)*(Planning!$S$7+Planning!$S$9)/1440+SUM($T$12:$T16)/1440)</f>
        <v>0.49652777777777779</v>
      </c>
      <c r="E17" s="399">
        <f ca="1">IF(Planning!$V$15,"",MOD($C17-$C$12,Planning!$V$11)+1)</f>
        <v>4</v>
      </c>
      <c r="F17" s="400" t="s">
        <v>234</v>
      </c>
      <c r="G17" s="401" t="str">
        <f ca="1">PreliminaryRound!$R$12</f>
        <v>Maibach 1822 eV</v>
      </c>
      <c r="H17" s="402" t="s">
        <v>4</v>
      </c>
      <c r="I17" s="403" t="str">
        <f ca="1">PreliminaryRound!$R$23</f>
        <v>Manchester City</v>
      </c>
      <c r="J17" s="404">
        <v>15</v>
      </c>
      <c r="K17" s="405" t="str">
        <f>Language!$E$80</f>
        <v>-</v>
      </c>
      <c r="L17" s="709">
        <v>25</v>
      </c>
      <c r="M17" s="404">
        <v>20</v>
      </c>
      <c r="N17" s="405" t="str">
        <f>Language!$E$80</f>
        <v>-</v>
      </c>
      <c r="O17" s="709">
        <v>25</v>
      </c>
      <c r="P17" s="404"/>
      <c r="Q17" s="712" t="str">
        <f>Language!$E$80</f>
        <v>-</v>
      </c>
      <c r="R17" s="406"/>
      <c r="S17" s="787"/>
      <c r="T17" s="689"/>
      <c r="U17" s="356"/>
      <c r="W17" s="710" t="str">
        <f t="shared" ref="W17:W18" ca="1" si="7">IF($AB17&gt;$AC17,$G17,IF($AB17&lt;$AC17,$I17,""))</f>
        <v>Manchester City</v>
      </c>
      <c r="X17" s="710" t="str">
        <f t="shared" ref="X17:X18" ca="1" si="8">IF($AB17&lt;$AC17,$G17,IF($AB17&gt;$AC17,$I17,""))</f>
        <v>Maibach 1822 eV</v>
      </c>
      <c r="Y17" s="356" t="b">
        <f t="shared" ref="Y17:Y18" si="9">AND($J17&lt;&gt;"",$L17&lt;&gt;"",$M17&lt;&gt;"",$O17&lt;&gt;"",$J17&lt;&gt;$L17,$M17&lt;&gt;$O17,($J17&gt;$L17)+($M17&gt;$O17)=1)</f>
        <v>0</v>
      </c>
      <c r="Z17" s="728" t="b">
        <f t="shared" ref="Z17:Z18" ca="1" si="10">AND($J17&lt;&gt;"",$L17&lt;&gt;"",$J17&lt;&gt;$L17,OR(AND($M17="",$O17=""),AND($M17&lt;&gt;"",$O17&lt;&gt;"",$M17&lt;&gt;$O17)),$G17&lt;&gt;"",$I17&lt;&gt;"",$G17&lt;&gt;$I17)</f>
        <v>1</v>
      </c>
      <c r="AA17" s="356" t="b">
        <f t="shared" ref="AA17:AA18" si="11">AND($Y17,$P17&lt;&gt;"",$R17&lt;&gt;"",$P17&lt;&gt;$R17)</f>
        <v>0</v>
      </c>
      <c r="AB17" s="728">
        <f t="shared" ref="AB17:AB18" ca="1" si="12">(($J17&gt;$L17)+($M17&gt;$O17)+($P17&gt;$R17)*$AA17)*$Z17</f>
        <v>0</v>
      </c>
      <c r="AC17" s="728">
        <f t="shared" ref="AC17:AC18" ca="1" si="13">(($J17&lt;$L17)+($M17&lt;$O17)+($P17&lt;$R17)*$AA17)*$Z17</f>
        <v>2</v>
      </c>
    </row>
    <row r="18" spans="1:29" ht="24" customHeight="1" thickBot="1" x14ac:dyDescent="0.25">
      <c r="A18" s="356"/>
      <c r="B18" s="421"/>
      <c r="C18" s="427">
        <f ca="1">$C$17+1</f>
        <v>25</v>
      </c>
      <c r="D18" s="430">
        <f t="array" aca="1" ref="D18" ca="1">IF(Planning!$V$15,"",$D$12+QUOTIENT(($C18-$C$12),Planning!$V$11)*(Planning!$S$7+Planning!$S$9)/1440+SUM($T$12:$T17)/1440)</f>
        <v>0.52083333333333337</v>
      </c>
      <c r="E18" s="407">
        <f ca="1">IF(Planning!$V$15,"",MOD($C18-$C$12,Planning!$V$11)+1)</f>
        <v>1</v>
      </c>
      <c r="F18" s="366" t="s">
        <v>235</v>
      </c>
      <c r="G18" s="362" t="str">
        <f ca="1">PreliminaryRound!$R$22</f>
        <v>Mainz 05</v>
      </c>
      <c r="H18" s="154" t="s">
        <v>4</v>
      </c>
      <c r="I18" s="364" t="str">
        <f ca="1">PreliminaryRound!$R$13</f>
        <v>Eintracht Frankfurt</v>
      </c>
      <c r="J18" s="375">
        <v>26</v>
      </c>
      <c r="K18" s="408" t="str">
        <f>Language!$E$80</f>
        <v>-</v>
      </c>
      <c r="L18" s="700">
        <v>24</v>
      </c>
      <c r="M18" s="375">
        <v>25</v>
      </c>
      <c r="N18" s="408" t="str">
        <f>Language!$E$80</f>
        <v>-</v>
      </c>
      <c r="O18" s="700">
        <v>22</v>
      </c>
      <c r="P18" s="375"/>
      <c r="Q18" s="711" t="str">
        <f>Language!$E$80</f>
        <v>-</v>
      </c>
      <c r="R18" s="360"/>
      <c r="S18" s="788"/>
      <c r="T18" s="708">
        <v>15</v>
      </c>
      <c r="U18" s="356"/>
      <c r="W18" s="710" t="str">
        <f t="shared" ca="1" si="7"/>
        <v>Mainz 05</v>
      </c>
      <c r="X18" s="710" t="str">
        <f t="shared" ca="1" si="8"/>
        <v>Eintracht Frankfurt</v>
      </c>
      <c r="Y18" s="356" t="b">
        <f t="shared" si="9"/>
        <v>0</v>
      </c>
      <c r="Z18" s="728" t="b">
        <f t="shared" ca="1" si="10"/>
        <v>1</v>
      </c>
      <c r="AA18" s="356" t="b">
        <f t="shared" si="11"/>
        <v>0</v>
      </c>
      <c r="AB18" s="728">
        <f t="shared" ca="1" si="12"/>
        <v>2</v>
      </c>
      <c r="AC18" s="728">
        <f t="shared" ca="1" si="13"/>
        <v>0</v>
      </c>
    </row>
    <row r="19" spans="1:29" ht="27.95" customHeight="1" thickTop="1" thickBot="1" x14ac:dyDescent="0.35">
      <c r="A19" s="356"/>
      <c r="B19" s="422"/>
      <c r="C19" s="933" t="str">
        <f>Language!$E$54</f>
        <v>Finals</v>
      </c>
      <c r="D19" s="933"/>
      <c r="E19" s="933"/>
      <c r="F19" s="933"/>
      <c r="G19" s="493"/>
      <c r="H19" s="120"/>
      <c r="I19" s="493"/>
      <c r="J19" s="396"/>
      <c r="K19" s="396"/>
      <c r="L19" s="396"/>
      <c r="M19" s="396"/>
      <c r="N19" s="396"/>
      <c r="O19" s="396"/>
      <c r="P19" s="396"/>
      <c r="Q19" s="396"/>
      <c r="R19" s="396"/>
      <c r="S19" s="304"/>
      <c r="T19" s="398"/>
      <c r="U19" s="356"/>
      <c r="W19" s="710"/>
      <c r="X19" s="710"/>
      <c r="Y19" s="356"/>
      <c r="Z19" s="728"/>
      <c r="AA19" s="356"/>
      <c r="AB19" s="728"/>
      <c r="AC19" s="728"/>
    </row>
    <row r="20" spans="1:29" ht="24" customHeight="1" thickTop="1" x14ac:dyDescent="0.2">
      <c r="A20" s="356"/>
      <c r="B20" s="421"/>
      <c r="C20" s="431">
        <f ca="1">$C$17+2</f>
        <v>26</v>
      </c>
      <c r="D20" s="432">
        <f ca="1">IF(Planning!$V$15,"",$D$18+($T$18+Planning!$S$9+Planning!$S$7)/1440)</f>
        <v>0.55555555555555558</v>
      </c>
      <c r="E20" s="399">
        <f>IF(Planning!$V$15,"",1)</f>
        <v>1</v>
      </c>
      <c r="F20" s="400" t="str">
        <f>Language!$E$89</f>
        <v>3rd place</v>
      </c>
      <c r="G20" s="401" t="str">
        <f ca="1">X17</f>
        <v>Maibach 1822 eV</v>
      </c>
      <c r="H20" s="402" t="s">
        <v>4</v>
      </c>
      <c r="I20" s="403" t="str">
        <f ca="1">X18</f>
        <v>Eintracht Frankfurt</v>
      </c>
      <c r="J20" s="404">
        <v>19</v>
      </c>
      <c r="K20" s="405" t="str">
        <f>Language!$E$80</f>
        <v>-</v>
      </c>
      <c r="L20" s="709">
        <v>25</v>
      </c>
      <c r="M20" s="404">
        <v>25</v>
      </c>
      <c r="N20" s="405" t="str">
        <f>Language!$E$80</f>
        <v>-</v>
      </c>
      <c r="O20" s="709">
        <v>17</v>
      </c>
      <c r="P20" s="404">
        <v>14</v>
      </c>
      <c r="Q20" s="712" t="str">
        <f>Language!$E$80</f>
        <v>-</v>
      </c>
      <c r="R20" s="406">
        <v>16</v>
      </c>
      <c r="S20" s="787"/>
      <c r="T20" s="689"/>
      <c r="U20" s="356"/>
      <c r="W20" s="710" t="str">
        <f t="shared" ref="W20:W21" ca="1" si="14">IF($AB20&gt;$AC20,$G20,IF($AB20&lt;$AC20,$I20,""))</f>
        <v>Eintracht Frankfurt</v>
      </c>
      <c r="X20" s="710" t="str">
        <f t="shared" ref="X20:X21" ca="1" si="15">IF($AB20&lt;$AC20,$G20,IF($AB20&gt;$AC20,$I20,""))</f>
        <v>Maibach 1822 eV</v>
      </c>
      <c r="Y20" s="356" t="b">
        <f t="shared" ref="Y20:Y21" si="16">AND($J20&lt;&gt;"",$L20&lt;&gt;"",$M20&lt;&gt;"",$O20&lt;&gt;"",$J20&lt;&gt;$L20,$M20&lt;&gt;$O20,($J20&gt;$L20)+($M20&gt;$O20)=1)</f>
        <v>1</v>
      </c>
      <c r="Z20" s="728" t="b">
        <f t="shared" ref="Z20:Z21" ca="1" si="17">AND($J20&lt;&gt;"",$L20&lt;&gt;"",$J20&lt;&gt;$L20,OR(AND($M20="",$O20=""),AND($M20&lt;&gt;"",$O20&lt;&gt;"",$M20&lt;&gt;$O20)),$G20&lt;&gt;"",$I20&lt;&gt;"",$G20&lt;&gt;$I20)</f>
        <v>1</v>
      </c>
      <c r="AA20" s="356" t="b">
        <f t="shared" ref="AA20:AA21" si="18">AND($Y20,$P20&lt;&gt;"",$R20&lt;&gt;"",$P20&lt;&gt;$R20)</f>
        <v>1</v>
      </c>
      <c r="AB20" s="728">
        <f t="shared" ref="AB20:AB21" ca="1" si="19">(($J20&gt;$L20)+($M20&gt;$O20)+($P20&gt;$R20)*$AA20)*$Z20</f>
        <v>1</v>
      </c>
      <c r="AC20" s="728">
        <f t="shared" ref="AC20:AC21" ca="1" si="20">(($J20&lt;$L20)+($M20&lt;$O20)+($P20&lt;$R20)*$AA20)*$Z20</f>
        <v>2</v>
      </c>
    </row>
    <row r="21" spans="1:29" ht="24" customHeight="1" thickBot="1" x14ac:dyDescent="0.25">
      <c r="A21" s="356"/>
      <c r="B21" s="421"/>
      <c r="C21" s="427">
        <f ca="1">$C$17+3</f>
        <v>27</v>
      </c>
      <c r="D21" s="430">
        <f ca="1">IF(Planning!$V$15,"",$D$20+($T$20+Planning!$S$9+Planning!$S$7)/1440)</f>
        <v>0.57986111111111116</v>
      </c>
      <c r="E21" s="407">
        <f>IF(Planning!$V$15,"",1)</f>
        <v>1</v>
      </c>
      <c r="F21" s="366" t="str">
        <f>Language!$E$90</f>
        <v>Final</v>
      </c>
      <c r="G21" s="362" t="str">
        <f ca="1">W17</f>
        <v>Manchester City</v>
      </c>
      <c r="H21" s="154" t="s">
        <v>4</v>
      </c>
      <c r="I21" s="364" t="str">
        <f ca="1">W18</f>
        <v>Mainz 05</v>
      </c>
      <c r="J21" s="375">
        <v>15</v>
      </c>
      <c r="K21" s="408" t="str">
        <f>Language!$E$80</f>
        <v>-</v>
      </c>
      <c r="L21" s="700">
        <v>25</v>
      </c>
      <c r="M21" s="375">
        <v>20</v>
      </c>
      <c r="N21" s="408" t="str">
        <f>Language!$E$80</f>
        <v>-</v>
      </c>
      <c r="O21" s="700">
        <v>25</v>
      </c>
      <c r="P21" s="375"/>
      <c r="Q21" s="711" t="str">
        <f>Language!$E$80</f>
        <v>-</v>
      </c>
      <c r="R21" s="360"/>
      <c r="S21" s="788"/>
      <c r="T21" s="707"/>
      <c r="U21" s="356"/>
      <c r="W21" s="710" t="str">
        <f t="shared" ca="1" si="14"/>
        <v>Mainz 05</v>
      </c>
      <c r="X21" s="710" t="str">
        <f t="shared" ca="1" si="15"/>
        <v>Manchester City</v>
      </c>
      <c r="Y21" s="356" t="b">
        <f t="shared" si="16"/>
        <v>0</v>
      </c>
      <c r="Z21" s="728" t="b">
        <f t="shared" ca="1" si="17"/>
        <v>1</v>
      </c>
      <c r="AA21" s="356" t="b">
        <f t="shared" si="18"/>
        <v>0</v>
      </c>
      <c r="AB21" s="728">
        <f t="shared" ca="1" si="19"/>
        <v>0</v>
      </c>
      <c r="AC21" s="728">
        <f t="shared" ca="1" si="20"/>
        <v>2</v>
      </c>
    </row>
    <row r="22" spans="1:29" ht="12.75" customHeight="1" thickTop="1" x14ac:dyDescent="0.2"/>
    <row r="23" spans="1:29" ht="24" customHeight="1" x14ac:dyDescent="0.2">
      <c r="C23" s="392"/>
      <c r="D23" s="392"/>
      <c r="E23" s="392"/>
      <c r="F23" s="392"/>
      <c r="G23" s="899" t="str">
        <f>Language!$E$29</f>
        <v>Tournament end:</v>
      </c>
      <c r="H23" s="899"/>
      <c r="I23" s="393">
        <f ca="1">IF(Planning!$S$13="","",$D$21+Planning!$S$7/1440)</f>
        <v>0.60069444444444453</v>
      </c>
      <c r="J23" s="394"/>
      <c r="K23" s="394"/>
      <c r="L23" s="394"/>
      <c r="M23" s="394"/>
      <c r="N23" s="394"/>
      <c r="O23" s="394"/>
      <c r="P23" s="394"/>
      <c r="Q23" s="394"/>
      <c r="R23" s="394"/>
      <c r="S23" s="394"/>
      <c r="T23" s="394"/>
    </row>
    <row r="24" spans="1:29" ht="12.75" customHeight="1" x14ac:dyDescent="0.2">
      <c r="D24" s="386"/>
    </row>
    <row r="25" spans="1:29" ht="12.75" customHeight="1" x14ac:dyDescent="0.2">
      <c r="D25" s="386"/>
    </row>
    <row r="26" spans="1:29" ht="24" customHeight="1" thickBot="1" x14ac:dyDescent="0.25">
      <c r="F26" s="395" t="str">
        <f>Language!$E$88</f>
        <v>Rank</v>
      </c>
      <c r="G26" s="927" t="str">
        <f>"  "&amp;Language!$E$10</f>
        <v xml:space="preserve">  Participant or team</v>
      </c>
      <c r="H26" s="927"/>
      <c r="I26" s="928"/>
    </row>
    <row r="27" spans="1:29" ht="24" customHeight="1" thickTop="1" x14ac:dyDescent="0.2">
      <c r="E27" s="387">
        <v>1</v>
      </c>
      <c r="F27" s="435">
        <v>1</v>
      </c>
      <c r="G27" s="929" t="str">
        <f ca="1">W21</f>
        <v>Mainz 05</v>
      </c>
      <c r="H27" s="929"/>
      <c r="I27" s="930"/>
    </row>
    <row r="28" spans="1:29" ht="24" customHeight="1" x14ac:dyDescent="0.2">
      <c r="E28" s="387">
        <v>2</v>
      </c>
      <c r="F28" s="436">
        <v>2</v>
      </c>
      <c r="G28" s="931" t="str">
        <f ca="1">X21</f>
        <v>Manchester City</v>
      </c>
      <c r="H28" s="931"/>
      <c r="I28" s="932"/>
    </row>
    <row r="29" spans="1:29" ht="24" customHeight="1" x14ac:dyDescent="0.2">
      <c r="E29" s="387">
        <v>3</v>
      </c>
      <c r="F29" s="437">
        <v>3</v>
      </c>
      <c r="G29" s="925" t="str">
        <f ca="1">W20</f>
        <v>Eintracht Frankfurt</v>
      </c>
      <c r="H29" s="925"/>
      <c r="I29" s="926"/>
    </row>
    <row r="30" spans="1:29" ht="24" customHeight="1" x14ac:dyDescent="0.2">
      <c r="E30" s="387">
        <v>4</v>
      </c>
      <c r="F30" s="438">
        <v>4</v>
      </c>
      <c r="G30" s="921" t="str">
        <f ca="1">X20</f>
        <v>Maibach 1822 eV</v>
      </c>
      <c r="H30" s="921"/>
      <c r="I30" s="922"/>
    </row>
    <row r="31" spans="1:29" ht="24" customHeight="1" x14ac:dyDescent="0.2">
      <c r="E31" s="387">
        <v>5</v>
      </c>
      <c r="F31" s="438">
        <v>5</v>
      </c>
      <c r="G31" s="921" t="str">
        <f ca="1">W15</f>
        <v>1. FC Riedwald</v>
      </c>
      <c r="H31" s="921"/>
      <c r="I31" s="922"/>
    </row>
    <row r="32" spans="1:29" ht="24" customHeight="1" x14ac:dyDescent="0.2">
      <c r="E32" s="387">
        <v>6</v>
      </c>
      <c r="F32" s="438">
        <v>6</v>
      </c>
      <c r="G32" s="921" t="str">
        <f ca="1">X15</f>
        <v>FC Grönlingen</v>
      </c>
      <c r="H32" s="921"/>
      <c r="I32" s="922"/>
    </row>
    <row r="33" spans="5:9" ht="24" customHeight="1" x14ac:dyDescent="0.2">
      <c r="E33" s="387">
        <v>7</v>
      </c>
      <c r="F33" s="438">
        <v>7</v>
      </c>
      <c r="G33" s="921" t="str">
        <f ca="1">W14</f>
        <v>SSV Wildbach</v>
      </c>
      <c r="H33" s="921"/>
      <c r="I33" s="922"/>
    </row>
    <row r="34" spans="5:9" ht="24" customHeight="1" x14ac:dyDescent="0.2">
      <c r="E34" s="387">
        <v>8</v>
      </c>
      <c r="F34" s="438">
        <v>8</v>
      </c>
      <c r="G34" s="921" t="str">
        <f ca="1">X14</f>
        <v>FC Barcelona</v>
      </c>
      <c r="H34" s="921"/>
      <c r="I34" s="922"/>
    </row>
    <row r="35" spans="5:9" ht="24" customHeight="1" x14ac:dyDescent="0.2">
      <c r="E35" s="387">
        <v>9</v>
      </c>
      <c r="F35" s="438">
        <v>9</v>
      </c>
      <c r="G35" s="921" t="str">
        <f ca="1">W13</f>
        <v>VFB Essenheim</v>
      </c>
      <c r="H35" s="921"/>
      <c r="I35" s="922"/>
    </row>
    <row r="36" spans="5:9" ht="24" customHeight="1" x14ac:dyDescent="0.2">
      <c r="E36" s="387">
        <v>10</v>
      </c>
      <c r="F36" s="438">
        <v>10</v>
      </c>
      <c r="G36" s="921" t="str">
        <f ca="1">X13</f>
        <v>Inter Mailand</v>
      </c>
      <c r="H36" s="921"/>
      <c r="I36" s="922"/>
    </row>
    <row r="37" spans="5:9" ht="24" customHeight="1" x14ac:dyDescent="0.2">
      <c r="E37" s="387">
        <v>11</v>
      </c>
      <c r="F37" s="438">
        <v>11</v>
      </c>
      <c r="G37" s="921" t="str">
        <f ca="1">W12</f>
        <v/>
      </c>
      <c r="H37" s="921"/>
      <c r="I37" s="922"/>
    </row>
    <row r="38" spans="5:9" ht="24" customHeight="1" thickBot="1" x14ac:dyDescent="0.25">
      <c r="E38" s="387">
        <v>12</v>
      </c>
      <c r="F38" s="439">
        <v>12</v>
      </c>
      <c r="G38" s="923" t="str">
        <f ca="1">X12</f>
        <v/>
      </c>
      <c r="H38" s="923"/>
      <c r="I38" s="924"/>
    </row>
    <row r="39" spans="5:9" ht="13.5" thickTop="1" x14ac:dyDescent="0.2"/>
    <row r="40" spans="5:9" x14ac:dyDescent="0.2"/>
    <row r="41" spans="5:9" x14ac:dyDescent="0.2"/>
    <row r="42" spans="5:9" x14ac:dyDescent="0.2"/>
  </sheetData>
  <sheetProtection sheet="1" selectLockedCells="1"/>
  <mergeCells count="28">
    <mergeCell ref="C16:F16"/>
    <mergeCell ref="C19:F19"/>
    <mergeCell ref="T9:T11"/>
    <mergeCell ref="G11:I11"/>
    <mergeCell ref="J11:L11"/>
    <mergeCell ref="M11:O11"/>
    <mergeCell ref="P11:R11"/>
    <mergeCell ref="E2:T2"/>
    <mergeCell ref="E3:T3"/>
    <mergeCell ref="E4:T4"/>
    <mergeCell ref="E5:T5"/>
    <mergeCell ref="C10:F10"/>
    <mergeCell ref="G7:Q8"/>
    <mergeCell ref="AB11:AC11"/>
    <mergeCell ref="G36:I36"/>
    <mergeCell ref="G37:I37"/>
    <mergeCell ref="G38:I38"/>
    <mergeCell ref="G30:I30"/>
    <mergeCell ref="G31:I31"/>
    <mergeCell ref="G32:I32"/>
    <mergeCell ref="G33:I33"/>
    <mergeCell ref="G34:I34"/>
    <mergeCell ref="G35:I35"/>
    <mergeCell ref="G29:I29"/>
    <mergeCell ref="G26:I26"/>
    <mergeCell ref="G27:I27"/>
    <mergeCell ref="G28:I28"/>
    <mergeCell ref="G23:H23"/>
  </mergeCells>
  <conditionalFormatting sqref="C12:R15">
    <cfRule type="expression" dxfId="23" priority="7">
      <formula>OR($G12="",$I12="")</formula>
    </cfRule>
  </conditionalFormatting>
  <conditionalFormatting sqref="J12:O15 J17:O18 J20:O21">
    <cfRule type="expression" dxfId="22" priority="6">
      <formula>OR(AND($J12&lt;&gt;"",$J12=$L12),AND($M12&lt;&gt;"",$M12=$O12))</formula>
    </cfRule>
  </conditionalFormatting>
  <conditionalFormatting sqref="P12:R15 P17:R18 P20:R21">
    <cfRule type="expression" dxfId="21" priority="4">
      <formula>NOT($Y12)</formula>
    </cfRule>
    <cfRule type="expression" dxfId="20" priority="5">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2" id="{2F853DF4-ED67-4F75-899F-808BA77A2FD7}">
            <xm:f>$F30&gt;2*Calc1!$F$14-MOD((Calc1!$F$13+Calc2!$F$13),2)</xm:f>
            <x14:dxf>
              <numFmt numFmtId="165" formatCode=";;;"/>
            </x14:dxf>
          </x14:cfRule>
          <xm:sqref>F30:F38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6" customWidth="1"/>
    <col min="2" max="2" width="4.5703125" style="46" customWidth="1"/>
    <col min="3" max="3" width="32.7109375" style="46" customWidth="1"/>
    <col min="4" max="6" width="11.7109375" style="46" customWidth="1"/>
    <col min="7" max="12" width="6.85546875" style="46" customWidth="1"/>
    <col min="13" max="13" width="32.7109375" style="46" customWidth="1"/>
    <col min="14" max="14" width="4.5703125" style="46" customWidth="1"/>
    <col min="15" max="16384" width="11.42578125" style="46" hidden="1"/>
  </cols>
  <sheetData>
    <row r="1" spans="2:13" x14ac:dyDescent="0.2"/>
    <row r="2" spans="2:13" ht="33.75" x14ac:dyDescent="0.2">
      <c r="B2" s="934" t="str">
        <f>Language!$E$7</f>
        <v>Direct comparisons</v>
      </c>
      <c r="C2" s="934"/>
      <c r="D2" s="934"/>
      <c r="E2" s="934"/>
      <c r="F2" s="934"/>
      <c r="G2" s="934"/>
      <c r="H2" s="934"/>
      <c r="I2" s="934"/>
      <c r="J2" s="934"/>
      <c r="K2" s="934"/>
      <c r="L2" s="934"/>
    </row>
    <row r="3" spans="2:13" ht="42.75" customHeight="1" x14ac:dyDescent="0.2">
      <c r="B3" s="935" t="str">
        <f>Language!$E$56&amp;" A"</f>
        <v>Preliminary round group A</v>
      </c>
      <c r="C3" s="935"/>
      <c r="D3" s="935"/>
      <c r="E3" s="935"/>
      <c r="F3" s="935"/>
      <c r="G3" s="935"/>
      <c r="H3" s="935"/>
      <c r="I3" s="935"/>
      <c r="J3" s="935"/>
      <c r="K3" s="935"/>
      <c r="L3" s="935"/>
    </row>
    <row r="4" spans="2:13" ht="17.25" customHeight="1" x14ac:dyDescent="0.2">
      <c r="B4" s="936" t="str">
        <f>Language!$E$78</f>
        <v>Red font means that the ranking is not clear even with the direct comparison. A playoff match or drawing of lots must decide here.</v>
      </c>
      <c r="C4" s="936"/>
      <c r="D4" s="936"/>
      <c r="E4" s="936"/>
      <c r="F4" s="936"/>
      <c r="G4" s="936"/>
      <c r="H4" s="936"/>
      <c r="I4" s="936"/>
      <c r="J4" s="936"/>
      <c r="K4" s="936"/>
      <c r="L4" s="936"/>
      <c r="M4" s="936"/>
    </row>
    <row r="5" spans="2:13" ht="17.25" customHeight="1" thickBot="1" x14ac:dyDescent="0.25">
      <c r="B5" s="118"/>
      <c r="C5" s="118"/>
      <c r="D5" s="118"/>
      <c r="E5" s="118"/>
      <c r="F5" s="118"/>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6"/>
      <c r="C7" s="122" t="str">
        <f>Language!$E$10</f>
        <v>Participant or team</v>
      </c>
      <c r="D7" s="126" t="str">
        <f>Language!$E$27</f>
        <v>Pts</v>
      </c>
      <c r="E7" s="113" t="str">
        <f>Language!$E$26</f>
        <v>GD</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4" t="str">
        <f ca="1">IF($C8="","",INDEX(Calc1!$E$4:$E$12,MATCH($C8,Calc1!$F$4:$F$12,0)))</f>
        <v/>
      </c>
      <c r="C8" s="123" t="str">
        <f ca="1">IF(Calc1!$K$13=0,"",Calc1!$X4)</f>
        <v/>
      </c>
      <c r="D8" s="127" t="str">
        <f ca="1">IF($C8="","",VLOOKUP($C8,Calc1!$C$17:$AC$25,25,0))</f>
        <v/>
      </c>
      <c r="E8" s="110" t="str">
        <f ca="1">IF($C8="","",VLOOKUP($C8,Calc1!$C$17:$AC$25,26,0))</f>
        <v/>
      </c>
      <c r="F8" s="497" t="str">
        <f ca="1">IF($C8="","",VLOOKUP(C8,PreliminaryRound!$AO$12:$AQ$27,3,0))</f>
        <v/>
      </c>
      <c r="G8" s="135"/>
      <c r="H8" s="110" t="str">
        <f ca="1">IFERROR(VLOOKUP($C8&amp;H$7,Calc1!$Z$64:$AB$207,3,0),"")</f>
        <v/>
      </c>
      <c r="I8" s="110" t="str">
        <f ca="1">IFERROR(VLOOKUP($C8&amp;I$7,Calc1!$Z$64:$AB$207,3,0),"")</f>
        <v/>
      </c>
      <c r="J8" s="110" t="str">
        <f ca="1">IFERROR(VLOOKUP($C8&amp;J$7,Calc1!$Z$64:$AB$207,3,0),"")</f>
        <v/>
      </c>
      <c r="K8" s="110" t="str">
        <f ca="1">IFERROR(VLOOKUP($C8&amp;K$7,Calc1!$Z$64:$AB$207,3,0),"")</f>
        <v/>
      </c>
      <c r="L8" s="156" t="str">
        <f ca="1">IFERROR(VLOOKUP($C8&amp;L$7,Calc1!$Z$64:$AB$207,3,0),"")</f>
        <v/>
      </c>
      <c r="M8" s="186" t="str">
        <f t="shared" ref="M8:M13" ca="1" si="0">C8</f>
        <v/>
      </c>
    </row>
    <row r="9" spans="2:13" ht="21.95" customHeight="1" x14ac:dyDescent="0.2">
      <c r="B9" s="114" t="str">
        <f ca="1">IF($C9="","",INDEX(Calc1!$E$4:$E$12,MATCH($C9,Calc1!$F$4:$F$12,0)))</f>
        <v/>
      </c>
      <c r="C9" s="124" t="str">
        <f ca="1">IF(Calc1!$K$13=0,"",Calc1!$X5)</f>
        <v/>
      </c>
      <c r="D9" s="128" t="str">
        <f ca="1">IF($C9="","",VLOOKUP($C9,Calc1!$C$17:$AC$25,25,0))</f>
        <v/>
      </c>
      <c r="E9" s="111" t="str">
        <f ca="1">IF($C9="","",VLOOKUP($C9,Calc1!$C$17:$AC$25,26,0))</f>
        <v/>
      </c>
      <c r="F9" s="498" t="str">
        <f ca="1">IF($C9="","",VLOOKUP(C9,PreliminaryRound!$AO$12:$AQ$27,3,0))</f>
        <v/>
      </c>
      <c r="G9" s="136" t="str">
        <f ca="1">IFERROR(VLOOKUP($C9&amp;G$7,Calc1!$Z$64:$AB$207,3,0),"")</f>
        <v/>
      </c>
      <c r="H9" s="121"/>
      <c r="I9" s="111" t="str">
        <f ca="1">IFERROR(VLOOKUP($C9&amp;I$7,Calc1!$Z$64:$AB$207,3,0),"")</f>
        <v/>
      </c>
      <c r="J9" s="111" t="str">
        <f ca="1">IFERROR(VLOOKUP($C9&amp;J$7,Calc1!$Z$64:$AB$207,3,0),"")</f>
        <v/>
      </c>
      <c r="K9" s="111" t="str">
        <f ca="1">IFERROR(VLOOKUP($C9&amp;K$7,Calc1!$Z$64:$AB$207,3,0),"")</f>
        <v/>
      </c>
      <c r="L9" s="157" t="str">
        <f ca="1">IFERROR(VLOOKUP($C9&amp;L$7,Calc1!$Z$64:$AB$207,3,0),"")</f>
        <v/>
      </c>
      <c r="M9" s="187" t="str">
        <f t="shared" ca="1" si="0"/>
        <v/>
      </c>
    </row>
    <row r="10" spans="2:13" ht="21.95" customHeight="1" x14ac:dyDescent="0.2">
      <c r="B10" s="114" t="str">
        <f ca="1">IF($C10="","",INDEX(Calc1!$E$4:$E$12,MATCH($C10,Calc1!$F$4:$F$12,0)))</f>
        <v/>
      </c>
      <c r="C10" s="124" t="str">
        <f ca="1">IF(Calc1!$K$13=0,"",Calc1!$X6)</f>
        <v/>
      </c>
      <c r="D10" s="128" t="str">
        <f ca="1">IF($C10="","",VLOOKUP($C10,Calc1!$C$17:$AC$25,25,0))</f>
        <v/>
      </c>
      <c r="E10" s="111" t="str">
        <f ca="1">IF($C10="","",VLOOKUP($C10,Calc1!$C$17:$AC$25,26,0))</f>
        <v/>
      </c>
      <c r="F10" s="498" t="str">
        <f ca="1">IF($C10="","",VLOOKUP(C10,PreliminaryRound!$AO$12:$AQ$27,3,0))</f>
        <v/>
      </c>
      <c r="G10" s="136" t="str">
        <f ca="1">IFERROR(VLOOKUP($C10&amp;G$7,Calc1!$Z$64:$AB$207,3,0),"")</f>
        <v/>
      </c>
      <c r="H10" s="111" t="str">
        <f ca="1">IFERROR(VLOOKUP($C10&amp;H$7,Calc1!$Z$64:$AB$207,3,0),"")</f>
        <v/>
      </c>
      <c r="I10" s="121"/>
      <c r="J10" s="111" t="str">
        <f ca="1">IFERROR(VLOOKUP($C10&amp;J$7,Calc1!$Z$64:$AB$207,3,0),"")</f>
        <v/>
      </c>
      <c r="K10" s="111" t="str">
        <f ca="1">IFERROR(VLOOKUP($C10&amp;K$7,Calc1!$Z$64:$AB$207,3,0),"")</f>
        <v/>
      </c>
      <c r="L10" s="157" t="str">
        <f ca="1">IFERROR(VLOOKUP($C10&amp;L$7,Calc1!$Z$64:$AB$207,3,0),"")</f>
        <v/>
      </c>
      <c r="M10" s="187" t="str">
        <f t="shared" ca="1" si="0"/>
        <v/>
      </c>
    </row>
    <row r="11" spans="2:13" ht="21.95" customHeight="1" x14ac:dyDescent="0.2">
      <c r="B11" s="114" t="str">
        <f ca="1">IF($C11="","",INDEX(Calc1!$E$4:$E$12,MATCH($C11,Calc1!$F$4:$F$12,0)))</f>
        <v/>
      </c>
      <c r="C11" s="124" t="str">
        <f ca="1">IF(Calc1!$K$13=0,"",Calc1!$X7)</f>
        <v/>
      </c>
      <c r="D11" s="128" t="str">
        <f ca="1">IF($C11="","",VLOOKUP($C11,Calc1!$C$17:$AC$25,25,0))</f>
        <v/>
      </c>
      <c r="E11" s="111" t="str">
        <f ca="1">IF($C11="","",VLOOKUP($C11,Calc1!$C$17:$AC$25,26,0))</f>
        <v/>
      </c>
      <c r="F11" s="498" t="str">
        <f ca="1">IF($C11="","",VLOOKUP(C11,PreliminaryRound!$AO$12:$AQ$27,3,0))</f>
        <v/>
      </c>
      <c r="G11" s="136" t="str">
        <f ca="1">IFERROR(VLOOKUP($C11&amp;G$7,Calc1!$Z$64:$AB$207,3,0),"")</f>
        <v/>
      </c>
      <c r="H11" s="111" t="str">
        <f ca="1">IFERROR(VLOOKUP($C11&amp;H$7,Calc1!$Z$64:$AB$207,3,0),"")</f>
        <v/>
      </c>
      <c r="I11" s="111" t="str">
        <f ca="1">IFERROR(VLOOKUP($C11&amp;I$7,Calc1!$Z$64:$AB$207,3,0),"")</f>
        <v/>
      </c>
      <c r="J11" s="121"/>
      <c r="K11" s="111" t="str">
        <f ca="1">IFERROR(VLOOKUP($C11&amp;K$7,Calc1!$Z$64:$AB$207,3,0),"")</f>
        <v/>
      </c>
      <c r="L11" s="157" t="str">
        <f ca="1">IFERROR(VLOOKUP($C11&amp;L$7,Calc1!$Z$64:$AB$207,3,0),"")</f>
        <v/>
      </c>
      <c r="M11" s="187" t="str">
        <f t="shared" ca="1" si="0"/>
        <v/>
      </c>
    </row>
    <row r="12" spans="2:13" ht="21.95" customHeight="1" x14ac:dyDescent="0.2">
      <c r="B12" s="114" t="str">
        <f ca="1">IF($C12="","",INDEX(Calc1!$E$4:$E$12,MATCH($C12,Calc1!$F$4:$F$12,0)))</f>
        <v/>
      </c>
      <c r="C12" s="124" t="str">
        <f ca="1">IF(Calc1!$K$13=0,"",Calc1!$X8)</f>
        <v/>
      </c>
      <c r="D12" s="128" t="str">
        <f ca="1">IF($C12="","",VLOOKUP($C12,Calc1!$C$17:$AC$25,25,0))</f>
        <v/>
      </c>
      <c r="E12" s="111" t="str">
        <f ca="1">IF($C12="","",VLOOKUP($C12,Calc1!$C$17:$AC$25,26,0))</f>
        <v/>
      </c>
      <c r="F12" s="498" t="str">
        <f ca="1">IF($C12="","",VLOOKUP(C12,PreliminaryRound!$AO$12:$AQ$27,3,0))</f>
        <v/>
      </c>
      <c r="G12" s="136" t="str">
        <f ca="1">IFERROR(VLOOKUP($C12&amp;G$7,Calc1!$Z$64:$AB$207,3,0),"")</f>
        <v/>
      </c>
      <c r="H12" s="111" t="str">
        <f ca="1">IFERROR(VLOOKUP($C12&amp;H$7,Calc1!$Z$64:$AB$207,3,0),"")</f>
        <v/>
      </c>
      <c r="I12" s="111" t="str">
        <f ca="1">IFERROR(VLOOKUP($C12&amp;I$7,Calc1!$Z$64:$AB$207,3,0),"")</f>
        <v/>
      </c>
      <c r="J12" s="111" t="str">
        <f ca="1">IFERROR(VLOOKUP($C12&amp;J$7,Calc1!$Z$64:$AB$207,3,0),"")</f>
        <v/>
      </c>
      <c r="K12" s="121"/>
      <c r="L12" s="157" t="str">
        <f ca="1">IFERROR(VLOOKUP($C12&amp;L$7,Calc1!$Z$64:$AB$207,3,0),"")</f>
        <v/>
      </c>
      <c r="M12" s="187" t="str">
        <f t="shared" ca="1" si="0"/>
        <v/>
      </c>
    </row>
    <row r="13" spans="2:13" ht="21.95" customHeight="1" thickBot="1" x14ac:dyDescent="0.25">
      <c r="B13" s="115" t="str">
        <f ca="1">IF($C13="","",INDEX(Calc1!$E$4:$E$12,MATCH($C13,Calc1!$F$4:$F$12,0)))</f>
        <v/>
      </c>
      <c r="C13" s="125" t="str">
        <f ca="1">IF(Calc1!$K$13=0,"",Calc1!$X9)</f>
        <v/>
      </c>
      <c r="D13" s="129" t="str">
        <f ca="1">IF($C13="","",VLOOKUP($C13,Calc1!$C$17:$AC$25,25,0))</f>
        <v/>
      </c>
      <c r="E13" s="112" t="str">
        <f ca="1">IF($C13="","",VLOOKUP($C13,Calc1!$C$17:$AC$25,26,0))</f>
        <v/>
      </c>
      <c r="F13" s="499" t="str">
        <f ca="1">IF($C13="","",VLOOKUP(C13,PreliminaryRound!$AO$12:$AQ$27,3,0))</f>
        <v/>
      </c>
      <c r="G13" s="137" t="str">
        <f ca="1">IFERROR(VLOOKUP($C13&amp;G$7,Calc1!$Z$64:$AB$207,3,0),"")</f>
        <v/>
      </c>
      <c r="H13" s="112" t="str">
        <f ca="1">IFERROR(VLOOKUP($C13&amp;H$7,Calc1!$Z$64:$AB$207,3,0),"")</f>
        <v/>
      </c>
      <c r="I13" s="112" t="str">
        <f ca="1">IFERROR(VLOOKUP($C13&amp;I$7,Calc1!$Z$64:$AB$207,3,0),"")</f>
        <v/>
      </c>
      <c r="J13" s="112" t="str">
        <f ca="1">IFERROR(VLOOKUP($C13&amp;J$7,Calc1!$Z$64:$AB$207,3,0),"")</f>
        <v/>
      </c>
      <c r="K13" s="112" t="str">
        <f ca="1">IFERROR(VLOOKUP($C13&amp;K$7,Calc1!$Z$64:$AB$207,3,0),"")</f>
        <v/>
      </c>
      <c r="L13" s="158"/>
      <c r="M13" s="188"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6"/>
      <c r="C16" s="122" t="str">
        <f>Language!$E$10</f>
        <v>Participant or team</v>
      </c>
      <c r="D16" s="126" t="str">
        <f>Language!$E$27</f>
        <v>Pts</v>
      </c>
      <c r="E16" s="113" t="str">
        <f>Language!$E$26</f>
        <v>GD</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4" t="str">
        <f ca="1">IF($C17="","",INDEX(Calc1!$E$4:$E$12,MATCH($C17,Calc1!$F$4:$F$12,0)))</f>
        <v/>
      </c>
      <c r="C17" s="123" t="str">
        <f ca="1">IF(Calc1!$K$13=0,"",Calc1!$AC4)</f>
        <v/>
      </c>
      <c r="D17" s="127" t="str">
        <f ca="1">IF($C17="","",VLOOKUP($C17,Calc1!$C$17:$AC$25,25,0))</f>
        <v/>
      </c>
      <c r="E17" s="110" t="str">
        <f ca="1">IF($C17="","",VLOOKUP($C17,Calc1!$C$17:$AC$25,26,0))</f>
        <v/>
      </c>
      <c r="F17" s="497" t="str">
        <f ca="1">IF($C17="","",VLOOKUP(C17,PreliminaryRound!$AO$12:$AQ$27,3,0))</f>
        <v/>
      </c>
      <c r="G17" s="135"/>
      <c r="H17" s="110" t="str">
        <f ca="1">IFERROR(VLOOKUP($C17&amp;H$16,Calc1!$Z$64:$AB$207,3,0),"")</f>
        <v/>
      </c>
      <c r="I17" s="110" t="str">
        <f ca="1">IFERROR(VLOOKUP($C17&amp;I$16,Calc1!$Z$64:$AB$207,3,0),"")</f>
        <v/>
      </c>
      <c r="J17" s="110" t="str">
        <f ca="1">IFERROR(VLOOKUP($C17&amp;J$16,Calc1!$Z$64:$AB$207,3,0),"")</f>
        <v/>
      </c>
      <c r="K17" s="110" t="str">
        <f ca="1">IFERROR(VLOOKUP($C17&amp;K$16,Calc1!$Z$64:$AB$207,3,0),"")</f>
        <v/>
      </c>
      <c r="L17" s="156" t="str">
        <f ca="1">IFERROR(VLOOKUP($C17&amp;L$16,Calc1!$Z$64:$AB$207,3,0),"")</f>
        <v/>
      </c>
      <c r="M17" s="186" t="str">
        <f t="shared" ref="M17:M22" ca="1" si="1">C17</f>
        <v/>
      </c>
    </row>
    <row r="18" spans="2:13" ht="21.95" customHeight="1" x14ac:dyDescent="0.2">
      <c r="B18" s="114" t="str">
        <f ca="1">IF($C18="","",INDEX(Calc1!$E$4:$E$12,MATCH($C18,Calc1!$F$4:$F$12,0)))</f>
        <v/>
      </c>
      <c r="C18" s="124" t="str">
        <f ca="1">IF(Calc1!$K$13=0,"",Calc1!$AC5)</f>
        <v/>
      </c>
      <c r="D18" s="128" t="str">
        <f ca="1">IF($C18="","",VLOOKUP($C18,Calc1!$C$17:$AC$25,25,0))</f>
        <v/>
      </c>
      <c r="E18" s="111" t="str">
        <f ca="1">IF($C18="","",VLOOKUP($C18,Calc1!$C$17:$AC$25,26,0))</f>
        <v/>
      </c>
      <c r="F18" s="498" t="str">
        <f ca="1">IF($C18="","",VLOOKUP(C18,PreliminaryRound!$AO$12:$AQ$27,3,0))</f>
        <v/>
      </c>
      <c r="G18" s="136" t="str">
        <f ca="1">IFERROR(VLOOKUP($C18&amp;G$16,Calc1!$Z$64:$AB$207,3,0),"")</f>
        <v/>
      </c>
      <c r="H18" s="121"/>
      <c r="I18" s="111" t="str">
        <f ca="1">IFERROR(VLOOKUP($C18&amp;I$16,Calc1!$Z$64:$AB$207,3,0),"")</f>
        <v/>
      </c>
      <c r="J18" s="111" t="str">
        <f ca="1">IFERROR(VLOOKUP($C18&amp;J$16,Calc1!$Z$64:$AB$207,3,0),"")</f>
        <v/>
      </c>
      <c r="K18" s="111" t="str">
        <f ca="1">IFERROR(VLOOKUP($C18&amp;K$16,Calc1!$Z$64:$AB$207,3,0),"")</f>
        <v/>
      </c>
      <c r="L18" s="157" t="str">
        <f ca="1">IFERROR(VLOOKUP($C18&amp;L$16,Calc1!$Z$64:$AB$207,3,0),"")</f>
        <v/>
      </c>
      <c r="M18" s="187" t="str">
        <f t="shared" ca="1" si="1"/>
        <v/>
      </c>
    </row>
    <row r="19" spans="2:13" ht="21.95" customHeight="1" x14ac:dyDescent="0.2">
      <c r="B19" s="114" t="str">
        <f ca="1">IF($C19="","",INDEX(Calc1!$E$4:$E$12,MATCH($C19,Calc1!$F$4:$F$12,0)))</f>
        <v/>
      </c>
      <c r="C19" s="124" t="str">
        <f ca="1">IF(Calc1!$K$13=0,"",Calc1!$AC6)</f>
        <v/>
      </c>
      <c r="D19" s="128" t="str">
        <f ca="1">IF($C19="","",VLOOKUP($C19,Calc1!$C$17:$AC$25,25,0))</f>
        <v/>
      </c>
      <c r="E19" s="111" t="str">
        <f ca="1">IF($C19="","",VLOOKUP($C19,Calc1!$C$17:$AC$25,26,0))</f>
        <v/>
      </c>
      <c r="F19" s="498" t="str">
        <f ca="1">IF($C19="","",VLOOKUP(C19,PreliminaryRound!$AO$12:$AQ$27,3,0))</f>
        <v/>
      </c>
      <c r="G19" s="136" t="str">
        <f ca="1">IFERROR(VLOOKUP($C19&amp;G$16,Calc1!$Z$64:$AB$207,3,0),"")</f>
        <v/>
      </c>
      <c r="H19" s="111" t="str">
        <f ca="1">IFERROR(VLOOKUP($C19&amp;H$16,Calc1!$Z$64:$AB$207,3,0),"")</f>
        <v/>
      </c>
      <c r="I19" s="121"/>
      <c r="J19" s="111" t="str">
        <f ca="1">IFERROR(VLOOKUP($C19&amp;J$16,Calc1!$Z$64:$AB$207,3,0),"")</f>
        <v/>
      </c>
      <c r="K19" s="111" t="str">
        <f ca="1">IFERROR(VLOOKUP($C19&amp;K$16,Calc1!$Z$64:$AB$207,3,0),"")</f>
        <v/>
      </c>
      <c r="L19" s="157" t="str">
        <f ca="1">IFERROR(VLOOKUP($C19&amp;L$16,Calc1!$Z$64:$AB$207,3,0),"")</f>
        <v/>
      </c>
      <c r="M19" s="187" t="str">
        <f t="shared" ca="1" si="1"/>
        <v/>
      </c>
    </row>
    <row r="20" spans="2:13" ht="21.95" customHeight="1" x14ac:dyDescent="0.2">
      <c r="B20" s="114" t="str">
        <f ca="1">IF($C20="","",INDEX(Calc1!$E$4:$E$12,MATCH($C20,Calc1!$F$4:$F$12,0)))</f>
        <v/>
      </c>
      <c r="C20" s="124" t="str">
        <f ca="1">IF(Calc1!$K$13=0,"",Calc1!$AC7)</f>
        <v/>
      </c>
      <c r="D20" s="128" t="str">
        <f ca="1">IF($C20="","",VLOOKUP($C20,Calc1!$C$17:$AC$25,25,0))</f>
        <v/>
      </c>
      <c r="E20" s="111" t="str">
        <f ca="1">IF($C20="","",VLOOKUP($C20,Calc1!$C$17:$AC$25,26,0))</f>
        <v/>
      </c>
      <c r="F20" s="498" t="str">
        <f ca="1">IF($C20="","",VLOOKUP(C20,PreliminaryRound!$AO$12:$AQ$27,3,0))</f>
        <v/>
      </c>
      <c r="G20" s="136" t="str">
        <f ca="1">IFERROR(VLOOKUP($C20&amp;G$16,Calc1!$Z$64:$AB$207,3,0),"")</f>
        <v/>
      </c>
      <c r="H20" s="111" t="str">
        <f ca="1">IFERROR(VLOOKUP($C20&amp;H$16,Calc1!$Z$64:$AB$207,3,0),"")</f>
        <v/>
      </c>
      <c r="I20" s="111" t="str">
        <f ca="1">IFERROR(VLOOKUP($C20&amp;I$16,Calc1!$Z$64:$AB$207,3,0),"")</f>
        <v/>
      </c>
      <c r="J20" s="121"/>
      <c r="K20" s="111" t="str">
        <f ca="1">IFERROR(VLOOKUP($C20&amp;K$16,Calc1!$Z$64:$AB$207,3,0),"")</f>
        <v/>
      </c>
      <c r="L20" s="157" t="str">
        <f ca="1">IFERROR(VLOOKUP($C20&amp;L$16,Calc1!$Z$64:$AB$207,3,0),"")</f>
        <v/>
      </c>
      <c r="M20" s="187" t="str">
        <f t="shared" ca="1" si="1"/>
        <v/>
      </c>
    </row>
    <row r="21" spans="2:13" ht="21.95" customHeight="1" x14ac:dyDescent="0.2">
      <c r="B21" s="114" t="str">
        <f ca="1">IF($C21="","",INDEX(Calc1!$E$4:$E$12,MATCH($C21,Calc1!$F$4:$F$12,0)))</f>
        <v/>
      </c>
      <c r="C21" s="124" t="str">
        <f ca="1">IF(Calc1!$K$13=0,"",Calc1!$AC8)</f>
        <v/>
      </c>
      <c r="D21" s="128" t="str">
        <f ca="1">IF($C21="","",VLOOKUP($C21,Calc1!$C$17:$AC$25,25,0))</f>
        <v/>
      </c>
      <c r="E21" s="111" t="str">
        <f ca="1">IF($C21="","",VLOOKUP($C21,Calc1!$C$17:$AC$25,26,0))</f>
        <v/>
      </c>
      <c r="F21" s="498" t="str">
        <f ca="1">IF($C21="","",VLOOKUP(C21,PreliminaryRound!$AO$12:$AQ$27,3,0))</f>
        <v/>
      </c>
      <c r="G21" s="136" t="str">
        <f ca="1">IFERROR(VLOOKUP($C21&amp;G$16,Calc1!$Z$64:$AB$207,3,0),"")</f>
        <v/>
      </c>
      <c r="H21" s="111" t="str">
        <f ca="1">IFERROR(VLOOKUP($C21&amp;H$16,Calc1!$Z$64:$AB$207,3,0),"")</f>
        <v/>
      </c>
      <c r="I21" s="111" t="str">
        <f ca="1">IFERROR(VLOOKUP($C21&amp;I$16,Calc1!$Z$64:$AB$207,3,0),"")</f>
        <v/>
      </c>
      <c r="J21" s="111" t="str">
        <f ca="1">IFERROR(VLOOKUP($C21&amp;J$16,Calc1!$Z$64:$AB$207,3,0),"")</f>
        <v/>
      </c>
      <c r="K21" s="121"/>
      <c r="L21" s="157" t="str">
        <f ca="1">IFERROR(VLOOKUP($C21&amp;L$16,Calc1!$Z$64:$AB$207,3,0),"")</f>
        <v/>
      </c>
      <c r="M21" s="187" t="str">
        <f t="shared" ca="1" si="1"/>
        <v/>
      </c>
    </row>
    <row r="22" spans="2:13" ht="21.95" customHeight="1" thickBot="1" x14ac:dyDescent="0.25">
      <c r="B22" s="115" t="str">
        <f ca="1">IF($C22="","",INDEX(Calc1!$E$4:$E$12,MATCH($C22,Calc1!$F$4:$F$12,0)))</f>
        <v/>
      </c>
      <c r="C22" s="125" t="str">
        <f ca="1">IF(Calc1!$K$13=0,"",Calc1!$AC9)</f>
        <v/>
      </c>
      <c r="D22" s="129" t="str">
        <f ca="1">IF($C22="","",VLOOKUP($C22,Calc1!$C$17:$AC$25,25,0))</f>
        <v/>
      </c>
      <c r="E22" s="112" t="str">
        <f ca="1">IF($C22="","",VLOOKUP($C22,Calc1!$C$17:$AC$25,26,0))</f>
        <v/>
      </c>
      <c r="F22" s="499" t="str">
        <f ca="1">IF($C22="","",VLOOKUP(C22,PreliminaryRound!$AO$12:$AQ$27,3,0))</f>
        <v/>
      </c>
      <c r="G22" s="137" t="str">
        <f ca="1">IFERROR(VLOOKUP($C22&amp;G$16,Calc1!$Z$64:$AB$207,3,0),"")</f>
        <v/>
      </c>
      <c r="H22" s="112" t="str">
        <f ca="1">IFERROR(VLOOKUP($C22&amp;H$16,Calc1!$Z$64:$AB$207,3,0),"")</f>
        <v/>
      </c>
      <c r="I22" s="112" t="str">
        <f ca="1">IFERROR(VLOOKUP($C22&amp;I$16,Calc1!$Z$64:$AB$207,3,0),"")</f>
        <v/>
      </c>
      <c r="J22" s="112" t="str">
        <f ca="1">IFERROR(VLOOKUP($C22&amp;J$16,Calc1!$Z$64:$AB$207,3,0),"")</f>
        <v/>
      </c>
      <c r="K22" s="112" t="str">
        <f ca="1">IFERROR(VLOOKUP($C22&amp;K$16,Calc1!$Z$64:$AB$207,3,0),"")</f>
        <v/>
      </c>
      <c r="L22" s="158"/>
      <c r="M22" s="188"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6"/>
      <c r="C25" s="122" t="str">
        <f>Language!$E$10</f>
        <v>Participant or team</v>
      </c>
      <c r="D25" s="126" t="str">
        <f>Language!$E$27</f>
        <v>Pts</v>
      </c>
      <c r="E25" s="113" t="str">
        <f>Language!$E$26</f>
        <v>GD</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4" t="str">
        <f ca="1">IF($C26="","",INDEX(Calc1!$E$4:$E$12,MATCH($C26,Calc1!$F$4:$F$12,0)))</f>
        <v/>
      </c>
      <c r="C26" s="123" t="str">
        <f ca="1">IF(Calc1!$K$13=0,"",Calc1!$AH4)</f>
        <v/>
      </c>
      <c r="D26" s="127" t="str">
        <f ca="1">IF($C26="","",VLOOKUP($C26,Calc1!$C$17:$AC$25,25,0))</f>
        <v/>
      </c>
      <c r="E26" s="110" t="str">
        <f ca="1">IF($C26="","",VLOOKUP($C26,Calc1!$C$17:$AC$25,26,0))</f>
        <v/>
      </c>
      <c r="F26" s="497" t="str">
        <f ca="1">IF($C26="","",VLOOKUP(C26,PreliminaryRound!$AO$12:$AQ$27,3,0))</f>
        <v/>
      </c>
      <c r="G26" s="135"/>
      <c r="H26" s="110" t="str">
        <f ca="1">IFERROR(VLOOKUP($C26&amp;H$25,Calc1!$Z$64:$AB$207,3,0),"")</f>
        <v/>
      </c>
      <c r="I26" s="110" t="str">
        <f ca="1">IFERROR(VLOOKUP($C26&amp;I$25,Calc1!$Z$64:$AB$207,3,0),"")</f>
        <v/>
      </c>
      <c r="J26" s="110" t="str">
        <f ca="1">IFERROR(VLOOKUP($C26&amp;J$25,Calc1!$Z$64:$AB$207,3,0),"")</f>
        <v/>
      </c>
      <c r="K26" s="110" t="str">
        <f ca="1">IFERROR(VLOOKUP($C26&amp;K$25,Calc1!$Z$64:$AB$207,3,0),"")</f>
        <v/>
      </c>
      <c r="L26" s="156" t="str">
        <f ca="1">IFERROR(VLOOKUP($C26&amp;L$25,Calc1!$Z$64:$AB$207,3,0),"")</f>
        <v/>
      </c>
      <c r="M26" s="186" t="str">
        <f t="shared" ref="M26:M31" ca="1" si="2">C26</f>
        <v/>
      </c>
    </row>
    <row r="27" spans="2:13" ht="21.95" customHeight="1" x14ac:dyDescent="0.2">
      <c r="B27" s="114" t="str">
        <f ca="1">IF($C27="","",INDEX(Calc1!$E$4:$E$12,MATCH($C27,Calc1!$F$4:$F$12,0)))</f>
        <v/>
      </c>
      <c r="C27" s="124" t="str">
        <f ca="1">IF(Calc1!$K$13=0,"",Calc1!$AH5)</f>
        <v/>
      </c>
      <c r="D27" s="128" t="str">
        <f ca="1">IF($C27="","",VLOOKUP($C27,Calc1!$C$17:$AC$25,25,0))</f>
        <v/>
      </c>
      <c r="E27" s="111" t="str">
        <f ca="1">IF($C27="","",VLOOKUP($C27,Calc1!$C$17:$AC$25,26,0))</f>
        <v/>
      </c>
      <c r="F27" s="498" t="str">
        <f ca="1">IF($C27="","",VLOOKUP(C27,PreliminaryRound!$AO$12:$AQ$27,3,0))</f>
        <v/>
      </c>
      <c r="G27" s="136" t="str">
        <f ca="1">IFERROR(VLOOKUP($C27&amp;G$25,Calc1!$Z$64:$AB$207,3,0),"")</f>
        <v/>
      </c>
      <c r="H27" s="121"/>
      <c r="I27" s="111" t="str">
        <f ca="1">IFERROR(VLOOKUP($C27&amp;I$25,Calc1!$Z$64:$AB$207,3,0),"")</f>
        <v/>
      </c>
      <c r="J27" s="111" t="str">
        <f ca="1">IFERROR(VLOOKUP($C27&amp;J$25,Calc1!$Z$64:$AB$207,3,0),"")</f>
        <v/>
      </c>
      <c r="K27" s="111" t="str">
        <f ca="1">IFERROR(VLOOKUP($C27&amp;K$25,Calc1!$Z$64:$AB$207,3,0),"")</f>
        <v/>
      </c>
      <c r="L27" s="157" t="str">
        <f ca="1">IFERROR(VLOOKUP($C27&amp;L$25,Calc1!$Z$64:$AB$207,3,0),"")</f>
        <v/>
      </c>
      <c r="M27" s="187" t="str">
        <f t="shared" ca="1" si="2"/>
        <v/>
      </c>
    </row>
    <row r="28" spans="2:13" ht="21.95" customHeight="1" x14ac:dyDescent="0.2">
      <c r="B28" s="114" t="str">
        <f ca="1">IF($C28="","",INDEX(Calc1!$E$4:$E$12,MATCH($C28,Calc1!$F$4:$F$12,0)))</f>
        <v/>
      </c>
      <c r="C28" s="124" t="str">
        <f ca="1">IF(Calc1!$K$13=0,"",Calc1!$AH6)</f>
        <v/>
      </c>
      <c r="D28" s="128" t="str">
        <f ca="1">IF($C28="","",VLOOKUP($C28,Calc1!$C$17:$AC$25,25,0))</f>
        <v/>
      </c>
      <c r="E28" s="111" t="str">
        <f ca="1">IF($C28="","",VLOOKUP($C28,Calc1!$C$17:$AC$25,26,0))</f>
        <v/>
      </c>
      <c r="F28" s="498" t="str">
        <f ca="1">IF($C28="","",VLOOKUP(C28,PreliminaryRound!$AO$12:$AQ$27,3,0))</f>
        <v/>
      </c>
      <c r="G28" s="136" t="str">
        <f ca="1">IFERROR(VLOOKUP($C28&amp;G$25,Calc1!$Z$64:$AB$207,3,0),"")</f>
        <v/>
      </c>
      <c r="H28" s="111" t="str">
        <f ca="1">IFERROR(VLOOKUP($C28&amp;H$25,Calc1!$Z$64:$AB$207,3,0),"")</f>
        <v/>
      </c>
      <c r="I28" s="121"/>
      <c r="J28" s="111" t="str">
        <f ca="1">IFERROR(VLOOKUP($C28&amp;J$25,Calc1!$Z$64:$AB$207,3,0),"")</f>
        <v/>
      </c>
      <c r="K28" s="111" t="str">
        <f ca="1">IFERROR(VLOOKUP($C28&amp;K$25,Calc1!$Z$64:$AB$207,3,0),"")</f>
        <v/>
      </c>
      <c r="L28" s="157" t="str">
        <f ca="1">IFERROR(VLOOKUP($C28&amp;L$25,Calc1!$Z$64:$AB$207,3,0),"")</f>
        <v/>
      </c>
      <c r="M28" s="187" t="str">
        <f t="shared" ca="1" si="2"/>
        <v/>
      </c>
    </row>
    <row r="29" spans="2:13" ht="21.95" customHeight="1" x14ac:dyDescent="0.2">
      <c r="B29" s="114" t="str">
        <f ca="1">IF($C29="","",INDEX(Calc1!$E$4:$E$12,MATCH($C29,Calc1!$F$4:$F$12,0)))</f>
        <v/>
      </c>
      <c r="C29" s="124" t="str">
        <f ca="1">IF(Calc1!$K$13=0,"",Calc1!$AH7)</f>
        <v/>
      </c>
      <c r="D29" s="128" t="str">
        <f ca="1">IF($C29="","",VLOOKUP($C29,Calc1!$C$17:$AC$25,25,0))</f>
        <v/>
      </c>
      <c r="E29" s="111" t="str">
        <f ca="1">IF($C29="","",VLOOKUP($C29,Calc1!$C$17:$AC$25,26,0))</f>
        <v/>
      </c>
      <c r="F29" s="498" t="str">
        <f ca="1">IF($C29="","",VLOOKUP(C29,PreliminaryRound!$AO$12:$AQ$27,3,0))</f>
        <v/>
      </c>
      <c r="G29" s="136" t="str">
        <f ca="1">IFERROR(VLOOKUP($C29&amp;G$25,Calc1!$Z$64:$AB$207,3,0),"")</f>
        <v/>
      </c>
      <c r="H29" s="111" t="str">
        <f ca="1">IFERROR(VLOOKUP($C29&amp;H$25,Calc1!$Z$64:$AB$207,3,0),"")</f>
        <v/>
      </c>
      <c r="I29" s="111" t="str">
        <f ca="1">IFERROR(VLOOKUP($C29&amp;I$25,Calc1!$Z$64:$AB$207,3,0),"")</f>
        <v/>
      </c>
      <c r="J29" s="121"/>
      <c r="K29" s="111" t="str">
        <f ca="1">IFERROR(VLOOKUP($C29&amp;K$25,Calc1!$Z$64:$AB$207,3,0),"")</f>
        <v/>
      </c>
      <c r="L29" s="157" t="str">
        <f ca="1">IFERROR(VLOOKUP($C29&amp;L$25,Calc1!$Z$64:$AB$207,3,0),"")</f>
        <v/>
      </c>
      <c r="M29" s="187" t="str">
        <f t="shared" ca="1" si="2"/>
        <v/>
      </c>
    </row>
    <row r="30" spans="2:13" ht="21.95" customHeight="1" x14ac:dyDescent="0.2">
      <c r="B30" s="114" t="str">
        <f ca="1">IF($C30="","",INDEX(Calc1!$E$4:$E$12,MATCH($C30,Calc1!$F$4:$F$12,0)))</f>
        <v/>
      </c>
      <c r="C30" s="124" t="str">
        <f ca="1">IF(Calc1!$K$13=0,"",Calc1!$AH8)</f>
        <v/>
      </c>
      <c r="D30" s="128" t="str">
        <f ca="1">IF($C30="","",VLOOKUP($C30,Calc1!$C$17:$AC$25,25,0))</f>
        <v/>
      </c>
      <c r="E30" s="111" t="str">
        <f ca="1">IF($C30="","",VLOOKUP($C30,Calc1!$C$17:$AC$25,26,0))</f>
        <v/>
      </c>
      <c r="F30" s="498" t="str">
        <f ca="1">IF($C30="","",VLOOKUP(C30,PreliminaryRound!$AO$12:$AQ$27,3,0))</f>
        <v/>
      </c>
      <c r="G30" s="136" t="str">
        <f ca="1">IFERROR(VLOOKUP($C30&amp;G$25,Calc1!$Z$64:$AB$207,3,0),"")</f>
        <v/>
      </c>
      <c r="H30" s="111" t="str">
        <f ca="1">IFERROR(VLOOKUP($C30&amp;H$25,Calc1!$Z$64:$AB$207,3,0),"")</f>
        <v/>
      </c>
      <c r="I30" s="111" t="str">
        <f ca="1">IFERROR(VLOOKUP($C30&amp;I$25,Calc1!$Z$64:$AB$207,3,0),"")</f>
        <v/>
      </c>
      <c r="J30" s="111" t="str">
        <f ca="1">IFERROR(VLOOKUP($C30&amp;J$25,Calc1!$Z$64:$AB$207,3,0),"")</f>
        <v/>
      </c>
      <c r="K30" s="121"/>
      <c r="L30" s="157" t="str">
        <f ca="1">IFERROR(VLOOKUP($C30&amp;L$25,Calc1!$Z$64:$AB$207,3,0),"")</f>
        <v/>
      </c>
      <c r="M30" s="187" t="str">
        <f t="shared" ca="1" si="2"/>
        <v/>
      </c>
    </row>
    <row r="31" spans="2:13" ht="21.95" customHeight="1" thickBot="1" x14ac:dyDescent="0.25">
      <c r="B31" s="115" t="str">
        <f ca="1">IF($C31="","",INDEX(Calc1!$E$4:$E$12,MATCH($C31,Calc1!$F$4:$F$12,0)))</f>
        <v/>
      </c>
      <c r="C31" s="125" t="str">
        <f ca="1">IF(Calc1!$K$13=0,"",Calc1!$AH9)</f>
        <v/>
      </c>
      <c r="D31" s="129" t="str">
        <f ca="1">IF($C31="","",VLOOKUP($C31,Calc1!$C$17:$AC$25,25,0))</f>
        <v/>
      </c>
      <c r="E31" s="112" t="str">
        <f ca="1">IF($C31="","",VLOOKUP($C31,Calc1!$C$17:$AC$25,26,0))</f>
        <v/>
      </c>
      <c r="F31" s="499" t="str">
        <f ca="1">IF($C31="","",VLOOKUP(C31,PreliminaryRound!$AO$12:$AQ$27,3,0))</f>
        <v/>
      </c>
      <c r="G31" s="137" t="str">
        <f ca="1">IFERROR(VLOOKUP($C31&amp;G$25,Calc1!$Z$64:$AB$207,3,0),"")</f>
        <v/>
      </c>
      <c r="H31" s="112" t="str">
        <f ca="1">IFERROR(VLOOKUP($C31&amp;H$25,Calc1!$Z$64:$AB$207,3,0),"")</f>
        <v/>
      </c>
      <c r="I31" s="112" t="str">
        <f ca="1">IFERROR(VLOOKUP($C31&amp;I$25,Calc1!$Z$64:$AB$207,3,0),"")</f>
        <v/>
      </c>
      <c r="J31" s="112" t="str">
        <f ca="1">IFERROR(VLOOKUP($C31&amp;J$25,Calc1!$Z$64:$AB$207,3,0),"")</f>
        <v/>
      </c>
      <c r="K31" s="112" t="str">
        <f ca="1">IFERROR(VLOOKUP($C31&amp;K$25,Calc1!$Z$64:$AB$207,3,0),"")</f>
        <v/>
      </c>
      <c r="L31" s="158"/>
      <c r="M31" s="188"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6"/>
      <c r="C34" s="122" t="str">
        <f>Language!$E$10</f>
        <v>Participant or team</v>
      </c>
      <c r="D34" s="126" t="str">
        <f>Language!$E$27</f>
        <v>Pts</v>
      </c>
      <c r="E34" s="113" t="str">
        <f>Language!$E$26</f>
        <v>GD</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4" t="str">
        <f ca="1">IF($C35="","",INDEX(Calc1!$E$4:$E$12,MATCH($C35,Calc1!$F$4:$F$12,0)))</f>
        <v/>
      </c>
      <c r="C35" s="123" t="str">
        <f ca="1">IF(Calc1!$K$13=0,"",Calc1!$AM4)</f>
        <v/>
      </c>
      <c r="D35" s="127" t="str">
        <f ca="1">IF($C35="","",VLOOKUP($C35,Calc1!$C$17:$AC$25,25,0))</f>
        <v/>
      </c>
      <c r="E35" s="110" t="str">
        <f ca="1">IF($C35="","",VLOOKUP($C35,Calc1!$C$17:$AC$25,26,0))</f>
        <v/>
      </c>
      <c r="F35" s="497" t="str">
        <f ca="1">IF($C35="","",VLOOKUP(C35,PreliminaryRound!$AO$12:$AQ$27,3,0))</f>
        <v/>
      </c>
      <c r="G35" s="135"/>
      <c r="H35" s="110" t="str">
        <f ca="1">IFERROR(VLOOKUP($C35&amp;H$34,Calc1!$Z$64:$AB$207,3,0),"")</f>
        <v/>
      </c>
      <c r="I35" s="110" t="str">
        <f ca="1">IFERROR(VLOOKUP($C35&amp;I$34,Calc1!$Z$64:$AB$207,3,0),"")</f>
        <v/>
      </c>
      <c r="J35" s="110" t="str">
        <f ca="1">IFERROR(VLOOKUP($C35&amp;J$34,Calc1!$Z$64:$AB$207,3,0),"")</f>
        <v/>
      </c>
      <c r="K35" s="110" t="str">
        <f ca="1">IFERROR(VLOOKUP($C35&amp;K$34,Calc1!$Z$64:$AB$207,3,0),"")</f>
        <v/>
      </c>
      <c r="L35" s="156" t="str">
        <f ca="1">IFERROR(VLOOKUP($C35&amp;L$34,Calc1!$Z$64:$AB$207,3,0),"")</f>
        <v/>
      </c>
      <c r="M35" s="186" t="str">
        <f t="shared" ref="M35:M40" ca="1" si="3">C35</f>
        <v/>
      </c>
    </row>
    <row r="36" spans="2:13" ht="21.95" customHeight="1" x14ac:dyDescent="0.2">
      <c r="B36" s="114" t="str">
        <f ca="1">IF($C36="","",INDEX(Calc1!$E$4:$E$12,MATCH($C36,Calc1!$F$4:$F$12,0)))</f>
        <v/>
      </c>
      <c r="C36" s="124" t="str">
        <f ca="1">IF(Calc1!$K$13=0,"",Calc1!$AM5)</f>
        <v/>
      </c>
      <c r="D36" s="128" t="str">
        <f ca="1">IF($C36="","",VLOOKUP($C36,Calc1!$C$17:$AC$25,25,0))</f>
        <v/>
      </c>
      <c r="E36" s="111" t="str">
        <f ca="1">IF($C36="","",VLOOKUP($C36,Calc1!$C$17:$AC$25,26,0))</f>
        <v/>
      </c>
      <c r="F36" s="498" t="str">
        <f ca="1">IF($C36="","",VLOOKUP(C36,PreliminaryRound!$AO$12:$AQ$27,3,0))</f>
        <v/>
      </c>
      <c r="G36" s="136" t="str">
        <f ca="1">IFERROR(VLOOKUP($C36&amp;G$34,Calc1!$Z$64:$AB$207,3,0),"")</f>
        <v/>
      </c>
      <c r="H36" s="121"/>
      <c r="I36" s="111" t="str">
        <f ca="1">IFERROR(VLOOKUP($C36&amp;I$34,Calc1!$Z$64:$AB$207,3,0),"")</f>
        <v/>
      </c>
      <c r="J36" s="111" t="str">
        <f ca="1">IFERROR(VLOOKUP($C36&amp;J$34,Calc1!$Z$64:$AB$207,3,0),"")</f>
        <v/>
      </c>
      <c r="K36" s="111" t="str">
        <f ca="1">IFERROR(VLOOKUP($C36&amp;K$34,Calc1!$Z$64:$AB$207,3,0),"")</f>
        <v/>
      </c>
      <c r="L36" s="157" t="str">
        <f ca="1">IFERROR(VLOOKUP($C36&amp;L$34,Calc1!$Z$64:$AB$207,3,0),"")</f>
        <v/>
      </c>
      <c r="M36" s="187" t="str">
        <f t="shared" ca="1" si="3"/>
        <v/>
      </c>
    </row>
    <row r="37" spans="2:13" ht="21.95" customHeight="1" x14ac:dyDescent="0.2">
      <c r="B37" s="114" t="str">
        <f ca="1">IF($C37="","",INDEX(Calc1!$E$4:$E$12,MATCH($C37,Calc1!$F$4:$F$12,0)))</f>
        <v/>
      </c>
      <c r="C37" s="124" t="str">
        <f ca="1">IF(Calc1!$K$13=0,"",Calc1!$AM6)</f>
        <v/>
      </c>
      <c r="D37" s="128" t="str">
        <f ca="1">IF($C37="","",VLOOKUP($C37,Calc1!$C$17:$AC$25,25,0))</f>
        <v/>
      </c>
      <c r="E37" s="111" t="str">
        <f ca="1">IF($C37="","",VLOOKUP($C37,Calc1!$C$17:$AC$25,26,0))</f>
        <v/>
      </c>
      <c r="F37" s="498" t="str">
        <f ca="1">IF($C37="","",VLOOKUP(C37,PreliminaryRound!$AO$12:$AQ$27,3,0))</f>
        <v/>
      </c>
      <c r="G37" s="136" t="str">
        <f ca="1">IFERROR(VLOOKUP($C37&amp;G$34,Calc1!$Z$64:$AB$207,3,0),"")</f>
        <v/>
      </c>
      <c r="H37" s="111" t="str">
        <f ca="1">IFERROR(VLOOKUP($C37&amp;H$34,Calc1!$Z$64:$AB$207,3,0),"")</f>
        <v/>
      </c>
      <c r="I37" s="121"/>
      <c r="J37" s="111" t="str">
        <f ca="1">IFERROR(VLOOKUP($C37&amp;J$34,Calc1!$Z$64:$AB$207,3,0),"")</f>
        <v/>
      </c>
      <c r="K37" s="111" t="str">
        <f ca="1">IFERROR(VLOOKUP($C37&amp;K$34,Calc1!$Z$64:$AB$207,3,0),"")</f>
        <v/>
      </c>
      <c r="L37" s="157" t="str">
        <f ca="1">IFERROR(VLOOKUP($C37&amp;L$34,Calc1!$Z$64:$AB$207,3,0),"")</f>
        <v/>
      </c>
      <c r="M37" s="187" t="str">
        <f t="shared" ca="1" si="3"/>
        <v/>
      </c>
    </row>
    <row r="38" spans="2:13" ht="21.95" customHeight="1" x14ac:dyDescent="0.2">
      <c r="B38" s="114" t="str">
        <f ca="1">IF($C38="","",INDEX(Calc1!$E$4:$E$12,MATCH($C38,Calc1!$F$4:$F$12,0)))</f>
        <v/>
      </c>
      <c r="C38" s="124" t="str">
        <f ca="1">IF(Calc1!$K$13=0,"",Calc1!$AM7)</f>
        <v/>
      </c>
      <c r="D38" s="128" t="str">
        <f ca="1">IF($C38="","",VLOOKUP($C38,Calc1!$C$17:$AC$25,25,0))</f>
        <v/>
      </c>
      <c r="E38" s="111" t="str">
        <f ca="1">IF($C38="","",VLOOKUP($C38,Calc1!$C$17:$AC$25,26,0))</f>
        <v/>
      </c>
      <c r="F38" s="498" t="str">
        <f ca="1">IF($C38="","",VLOOKUP(C38,PreliminaryRound!$AO$12:$AQ$27,3,0))</f>
        <v/>
      </c>
      <c r="G38" s="136" t="str">
        <f ca="1">IFERROR(VLOOKUP($C38&amp;G$34,Calc1!$Z$64:$AB$207,3,0),"")</f>
        <v/>
      </c>
      <c r="H38" s="111" t="str">
        <f ca="1">IFERROR(VLOOKUP($C38&amp;H$34,Calc1!$Z$64:$AB$207,3,0),"")</f>
        <v/>
      </c>
      <c r="I38" s="111" t="str">
        <f ca="1">IFERROR(VLOOKUP($C38&amp;I$34,Calc1!$Z$64:$AB$207,3,0),"")</f>
        <v/>
      </c>
      <c r="J38" s="121"/>
      <c r="K38" s="111" t="str">
        <f ca="1">IFERROR(VLOOKUP($C38&amp;K$34,Calc1!$Z$64:$AB$207,3,0),"")</f>
        <v/>
      </c>
      <c r="L38" s="157" t="str">
        <f ca="1">IFERROR(VLOOKUP($C38&amp;L$34,Calc1!$Z$64:$AB$207,3,0),"")</f>
        <v/>
      </c>
      <c r="M38" s="187" t="str">
        <f t="shared" ca="1" si="3"/>
        <v/>
      </c>
    </row>
    <row r="39" spans="2:13" ht="21.95" customHeight="1" x14ac:dyDescent="0.2">
      <c r="B39" s="114" t="str">
        <f ca="1">IF($C39="","",INDEX(Calc1!$E$4:$E$12,MATCH($C39,Calc1!$F$4:$F$12,0)))</f>
        <v/>
      </c>
      <c r="C39" s="124" t="str">
        <f ca="1">IF(Calc1!$K$13=0,"",Calc1!$AM8)</f>
        <v/>
      </c>
      <c r="D39" s="128" t="str">
        <f ca="1">IF($C39="","",VLOOKUP($C39,Calc1!$C$17:$AC$25,25,0))</f>
        <v/>
      </c>
      <c r="E39" s="111" t="str">
        <f ca="1">IF($C39="","",VLOOKUP($C39,Calc1!$C$17:$AC$25,26,0))</f>
        <v/>
      </c>
      <c r="F39" s="498" t="str">
        <f ca="1">IF($C39="","",VLOOKUP(C39,PreliminaryRound!$AO$12:$AQ$27,3,0))</f>
        <v/>
      </c>
      <c r="G39" s="136" t="str">
        <f ca="1">IFERROR(VLOOKUP($C39&amp;G$34,Calc1!$Z$64:$AB$207,3,0),"")</f>
        <v/>
      </c>
      <c r="H39" s="111" t="str">
        <f ca="1">IFERROR(VLOOKUP($C39&amp;H$34,Calc1!$Z$64:$AB$207,3,0),"")</f>
        <v/>
      </c>
      <c r="I39" s="111" t="str">
        <f ca="1">IFERROR(VLOOKUP($C39&amp;I$34,Calc1!$Z$64:$AB$207,3,0),"")</f>
        <v/>
      </c>
      <c r="J39" s="111" t="str">
        <f ca="1">IFERROR(VLOOKUP($C39&amp;J$34,Calc1!$Z$64:$AB$207,3,0),"")</f>
        <v/>
      </c>
      <c r="K39" s="121"/>
      <c r="L39" s="157" t="str">
        <f ca="1">IFERROR(VLOOKUP($C39&amp;L$34,Calc1!$Z$64:$AB$207,3,0),"")</f>
        <v/>
      </c>
      <c r="M39" s="187" t="str">
        <f t="shared" ca="1" si="3"/>
        <v/>
      </c>
    </row>
    <row r="40" spans="2:13" ht="21.95" customHeight="1" thickBot="1" x14ac:dyDescent="0.25">
      <c r="B40" s="115" t="str">
        <f ca="1">IF($C40="","",INDEX(Calc1!$E$4:$E$12,MATCH($C40,Calc1!$F$4:$F$12,0)))</f>
        <v/>
      </c>
      <c r="C40" s="125" t="str">
        <f ca="1">IF(Calc1!$K$13=0,"",Calc1!$AM9)</f>
        <v/>
      </c>
      <c r="D40" s="129" t="str">
        <f ca="1">IF($C40="","",VLOOKUP($C40,Calc1!$C$17:$AC$25,25,0))</f>
        <v/>
      </c>
      <c r="E40" s="112" t="str">
        <f ca="1">IF($C40="","",VLOOKUP($C40,Calc1!$C$17:$AC$25,26,0))</f>
        <v/>
      </c>
      <c r="F40" s="499" t="str">
        <f ca="1">IF($C40="","",VLOOKUP(C40,PreliminaryRound!$AO$12:$AQ$27,3,0))</f>
        <v/>
      </c>
      <c r="G40" s="137" t="str">
        <f ca="1">IFERROR(VLOOKUP($C40&amp;G$34,Calc1!$Z$64:$AB$207,3,0),"")</f>
        <v/>
      </c>
      <c r="H40" s="112" t="str">
        <f ca="1">IFERROR(VLOOKUP($C40&amp;H$34,Calc1!$Z$64:$AB$207,3,0),"")</f>
        <v/>
      </c>
      <c r="I40" s="112" t="str">
        <f ca="1">IFERROR(VLOOKUP($C40&amp;I$34,Calc1!$Z$64:$AB$207,3,0),"")</f>
        <v/>
      </c>
      <c r="J40" s="112" t="str">
        <f ca="1">IFERROR(VLOOKUP($C40&amp;J$34,Calc1!$Z$64:$AB$207,3,0),"")</f>
        <v/>
      </c>
      <c r="K40" s="112" t="str">
        <f ca="1">IFERROR(VLOOKUP($C40&amp;K$34,Calc1!$Z$64:$AB$207,3,0),"")</f>
        <v/>
      </c>
      <c r="L40" s="158"/>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8"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6" customWidth="1"/>
    <col min="2" max="2" width="4.5703125" style="46" customWidth="1"/>
    <col min="3" max="3" width="32.7109375" style="46" customWidth="1"/>
    <col min="4" max="6" width="11.7109375" style="46" customWidth="1"/>
    <col min="7" max="12" width="6.85546875" style="46" customWidth="1"/>
    <col min="13" max="13" width="32.7109375" style="46" customWidth="1"/>
    <col min="14" max="14" width="4.85546875" style="46" customWidth="1"/>
    <col min="15" max="16384" width="11.42578125" style="46" hidden="1"/>
  </cols>
  <sheetData>
    <row r="1" spans="2:13" x14ac:dyDescent="0.2"/>
    <row r="2" spans="2:13" ht="33.75" x14ac:dyDescent="0.2">
      <c r="B2" s="934" t="str">
        <f>Language!$E$7</f>
        <v>Direct comparisons</v>
      </c>
      <c r="C2" s="934"/>
      <c r="D2" s="934"/>
      <c r="E2" s="934"/>
      <c r="F2" s="934"/>
      <c r="G2" s="934"/>
      <c r="H2" s="934"/>
      <c r="I2" s="934"/>
      <c r="J2" s="934"/>
      <c r="K2" s="934"/>
      <c r="L2" s="934"/>
    </row>
    <row r="3" spans="2:13" ht="42.75" customHeight="1" x14ac:dyDescent="0.2">
      <c r="B3" s="935" t="str">
        <f>Language!$E$56&amp;" B"</f>
        <v>Preliminary round group B</v>
      </c>
      <c r="C3" s="935"/>
      <c r="D3" s="935"/>
      <c r="E3" s="935"/>
      <c r="F3" s="935"/>
      <c r="G3" s="935"/>
      <c r="H3" s="935"/>
      <c r="I3" s="935"/>
      <c r="J3" s="935"/>
      <c r="K3" s="935"/>
      <c r="L3" s="935"/>
    </row>
    <row r="4" spans="2:13" ht="17.25" customHeight="1" x14ac:dyDescent="0.2">
      <c r="B4" s="936" t="str">
        <f>Language!$E$78</f>
        <v>Red font means that the ranking is not clear even with the direct comparison. A playoff match or drawing of lots must decide here.</v>
      </c>
      <c r="C4" s="936"/>
      <c r="D4" s="936"/>
      <c r="E4" s="936"/>
      <c r="F4" s="936"/>
      <c r="G4" s="936"/>
      <c r="H4" s="936"/>
      <c r="I4" s="936"/>
      <c r="J4" s="936"/>
      <c r="K4" s="936"/>
      <c r="L4" s="936"/>
      <c r="M4" s="936"/>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IF(LEN(G7)&gt;Settings!$C$11,LEFT(G7,Settings!$C$11)&amp;".",G7)</f>
        <v/>
      </c>
      <c r="H6" s="149" t="str">
        <f ca="1">IF(LEN(H7)&gt;Settings!$C$11,LEFT(H7,Settings!$C$11)&amp;".",H7)</f>
        <v/>
      </c>
      <c r="I6" s="149" t="str">
        <f ca="1">IF(LEN(I7)&gt;Settings!$C$11,LEFT(I7,Settings!$C$11)&amp;".",I7)</f>
        <v/>
      </c>
      <c r="J6" s="149" t="str">
        <f ca="1">IF(LEN(J7)&gt;Settings!$C$11,LEFT(J7,Settings!$C$11)&amp;".",J7)</f>
        <v/>
      </c>
      <c r="K6" s="149" t="str">
        <f ca="1">IF(LEN(K7)&gt;Settings!$C$11,LEFT(K7,Settings!$C$11)&amp;".",K7)</f>
        <v/>
      </c>
      <c r="L6" s="150" t="str">
        <f ca="1">IF(LEN(L7)&gt;Settings!$C$11,LEFT(L7,Settings!$C$11)&amp;".",L7)</f>
        <v/>
      </c>
    </row>
    <row r="7" spans="2:13" ht="21.95" customHeight="1" thickTop="1" thickBot="1" x14ac:dyDescent="0.25">
      <c r="B7" s="116"/>
      <c r="C7" s="122" t="str">
        <f>Language!$E$10</f>
        <v>Participant or team</v>
      </c>
      <c r="D7" s="126" t="str">
        <f>Language!$E$27</f>
        <v>Pts</v>
      </c>
      <c r="E7" s="113" t="str">
        <f>Language!$E$26</f>
        <v>GD</v>
      </c>
      <c r="F7" s="151" t="str">
        <f>Language!$E$49</f>
        <v>Tie break</v>
      </c>
      <c r="G7" s="130" t="str">
        <f ca="1">C8</f>
        <v/>
      </c>
      <c r="H7" s="131" t="str">
        <f ca="1">C9</f>
        <v/>
      </c>
      <c r="I7" s="131" t="str">
        <f ca="1">C10</f>
        <v/>
      </c>
      <c r="J7" s="131" t="str">
        <f ca="1">C11</f>
        <v/>
      </c>
      <c r="K7" s="131" t="str">
        <f ca="1">C12</f>
        <v/>
      </c>
      <c r="L7" s="155" t="str">
        <f ca="1">C13</f>
        <v/>
      </c>
    </row>
    <row r="8" spans="2:13" ht="21.95" customHeight="1" x14ac:dyDescent="0.2">
      <c r="B8" s="114" t="str">
        <f ca="1">IF($C8="","",INDEX(Calc2!$E$4:$E$12,MATCH($C8,Calc2!$F$4:$F$12,0)))</f>
        <v/>
      </c>
      <c r="C8" s="123" t="str">
        <f ca="1">IF(Calc2!$K$13=0,"",Calc2!$X4)</f>
        <v/>
      </c>
      <c r="D8" s="127" t="str">
        <f ca="1">IF($C8="","",VLOOKUP($C8,Calc2!$C$17:$AC$25,25,0))</f>
        <v/>
      </c>
      <c r="E8" s="110" t="str">
        <f ca="1">IF($C8="","",VLOOKUP($C8,Calc2!$C$17:$AC$25,26,0))</f>
        <v/>
      </c>
      <c r="F8" s="497" t="str">
        <f ca="1">IF($C8="","",VLOOKUP(C8,PreliminaryRound!$AO$12:$AQ$27,3,0))</f>
        <v/>
      </c>
      <c r="G8" s="135"/>
      <c r="H8" s="110" t="str">
        <f ca="1">IFERROR(VLOOKUP($C8&amp;H$7,Calc2!$Z$64:$AB$207,3,0),"")</f>
        <v/>
      </c>
      <c r="I8" s="110" t="str">
        <f ca="1">IFERROR(VLOOKUP($C8&amp;I$7,Calc2!$Z$64:$AB$207,3,0),"")</f>
        <v/>
      </c>
      <c r="J8" s="110" t="str">
        <f ca="1">IFERROR(VLOOKUP($C8&amp;J$7,Calc2!$Z$64:$AB$207,3,0),"")</f>
        <v/>
      </c>
      <c r="K8" s="110" t="str">
        <f ca="1">IFERROR(VLOOKUP($C8&amp;K$7,Calc2!$Z$64:$AB$207,3,0),"")</f>
        <v/>
      </c>
      <c r="L8" s="156" t="str">
        <f ca="1">IFERROR(VLOOKUP($C8&amp;L$7,Calc2!$Z$64:$AB$207,3,0),"")</f>
        <v/>
      </c>
      <c r="M8" s="186" t="str">
        <f t="shared" ref="M8:M13" ca="1" si="0">C8</f>
        <v/>
      </c>
    </row>
    <row r="9" spans="2:13" ht="21.95" customHeight="1" x14ac:dyDescent="0.2">
      <c r="B9" s="114" t="str">
        <f ca="1">IF($C9="","",INDEX(Calc2!$E$4:$E$12,MATCH($C9,Calc2!$F$4:$F$12,0)))</f>
        <v/>
      </c>
      <c r="C9" s="124" t="str">
        <f ca="1">IF(Calc2!$K$13=0,"",Calc2!$X5)</f>
        <v/>
      </c>
      <c r="D9" s="128" t="str">
        <f ca="1">IF($C9="","",VLOOKUP($C9,Calc2!$C$17:$AC$25,25,0))</f>
        <v/>
      </c>
      <c r="E9" s="111" t="str">
        <f ca="1">IF($C9="","",VLOOKUP($C9,Calc2!$C$17:$AC$25,26,0))</f>
        <v/>
      </c>
      <c r="F9" s="498" t="str">
        <f ca="1">IF($C9="","",VLOOKUP(C9,PreliminaryRound!$AO$12:$AQ$27,3,0))</f>
        <v/>
      </c>
      <c r="G9" s="136" t="str">
        <f ca="1">IFERROR(VLOOKUP($C9&amp;G$7,Calc2!$Z$64:$AB$207,3,0),"")</f>
        <v/>
      </c>
      <c r="H9" s="121"/>
      <c r="I9" s="111" t="str">
        <f ca="1">IFERROR(VLOOKUP($C9&amp;I$7,Calc2!$Z$64:$AB$207,3,0),"")</f>
        <v/>
      </c>
      <c r="J9" s="111" t="str">
        <f ca="1">IFERROR(VLOOKUP($C9&amp;J$7,Calc2!$Z$64:$AB$207,3,0),"")</f>
        <v/>
      </c>
      <c r="K9" s="111" t="str">
        <f ca="1">IFERROR(VLOOKUP($C9&amp;K$7,Calc2!$Z$64:$AB$207,3,0),"")</f>
        <v/>
      </c>
      <c r="L9" s="157" t="str">
        <f ca="1">IFERROR(VLOOKUP($C9&amp;L$7,Calc2!$Z$64:$AB$207,3,0),"")</f>
        <v/>
      </c>
      <c r="M9" s="187" t="str">
        <f t="shared" ca="1" si="0"/>
        <v/>
      </c>
    </row>
    <row r="10" spans="2:13" ht="21.95" customHeight="1" x14ac:dyDescent="0.2">
      <c r="B10" s="114" t="str">
        <f ca="1">IF($C10="","",INDEX(Calc2!$E$4:$E$12,MATCH($C10,Calc2!$F$4:$F$12,0)))</f>
        <v/>
      </c>
      <c r="C10" s="124" t="str">
        <f ca="1">IF(Calc2!$K$13=0,"",Calc2!$X6)</f>
        <v/>
      </c>
      <c r="D10" s="128" t="str">
        <f ca="1">IF($C10="","",VLOOKUP($C10,Calc2!$C$17:$AC$25,25,0))</f>
        <v/>
      </c>
      <c r="E10" s="111" t="str">
        <f ca="1">IF($C10="","",VLOOKUP($C10,Calc2!$C$17:$AC$25,26,0))</f>
        <v/>
      </c>
      <c r="F10" s="498" t="str">
        <f ca="1">IF($C10="","",VLOOKUP(C10,PreliminaryRound!$AO$12:$AQ$27,3,0))</f>
        <v/>
      </c>
      <c r="G10" s="136" t="str">
        <f ca="1">IFERROR(VLOOKUP($C10&amp;G$7,Calc2!$Z$64:$AB$207,3,0),"")</f>
        <v/>
      </c>
      <c r="H10" s="111" t="str">
        <f ca="1">IFERROR(VLOOKUP($C10&amp;H$7,Calc2!$Z$64:$AB$207,3,0),"")</f>
        <v/>
      </c>
      <c r="I10" s="121"/>
      <c r="J10" s="111" t="str">
        <f ca="1">IFERROR(VLOOKUP($C10&amp;J$7,Calc2!$Z$64:$AB$207,3,0),"")</f>
        <v/>
      </c>
      <c r="K10" s="111" t="str">
        <f ca="1">IFERROR(VLOOKUP($C10&amp;K$7,Calc2!$Z$64:$AB$207,3,0),"")</f>
        <v/>
      </c>
      <c r="L10" s="157" t="str">
        <f ca="1">IFERROR(VLOOKUP($C10&amp;L$7,Calc2!$Z$64:$AB$207,3,0),"")</f>
        <v/>
      </c>
      <c r="M10" s="187" t="str">
        <f t="shared" ca="1" si="0"/>
        <v/>
      </c>
    </row>
    <row r="11" spans="2:13" ht="21.95" customHeight="1" x14ac:dyDescent="0.2">
      <c r="B11" s="114" t="str">
        <f ca="1">IF($C11="","",INDEX(Calc2!$E$4:$E$12,MATCH($C11,Calc2!$F$4:$F$12,0)))</f>
        <v/>
      </c>
      <c r="C11" s="124" t="str">
        <f ca="1">IF(Calc2!$K$13=0,"",Calc2!$X7)</f>
        <v/>
      </c>
      <c r="D11" s="128" t="str">
        <f ca="1">IF($C11="","",VLOOKUP($C11,Calc2!$C$17:$AC$25,25,0))</f>
        <v/>
      </c>
      <c r="E11" s="111" t="str">
        <f ca="1">IF($C11="","",VLOOKUP($C11,Calc2!$C$17:$AC$25,26,0))</f>
        <v/>
      </c>
      <c r="F11" s="498" t="str">
        <f ca="1">IF($C11="","",VLOOKUP(C11,PreliminaryRound!$AO$12:$AQ$27,3,0))</f>
        <v/>
      </c>
      <c r="G11" s="136" t="str">
        <f ca="1">IFERROR(VLOOKUP($C11&amp;G$7,Calc2!$Z$64:$AB$207,3,0),"")</f>
        <v/>
      </c>
      <c r="H11" s="111" t="str">
        <f ca="1">IFERROR(VLOOKUP($C11&amp;H$7,Calc2!$Z$64:$AB$207,3,0),"")</f>
        <v/>
      </c>
      <c r="I11" s="111" t="str">
        <f ca="1">IFERROR(VLOOKUP($C11&amp;I$7,Calc2!$Z$64:$AB$207,3,0),"")</f>
        <v/>
      </c>
      <c r="J11" s="121"/>
      <c r="K11" s="111" t="str">
        <f ca="1">IFERROR(VLOOKUP($C11&amp;K$7,Calc2!$Z$64:$AB$207,3,0),"")</f>
        <v/>
      </c>
      <c r="L11" s="157" t="str">
        <f ca="1">IFERROR(VLOOKUP($C11&amp;L$7,Calc2!$Z$64:$AB$207,3,0),"")</f>
        <v/>
      </c>
      <c r="M11" s="187" t="str">
        <f t="shared" ca="1" si="0"/>
        <v/>
      </c>
    </row>
    <row r="12" spans="2:13" ht="21.95" customHeight="1" x14ac:dyDescent="0.2">
      <c r="B12" s="114" t="str">
        <f ca="1">IF($C12="","",INDEX(Calc2!$E$4:$E$12,MATCH($C12,Calc2!$F$4:$F$12,0)))</f>
        <v/>
      </c>
      <c r="C12" s="124" t="str">
        <f ca="1">IF(Calc2!$K$13=0,"",Calc2!$X8)</f>
        <v/>
      </c>
      <c r="D12" s="128" t="str">
        <f ca="1">IF($C12="","",VLOOKUP($C12,Calc2!$C$17:$AC$25,25,0))</f>
        <v/>
      </c>
      <c r="E12" s="111" t="str">
        <f ca="1">IF($C12="","",VLOOKUP($C12,Calc2!$C$17:$AC$25,26,0))</f>
        <v/>
      </c>
      <c r="F12" s="498" t="str">
        <f ca="1">IF($C12="","",VLOOKUP(C12,PreliminaryRound!$AO$12:$AQ$27,3,0))</f>
        <v/>
      </c>
      <c r="G12" s="136" t="str">
        <f ca="1">IFERROR(VLOOKUP($C12&amp;G$7,Calc2!$Z$64:$AB$207,3,0),"")</f>
        <v/>
      </c>
      <c r="H12" s="111" t="str">
        <f ca="1">IFERROR(VLOOKUP($C12&amp;H$7,Calc2!$Z$64:$AB$207,3,0),"")</f>
        <v/>
      </c>
      <c r="I12" s="111" t="str">
        <f ca="1">IFERROR(VLOOKUP($C12&amp;I$7,Calc2!$Z$64:$AB$207,3,0),"")</f>
        <v/>
      </c>
      <c r="J12" s="111" t="str">
        <f ca="1">IFERROR(VLOOKUP($C12&amp;J$7,Calc2!$Z$64:$AB$207,3,0),"")</f>
        <v/>
      </c>
      <c r="K12" s="121"/>
      <c r="L12" s="157" t="str">
        <f ca="1">IFERROR(VLOOKUP($C12&amp;L$7,Calc2!$Z$64:$AB$207,3,0),"")</f>
        <v/>
      </c>
      <c r="M12" s="187" t="str">
        <f t="shared" ca="1" si="0"/>
        <v/>
      </c>
    </row>
    <row r="13" spans="2:13" ht="21.95" customHeight="1" thickBot="1" x14ac:dyDescent="0.25">
      <c r="B13" s="115" t="str">
        <f ca="1">IF($C13="","",INDEX(Calc2!$E$4:$E$12,MATCH($C13,Calc2!$F$4:$F$12,0)))</f>
        <v/>
      </c>
      <c r="C13" s="125" t="str">
        <f ca="1">IF(Calc2!$K$13=0,"",Calc2!$X9)</f>
        <v/>
      </c>
      <c r="D13" s="129" t="str">
        <f ca="1">IF($C13="","",VLOOKUP($C13,Calc2!$C$17:$AC$25,25,0))</f>
        <v/>
      </c>
      <c r="E13" s="112" t="str">
        <f ca="1">IF($C13="","",VLOOKUP($C13,Calc2!$C$17:$AC$25,26,0))</f>
        <v/>
      </c>
      <c r="F13" s="499" t="str">
        <f ca="1">IF($C13="","",VLOOKUP(C13,PreliminaryRound!$AO$12:$AQ$27,3,0))</f>
        <v/>
      </c>
      <c r="G13" s="137" t="str">
        <f ca="1">IFERROR(VLOOKUP($C13&amp;G$7,Calc2!$Z$64:$AB$207,3,0),"")</f>
        <v/>
      </c>
      <c r="H13" s="112" t="str">
        <f ca="1">IFERROR(VLOOKUP($C13&amp;H$7,Calc2!$Z$64:$AB$207,3,0),"")</f>
        <v/>
      </c>
      <c r="I13" s="112" t="str">
        <f ca="1">IFERROR(VLOOKUP($C13&amp;I$7,Calc2!$Z$64:$AB$207,3,0),"")</f>
        <v/>
      </c>
      <c r="J13" s="112" t="str">
        <f ca="1">IFERROR(VLOOKUP($C13&amp;J$7,Calc2!$Z$64:$AB$207,3,0),"")</f>
        <v/>
      </c>
      <c r="K13" s="112" t="str">
        <f ca="1">IFERROR(VLOOKUP($C13&amp;K$7,Calc2!$Z$64:$AB$207,3,0),"")</f>
        <v/>
      </c>
      <c r="L13" s="158"/>
      <c r="M13" s="188"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IF(LEN(G16)&gt;Settings!$C$11,LEFT(G16,Settings!$C$11)&amp;".",G16)</f>
        <v/>
      </c>
      <c r="H15" s="149" t="str">
        <f ca="1">IF(LEN(H16)&gt;Settings!$C$11,LEFT(H16,Settings!$C$11)&amp;".",H16)</f>
        <v/>
      </c>
      <c r="I15" s="149" t="str">
        <f ca="1">IF(LEN(I16)&gt;Settings!$C$11,LEFT(I16,Settings!$C$11)&amp;".",I16)</f>
        <v/>
      </c>
      <c r="J15" s="149" t="str">
        <f ca="1">IF(LEN(J16)&gt;Settings!$C$11,LEFT(J16,Settings!$C$11)&amp;".",J16)</f>
        <v/>
      </c>
      <c r="K15" s="149" t="str">
        <f ca="1">IF(LEN(K16)&gt;Settings!$C$11,LEFT(K16,Settings!$C$11)&amp;".",K16)</f>
        <v/>
      </c>
      <c r="L15" s="150" t="str">
        <f ca="1">IF(LEN(L16)&gt;Settings!$C$11,LEFT(L16,Settings!$C$11)&amp;".",L16)</f>
        <v/>
      </c>
    </row>
    <row r="16" spans="2:13" ht="21.95" customHeight="1" thickTop="1" thickBot="1" x14ac:dyDescent="0.25">
      <c r="B16" s="116"/>
      <c r="C16" s="122" t="str">
        <f>Language!$E$10</f>
        <v>Participant or team</v>
      </c>
      <c r="D16" s="126" t="str">
        <f>Language!$E$27</f>
        <v>Pts</v>
      </c>
      <c r="E16" s="113" t="str">
        <f>Language!$E$26</f>
        <v>GD</v>
      </c>
      <c r="F16" s="151" t="str">
        <f>Language!$E$49</f>
        <v>Tie break</v>
      </c>
      <c r="G16" s="130" t="str">
        <f ca="1">C17</f>
        <v/>
      </c>
      <c r="H16" s="131" t="str">
        <f ca="1">C18</f>
        <v/>
      </c>
      <c r="I16" s="131" t="str">
        <f ca="1">C19</f>
        <v/>
      </c>
      <c r="J16" s="131" t="str">
        <f ca="1">C20</f>
        <v/>
      </c>
      <c r="K16" s="131" t="str">
        <f ca="1">C21</f>
        <v/>
      </c>
      <c r="L16" s="155" t="str">
        <f ca="1">C22</f>
        <v/>
      </c>
    </row>
    <row r="17" spans="2:13" ht="21.95" customHeight="1" x14ac:dyDescent="0.2">
      <c r="B17" s="114" t="str">
        <f ca="1">IF($C17="","",INDEX(Calc2!$E$4:$E$12,MATCH($C17,Calc2!$F$4:$F$12,0)))</f>
        <v/>
      </c>
      <c r="C17" s="123" t="str">
        <f ca="1">IF(Calc2!$K$13=0,"",Calc2!$AC4)</f>
        <v/>
      </c>
      <c r="D17" s="127" t="str">
        <f ca="1">IF($C17="","",VLOOKUP($C17,Calc2!$C$17:$AC$25,25,0))</f>
        <v/>
      </c>
      <c r="E17" s="110" t="str">
        <f ca="1">IF($C17="","",VLOOKUP($C17,Calc2!$C$17:$AC$25,26,0))</f>
        <v/>
      </c>
      <c r="F17" s="497" t="str">
        <f ca="1">IF($C17="","",VLOOKUP(C17,PreliminaryRound!$AO$12:$AQ$27,3,0))</f>
        <v/>
      </c>
      <c r="G17" s="135"/>
      <c r="H17" s="110" t="str">
        <f ca="1">IFERROR(VLOOKUP($C17&amp;H$16,Calc2!$Z$64:$AB$207,3,0),"")</f>
        <v/>
      </c>
      <c r="I17" s="110" t="str">
        <f ca="1">IFERROR(VLOOKUP($C17&amp;I$16,Calc2!$Z$64:$AB$207,3,0),"")</f>
        <v/>
      </c>
      <c r="J17" s="110" t="str">
        <f ca="1">IFERROR(VLOOKUP($C17&amp;J$16,Calc2!$Z$64:$AB$207,3,0),"")</f>
        <v/>
      </c>
      <c r="K17" s="110" t="str">
        <f ca="1">IFERROR(VLOOKUP($C17&amp;K$16,Calc2!$Z$64:$AB$207,3,0),"")</f>
        <v/>
      </c>
      <c r="L17" s="156" t="str">
        <f ca="1">IFERROR(VLOOKUP($C17&amp;L$16,Calc2!$Z$64:$AB$207,3,0),"")</f>
        <v/>
      </c>
      <c r="M17" s="186" t="str">
        <f t="shared" ref="M17:M22" ca="1" si="1">C17</f>
        <v/>
      </c>
    </row>
    <row r="18" spans="2:13" ht="21.95" customHeight="1" x14ac:dyDescent="0.2">
      <c r="B18" s="114" t="str">
        <f ca="1">IF($C18="","",INDEX(Calc2!$E$4:$E$12,MATCH($C18,Calc2!$F$4:$F$12,0)))</f>
        <v/>
      </c>
      <c r="C18" s="124" t="str">
        <f ca="1">IF(Calc2!$K$13=0,"",Calc2!$AC5)</f>
        <v/>
      </c>
      <c r="D18" s="128" t="str">
        <f ca="1">IF($C18="","",VLOOKUP($C18,Calc2!$C$17:$AC$25,25,0))</f>
        <v/>
      </c>
      <c r="E18" s="111" t="str">
        <f ca="1">IF($C18="","",VLOOKUP($C18,Calc2!$C$17:$AC$25,26,0))</f>
        <v/>
      </c>
      <c r="F18" s="498" t="str">
        <f ca="1">IF($C18="","",VLOOKUP(C18,PreliminaryRound!$AO$12:$AQ$27,3,0))</f>
        <v/>
      </c>
      <c r="G18" s="136" t="str">
        <f ca="1">IFERROR(VLOOKUP($C18&amp;G$16,Calc2!$Z$64:$AB$207,3,0),"")</f>
        <v/>
      </c>
      <c r="H18" s="121"/>
      <c r="I18" s="111" t="str">
        <f ca="1">IFERROR(VLOOKUP($C18&amp;I$16,Calc2!$Z$64:$AB$207,3,0),"")</f>
        <v/>
      </c>
      <c r="J18" s="111" t="str">
        <f ca="1">IFERROR(VLOOKUP($C18&amp;J$16,Calc2!$Z$64:$AB$207,3,0),"")</f>
        <v/>
      </c>
      <c r="K18" s="111" t="str">
        <f ca="1">IFERROR(VLOOKUP($C18&amp;K$16,Calc2!$Z$64:$AB$207,3,0),"")</f>
        <v/>
      </c>
      <c r="L18" s="157" t="str">
        <f ca="1">IFERROR(VLOOKUP($C18&amp;L$16,Calc2!$Z$64:$AB$207,3,0),"")</f>
        <v/>
      </c>
      <c r="M18" s="187" t="str">
        <f t="shared" ca="1" si="1"/>
        <v/>
      </c>
    </row>
    <row r="19" spans="2:13" ht="21.95" customHeight="1" x14ac:dyDescent="0.2">
      <c r="B19" s="114" t="str">
        <f ca="1">IF($C19="","",INDEX(Calc2!$E$4:$E$12,MATCH($C19,Calc2!$F$4:$F$12,0)))</f>
        <v/>
      </c>
      <c r="C19" s="124" t="str">
        <f ca="1">IF(Calc2!$K$13=0,"",Calc2!$AC6)</f>
        <v/>
      </c>
      <c r="D19" s="128" t="str">
        <f ca="1">IF($C19="","",VLOOKUP($C19,Calc2!$C$17:$AC$25,25,0))</f>
        <v/>
      </c>
      <c r="E19" s="111" t="str">
        <f ca="1">IF($C19="","",VLOOKUP($C19,Calc2!$C$17:$AC$25,26,0))</f>
        <v/>
      </c>
      <c r="F19" s="498" t="str">
        <f ca="1">IF($C19="","",VLOOKUP(C19,PreliminaryRound!$AO$12:$AQ$27,3,0))</f>
        <v/>
      </c>
      <c r="G19" s="136" t="str">
        <f ca="1">IFERROR(VLOOKUP($C19&amp;G$16,Calc2!$Z$64:$AB$207,3,0),"")</f>
        <v/>
      </c>
      <c r="H19" s="111" t="str">
        <f ca="1">IFERROR(VLOOKUP($C19&amp;H$16,Calc2!$Z$64:$AB$207,3,0),"")</f>
        <v/>
      </c>
      <c r="I19" s="121"/>
      <c r="J19" s="111" t="str">
        <f ca="1">IFERROR(VLOOKUP($C19&amp;J$16,Calc2!$Z$64:$AB$207,3,0),"")</f>
        <v/>
      </c>
      <c r="K19" s="111" t="str">
        <f ca="1">IFERROR(VLOOKUP($C19&amp;K$16,Calc2!$Z$64:$AB$207,3,0),"")</f>
        <v/>
      </c>
      <c r="L19" s="157" t="str">
        <f ca="1">IFERROR(VLOOKUP($C19&amp;L$16,Calc2!$Z$64:$AB$207,3,0),"")</f>
        <v/>
      </c>
      <c r="M19" s="187" t="str">
        <f t="shared" ca="1" si="1"/>
        <v/>
      </c>
    </row>
    <row r="20" spans="2:13" ht="21.95" customHeight="1" x14ac:dyDescent="0.2">
      <c r="B20" s="114" t="str">
        <f ca="1">IF($C20="","",INDEX(Calc2!$E$4:$E$12,MATCH($C20,Calc2!$F$4:$F$12,0)))</f>
        <v/>
      </c>
      <c r="C20" s="124" t="str">
        <f ca="1">IF(Calc2!$K$13=0,"",Calc2!$AC7)</f>
        <v/>
      </c>
      <c r="D20" s="128" t="str">
        <f ca="1">IF($C20="","",VLOOKUP($C20,Calc2!$C$17:$AC$25,25,0))</f>
        <v/>
      </c>
      <c r="E20" s="111" t="str">
        <f ca="1">IF($C20="","",VLOOKUP($C20,Calc2!$C$17:$AC$25,26,0))</f>
        <v/>
      </c>
      <c r="F20" s="498" t="str">
        <f ca="1">IF($C20="","",VLOOKUP(C20,PreliminaryRound!$AO$12:$AQ$27,3,0))</f>
        <v/>
      </c>
      <c r="G20" s="136" t="str">
        <f ca="1">IFERROR(VLOOKUP($C20&amp;G$16,Calc2!$Z$64:$AB$207,3,0),"")</f>
        <v/>
      </c>
      <c r="H20" s="111" t="str">
        <f ca="1">IFERROR(VLOOKUP($C20&amp;H$16,Calc2!$Z$64:$AB$207,3,0),"")</f>
        <v/>
      </c>
      <c r="I20" s="111" t="str">
        <f ca="1">IFERROR(VLOOKUP($C20&amp;I$16,Calc2!$Z$64:$AB$207,3,0),"")</f>
        <v/>
      </c>
      <c r="J20" s="121"/>
      <c r="K20" s="111" t="str">
        <f ca="1">IFERROR(VLOOKUP($C20&amp;K$16,Calc2!$Z$64:$AB$207,3,0),"")</f>
        <v/>
      </c>
      <c r="L20" s="157" t="str">
        <f ca="1">IFERROR(VLOOKUP($C20&amp;L$16,Calc2!$Z$64:$AB$207,3,0),"")</f>
        <v/>
      </c>
      <c r="M20" s="187" t="str">
        <f t="shared" ca="1" si="1"/>
        <v/>
      </c>
    </row>
    <row r="21" spans="2:13" ht="21.95" customHeight="1" x14ac:dyDescent="0.2">
      <c r="B21" s="114" t="str">
        <f ca="1">IF($C21="","",INDEX(Calc2!$E$4:$E$12,MATCH($C21,Calc2!$F$4:$F$12,0)))</f>
        <v/>
      </c>
      <c r="C21" s="124" t="str">
        <f ca="1">IF(Calc2!$K$13=0,"",Calc2!$AC8)</f>
        <v/>
      </c>
      <c r="D21" s="128" t="str">
        <f ca="1">IF($C21="","",VLOOKUP($C21,Calc2!$C$17:$AC$25,25,0))</f>
        <v/>
      </c>
      <c r="E21" s="111" t="str">
        <f ca="1">IF($C21="","",VLOOKUP($C21,Calc2!$C$17:$AC$25,26,0))</f>
        <v/>
      </c>
      <c r="F21" s="498" t="str">
        <f ca="1">IF($C21="","",VLOOKUP(C21,PreliminaryRound!$AO$12:$AQ$27,3,0))</f>
        <v/>
      </c>
      <c r="G21" s="136" t="str">
        <f ca="1">IFERROR(VLOOKUP($C21&amp;G$16,Calc2!$Z$64:$AB$207,3,0),"")</f>
        <v/>
      </c>
      <c r="H21" s="111" t="str">
        <f ca="1">IFERROR(VLOOKUP($C21&amp;H$16,Calc2!$Z$64:$AB$207,3,0),"")</f>
        <v/>
      </c>
      <c r="I21" s="111" t="str">
        <f ca="1">IFERROR(VLOOKUP($C21&amp;I$16,Calc2!$Z$64:$AB$207,3,0),"")</f>
        <v/>
      </c>
      <c r="J21" s="111" t="str">
        <f ca="1">IFERROR(VLOOKUP($C21&amp;J$16,Calc2!$Z$64:$AB$207,3,0),"")</f>
        <v/>
      </c>
      <c r="K21" s="121"/>
      <c r="L21" s="157" t="str">
        <f ca="1">IFERROR(VLOOKUP($C21&amp;L$16,Calc2!$Z$64:$AB$207,3,0),"")</f>
        <v/>
      </c>
      <c r="M21" s="187" t="str">
        <f t="shared" ca="1" si="1"/>
        <v/>
      </c>
    </row>
    <row r="22" spans="2:13" ht="21.95" customHeight="1" thickBot="1" x14ac:dyDescent="0.25">
      <c r="B22" s="115" t="str">
        <f ca="1">IF($C22="","",INDEX(Calc2!$E$4:$E$12,MATCH($C22,Calc2!$F$4:$F$12,0)))</f>
        <v/>
      </c>
      <c r="C22" s="125" t="str">
        <f ca="1">IF(Calc2!$K$13=0,"",Calc2!$AC9)</f>
        <v/>
      </c>
      <c r="D22" s="129" t="str">
        <f ca="1">IF($C22="","",VLOOKUP($C22,Calc2!$C$17:$AC$25,25,0))</f>
        <v/>
      </c>
      <c r="E22" s="112" t="str">
        <f ca="1">IF($C22="","",VLOOKUP($C22,Calc2!$C$17:$AC$25,26,0))</f>
        <v/>
      </c>
      <c r="F22" s="499" t="str">
        <f ca="1">IF($C22="","",VLOOKUP(C22,PreliminaryRound!$AO$12:$AQ$27,3,0))</f>
        <v/>
      </c>
      <c r="G22" s="137" t="str">
        <f ca="1">IFERROR(VLOOKUP($C22&amp;G$16,Calc2!$Z$64:$AB$207,3,0),"")</f>
        <v/>
      </c>
      <c r="H22" s="112" t="str">
        <f ca="1">IFERROR(VLOOKUP($C22&amp;H$16,Calc2!$Z$64:$AB$207,3,0),"")</f>
        <v/>
      </c>
      <c r="I22" s="112" t="str">
        <f ca="1">IFERROR(VLOOKUP($C22&amp;I$16,Calc2!$Z$64:$AB$207,3,0),"")</f>
        <v/>
      </c>
      <c r="J22" s="112" t="str">
        <f ca="1">IFERROR(VLOOKUP($C22&amp;J$16,Calc2!$Z$64:$AB$207,3,0),"")</f>
        <v/>
      </c>
      <c r="K22" s="112" t="str">
        <f ca="1">IFERROR(VLOOKUP($C22&amp;K$16,Calc2!$Z$64:$AB$207,3,0),"")</f>
        <v/>
      </c>
      <c r="L22" s="158"/>
      <c r="M22" s="188"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IF(LEN(G25)&gt;Settings!$C$11,LEFT(G25,Settings!$C$11)&amp;".",G25)</f>
        <v/>
      </c>
      <c r="H24" s="149" t="str">
        <f ca="1">IF(LEN(H25)&gt;Settings!$C$11,LEFT(H25,Settings!$C$11)&amp;".",H25)</f>
        <v/>
      </c>
      <c r="I24" s="149" t="str">
        <f ca="1">IF(LEN(I25)&gt;Settings!$C$11,LEFT(I25,Settings!$C$11)&amp;".",I25)</f>
        <v/>
      </c>
      <c r="J24" s="149" t="str">
        <f ca="1">IF(LEN(J25)&gt;Settings!$C$11,LEFT(J25,Settings!$C$11)&amp;".",J25)</f>
        <v/>
      </c>
      <c r="K24" s="149" t="str">
        <f ca="1">IF(LEN(K25)&gt;Settings!$C$11,LEFT(K25,Settings!$C$11)&amp;".",K25)</f>
        <v/>
      </c>
      <c r="L24" s="150" t="str">
        <f ca="1">IF(LEN(L25)&gt;Settings!$C$11,LEFT(L25,Settings!$C$11)&amp;".",L25)</f>
        <v/>
      </c>
    </row>
    <row r="25" spans="2:13" ht="21.95" customHeight="1" thickTop="1" thickBot="1" x14ac:dyDescent="0.25">
      <c r="B25" s="116"/>
      <c r="C25" s="122" t="str">
        <f>Language!$E$10</f>
        <v>Participant or team</v>
      </c>
      <c r="D25" s="126" t="str">
        <f>Language!$E$27</f>
        <v>Pts</v>
      </c>
      <c r="E25" s="113" t="str">
        <f>Language!$E$26</f>
        <v>GD</v>
      </c>
      <c r="F25" s="151" t="str">
        <f>Language!$E$49</f>
        <v>Tie break</v>
      </c>
      <c r="G25" s="130" t="str">
        <f ca="1">C26</f>
        <v/>
      </c>
      <c r="H25" s="131" t="str">
        <f ca="1">C27</f>
        <v/>
      </c>
      <c r="I25" s="131" t="str">
        <f ca="1">C28</f>
        <v/>
      </c>
      <c r="J25" s="131" t="str">
        <f ca="1">C29</f>
        <v/>
      </c>
      <c r="K25" s="131" t="str">
        <f ca="1">C30</f>
        <v/>
      </c>
      <c r="L25" s="155" t="str">
        <f ca="1">C31</f>
        <v/>
      </c>
    </row>
    <row r="26" spans="2:13" ht="21.95" customHeight="1" x14ac:dyDescent="0.2">
      <c r="B26" s="114" t="str">
        <f ca="1">IF($C26="","",INDEX(Calc2!$E$4:$E$12,MATCH($C26,Calc2!$F$4:$F$12,0)))</f>
        <v/>
      </c>
      <c r="C26" s="123" t="str">
        <f ca="1">IF(Calc2!$K$13=0,"",Calc2!$AH4)</f>
        <v/>
      </c>
      <c r="D26" s="127" t="str">
        <f ca="1">IF($C26="","",VLOOKUP($C26,Calc2!$C$17:$AC$25,25,0))</f>
        <v/>
      </c>
      <c r="E26" s="110" t="str">
        <f ca="1">IF($C26="","",VLOOKUP($C26,Calc2!$C$17:$AC$25,26,0))</f>
        <v/>
      </c>
      <c r="F26" s="497" t="str">
        <f ca="1">IF($C26="","",VLOOKUP(C26,PreliminaryRound!$AO$12:$AQ$27,3,0))</f>
        <v/>
      </c>
      <c r="G26" s="135"/>
      <c r="H26" s="110" t="str">
        <f ca="1">IFERROR(VLOOKUP($C26&amp;H$25,Calc2!$Z$64:$AB$207,3,0),"")</f>
        <v/>
      </c>
      <c r="I26" s="110" t="str">
        <f ca="1">IFERROR(VLOOKUP($C26&amp;I$25,Calc2!$Z$64:$AB$207,3,0),"")</f>
        <v/>
      </c>
      <c r="J26" s="110" t="str">
        <f ca="1">IFERROR(VLOOKUP($C26&amp;J$25,Calc2!$Z$64:$AB$207,3,0),"")</f>
        <v/>
      </c>
      <c r="K26" s="110" t="str">
        <f ca="1">IFERROR(VLOOKUP($C26&amp;K$25,Calc2!$Z$64:$AB$207,3,0),"")</f>
        <v/>
      </c>
      <c r="L26" s="156" t="str">
        <f ca="1">IFERROR(VLOOKUP($C26&amp;L$25,Calc2!$Z$64:$AB$207,3,0),"")</f>
        <v/>
      </c>
      <c r="M26" s="186" t="str">
        <f t="shared" ref="M26:M31" ca="1" si="2">C26</f>
        <v/>
      </c>
    </row>
    <row r="27" spans="2:13" ht="21.95" customHeight="1" x14ac:dyDescent="0.2">
      <c r="B27" s="114" t="str">
        <f ca="1">IF($C27="","",INDEX(Calc2!$E$4:$E$12,MATCH($C27,Calc2!$F$4:$F$12,0)))</f>
        <v/>
      </c>
      <c r="C27" s="124" t="str">
        <f ca="1">IF(Calc2!$K$13=0,"",Calc2!$AH5)</f>
        <v/>
      </c>
      <c r="D27" s="128" t="str">
        <f ca="1">IF($C27="","",VLOOKUP($C27,Calc2!$C$17:$AC$25,25,0))</f>
        <v/>
      </c>
      <c r="E27" s="111" t="str">
        <f ca="1">IF($C27="","",VLOOKUP($C27,Calc2!$C$17:$AC$25,26,0))</f>
        <v/>
      </c>
      <c r="F27" s="498" t="str">
        <f ca="1">IF($C27="","",VLOOKUP(C27,PreliminaryRound!$AO$12:$AQ$27,3,0))</f>
        <v/>
      </c>
      <c r="G27" s="136" t="str">
        <f ca="1">IFERROR(VLOOKUP($C27&amp;G$25,Calc2!$Z$64:$AB$207,3,0),"")</f>
        <v/>
      </c>
      <c r="H27" s="121"/>
      <c r="I27" s="111" t="str">
        <f ca="1">IFERROR(VLOOKUP($C27&amp;I$25,Calc2!$Z$64:$AB$207,3,0),"")</f>
        <v/>
      </c>
      <c r="J27" s="111" t="str">
        <f ca="1">IFERROR(VLOOKUP($C27&amp;J$25,Calc2!$Z$64:$AB$207,3,0),"")</f>
        <v/>
      </c>
      <c r="K27" s="111" t="str">
        <f ca="1">IFERROR(VLOOKUP($C27&amp;K$25,Calc2!$Z$64:$AB$207,3,0),"")</f>
        <v/>
      </c>
      <c r="L27" s="157" t="str">
        <f ca="1">IFERROR(VLOOKUP($C27&amp;L$25,Calc2!$Z$64:$AB$207,3,0),"")</f>
        <v/>
      </c>
      <c r="M27" s="187" t="str">
        <f t="shared" ca="1" si="2"/>
        <v/>
      </c>
    </row>
    <row r="28" spans="2:13" ht="21.95" customHeight="1" x14ac:dyDescent="0.2">
      <c r="B28" s="114" t="str">
        <f ca="1">IF($C28="","",INDEX(Calc2!$E$4:$E$12,MATCH($C28,Calc2!$F$4:$F$12,0)))</f>
        <v/>
      </c>
      <c r="C28" s="124" t="str">
        <f ca="1">IF(Calc2!$K$13=0,"",Calc2!$AH6)</f>
        <v/>
      </c>
      <c r="D28" s="128" t="str">
        <f ca="1">IF($C28="","",VLOOKUP($C28,Calc2!$C$17:$AC$25,25,0))</f>
        <v/>
      </c>
      <c r="E28" s="111" t="str">
        <f ca="1">IF($C28="","",VLOOKUP($C28,Calc2!$C$17:$AC$25,26,0))</f>
        <v/>
      </c>
      <c r="F28" s="498" t="str">
        <f ca="1">IF($C28="","",VLOOKUP(C28,PreliminaryRound!$AO$12:$AQ$27,3,0))</f>
        <v/>
      </c>
      <c r="G28" s="136" t="str">
        <f ca="1">IFERROR(VLOOKUP($C28&amp;G$25,Calc2!$Z$64:$AB$207,3,0),"")</f>
        <v/>
      </c>
      <c r="H28" s="111" t="str">
        <f ca="1">IFERROR(VLOOKUP($C28&amp;H$25,Calc2!$Z$64:$AB$207,3,0),"")</f>
        <v/>
      </c>
      <c r="I28" s="121"/>
      <c r="J28" s="111" t="str">
        <f ca="1">IFERROR(VLOOKUP($C28&amp;J$25,Calc2!$Z$64:$AB$207,3,0),"")</f>
        <v/>
      </c>
      <c r="K28" s="111" t="str">
        <f ca="1">IFERROR(VLOOKUP($C28&amp;K$25,Calc2!$Z$64:$AB$207,3,0),"")</f>
        <v/>
      </c>
      <c r="L28" s="157" t="str">
        <f ca="1">IFERROR(VLOOKUP($C28&amp;L$25,Calc2!$Z$64:$AB$207,3,0),"")</f>
        <v/>
      </c>
      <c r="M28" s="187" t="str">
        <f t="shared" ca="1" si="2"/>
        <v/>
      </c>
    </row>
    <row r="29" spans="2:13" ht="21.95" customHeight="1" x14ac:dyDescent="0.2">
      <c r="B29" s="114" t="str">
        <f ca="1">IF($C29="","",INDEX(Calc2!$E$4:$E$12,MATCH($C29,Calc2!$F$4:$F$12,0)))</f>
        <v/>
      </c>
      <c r="C29" s="124" t="str">
        <f ca="1">IF(Calc2!$K$13=0,"",Calc2!$AH7)</f>
        <v/>
      </c>
      <c r="D29" s="128" t="str">
        <f ca="1">IF($C29="","",VLOOKUP($C29,Calc2!$C$17:$AC$25,25,0))</f>
        <v/>
      </c>
      <c r="E29" s="111" t="str">
        <f ca="1">IF($C29="","",VLOOKUP($C29,Calc2!$C$17:$AC$25,26,0))</f>
        <v/>
      </c>
      <c r="F29" s="498" t="str">
        <f ca="1">IF($C29="","",VLOOKUP(C29,PreliminaryRound!$AO$12:$AQ$27,3,0))</f>
        <v/>
      </c>
      <c r="G29" s="136" t="str">
        <f ca="1">IFERROR(VLOOKUP($C29&amp;G$25,Calc2!$Z$64:$AB$207,3,0),"")</f>
        <v/>
      </c>
      <c r="H29" s="111" t="str">
        <f ca="1">IFERROR(VLOOKUP($C29&amp;H$25,Calc2!$Z$64:$AB$207,3,0),"")</f>
        <v/>
      </c>
      <c r="I29" s="111" t="str">
        <f ca="1">IFERROR(VLOOKUP($C29&amp;I$25,Calc2!$Z$64:$AB$207,3,0),"")</f>
        <v/>
      </c>
      <c r="J29" s="121"/>
      <c r="K29" s="111" t="str">
        <f ca="1">IFERROR(VLOOKUP($C29&amp;K$25,Calc2!$Z$64:$AB$207,3,0),"")</f>
        <v/>
      </c>
      <c r="L29" s="157" t="str">
        <f ca="1">IFERROR(VLOOKUP($C29&amp;L$25,Calc2!$Z$64:$AB$207,3,0),"")</f>
        <v/>
      </c>
      <c r="M29" s="187" t="str">
        <f t="shared" ca="1" si="2"/>
        <v/>
      </c>
    </row>
    <row r="30" spans="2:13" ht="21.95" customHeight="1" x14ac:dyDescent="0.2">
      <c r="B30" s="114" t="str">
        <f ca="1">IF($C30="","",INDEX(Calc2!$E$4:$E$12,MATCH($C30,Calc2!$F$4:$F$12,0)))</f>
        <v/>
      </c>
      <c r="C30" s="124" t="str">
        <f ca="1">IF(Calc2!$K$13=0,"",Calc2!$AH8)</f>
        <v/>
      </c>
      <c r="D30" s="128" t="str">
        <f ca="1">IF($C30="","",VLOOKUP($C30,Calc2!$C$17:$AC$25,25,0))</f>
        <v/>
      </c>
      <c r="E30" s="111" t="str">
        <f ca="1">IF($C30="","",VLOOKUP($C30,Calc2!$C$17:$AC$25,26,0))</f>
        <v/>
      </c>
      <c r="F30" s="498" t="str">
        <f ca="1">IF($C30="","",VLOOKUP(C30,PreliminaryRound!$AO$12:$AQ$27,3,0))</f>
        <v/>
      </c>
      <c r="G30" s="136" t="str">
        <f ca="1">IFERROR(VLOOKUP($C30&amp;G$25,Calc2!$Z$64:$AB$207,3,0),"")</f>
        <v/>
      </c>
      <c r="H30" s="111" t="str">
        <f ca="1">IFERROR(VLOOKUP($C30&amp;H$25,Calc2!$Z$64:$AB$207,3,0),"")</f>
        <v/>
      </c>
      <c r="I30" s="111" t="str">
        <f ca="1">IFERROR(VLOOKUP($C30&amp;I$25,Calc2!$Z$64:$AB$207,3,0),"")</f>
        <v/>
      </c>
      <c r="J30" s="111" t="str">
        <f ca="1">IFERROR(VLOOKUP($C30&amp;J$25,Calc2!$Z$64:$AB$207,3,0),"")</f>
        <v/>
      </c>
      <c r="K30" s="121"/>
      <c r="L30" s="157" t="str">
        <f ca="1">IFERROR(VLOOKUP($C30&amp;L$25,Calc2!$Z$64:$AB$207,3,0),"")</f>
        <v/>
      </c>
      <c r="M30" s="187" t="str">
        <f t="shared" ca="1" si="2"/>
        <v/>
      </c>
    </row>
    <row r="31" spans="2:13" ht="21.95" customHeight="1" thickBot="1" x14ac:dyDescent="0.25">
      <c r="B31" s="115" t="str">
        <f ca="1">IF($C31="","",INDEX(Calc2!$E$4:$E$12,MATCH($C31,Calc2!$F$4:$F$12,0)))</f>
        <v/>
      </c>
      <c r="C31" s="125" t="str">
        <f ca="1">IF(Calc2!$K$13=0,"",Calc2!$AH9)</f>
        <v/>
      </c>
      <c r="D31" s="129" t="str">
        <f ca="1">IF($C31="","",VLOOKUP($C31,Calc2!$C$17:$AC$25,25,0))</f>
        <v/>
      </c>
      <c r="E31" s="112" t="str">
        <f ca="1">IF($C31="","",VLOOKUP($C31,Calc2!$C$17:$AC$25,26,0))</f>
        <v/>
      </c>
      <c r="F31" s="499" t="str">
        <f ca="1">IF($C31="","",VLOOKUP(C31,PreliminaryRound!$AO$12:$AQ$27,3,0))</f>
        <v/>
      </c>
      <c r="G31" s="137" t="str">
        <f ca="1">IFERROR(VLOOKUP($C31&amp;G$25,Calc2!$Z$64:$AB$207,3,0),"")</f>
        <v/>
      </c>
      <c r="H31" s="112" t="str">
        <f ca="1">IFERROR(VLOOKUP($C31&amp;H$25,Calc2!$Z$64:$AB$207,3,0),"")</f>
        <v/>
      </c>
      <c r="I31" s="112" t="str">
        <f ca="1">IFERROR(VLOOKUP($C31&amp;I$25,Calc2!$Z$64:$AB$207,3,0),"")</f>
        <v/>
      </c>
      <c r="J31" s="112" t="str">
        <f ca="1">IFERROR(VLOOKUP($C31&amp;J$25,Calc2!$Z$64:$AB$207,3,0),"")</f>
        <v/>
      </c>
      <c r="K31" s="112" t="str">
        <f ca="1">IFERROR(VLOOKUP($C31&amp;K$25,Calc2!$Z$64:$AB$207,3,0),"")</f>
        <v/>
      </c>
      <c r="L31" s="158"/>
      <c r="M31" s="188" t="str">
        <f t="shared" ca="1" si="2"/>
        <v/>
      </c>
    </row>
    <row r="32" spans="2:13" ht="42.75" customHeight="1" thickTop="1" thickBot="1" x14ac:dyDescent="0.25"/>
    <row r="33" spans="2:13" ht="21.95" customHeight="1" thickBot="1" x14ac:dyDescent="0.25">
      <c r="G33" s="148" t="str">
        <f ca="1">IF(LEN(G34)&gt;Settings!$C$11,LEFT(G34,Settings!$C$11)&amp;".",G34)</f>
        <v/>
      </c>
      <c r="H33" s="149" t="str">
        <f ca="1">IF(LEN(H34)&gt;Settings!$C$11,LEFT(H34,Settings!$C$11)&amp;".",H34)</f>
        <v/>
      </c>
      <c r="I33" s="149" t="str">
        <f ca="1">IF(LEN(I34)&gt;Settings!$C$11,LEFT(I34,Settings!$C$11)&amp;".",I34)</f>
        <v/>
      </c>
      <c r="J33" s="149" t="str">
        <f ca="1">IF(LEN(J34)&gt;Settings!$C$11,LEFT(J34,Settings!$C$11)&amp;".",J34)</f>
        <v/>
      </c>
      <c r="K33" s="149" t="str">
        <f ca="1">IF(LEN(K34)&gt;Settings!$C$11,LEFT(K34,Settings!$C$11)&amp;".",K34)</f>
        <v/>
      </c>
      <c r="L33" s="150" t="str">
        <f ca="1">IF(LEN(L34)&gt;Settings!$C$11,LEFT(L34,Settings!$C$11)&amp;".",L34)</f>
        <v/>
      </c>
    </row>
    <row r="34" spans="2:13" ht="21.95" customHeight="1" thickTop="1" thickBot="1" x14ac:dyDescent="0.25">
      <c r="B34" s="116"/>
      <c r="C34" s="122" t="str">
        <f>Language!$E$10</f>
        <v>Participant or team</v>
      </c>
      <c r="D34" s="126" t="str">
        <f>Language!$E$27</f>
        <v>Pts</v>
      </c>
      <c r="E34" s="113" t="str">
        <f>Language!$E$26</f>
        <v>GD</v>
      </c>
      <c r="F34" s="151" t="str">
        <f>Language!$E$49</f>
        <v>Tie break</v>
      </c>
      <c r="G34" s="130" t="str">
        <f ca="1">C35</f>
        <v/>
      </c>
      <c r="H34" s="131" t="str">
        <f ca="1">C36</f>
        <v/>
      </c>
      <c r="I34" s="131" t="str">
        <f ca="1">C37</f>
        <v/>
      </c>
      <c r="J34" s="131" t="str">
        <f ca="1">C38</f>
        <v/>
      </c>
      <c r="K34" s="131" t="str">
        <f ca="1">C39</f>
        <v/>
      </c>
      <c r="L34" s="155" t="str">
        <f ca="1">C40</f>
        <v/>
      </c>
    </row>
    <row r="35" spans="2:13" ht="21.95" customHeight="1" x14ac:dyDescent="0.2">
      <c r="B35" s="114" t="str">
        <f ca="1">IF($C35="","",INDEX(Calc2!$E$4:$E$12,MATCH($C35,Calc2!$F$4:$F$12,0)))</f>
        <v/>
      </c>
      <c r="C35" s="123" t="str">
        <f ca="1">IF(Calc2!$K$13=0,"",Calc2!$AM4)</f>
        <v/>
      </c>
      <c r="D35" s="127" t="str">
        <f ca="1">IF($C35="","",VLOOKUP($C35,Calc2!$C$17:$AC$25,25,0))</f>
        <v/>
      </c>
      <c r="E35" s="110" t="str">
        <f ca="1">IF($C35="","",VLOOKUP($C35,Calc2!$C$17:$AC$25,26,0))</f>
        <v/>
      </c>
      <c r="F35" s="497" t="str">
        <f ca="1">IF($C35="","",VLOOKUP(C35,PreliminaryRound!$AO$12:$AQ$27,3,0))</f>
        <v/>
      </c>
      <c r="G35" s="135"/>
      <c r="H35" s="110" t="str">
        <f ca="1">IFERROR(VLOOKUP($C35&amp;H$34,Calc2!$Z$64:$AB$207,3,0),"")</f>
        <v/>
      </c>
      <c r="I35" s="110" t="str">
        <f ca="1">IFERROR(VLOOKUP($C35&amp;I$34,Calc2!$Z$64:$AB$207,3,0),"")</f>
        <v/>
      </c>
      <c r="J35" s="110" t="str">
        <f ca="1">IFERROR(VLOOKUP($C35&amp;J$34,Calc2!$Z$64:$AB$207,3,0),"")</f>
        <v/>
      </c>
      <c r="K35" s="110" t="str">
        <f ca="1">IFERROR(VLOOKUP($C35&amp;K$34,Calc2!$Z$64:$AB$207,3,0),"")</f>
        <v/>
      </c>
      <c r="L35" s="156" t="str">
        <f ca="1">IFERROR(VLOOKUP($C35&amp;L$34,Calc2!$Z$64:$AB$207,3,0),"")</f>
        <v/>
      </c>
      <c r="M35" s="186" t="str">
        <f t="shared" ref="M35:M40" ca="1" si="3">C35</f>
        <v/>
      </c>
    </row>
    <row r="36" spans="2:13" ht="21.95" customHeight="1" x14ac:dyDescent="0.2">
      <c r="B36" s="114" t="str">
        <f ca="1">IF($C36="","",INDEX(Calc2!$E$4:$E$12,MATCH($C36,Calc2!$F$4:$F$12,0)))</f>
        <v/>
      </c>
      <c r="C36" s="124" t="str">
        <f ca="1">IF(Calc2!$K$13=0,"",Calc2!$AM5)</f>
        <v/>
      </c>
      <c r="D36" s="128" t="str">
        <f ca="1">IF($C36="","",VLOOKUP($C36,Calc2!$C$17:$AC$25,25,0))</f>
        <v/>
      </c>
      <c r="E36" s="111" t="str">
        <f ca="1">IF($C36="","",VLOOKUP($C36,Calc2!$C$17:$AC$25,26,0))</f>
        <v/>
      </c>
      <c r="F36" s="498" t="str">
        <f ca="1">IF($C36="","",VLOOKUP(C36,PreliminaryRound!$AO$12:$AQ$27,3,0))</f>
        <v/>
      </c>
      <c r="G36" s="136" t="str">
        <f ca="1">IFERROR(VLOOKUP($C36&amp;G$34,Calc2!$Z$64:$AB$207,3,0),"")</f>
        <v/>
      </c>
      <c r="H36" s="121"/>
      <c r="I36" s="111" t="str">
        <f ca="1">IFERROR(VLOOKUP($C36&amp;I$34,Calc2!$Z$64:$AB$207,3,0),"")</f>
        <v/>
      </c>
      <c r="J36" s="111" t="str">
        <f ca="1">IFERROR(VLOOKUP($C36&amp;J$34,Calc2!$Z$64:$AB$207,3,0),"")</f>
        <v/>
      </c>
      <c r="K36" s="111" t="str">
        <f ca="1">IFERROR(VLOOKUP($C36&amp;K$34,Calc2!$Z$64:$AB$207,3,0),"")</f>
        <v/>
      </c>
      <c r="L36" s="157" t="str">
        <f ca="1">IFERROR(VLOOKUP($C36&amp;L$34,Calc2!$Z$64:$AB$207,3,0),"")</f>
        <v/>
      </c>
      <c r="M36" s="187" t="str">
        <f t="shared" ca="1" si="3"/>
        <v/>
      </c>
    </row>
    <row r="37" spans="2:13" ht="21.95" customHeight="1" x14ac:dyDescent="0.2">
      <c r="B37" s="114" t="str">
        <f ca="1">IF($C37="","",INDEX(Calc2!$E$4:$E$12,MATCH($C37,Calc2!$F$4:$F$12,0)))</f>
        <v/>
      </c>
      <c r="C37" s="124" t="str">
        <f ca="1">IF(Calc2!$K$13=0,"",Calc2!$AM6)</f>
        <v/>
      </c>
      <c r="D37" s="128" t="str">
        <f ca="1">IF($C37="","",VLOOKUP($C37,Calc2!$C$17:$AC$25,25,0))</f>
        <v/>
      </c>
      <c r="E37" s="111" t="str">
        <f ca="1">IF($C37="","",VLOOKUP($C37,Calc2!$C$17:$AC$25,26,0))</f>
        <v/>
      </c>
      <c r="F37" s="498" t="str">
        <f ca="1">IF($C37="","",VLOOKUP(C37,PreliminaryRound!$AO$12:$AQ$27,3,0))</f>
        <v/>
      </c>
      <c r="G37" s="136" t="str">
        <f ca="1">IFERROR(VLOOKUP($C37&amp;G$34,Calc2!$Z$64:$AB$207,3,0),"")</f>
        <v/>
      </c>
      <c r="H37" s="111" t="str">
        <f ca="1">IFERROR(VLOOKUP($C37&amp;H$34,Calc2!$Z$64:$AB$207,3,0),"")</f>
        <v/>
      </c>
      <c r="I37" s="121"/>
      <c r="J37" s="111" t="str">
        <f ca="1">IFERROR(VLOOKUP($C37&amp;J$34,Calc2!$Z$64:$AB$207,3,0),"")</f>
        <v/>
      </c>
      <c r="K37" s="111" t="str">
        <f ca="1">IFERROR(VLOOKUP($C37&amp;K$34,Calc2!$Z$64:$AB$207,3,0),"")</f>
        <v/>
      </c>
      <c r="L37" s="157" t="str">
        <f ca="1">IFERROR(VLOOKUP($C37&amp;L$34,Calc2!$Z$64:$AB$207,3,0),"")</f>
        <v/>
      </c>
      <c r="M37" s="187" t="str">
        <f t="shared" ca="1" si="3"/>
        <v/>
      </c>
    </row>
    <row r="38" spans="2:13" ht="21.95" customHeight="1" x14ac:dyDescent="0.2">
      <c r="B38" s="114" t="str">
        <f ca="1">IF($C38="","",INDEX(Calc2!$E$4:$E$12,MATCH($C38,Calc2!$F$4:$F$12,0)))</f>
        <v/>
      </c>
      <c r="C38" s="124" t="str">
        <f ca="1">IF(Calc2!$K$13=0,"",Calc2!$AM7)</f>
        <v/>
      </c>
      <c r="D38" s="128" t="str">
        <f ca="1">IF($C38="","",VLOOKUP($C38,Calc2!$C$17:$AC$25,25,0))</f>
        <v/>
      </c>
      <c r="E38" s="111" t="str">
        <f ca="1">IF($C38="","",VLOOKUP($C38,Calc2!$C$17:$AC$25,26,0))</f>
        <v/>
      </c>
      <c r="F38" s="498" t="str">
        <f ca="1">IF($C38="","",VLOOKUP(C38,PreliminaryRound!$AO$12:$AQ$27,3,0))</f>
        <v/>
      </c>
      <c r="G38" s="136" t="str">
        <f ca="1">IFERROR(VLOOKUP($C38&amp;G$34,Calc2!$Z$64:$AB$207,3,0),"")</f>
        <v/>
      </c>
      <c r="H38" s="111" t="str">
        <f ca="1">IFERROR(VLOOKUP($C38&amp;H$34,Calc2!$Z$64:$AB$207,3,0),"")</f>
        <v/>
      </c>
      <c r="I38" s="111" t="str">
        <f ca="1">IFERROR(VLOOKUP($C38&amp;I$34,Calc2!$Z$64:$AB$207,3,0),"")</f>
        <v/>
      </c>
      <c r="J38" s="121"/>
      <c r="K38" s="111" t="str">
        <f ca="1">IFERROR(VLOOKUP($C38&amp;K$34,Calc2!$Z$64:$AB$207,3,0),"")</f>
        <v/>
      </c>
      <c r="L38" s="157" t="str">
        <f ca="1">IFERROR(VLOOKUP($C38&amp;L$34,Calc2!$Z$64:$AB$207,3,0),"")</f>
        <v/>
      </c>
      <c r="M38" s="187" t="str">
        <f t="shared" ca="1" si="3"/>
        <v/>
      </c>
    </row>
    <row r="39" spans="2:13" ht="21.95" customHeight="1" x14ac:dyDescent="0.2">
      <c r="B39" s="114" t="str">
        <f ca="1">IF($C39="","",INDEX(Calc2!$E$4:$E$12,MATCH($C39,Calc2!$F$4:$F$12,0)))</f>
        <v/>
      </c>
      <c r="C39" s="124" t="str">
        <f ca="1">IF(Calc2!$K$13=0,"",Calc2!$AM8)</f>
        <v/>
      </c>
      <c r="D39" s="128" t="str">
        <f ca="1">IF($C39="","",VLOOKUP($C39,Calc2!$C$17:$AC$25,25,0))</f>
        <v/>
      </c>
      <c r="E39" s="111" t="str">
        <f ca="1">IF($C39="","",VLOOKUP($C39,Calc2!$C$17:$AC$25,26,0))</f>
        <v/>
      </c>
      <c r="F39" s="498" t="str">
        <f ca="1">IF($C39="","",VLOOKUP(C39,PreliminaryRound!$AO$12:$AQ$27,3,0))</f>
        <v/>
      </c>
      <c r="G39" s="136" t="str">
        <f ca="1">IFERROR(VLOOKUP($C39&amp;G$34,Calc2!$Z$64:$AB$207,3,0),"")</f>
        <v/>
      </c>
      <c r="H39" s="111" t="str">
        <f ca="1">IFERROR(VLOOKUP($C39&amp;H$34,Calc2!$Z$64:$AB$207,3,0),"")</f>
        <v/>
      </c>
      <c r="I39" s="111" t="str">
        <f ca="1">IFERROR(VLOOKUP($C39&amp;I$34,Calc2!$Z$64:$AB$207,3,0),"")</f>
        <v/>
      </c>
      <c r="J39" s="111" t="str">
        <f ca="1">IFERROR(VLOOKUP($C39&amp;J$34,Calc2!$Z$64:$AB$207,3,0),"")</f>
        <v/>
      </c>
      <c r="K39" s="121"/>
      <c r="L39" s="157" t="str">
        <f ca="1">IFERROR(VLOOKUP($C39&amp;L$34,Calc2!$Z$64:$AB$207,3,0),"")</f>
        <v/>
      </c>
      <c r="M39" s="187" t="str">
        <f t="shared" ca="1" si="3"/>
        <v/>
      </c>
    </row>
    <row r="40" spans="2:13" ht="21.95" customHeight="1" thickBot="1" x14ac:dyDescent="0.25">
      <c r="B40" s="115" t="str">
        <f ca="1">IF($C40="","",INDEX(Calc2!$E$4:$E$12,MATCH($C40,Calc2!$F$4:$F$12,0)))</f>
        <v/>
      </c>
      <c r="C40" s="125" t="str">
        <f ca="1">IF(Calc2!$K$13=0,"",Calc2!$AM9)</f>
        <v/>
      </c>
      <c r="D40" s="129" t="str">
        <f ca="1">IF($C40="","",VLOOKUP($C40,Calc2!$C$17:$AC$25,25,0))</f>
        <v/>
      </c>
      <c r="E40" s="112" t="str">
        <f ca="1">IF($C40="","",VLOOKUP($C40,Calc2!$C$17:$AC$25,26,0))</f>
        <v/>
      </c>
      <c r="F40" s="499" t="str">
        <f ca="1">IF($C40="","",VLOOKUP(C40,PreliminaryRound!$AO$12:$AQ$27,3,0))</f>
        <v/>
      </c>
      <c r="G40" s="137" t="str">
        <f ca="1">IFERROR(VLOOKUP($C40&amp;G$34,Calc2!$Z$64:$AB$207,3,0),"")</f>
        <v/>
      </c>
      <c r="H40" s="112" t="str">
        <f ca="1">IFERROR(VLOOKUP($C40&amp;H$34,Calc2!$Z$64:$AB$207,3,0),"")</f>
        <v/>
      </c>
      <c r="I40" s="112" t="str">
        <f ca="1">IFERROR(VLOOKUP($C40&amp;I$34,Calc2!$Z$64:$AB$207,3,0),"")</f>
        <v/>
      </c>
      <c r="J40" s="112" t="str">
        <f ca="1">IFERROR(VLOOKUP($C40&amp;J$34,Calc2!$Z$64:$AB$207,3,0),"")</f>
        <v/>
      </c>
      <c r="K40" s="112" t="str">
        <f ca="1">IFERROR(VLOOKUP($C40&amp;K$34,Calc2!$Z$64:$AB$207,3,0),"")</f>
        <v/>
      </c>
      <c r="L40" s="158"/>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7"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D31"/>
  <sheetViews>
    <sheetView showGridLines="0" showRowColHeaders="0" workbookViewId="0">
      <selection activeCell="J12" sqref="J12"/>
    </sheetView>
  </sheetViews>
  <sheetFormatPr baseColWidth="10" defaultColWidth="0" defaultRowHeight="0" customHeight="1" zeroHeight="1" x14ac:dyDescent="0.2"/>
  <cols>
    <col min="1" max="1" width="10.42578125" style="46" customWidth="1"/>
    <col min="2" max="2" width="5.28515625" style="46" customWidth="1"/>
    <col min="3" max="3" width="6.7109375" style="46" customWidth="1"/>
    <col min="4"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15.7109375" style="46" customWidth="1"/>
    <col min="20" max="21" width="8" style="46" customWidth="1"/>
    <col min="22" max="22" width="11.42578125" customWidth="1"/>
    <col min="23" max="23" width="18.42578125" hidden="1" customWidth="1"/>
    <col min="24" max="24" width="18.28515625" hidden="1" customWidth="1"/>
    <col min="25" max="25" width="10.5703125" hidden="1" customWidth="1"/>
    <col min="26" max="26" width="9.28515625" hidden="1" customWidth="1"/>
    <col min="27" max="27" width="8.85546875" hidden="1" customWidth="1"/>
    <col min="28" max="28" width="5.85546875" hidden="1" customWidth="1"/>
    <col min="29" max="29" width="5.28515625" hidden="1" customWidth="1"/>
    <col min="30" max="16384" width="11.42578125" hidden="1"/>
  </cols>
  <sheetData>
    <row r="1" spans="1:29" ht="13.5" thickBot="1" x14ac:dyDescent="0.25"/>
    <row r="2" spans="1:29" ht="36.75" thickTop="1" x14ac:dyDescent="0.2">
      <c r="E2" s="902" t="str">
        <f>PreliminaryRound!$G$2</f>
        <v>International tournament U10 on Apr. 13th, 2025</v>
      </c>
      <c r="F2" s="903"/>
      <c r="G2" s="903"/>
      <c r="H2" s="903"/>
      <c r="I2" s="903"/>
      <c r="J2" s="903"/>
      <c r="K2" s="903"/>
      <c r="L2" s="903"/>
      <c r="M2" s="903"/>
      <c r="N2" s="903"/>
      <c r="O2" s="903"/>
      <c r="P2" s="903"/>
      <c r="Q2" s="903"/>
      <c r="R2" s="903"/>
      <c r="S2" s="903"/>
      <c r="T2" s="904"/>
    </row>
    <row r="3" spans="1:29" ht="30" customHeight="1" x14ac:dyDescent="0.2">
      <c r="E3" s="905" t="str">
        <f>PreliminaryRound!$G$3</f>
        <v>Organizer:  1. FC Riedwald</v>
      </c>
      <c r="F3" s="906"/>
      <c r="G3" s="906"/>
      <c r="H3" s="906"/>
      <c r="I3" s="906"/>
      <c r="J3" s="906"/>
      <c r="K3" s="906"/>
      <c r="L3" s="906"/>
      <c r="M3" s="906"/>
      <c r="N3" s="906"/>
      <c r="O3" s="906"/>
      <c r="P3" s="906"/>
      <c r="Q3" s="906"/>
      <c r="R3" s="906"/>
      <c r="S3" s="906"/>
      <c r="T3" s="907"/>
    </row>
    <row r="4" spans="1:29" ht="30" customHeight="1" x14ac:dyDescent="0.2">
      <c r="E4" s="908" t="str">
        <f>PreliminaryRound!$G$4</f>
        <v>Sports hall Wiesengrund, Wendiger Str. 51, 65432 Riedwald</v>
      </c>
      <c r="F4" s="909"/>
      <c r="G4" s="909"/>
      <c r="H4" s="909"/>
      <c r="I4" s="909"/>
      <c r="J4" s="909"/>
      <c r="K4" s="909"/>
      <c r="L4" s="909"/>
      <c r="M4" s="909"/>
      <c r="N4" s="909"/>
      <c r="O4" s="909"/>
      <c r="P4" s="909"/>
      <c r="Q4" s="909"/>
      <c r="R4" s="909"/>
      <c r="S4" s="909"/>
      <c r="T4" s="910"/>
    </row>
    <row r="5" spans="1:29" ht="30" customHeight="1" thickBot="1" x14ac:dyDescent="0.25">
      <c r="E5" s="911" t="str">
        <f>PreliminaryRound!$G$5</f>
        <v>Start:  9:00 a.m.</v>
      </c>
      <c r="F5" s="912"/>
      <c r="G5" s="912"/>
      <c r="H5" s="912"/>
      <c r="I5" s="912"/>
      <c r="J5" s="912"/>
      <c r="K5" s="912"/>
      <c r="L5" s="912"/>
      <c r="M5" s="912"/>
      <c r="N5" s="912"/>
      <c r="O5" s="912"/>
      <c r="P5" s="912"/>
      <c r="Q5" s="912"/>
      <c r="R5" s="912"/>
      <c r="S5" s="912"/>
      <c r="T5" s="913"/>
    </row>
    <row r="6" spans="1:29" ht="18" customHeight="1" thickTop="1" thickBot="1" x14ac:dyDescent="0.25"/>
    <row r="7" spans="1:29" ht="30" customHeight="1" thickTop="1" x14ac:dyDescent="0.2">
      <c r="G7" s="915" t="str">
        <f>Language!$E$19</f>
        <v>Final round</v>
      </c>
      <c r="H7" s="916"/>
      <c r="I7" s="916"/>
      <c r="J7" s="916"/>
      <c r="K7" s="916"/>
      <c r="L7" s="916"/>
      <c r="M7" s="916"/>
      <c r="N7" s="916"/>
      <c r="O7" s="916"/>
      <c r="P7" s="916"/>
      <c r="Q7" s="917"/>
    </row>
    <row r="8" spans="1:29" ht="30" customHeight="1" thickBot="1" x14ac:dyDescent="0.25">
      <c r="G8" s="918"/>
      <c r="H8" s="919"/>
      <c r="I8" s="919"/>
      <c r="J8" s="919"/>
      <c r="K8" s="919"/>
      <c r="L8" s="919"/>
      <c r="M8" s="919"/>
      <c r="N8" s="919"/>
      <c r="O8" s="919"/>
      <c r="P8" s="919"/>
      <c r="Q8" s="920"/>
    </row>
    <row r="9" spans="1:29" ht="12.6" customHeight="1" thickTop="1" x14ac:dyDescent="0.2">
      <c r="T9" s="794" t="str">
        <f>Language!$E$20</f>
        <v>Addit. Pause (min)</v>
      </c>
    </row>
    <row r="10" spans="1:29" ht="27.95" customHeight="1" thickBot="1" x14ac:dyDescent="0.35">
      <c r="C10" s="901" t="str">
        <f>Language!$E$53</f>
        <v>Semi-finals</v>
      </c>
      <c r="D10" s="901"/>
      <c r="E10" s="901"/>
      <c r="F10" s="901"/>
      <c r="T10" s="794"/>
    </row>
    <row r="11" spans="1:29" ht="24" customHeight="1" thickTop="1" thickBot="1" x14ac:dyDescent="0.25">
      <c r="B11" s="385"/>
      <c r="C11" s="434" t="str">
        <f>Language!$E$9</f>
        <v>No.</v>
      </c>
      <c r="D11" s="381" t="str">
        <f>Language!$E$39</f>
        <v>Start</v>
      </c>
      <c r="E11" s="371" t="str">
        <f>Language!$E$48</f>
        <v>Field</v>
      </c>
      <c r="F11" s="371"/>
      <c r="G11" s="847" t="str">
        <f>Language!$E$14</f>
        <v>Match pairing</v>
      </c>
      <c r="H11" s="847"/>
      <c r="I11" s="847"/>
      <c r="J11" s="847" t="str">
        <f>Language!$E$61</f>
        <v>1st set</v>
      </c>
      <c r="K11" s="847"/>
      <c r="L11" s="847"/>
      <c r="M11" s="847" t="str">
        <f>Language!$E$62</f>
        <v>2nd set</v>
      </c>
      <c r="N11" s="847"/>
      <c r="O11" s="847"/>
      <c r="P11" s="847" t="str">
        <f>Language!$E$63</f>
        <v>3rd set</v>
      </c>
      <c r="Q11" s="847"/>
      <c r="R11" s="848"/>
      <c r="S11" s="783" t="str">
        <f>Language!$E$68</f>
        <v>Referee</v>
      </c>
      <c r="T11" s="795"/>
      <c r="W11" s="727" t="s">
        <v>369</v>
      </c>
      <c r="X11" s="727" t="s">
        <v>370</v>
      </c>
      <c r="Y11" s="726" t="s">
        <v>368</v>
      </c>
      <c r="Z11" s="726" t="s">
        <v>372</v>
      </c>
      <c r="AA11" s="726" t="s">
        <v>371</v>
      </c>
      <c r="AB11" s="883" t="s">
        <v>332</v>
      </c>
      <c r="AC11" s="883"/>
    </row>
    <row r="12" spans="1:29" ht="24" customHeight="1" x14ac:dyDescent="0.2">
      <c r="A12" s="356"/>
      <c r="B12" s="421"/>
      <c r="C12" s="515">
        <f t="array" aca="1" ref="C12" ca="1">31-SUM(((Planning!$L$6:$L$35="")+(Planning!$N$6:$N$35="")&gt;0)*1)</f>
        <v>21</v>
      </c>
      <c r="D12" s="516">
        <f ca="1">IF(Planning!$V$15,"",Planning!$S$13+(Planning!$S$9+Planning!$Q$35)/1440)</f>
        <v>0.49652777777777779</v>
      </c>
      <c r="E12" s="379">
        <f>IF(Planning!$V$15,"",1)</f>
        <v>1</v>
      </c>
      <c r="F12" s="367" t="s">
        <v>234</v>
      </c>
      <c r="G12" s="368" t="str">
        <f ca="1">PreliminaryRound!$R$12</f>
        <v>Maibach 1822 eV</v>
      </c>
      <c r="H12" s="369" t="s">
        <v>4</v>
      </c>
      <c r="I12" s="370" t="str">
        <f ca="1">PreliminaryRound!$R$23</f>
        <v>Manchester City</v>
      </c>
      <c r="J12" s="372">
        <v>13</v>
      </c>
      <c r="K12" s="376" t="str">
        <f>Language!$E$80</f>
        <v>-</v>
      </c>
      <c r="L12" s="713">
        <v>25</v>
      </c>
      <c r="M12" s="372">
        <v>8</v>
      </c>
      <c r="N12" s="376" t="str">
        <f>Language!$E$80</f>
        <v>-</v>
      </c>
      <c r="O12" s="713">
        <v>25</v>
      </c>
      <c r="P12" s="372"/>
      <c r="Q12" s="686" t="str">
        <f>Language!$E$80</f>
        <v>-</v>
      </c>
      <c r="R12" s="373"/>
      <c r="S12" s="784"/>
      <c r="T12" s="689"/>
      <c r="U12" s="356"/>
      <c r="W12" s="356" t="str">
        <f ca="1">IF($AB12&gt;$AC12,$G12,IF($AB12&lt;$AC12,$I12,""))</f>
        <v>Manchester City</v>
      </c>
      <c r="X12" s="356" t="str">
        <f ca="1">IF($AB12&lt;$AC12,$G12,IF($AB12&gt;$AC12,$I12,""))</f>
        <v>Maibach 1822 eV</v>
      </c>
      <c r="Y12" s="356" t="b">
        <f>AND($J12&lt;&gt;"",$L12&lt;&gt;"",$M12&lt;&gt;"",$O12&lt;&gt;"",$J12&lt;&gt;$L12,$M12&lt;&gt;$O12,($J12&gt;$L12)+($M12&gt;$O12)=1)</f>
        <v>0</v>
      </c>
      <c r="Z12" s="728" t="b">
        <f ca="1">AND($J12&lt;&gt;"",$L12&lt;&gt;"",$J12&lt;&gt;$L12,OR(AND($M12="",$O12=""),AND($M12&lt;&gt;"",$O12&lt;&gt;"",$M12&lt;&gt;$O12)),$G12&lt;&gt;"",$I12&lt;&gt;"",$G12&lt;&gt;$I12)</f>
        <v>1</v>
      </c>
      <c r="AA12" s="356" t="b">
        <f>AND($Y12,$P12&lt;&gt;"",$R12&lt;&gt;"",$P12&lt;&gt;$R12)</f>
        <v>0</v>
      </c>
      <c r="AB12" s="728">
        <f ca="1">(($J12&gt;$L12)+($M12&gt;$O12)+($P12&gt;$R12)*$AA12)*$Z12</f>
        <v>0</v>
      </c>
      <c r="AC12" s="728">
        <f ca="1">(($J12&lt;$L12)+($M12&lt;$O12)+($P12&lt;$R12)*$AA12)*$Z12</f>
        <v>2</v>
      </c>
    </row>
    <row r="13" spans="1:29" ht="24" customHeight="1" thickBot="1" x14ac:dyDescent="0.25">
      <c r="A13" s="356"/>
      <c r="B13" s="421"/>
      <c r="C13" s="427">
        <f ca="1">$C$12+1</f>
        <v>22</v>
      </c>
      <c r="D13" s="430">
        <f ca="1">IF(Planning!$V$15,"",$D$12+QUOTIENT(1,Planning!$V$11)*(Planning!$S$7+Planning!$S$9)/1440+$T12/1440)</f>
        <v>0.49652777777777779</v>
      </c>
      <c r="E13" s="407">
        <f>IF(Planning!$V$15,"",MOD(1,Planning!$V$11)+1)</f>
        <v>2</v>
      </c>
      <c r="F13" s="366" t="s">
        <v>235</v>
      </c>
      <c r="G13" s="362" t="str">
        <f ca="1">PreliminaryRound!$R$22</f>
        <v>Mainz 05</v>
      </c>
      <c r="H13" s="154" t="s">
        <v>4</v>
      </c>
      <c r="I13" s="364" t="str">
        <f ca="1">PreliminaryRound!$R$13</f>
        <v>Eintracht Frankfurt</v>
      </c>
      <c r="J13" s="375">
        <v>25</v>
      </c>
      <c r="K13" s="408" t="str">
        <f>Language!$E$80</f>
        <v>-</v>
      </c>
      <c r="L13" s="700">
        <v>21</v>
      </c>
      <c r="M13" s="375">
        <v>22</v>
      </c>
      <c r="N13" s="408" t="str">
        <f>Language!$E$80</f>
        <v>-</v>
      </c>
      <c r="O13" s="700">
        <v>25</v>
      </c>
      <c r="P13" s="375">
        <v>13</v>
      </c>
      <c r="Q13" s="711" t="str">
        <f>Language!$E$80</f>
        <v>-</v>
      </c>
      <c r="R13" s="360">
        <v>15</v>
      </c>
      <c r="S13" s="786"/>
      <c r="T13" s="708"/>
      <c r="U13" s="356"/>
      <c r="W13" s="356" t="str">
        <f ca="1">IF($AB13&gt;$AC13,$G13,IF($AB13&lt;$AC13,$I13,""))</f>
        <v>Eintracht Frankfurt</v>
      </c>
      <c r="X13" s="356" t="str">
        <f ca="1">IF($AB13&lt;$AC13,$G13,IF($AB13&gt;$AC13,$I13,""))</f>
        <v>Mainz 05</v>
      </c>
      <c r="Y13" s="356" t="b">
        <f>AND($J13&lt;&gt;"",$L13&lt;&gt;"",$M13&lt;&gt;"",$O13&lt;&gt;"",$J13&lt;&gt;$L13,$M13&lt;&gt;$O13,($J13&gt;$L13)+($M13&gt;$O13)=1)</f>
        <v>1</v>
      </c>
      <c r="Z13" s="728" t="b">
        <f ca="1">AND($J13&lt;&gt;"",$L13&lt;&gt;"",$J13&lt;&gt;$L13,OR(AND($M13="",$O13=""),AND($M13&lt;&gt;"",$O13&lt;&gt;"",$M13&lt;&gt;$O13)),$G13&lt;&gt;"",$I13&lt;&gt;"",$G13&lt;&gt;$I13)</f>
        <v>1</v>
      </c>
      <c r="AA13" s="356" t="b">
        <f>AND($Y13,$P13&lt;&gt;"",$R13&lt;&gt;"",$P13&lt;&gt;$R13)</f>
        <v>1</v>
      </c>
      <c r="AB13" s="728">
        <f ca="1">(($J13&gt;$L13)+($M13&gt;$O13)+($P13&gt;$R13)*$AA13)*$Z13</f>
        <v>1</v>
      </c>
      <c r="AC13" s="728">
        <f ca="1">(($J13&lt;$L13)+($M13&lt;$O13)+($P13&lt;$R13)*$AA13)*$Z13</f>
        <v>2</v>
      </c>
    </row>
    <row r="14" spans="1:29" ht="27.95" customHeight="1" thickTop="1" thickBot="1" x14ac:dyDescent="0.35">
      <c r="A14" s="356"/>
      <c r="B14" s="422"/>
      <c r="C14" s="933" t="str">
        <f>Language!$E$54</f>
        <v>Finals</v>
      </c>
      <c r="D14" s="933"/>
      <c r="E14" s="933"/>
      <c r="F14" s="933"/>
      <c r="G14" s="493"/>
      <c r="H14" s="120"/>
      <c r="I14" s="493"/>
      <c r="J14" s="396"/>
      <c r="K14" s="396"/>
      <c r="L14" s="396"/>
      <c r="M14" s="396"/>
      <c r="N14" s="396"/>
      <c r="O14" s="396"/>
      <c r="P14" s="396"/>
      <c r="Q14" s="396"/>
      <c r="R14" s="396"/>
      <c r="S14" s="304"/>
      <c r="T14" s="398"/>
      <c r="U14" s="356"/>
      <c r="W14" s="710"/>
      <c r="X14" s="710"/>
      <c r="Y14" s="710"/>
    </row>
    <row r="15" spans="1:29" ht="24" customHeight="1" thickTop="1" x14ac:dyDescent="0.2">
      <c r="A15" s="356"/>
      <c r="B15" s="421"/>
      <c r="C15" s="431">
        <f ca="1">$C$12+2</f>
        <v>23</v>
      </c>
      <c r="D15" s="432">
        <f ca="1">IF(Planning!$V$15,"",$D$13+($T$13+Planning!$S$9+Planning!$S$7)/1440)</f>
        <v>0.52083333333333337</v>
      </c>
      <c r="E15" s="399">
        <f>IF(Planning!$V$15,"",1)</f>
        <v>1</v>
      </c>
      <c r="F15" s="400" t="str">
        <f>Language!$E$89</f>
        <v>3rd place</v>
      </c>
      <c r="G15" s="401" t="str">
        <f ca="1">X12</f>
        <v>Maibach 1822 eV</v>
      </c>
      <c r="H15" s="402" t="s">
        <v>4</v>
      </c>
      <c r="I15" s="403" t="str">
        <f ca="1">X13</f>
        <v>Mainz 05</v>
      </c>
      <c r="J15" s="404">
        <v>19</v>
      </c>
      <c r="K15" s="405" t="str">
        <f>Language!$E$80</f>
        <v>-</v>
      </c>
      <c r="L15" s="709">
        <v>25</v>
      </c>
      <c r="M15" s="404">
        <v>16</v>
      </c>
      <c r="N15" s="405" t="str">
        <f>Language!$E$80</f>
        <v>-</v>
      </c>
      <c r="O15" s="709">
        <v>25</v>
      </c>
      <c r="P15" s="404"/>
      <c r="Q15" s="712" t="str">
        <f>Language!$E$80</f>
        <v>-</v>
      </c>
      <c r="R15" s="406"/>
      <c r="S15" s="787"/>
      <c r="T15" s="689"/>
      <c r="U15" s="356"/>
      <c r="W15" s="356" t="str">
        <f ca="1">IF($AB15&gt;$AC15,$G15,IF($AB15&lt;$AC15,$I15,""))</f>
        <v>Mainz 05</v>
      </c>
      <c r="X15" s="356" t="str">
        <f ca="1">IF($AB15&lt;$AC15,$G15,IF($AB15&gt;$AC15,$I15,""))</f>
        <v>Maibach 1822 eV</v>
      </c>
      <c r="Y15" s="356" t="b">
        <f>AND($J15&lt;&gt;"",$L15&lt;&gt;"",$M15&lt;&gt;"",$O15&lt;&gt;"",$J15&lt;&gt;$L15,$M15&lt;&gt;$O15,($J15&gt;$L15)+($M15&gt;$O15)=1)</f>
        <v>0</v>
      </c>
      <c r="Z15" s="728" t="b">
        <f ca="1">AND($J15&lt;&gt;"",$L15&lt;&gt;"",$J15&lt;&gt;$L15,OR(AND($M15="",$O15=""),AND($M15&lt;&gt;"",$O15&lt;&gt;"",$M15&lt;&gt;$O15)),$G15&lt;&gt;"",$I15&lt;&gt;"",$G15&lt;&gt;$I15)</f>
        <v>1</v>
      </c>
      <c r="AA15" s="356" t="b">
        <f>AND($Y15,$P15&lt;&gt;"",$R15&lt;&gt;"",$P15&lt;&gt;$R15)</f>
        <v>0</v>
      </c>
      <c r="AB15" s="728">
        <f ca="1">(($J15&gt;$L15)+($M15&gt;$O15)+($P15&gt;$R15)*$AA15)*$Z15</f>
        <v>0</v>
      </c>
      <c r="AC15" s="728">
        <f ca="1">(($J15&lt;$L15)+($M15&lt;$O15)+($P15&lt;$R15)*$AA15)*$Z15</f>
        <v>2</v>
      </c>
    </row>
    <row r="16" spans="1:29" ht="24" customHeight="1" thickBot="1" x14ac:dyDescent="0.25">
      <c r="A16" s="356"/>
      <c r="B16" s="421"/>
      <c r="C16" s="427">
        <f ca="1">$C$12+3</f>
        <v>24</v>
      </c>
      <c r="D16" s="430">
        <f ca="1">IF(Planning!$V$15,"",$D$15+($T$15+Planning!$S$9+Planning!$S$7)/1440)</f>
        <v>0.54513888888888895</v>
      </c>
      <c r="E16" s="407">
        <f>IF(Planning!$V$15,"",1)</f>
        <v>1</v>
      </c>
      <c r="F16" s="366" t="str">
        <f>Language!$E$90</f>
        <v>Final</v>
      </c>
      <c r="G16" s="362" t="str">
        <f ca="1">W12</f>
        <v>Manchester City</v>
      </c>
      <c r="H16" s="154" t="s">
        <v>4</v>
      </c>
      <c r="I16" s="364" t="str">
        <f ca="1">W13</f>
        <v>Eintracht Frankfurt</v>
      </c>
      <c r="J16" s="375">
        <v>21</v>
      </c>
      <c r="K16" s="408" t="str">
        <f>Language!$E$80</f>
        <v>-</v>
      </c>
      <c r="L16" s="700">
        <v>25</v>
      </c>
      <c r="M16" s="375">
        <v>25</v>
      </c>
      <c r="N16" s="408" t="str">
        <f>Language!$E$80</f>
        <v>-</v>
      </c>
      <c r="O16" s="700">
        <v>23</v>
      </c>
      <c r="P16" s="375">
        <v>13</v>
      </c>
      <c r="Q16" s="711" t="str">
        <f>Language!$E$80</f>
        <v>-</v>
      </c>
      <c r="R16" s="360">
        <v>15</v>
      </c>
      <c r="S16" s="788"/>
      <c r="T16" s="707"/>
      <c r="U16" s="356"/>
      <c r="W16" s="356" t="str">
        <f ca="1">IF($AB16&gt;$AC16,$G16,IF($AB16&lt;$AC16,$I16,""))</f>
        <v>Eintracht Frankfurt</v>
      </c>
      <c r="X16" s="356" t="str">
        <f ca="1">IF($AB16&lt;$AC16,$G16,IF($AB16&gt;$AC16,$I16,""))</f>
        <v>Manchester City</v>
      </c>
      <c r="Y16" s="356" t="b">
        <f>AND($J16&lt;&gt;"",$L16&lt;&gt;"",$M16&lt;&gt;"",$O16&lt;&gt;"",$J16&lt;&gt;$L16,$M16&lt;&gt;$O16,($J16&gt;$L16)+($M16&gt;$O16)=1)</f>
        <v>1</v>
      </c>
      <c r="Z16" s="728" t="b">
        <f ca="1">AND($J16&lt;&gt;"",$L16&lt;&gt;"",$J16&lt;&gt;$L16,OR(AND($M16="",$O16=""),AND($M16&lt;&gt;"",$O16&lt;&gt;"",$M16&lt;&gt;$O16)),$G16&lt;&gt;"",$I16&lt;&gt;"",$G16&lt;&gt;$I16)</f>
        <v>1</v>
      </c>
      <c r="AA16" s="356" t="b">
        <f>AND($Y16,$P16&lt;&gt;"",$R16&lt;&gt;"",$P16&lt;&gt;$R16)</f>
        <v>1</v>
      </c>
      <c r="AB16" s="728">
        <f ca="1">(($J16&gt;$L16)+($M16&gt;$O16)+($P16&gt;$R16)*$AA16)*$Z16</f>
        <v>1</v>
      </c>
      <c r="AC16" s="728">
        <f ca="1">(($J16&lt;$L16)+($M16&lt;$O16)+($P16&lt;$R16)*$AA16)*$Z16</f>
        <v>2</v>
      </c>
    </row>
    <row r="17" spans="3:16384" ht="12.75" customHeight="1" thickTop="1" x14ac:dyDescent="0.2"/>
    <row r="18" spans="3:16384" ht="24" customHeight="1" x14ac:dyDescent="0.2">
      <c r="C18" s="392"/>
      <c r="D18" s="392"/>
      <c r="E18" s="392"/>
      <c r="F18" s="392"/>
      <c r="G18" s="899" t="str">
        <f>Language!$E$29</f>
        <v>Tournament end:</v>
      </c>
      <c r="H18" s="899"/>
      <c r="I18" s="393">
        <f ca="1">IF(Planning!$S$13="","",$D$16+Planning!$S$7/1440)</f>
        <v>0.56597222222222232</v>
      </c>
      <c r="J18" s="394"/>
      <c r="K18" s="394"/>
      <c r="L18" s="394"/>
      <c r="M18" s="394"/>
      <c r="N18" s="394"/>
      <c r="O18" s="394"/>
      <c r="P18" s="394"/>
      <c r="Q18" s="394"/>
      <c r="R18" s="394"/>
      <c r="S18" s="394"/>
      <c r="T18" s="394"/>
    </row>
    <row r="19" spans="3:16384" ht="12.75" customHeight="1" x14ac:dyDescent="0.2">
      <c r="D19" s="386"/>
    </row>
    <row r="20" spans="3:16384" ht="12.75" customHeight="1" x14ac:dyDescent="0.2">
      <c r="D20" s="386"/>
    </row>
    <row r="21" spans="3:16384" ht="24" customHeight="1" thickBot="1" x14ac:dyDescent="0.25">
      <c r="F21" s="395" t="str">
        <f>Language!$E$88</f>
        <v>Rank</v>
      </c>
      <c r="G21" s="927" t="str">
        <f>"  "&amp;Language!$E$10</f>
        <v xml:space="preserve">  Participant or team</v>
      </c>
      <c r="H21" s="927"/>
      <c r="I21" s="928"/>
    </row>
    <row r="22" spans="3:16384" ht="24" customHeight="1" thickTop="1" x14ac:dyDescent="0.2">
      <c r="E22" s="387">
        <v>1</v>
      </c>
      <c r="F22" s="435">
        <v>1</v>
      </c>
      <c r="G22" s="929" t="str">
        <f ca="1">W16</f>
        <v>Eintracht Frankfurt</v>
      </c>
      <c r="H22" s="929"/>
      <c r="I22" s="930"/>
    </row>
    <row r="23" spans="3:16384" ht="24" customHeight="1" x14ac:dyDescent="0.2">
      <c r="E23" s="387">
        <v>2</v>
      </c>
      <c r="F23" s="436">
        <v>2</v>
      </c>
      <c r="G23" s="931" t="str">
        <f ca="1">X16</f>
        <v>Manchester City</v>
      </c>
      <c r="H23" s="931"/>
      <c r="I23" s="932"/>
    </row>
    <row r="24" spans="3:16384" ht="24" customHeight="1" x14ac:dyDescent="0.2">
      <c r="E24" s="387">
        <v>3</v>
      </c>
      <c r="F24" s="437">
        <v>3</v>
      </c>
      <c r="G24" s="925" t="str">
        <f ca="1">W15</f>
        <v>Mainz 05</v>
      </c>
      <c r="H24" s="925"/>
      <c r="I24" s="926"/>
    </row>
    <row r="25" spans="3:16384" ht="24" customHeight="1" thickBot="1" x14ac:dyDescent="0.25">
      <c r="E25" s="387">
        <v>4</v>
      </c>
      <c r="F25" s="439">
        <v>4</v>
      </c>
      <c r="G25" s="923" t="str">
        <f ca="1">X15</f>
        <v>Maibach 1822 eV</v>
      </c>
      <c r="H25" s="923"/>
      <c r="I25" s="924"/>
    </row>
    <row r="26" spans="3:16384" s="46" customFormat="1" ht="13.5" thickTop="1" x14ac:dyDescent="0.2">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3:16384" s="46" customFormat="1" ht="12.75" x14ac:dyDescent="0.2">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3:16384" s="46" customFormat="1" ht="12.75" x14ac:dyDescent="0.2">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3:16384" s="46" customFormat="1" ht="12.75" x14ac:dyDescent="0.2">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3:16384" ht="12.75" customHeight="1" x14ac:dyDescent="0.2"/>
    <row r="31" spans="3:16384" ht="12.75" customHeight="1" x14ac:dyDescent="0.2"/>
  </sheetData>
  <sheetProtection sheet="1" selectLockedCells="1"/>
  <mergeCells count="19">
    <mergeCell ref="E2:T2"/>
    <mergeCell ref="E3:T3"/>
    <mergeCell ref="E4:T4"/>
    <mergeCell ref="E5:T5"/>
    <mergeCell ref="G7:Q8"/>
    <mergeCell ref="AB11:AC11"/>
    <mergeCell ref="G25:I25"/>
    <mergeCell ref="C14:F14"/>
    <mergeCell ref="G21:I21"/>
    <mergeCell ref="G22:I22"/>
    <mergeCell ref="G23:I23"/>
    <mergeCell ref="G24:I24"/>
    <mergeCell ref="G18:H18"/>
    <mergeCell ref="T9:T11"/>
    <mergeCell ref="C10:F10"/>
    <mergeCell ref="G11:I11"/>
    <mergeCell ref="J11:L11"/>
    <mergeCell ref="M11:O11"/>
    <mergeCell ref="P11:R11"/>
  </mergeCells>
  <conditionalFormatting sqref="J12:O13 J15:O16">
    <cfRule type="expression" dxfId="16" priority="7">
      <formula>OR(AND($J12&lt;&gt;"",$J12=$L12),AND($M12&lt;&gt;"",$M12=$O12))</formula>
    </cfRule>
  </conditionalFormatting>
  <conditionalFormatting sqref="J12:R13 J15:R16">
    <cfRule type="expression" dxfId="15" priority="6">
      <formula>OR($G12="",$I12="")</formula>
    </cfRule>
  </conditionalFormatting>
  <conditionalFormatting sqref="P12:R13 P15:R16">
    <cfRule type="expression" dxfId="14" priority="4">
      <formula>NOT($Y12)</formula>
    </cfRule>
    <cfRule type="expression" dxfId="13" priority="5">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C98BB549-126A-4A9E-B6DC-B74627468A8F}">
            <xm:f>$F25&gt;2*Calc1!$F$14-MOD((Calc1!$F$13+Calc2!$F$13),2)</xm:f>
            <x14:dxf>
              <numFmt numFmtId="165" formatCode=";;;"/>
            </x14:dxf>
          </x14:cfRule>
          <xm:sqref>F25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K47"/>
  <sheetViews>
    <sheetView showGridLines="0" showRowColHeaders="0" zoomScaleNormal="100" workbookViewId="0">
      <selection activeCell="L12" sqref="L12"/>
    </sheetView>
  </sheetViews>
  <sheetFormatPr baseColWidth="10" defaultColWidth="0" defaultRowHeight="12.75" customHeight="1" zeroHeight="1" x14ac:dyDescent="0.2"/>
  <cols>
    <col min="1" max="1" width="1.140625" style="46" customWidth="1"/>
    <col min="2" max="2" width="1.85546875" style="46" customWidth="1"/>
    <col min="3" max="3" width="6.85546875" style="46" customWidth="1"/>
    <col min="4" max="4" width="11.42578125" style="46" customWidth="1"/>
    <col min="5" max="5" width="8.42578125" style="46" customWidth="1"/>
    <col min="6" max="6" width="5.7109375" style="46" customWidth="1"/>
    <col min="7" max="7" width="2.42578125" style="46" customWidth="1"/>
    <col min="8" max="8" width="5.7109375" style="46" customWidth="1"/>
    <col min="9" max="9" width="26.7109375" style="46" customWidth="1"/>
    <col min="10" max="10" width="2.85546875" style="46" customWidth="1"/>
    <col min="11" max="11" width="26.7109375" style="46" customWidth="1"/>
    <col min="12" max="12" width="4.7109375" style="46" customWidth="1"/>
    <col min="13" max="13" width="2.28515625" style="46" customWidth="1"/>
    <col min="14" max="15" width="4.7109375" style="46" customWidth="1"/>
    <col min="16" max="16" width="2.28515625" style="46" customWidth="1"/>
    <col min="17" max="17" width="4.7109375" style="46" customWidth="1"/>
    <col min="18" max="18" width="15.7109375" style="46" customWidth="1"/>
    <col min="19" max="19" width="8" style="46" customWidth="1"/>
    <col min="20" max="20" width="3.42578125" style="46" customWidth="1"/>
    <col min="21" max="21" width="4.5703125" style="46" customWidth="1"/>
    <col min="22" max="22" width="28.7109375" style="46" customWidth="1"/>
    <col min="23" max="26" width="5.7109375" style="46" customWidth="1"/>
    <col min="27" max="27" width="6.7109375" style="46" customWidth="1"/>
    <col min="28" max="28" width="1.140625" style="46" customWidth="1"/>
    <col min="29" max="29" width="6.7109375" style="46" customWidth="1"/>
    <col min="30" max="30" width="7.42578125" style="46" customWidth="1"/>
    <col min="31" max="31" width="5.7109375" style="46" customWidth="1"/>
    <col min="32" max="32" width="1.85546875" style="46" customWidth="1"/>
    <col min="33" max="33" width="1.42578125" style="46" customWidth="1"/>
    <col min="34" max="34" width="6.7109375" style="46" customWidth="1"/>
    <col min="35" max="35" width="28.7109375" style="46" customWidth="1"/>
    <col min="36" max="36" width="8.7109375" style="46" customWidth="1"/>
    <col min="37" max="37" width="5.5703125" style="46" hidden="1" customWidth="1"/>
    <col min="38" max="16384" width="11.42578125" style="46" hidden="1"/>
  </cols>
  <sheetData>
    <row r="1" spans="2:36" ht="13.5" thickBot="1" x14ac:dyDescent="0.25"/>
    <row r="2" spans="2:36" ht="36" customHeight="1" thickTop="1" x14ac:dyDescent="0.2">
      <c r="F2" s="561"/>
      <c r="G2" s="561"/>
      <c r="H2" s="562"/>
      <c r="I2" s="902" t="str">
        <f>PreliminaryRound!$G$2</f>
        <v>International tournament U10 on Apr. 13th, 2025</v>
      </c>
      <c r="J2" s="903"/>
      <c r="K2" s="903"/>
      <c r="L2" s="903"/>
      <c r="M2" s="903"/>
      <c r="N2" s="903"/>
      <c r="O2" s="903"/>
      <c r="P2" s="903"/>
      <c r="Q2" s="903"/>
      <c r="R2" s="903"/>
      <c r="S2" s="903"/>
      <c r="T2" s="903"/>
      <c r="U2" s="903"/>
      <c r="V2" s="903"/>
      <c r="W2" s="903"/>
      <c r="X2" s="903"/>
      <c r="Y2" s="903"/>
      <c r="Z2" s="903"/>
      <c r="AA2" s="903"/>
      <c r="AB2" s="903"/>
      <c r="AC2" s="904"/>
    </row>
    <row r="3" spans="2:36" ht="30" customHeight="1" x14ac:dyDescent="0.2">
      <c r="F3" s="563"/>
      <c r="G3" s="563"/>
      <c r="H3" s="564"/>
      <c r="I3" s="905" t="str">
        <f>PreliminaryRound!$G$3</f>
        <v>Organizer:  1. FC Riedwald</v>
      </c>
      <c r="J3" s="906"/>
      <c r="K3" s="906"/>
      <c r="L3" s="906"/>
      <c r="M3" s="906"/>
      <c r="N3" s="906"/>
      <c r="O3" s="906"/>
      <c r="P3" s="906"/>
      <c r="Q3" s="906"/>
      <c r="R3" s="906"/>
      <c r="S3" s="906"/>
      <c r="T3" s="906"/>
      <c r="U3" s="906"/>
      <c r="V3" s="906"/>
      <c r="W3" s="906"/>
      <c r="X3" s="906"/>
      <c r="Y3" s="906"/>
      <c r="Z3" s="906"/>
      <c r="AA3" s="906"/>
      <c r="AB3" s="906"/>
      <c r="AC3" s="907"/>
    </row>
    <row r="4" spans="2:36" ht="30" customHeight="1" x14ac:dyDescent="0.2">
      <c r="F4" s="565"/>
      <c r="G4" s="565"/>
      <c r="H4" s="566"/>
      <c r="I4" s="908" t="str">
        <f>PreliminaryRound!$G$4</f>
        <v>Sports hall Wiesengrund, Wendiger Str. 51, 65432 Riedwald</v>
      </c>
      <c r="J4" s="909"/>
      <c r="K4" s="909"/>
      <c r="L4" s="909"/>
      <c r="M4" s="909"/>
      <c r="N4" s="909"/>
      <c r="O4" s="909"/>
      <c r="P4" s="909"/>
      <c r="Q4" s="909"/>
      <c r="R4" s="909"/>
      <c r="S4" s="909"/>
      <c r="T4" s="909"/>
      <c r="U4" s="909"/>
      <c r="V4" s="909"/>
      <c r="W4" s="909"/>
      <c r="X4" s="909"/>
      <c r="Y4" s="909"/>
      <c r="Z4" s="909"/>
      <c r="AA4" s="909"/>
      <c r="AB4" s="909"/>
      <c r="AC4" s="910"/>
    </row>
    <row r="5" spans="2:36" ht="30" customHeight="1" thickBot="1" x14ac:dyDescent="0.25">
      <c r="F5" s="565"/>
      <c r="G5" s="565"/>
      <c r="H5" s="566"/>
      <c r="I5" s="911" t="str">
        <f>PreliminaryRound!$G$5</f>
        <v>Start:  9:00 a.m.</v>
      </c>
      <c r="J5" s="912"/>
      <c r="K5" s="912"/>
      <c r="L5" s="912"/>
      <c r="M5" s="912"/>
      <c r="N5" s="912"/>
      <c r="O5" s="912"/>
      <c r="P5" s="912"/>
      <c r="Q5" s="912"/>
      <c r="R5" s="912"/>
      <c r="S5" s="912"/>
      <c r="T5" s="912"/>
      <c r="U5" s="912"/>
      <c r="V5" s="912"/>
      <c r="W5" s="912"/>
      <c r="X5" s="912"/>
      <c r="Y5" s="912"/>
      <c r="Z5" s="912"/>
      <c r="AA5" s="912"/>
      <c r="AB5" s="912"/>
      <c r="AC5" s="913"/>
    </row>
    <row r="6" spans="2:36" ht="18" customHeight="1" thickTop="1" thickBot="1" x14ac:dyDescent="0.25"/>
    <row r="7" spans="2:36" ht="30" customHeight="1" thickTop="1" x14ac:dyDescent="0.2">
      <c r="K7" s="915" t="str">
        <f>Language!$E$19</f>
        <v>Final round</v>
      </c>
      <c r="L7" s="916"/>
      <c r="M7" s="916"/>
      <c r="N7" s="916"/>
      <c r="O7" s="916"/>
      <c r="P7" s="916"/>
      <c r="Q7" s="916"/>
      <c r="R7" s="916"/>
      <c r="S7" s="916"/>
      <c r="T7" s="916"/>
      <c r="U7" s="916"/>
      <c r="V7" s="917"/>
    </row>
    <row r="8" spans="2:36" ht="30" customHeight="1" thickBot="1" x14ac:dyDescent="0.25">
      <c r="K8" s="918"/>
      <c r="L8" s="919"/>
      <c r="M8" s="919"/>
      <c r="N8" s="919"/>
      <c r="O8" s="919"/>
      <c r="P8" s="919"/>
      <c r="Q8" s="919"/>
      <c r="R8" s="919"/>
      <c r="S8" s="919"/>
      <c r="T8" s="919"/>
      <c r="U8" s="919"/>
      <c r="V8" s="920"/>
    </row>
    <row r="9" spans="2:36" ht="12.6" customHeight="1" thickTop="1" x14ac:dyDescent="0.2"/>
    <row r="10" spans="2:36" ht="27.95" customHeight="1" thickBot="1" x14ac:dyDescent="0.45">
      <c r="C10" s="901" t="str">
        <f>Language!$E$55&amp;IF(MIN(Calc1!$F$13,Calc2!$F$13)*2&lt;2,""," 1 - "&amp;MIN(Calc1!$F$13,Calc2!$F$13)*2)</f>
        <v>Games for places  1 - 10</v>
      </c>
      <c r="D10" s="901"/>
      <c r="E10" s="901"/>
      <c r="F10" s="901"/>
      <c r="G10" s="525"/>
      <c r="H10" s="525"/>
      <c r="S10" s="794" t="str">
        <f>Language!$E$20</f>
        <v>Addit. Pause (min)</v>
      </c>
      <c r="U10" s="940" t="str">
        <f>Language!$E$57</f>
        <v>First and second in the group</v>
      </c>
      <c r="V10" s="940"/>
      <c r="W10" s="940"/>
      <c r="X10" s="940"/>
      <c r="Y10" s="940"/>
      <c r="Z10" s="940"/>
      <c r="AA10" s="199"/>
      <c r="AB10" s="199"/>
      <c r="AC10" s="199"/>
      <c r="AD10" s="199"/>
      <c r="AE10" s="199"/>
      <c r="AH10" s="941" t="str">
        <f>$U10</f>
        <v>First and second in the group</v>
      </c>
      <c r="AI10" s="941"/>
      <c r="AJ10" s="942"/>
    </row>
    <row r="11" spans="2:36" ht="24" customHeight="1" thickTop="1" thickBot="1" x14ac:dyDescent="0.25">
      <c r="B11" s="385"/>
      <c r="C11" s="434" t="str">
        <f>Language!$E$9</f>
        <v>No.</v>
      </c>
      <c r="D11" s="381" t="str">
        <f>Language!$E$39</f>
        <v>Start</v>
      </c>
      <c r="E11" s="371" t="str">
        <f>Language!$E$48</f>
        <v>Field</v>
      </c>
      <c r="F11" s="529"/>
      <c r="G11" s="526"/>
      <c r="H11" s="381"/>
      <c r="I11" s="896" t="str">
        <f>Language!$E$14</f>
        <v>Match pairing</v>
      </c>
      <c r="J11" s="897"/>
      <c r="K11" s="898"/>
      <c r="L11" s="914" t="str">
        <f>Language!$E$61</f>
        <v>1st set</v>
      </c>
      <c r="M11" s="847"/>
      <c r="N11" s="847"/>
      <c r="O11" s="847" t="str">
        <f>Language!$E$62</f>
        <v>2nd set</v>
      </c>
      <c r="P11" s="847"/>
      <c r="Q11" s="848"/>
      <c r="R11" s="783" t="str">
        <f>Language!$E$68</f>
        <v>Referee</v>
      </c>
      <c r="S11" s="795"/>
      <c r="U11" s="943"/>
      <c r="V11" s="944"/>
      <c r="W11" s="201" t="str">
        <f>Language!$E$21</f>
        <v>Pld</v>
      </c>
      <c r="X11" s="202" t="str">
        <f>Language!$E$22</f>
        <v>W</v>
      </c>
      <c r="Y11" s="202" t="str">
        <f>Language!$E$23</f>
        <v>D</v>
      </c>
      <c r="Z11" s="524" t="str">
        <f>Language!$E$24</f>
        <v>L</v>
      </c>
      <c r="AA11" s="843" t="str">
        <f>Language!$E$60</f>
        <v>balls</v>
      </c>
      <c r="AB11" s="844"/>
      <c r="AC11" s="845"/>
      <c r="AD11" s="202" t="str">
        <f>IF(Settings!$G$7,Language!$E$26,Language!$E$67)</f>
        <v>GD</v>
      </c>
      <c r="AE11" s="204" t="str">
        <f>Language!$E$27</f>
        <v>Pts</v>
      </c>
      <c r="AH11" s="530"/>
      <c r="AI11" s="531" t="str">
        <f>Language!$E$10</f>
        <v>Participant or team</v>
      </c>
      <c r="AJ11" s="704" t="str">
        <f>Language!$E$49</f>
        <v>Tie break</v>
      </c>
    </row>
    <row r="12" spans="2:36" s="356" customFormat="1" ht="24" customHeight="1" x14ac:dyDescent="0.2">
      <c r="B12" s="421"/>
      <c r="C12" s="433">
        <f t="array" aca="1" ref="C12" ca="1">31-SUM(((Planning!$L$6:$L$35="")+(Planning!$N$6:$N$35="")&gt;0)*1)</f>
        <v>21</v>
      </c>
      <c r="D12" s="382">
        <f ca="1">IF(Planning!$V$15,"",Planning!$S$13+(Planning!$S$9+Planning!$Q$35)/1440)</f>
        <v>0.49652777777777779</v>
      </c>
      <c r="E12" s="379">
        <f>IF(Planning!$V$15,"",1)</f>
        <v>1</v>
      </c>
      <c r="F12" s="547" t="s">
        <v>316</v>
      </c>
      <c r="G12" s="548" t="s">
        <v>4</v>
      </c>
      <c r="H12" s="549" t="s">
        <v>319</v>
      </c>
      <c r="I12" s="527" t="str">
        <f t="shared" ref="I12:I29" ca="1" si="0">IF($F12="","",IF(VLOOKUP($F12,$AH$12:$AI$29,2,0)="","",VLOOKUP($F12,$AH$12:$AI$29,2,0)))</f>
        <v>VFB Essenheim</v>
      </c>
      <c r="J12" s="369" t="s">
        <v>4</v>
      </c>
      <c r="K12" s="370" t="str">
        <f t="shared" ref="K12:K29" ca="1" si="1">IF($H12="","",IF(VLOOKUP($H12,$AH$12:$AI$29,2,0)="","",VLOOKUP($H12,$AH$12:$AI$29,2,0)))</f>
        <v/>
      </c>
      <c r="L12" s="372"/>
      <c r="M12" s="376" t="str">
        <f>Language!$E$80</f>
        <v>-</v>
      </c>
      <c r="N12" s="697"/>
      <c r="O12" s="413"/>
      <c r="P12" s="686" t="str">
        <f>Language!$E$80</f>
        <v>-</v>
      </c>
      <c r="Q12" s="373"/>
      <c r="R12" s="784"/>
      <c r="S12" s="689"/>
      <c r="U12" s="532">
        <f ca="1">IF(CalcE1!$K$13=0,"",1)</f>
        <v>1</v>
      </c>
      <c r="V12" s="416" t="str">
        <f ca="1">IF(Calc1!$F$14&lt;3,"",IF(CalcE1!$K$13=0,CalcE1!$Q$64,VLOOKUP(CalcE1!$B$4,CalcE1!$C$4:$N$12,4,0)))</f>
        <v>Manchester City</v>
      </c>
      <c r="W12" s="533">
        <f ca="1">IF(CalcE1!$K$13=0,"",VLOOKUP(CalcE1!$B$4,CalcE1!$C$4:$N$12,9,0))</f>
        <v>3</v>
      </c>
      <c r="X12" s="208">
        <f ca="1">IF(CalcE1!$K$13=0,"",VLOOKUP(CalcE1!$B$4,CalcE1!$C$4:$N$12,10,0))</f>
        <v>1</v>
      </c>
      <c r="Y12" s="208">
        <f ca="1">IF(CalcE1!$K$13=0,"",VLOOKUP(CalcE1!$B$4,CalcE1!$C$4:$N$12,11,0))</f>
        <v>2</v>
      </c>
      <c r="Z12" s="208">
        <f ca="1">IF(CalcE1!$K$13=0,"",VLOOKUP(CalcE1!$B$4,CalcE1!$C$4:$N$12,12,0))</f>
        <v>0</v>
      </c>
      <c r="AA12" s="210">
        <f ca="1">IF(CalcE1!$K$13=0,"",VLOOKUP(CalcE1!$B$4,CalcE1!$C$4:$N$12,5,0))</f>
        <v>136</v>
      </c>
      <c r="AB12" s="534" t="str">
        <f>Language!$E$80</f>
        <v>-</v>
      </c>
      <c r="AC12" s="212">
        <f ca="1">IF(CalcE1!$K$13=0,"",VLOOKUP(CalcE1!$B$4,CalcE1!$C$4:$N$12,6,0))</f>
        <v>125</v>
      </c>
      <c r="AD12" s="208">
        <f ca="1">IF(CalcE1!$K$13=0,"",IF(VLOOKUP(CalcE1!$B4,CalcE1!$C$4:$AR$12,42,0)=Settings!$F$7,"max",VLOOKUP(CalcE1!$B4,CalcE1!$C$4:$AR$12,42,0)))</f>
        <v>11</v>
      </c>
      <c r="AE12" s="213">
        <f ca="1">IF(CalcE1!$K$13=0,"",VLOOKUP(CalcE1!$B$4,CalcE1!$C$4:$N$12,8,0))</f>
        <v>4</v>
      </c>
      <c r="AF12" s="46"/>
      <c r="AG12" s="46"/>
      <c r="AH12" s="678" t="s">
        <v>310</v>
      </c>
      <c r="AI12" s="535" t="str">
        <f ca="1">IF(PreliminaryRound!$R$12="","",PreliminaryRound!$R$12)</f>
        <v>Maibach 1822 eV</v>
      </c>
      <c r="AJ12" s="705">
        <f ca="1">IF($AI12="",0,COUNTIF(TieBreak!$U$25:$U$30,$AI12))</f>
        <v>0</v>
      </c>
    </row>
    <row r="13" spans="2:36" s="356" customFormat="1" ht="24" customHeight="1" x14ac:dyDescent="0.2">
      <c r="B13" s="421"/>
      <c r="C13" s="423">
        <f t="array" aca="1" ref="C13" ca="1">$C$12+ROW(1:1)-SUM((($I$12:$I12="")+($K$12:$K12="")&gt;0)*1)</f>
        <v>21</v>
      </c>
      <c r="D13" s="383">
        <f t="array" aca="1" ref="D13" ca="1">IF(Planning!$V$15,"",$D$12+QUOTIENT(($C13-$C$12),Planning!$V$11)*(Planning!$S$7+Planning!$S$9)/1440+SUM($S$12:$S12)/1440)</f>
        <v>0.49652777777777779</v>
      </c>
      <c r="E13" s="379">
        <f ca="1">IF(Planning!$V$15,"",MOD($C13-$C$12,Planning!$V$11)+1)</f>
        <v>1</v>
      </c>
      <c r="F13" s="550" t="s">
        <v>302</v>
      </c>
      <c r="G13" s="551" t="s">
        <v>4</v>
      </c>
      <c r="H13" s="552" t="s">
        <v>315</v>
      </c>
      <c r="I13" s="527" t="str">
        <f t="shared" ca="1" si="0"/>
        <v>1. FC Riedwald</v>
      </c>
      <c r="J13" s="369" t="s">
        <v>4</v>
      </c>
      <c r="K13" s="370" t="str">
        <f t="shared" ca="1" si="1"/>
        <v>SSV Wildbach</v>
      </c>
      <c r="L13" s="374">
        <v>25</v>
      </c>
      <c r="M13" s="376" t="str">
        <f>Language!$E$80</f>
        <v>-</v>
      </c>
      <c r="N13" s="698">
        <v>20</v>
      </c>
      <c r="O13" s="374">
        <v>17</v>
      </c>
      <c r="P13" s="687" t="str">
        <f>Language!$E$80</f>
        <v>-</v>
      </c>
      <c r="Q13" s="358">
        <v>25</v>
      </c>
      <c r="R13" s="770"/>
      <c r="S13" s="690"/>
      <c r="U13" s="536">
        <f ca="1">IF(CalcE1!$K$13=0,"",IF(VLOOKUP(CalcE1!$B$5,CalcE1!$C$4:$E$12,3,0)=MAX($U12:$U12),VLOOKUP(CalcE1!$B$5,CalcE1!$C$4:$E$12,3,0),CalcE1!$B$5))</f>
        <v>2</v>
      </c>
      <c r="V13" s="418" t="str">
        <f ca="1">IF(Calc1!$F$14&lt;3,"",IF(CalcE1!$K$13=0,CalcE1!$Q$65,VLOOKUP(CalcE1!$B$5,CalcE1!$C$4:$N$12,4,0)))</f>
        <v>Eintracht Frankfurt</v>
      </c>
      <c r="W13" s="223">
        <f ca="1">IF(CalcE1!$K$13=0,"",VLOOKUP(CalcE1!$B$5,CalcE1!$C$4:$N$12,9,0))</f>
        <v>3</v>
      </c>
      <c r="X13" s="198">
        <f ca="1">IF(CalcE1!$K$13=0,"",VLOOKUP(CalcE1!$B$5,CalcE1!$C$4:$N$12,10,0))</f>
        <v>1</v>
      </c>
      <c r="Y13" s="198">
        <f ca="1">IF(CalcE1!$K$13=0,"",VLOOKUP(CalcE1!$B$5,CalcE1!$C$4:$N$12,11,0))</f>
        <v>1</v>
      </c>
      <c r="Z13" s="198">
        <f ca="1">IF(CalcE1!$K$13=0,"",VLOOKUP(CalcE1!$B$5,CalcE1!$C$4:$N$12,12,0))</f>
        <v>1</v>
      </c>
      <c r="AA13" s="219">
        <f ca="1">IF(CalcE1!$K$13=0,"",VLOOKUP(CalcE1!$B$5,CalcE1!$C$4:$N$12,5,0))</f>
        <v>135</v>
      </c>
      <c r="AB13" s="537" t="str">
        <f>Language!$E$80</f>
        <v>-</v>
      </c>
      <c r="AC13" s="221">
        <f ca="1">IF(CalcE1!$K$13=0,"",VLOOKUP(CalcE1!$B$5,CalcE1!$C$4:$N$12,6,0))</f>
        <v>123</v>
      </c>
      <c r="AD13" s="198">
        <f ca="1">IF(CalcE1!$K$13=0,"",IF(VLOOKUP(CalcE1!$B5,CalcE1!$C$4:$AR$12,42,0)=Settings!$F$7,"max",VLOOKUP(CalcE1!$B5,CalcE1!$C$4:$AR$12,42,0)))</f>
        <v>12</v>
      </c>
      <c r="AE13" s="222">
        <f ca="1">IF(CalcE1!$K$13=0,"",VLOOKUP(CalcE1!$B$5,CalcE1!$C$4:$N$12,8,0))</f>
        <v>3</v>
      </c>
      <c r="AF13" s="46"/>
      <c r="AG13" s="46"/>
      <c r="AH13" s="538" t="s">
        <v>303</v>
      </c>
      <c r="AI13" s="539" t="str">
        <f ca="1">IF(PreliminaryRound!$R$22="","",PreliminaryRound!$R$22)</f>
        <v>Mainz 05</v>
      </c>
      <c r="AJ13" s="705">
        <f ca="1">IF($AI13="",0,COUNTIF(TieBreak!$U$25:$U$30,$AI13))</f>
        <v>0</v>
      </c>
    </row>
    <row r="14" spans="2:36" s="356" customFormat="1" ht="24" customHeight="1" x14ac:dyDescent="0.2">
      <c r="B14" s="421"/>
      <c r="C14" s="423">
        <f t="array" aca="1" ref="C14" ca="1">$C$12+ROW(2:2)-SUM((($I$12:$I13="")+($K$12:$K13="")&gt;0)*1)</f>
        <v>22</v>
      </c>
      <c r="D14" s="383">
        <f t="array" aca="1" ref="D14" ca="1">IF(Planning!$V$15,"",$D$12+QUOTIENT(($C14-$C$12),Planning!$V$11)*(Planning!$S$7+Planning!$S$9)/1440+SUM($S$12:$S13)/1440)</f>
        <v>0.49652777777777779</v>
      </c>
      <c r="E14" s="379">
        <f ca="1">IF(Planning!$V$15,"",MOD($C14-$C$12,Planning!$V$11)+1)</f>
        <v>2</v>
      </c>
      <c r="F14" s="550" t="s">
        <v>310</v>
      </c>
      <c r="G14" s="551" t="s">
        <v>4</v>
      </c>
      <c r="H14" s="552" t="s">
        <v>312</v>
      </c>
      <c r="I14" s="527" t="str">
        <f t="shared" ca="1" si="0"/>
        <v>Maibach 1822 eV</v>
      </c>
      <c r="J14" s="369" t="s">
        <v>4</v>
      </c>
      <c r="K14" s="370" t="str">
        <f t="shared" ca="1" si="1"/>
        <v>Manchester City</v>
      </c>
      <c r="L14" s="374">
        <v>19</v>
      </c>
      <c r="M14" s="376" t="str">
        <f>Language!$E$80</f>
        <v>-</v>
      </c>
      <c r="N14" s="698">
        <v>25</v>
      </c>
      <c r="O14" s="374">
        <v>16</v>
      </c>
      <c r="P14" s="687" t="str">
        <f>Language!$E$80</f>
        <v>-</v>
      </c>
      <c r="Q14" s="358">
        <v>25</v>
      </c>
      <c r="R14" s="770"/>
      <c r="S14" s="690"/>
      <c r="U14" s="536">
        <f ca="1">IF(CalcE1!$K$13=0,"",IF(VLOOKUP(CalcE1!$B$6,CalcE1!$C$4:$E$12,3,0)=MAX($U12:$U13),VLOOKUP(CalcE1!$B$6,CalcE1!$C$4:$E$12,3,0),CalcE1!$B$6))</f>
        <v>3</v>
      </c>
      <c r="V14" s="418" t="str">
        <f ca="1">IF(Calc1!$F$14&lt;3,"",IF(CalcE1!$K$13=0,CalcE1!$Q$66,VLOOKUP(CalcE1!$B$6,CalcE1!$C$4:$N$12,4,0)))</f>
        <v>Mainz 05</v>
      </c>
      <c r="W14" s="223">
        <f ca="1">IF(CalcE1!$K$13=0,"",VLOOKUP(CalcE1!$B$6,CalcE1!$C$4:$N$12,9,0))</f>
        <v>3</v>
      </c>
      <c r="X14" s="198">
        <f ca="1">IF(CalcE1!$K$13=0,"",VLOOKUP(CalcE1!$B$6,CalcE1!$C$4:$N$12,10,0))</f>
        <v>1</v>
      </c>
      <c r="Y14" s="198">
        <f ca="1">IF(CalcE1!$K$13=0,"",VLOOKUP(CalcE1!$B$6,CalcE1!$C$4:$N$12,11,0))</f>
        <v>1</v>
      </c>
      <c r="Z14" s="198">
        <f ca="1">IF(CalcE1!$K$13=0,"",VLOOKUP(CalcE1!$B$6,CalcE1!$C$4:$N$12,12,0))</f>
        <v>1</v>
      </c>
      <c r="AA14" s="219">
        <f ca="1">IF(CalcE1!$K$13=0,"",VLOOKUP(CalcE1!$B$6,CalcE1!$C$4:$N$12,5,0))</f>
        <v>127</v>
      </c>
      <c r="AB14" s="537" t="str">
        <f>Language!$E$80</f>
        <v>-</v>
      </c>
      <c r="AC14" s="221">
        <f ca="1">IF(CalcE1!$K$13=0,"",VLOOKUP(CalcE1!$B$6,CalcE1!$C$4:$N$12,6,0))</f>
        <v>133</v>
      </c>
      <c r="AD14" s="198">
        <f ca="1">IF(CalcE1!$K$13=0,"",IF(VLOOKUP(CalcE1!$B6,CalcE1!$C$4:$AR$12,42,0)=Settings!$F$7,"max",VLOOKUP(CalcE1!$B6,CalcE1!$C$4:$AR$12,42,0)))</f>
        <v>-6</v>
      </c>
      <c r="AE14" s="222">
        <f ca="1">IF(CalcE1!$K$13=0,"",VLOOKUP(CalcE1!$B$6,CalcE1!$C$4:$N$12,8,0))</f>
        <v>3</v>
      </c>
      <c r="AF14" s="46"/>
      <c r="AG14" s="46"/>
      <c r="AH14" s="679" t="s">
        <v>311</v>
      </c>
      <c r="AI14" s="539" t="str">
        <f ca="1">IF(PreliminaryRound!$R$13="","",PreliminaryRound!$R$13)</f>
        <v>Eintracht Frankfurt</v>
      </c>
      <c r="AJ14" s="705">
        <f ca="1">IF($AI14="",0,COUNTIF(TieBreak!$U$25:$U$30,$AI14))</f>
        <v>0</v>
      </c>
    </row>
    <row r="15" spans="2:36" s="356" customFormat="1" ht="24" customHeight="1" thickBot="1" x14ac:dyDescent="0.25">
      <c r="B15" s="421"/>
      <c r="C15" s="423">
        <f t="array" aca="1" ref="C15" ca="1">$C$12+ROW(3:3)-SUM((($I$12:$I14="")+($K$12:$K14="")&gt;0)*1)</f>
        <v>23</v>
      </c>
      <c r="D15" s="383">
        <f t="array" aca="1" ref="D15" ca="1">IF(Planning!$V$15,"",$D$12+QUOTIENT(($C15-$C$12),Planning!$V$11)*(Planning!$S$7+Planning!$S$9)/1440+SUM($S$12:$S14)/1440)</f>
        <v>0.49652777777777779</v>
      </c>
      <c r="E15" s="379">
        <f ca="1">IF(Planning!$V$15,"",MOD($C15-$C$12,Planning!$V$11)+1)</f>
        <v>3</v>
      </c>
      <c r="F15" s="550" t="s">
        <v>317</v>
      </c>
      <c r="G15" s="551" t="s">
        <v>4</v>
      </c>
      <c r="H15" s="552" t="s">
        <v>318</v>
      </c>
      <c r="I15" s="527" t="str">
        <f t="shared" ca="1" si="0"/>
        <v>Inter Mailand</v>
      </c>
      <c r="J15" s="369" t="s">
        <v>4</v>
      </c>
      <c r="K15" s="370" t="str">
        <f t="shared" ca="1" si="1"/>
        <v/>
      </c>
      <c r="L15" s="374"/>
      <c r="M15" s="377" t="str">
        <f>Language!$E$80</f>
        <v>-</v>
      </c>
      <c r="N15" s="698"/>
      <c r="O15" s="374"/>
      <c r="P15" s="687" t="str">
        <f>Language!$E$80</f>
        <v>-</v>
      </c>
      <c r="Q15" s="358"/>
      <c r="R15" s="789"/>
      <c r="S15" s="690"/>
      <c r="U15" s="540">
        <f ca="1">IF(CalcE1!$K$13=0,"",IF(VLOOKUP(CalcE1!$B$7,CalcE1!$C$4:$E$12,3,0)=MAX($U12:$U14),VLOOKUP(CalcE1!$B$7,CalcE1!$C$4:$E$12,3,0),CalcE1!$B$7))</f>
        <v>4</v>
      </c>
      <c r="V15" s="420" t="str">
        <f ca="1">IF(Calc1!$F$14&lt;3,"",IF(CalcE1!$K$13=0,CalcE1!$Q$67,VLOOKUP(CalcE1!$B$7,CalcE1!$C$4:$N$12,4,0)))</f>
        <v>Maibach 1822 eV</v>
      </c>
      <c r="W15" s="234">
        <f ca="1">IF(CalcE1!$K$13=0,"",VLOOKUP(CalcE1!$B$7,CalcE1!$C$4:$N$12,9,0))</f>
        <v>3</v>
      </c>
      <c r="X15" s="228">
        <f ca="1">IF(CalcE1!$K$13=0,"",VLOOKUP(CalcE1!$B$7,CalcE1!$C$4:$N$12,10,0))</f>
        <v>1</v>
      </c>
      <c r="Y15" s="228">
        <f ca="1">IF(CalcE1!$K$13=0,"",VLOOKUP(CalcE1!$B$7,CalcE1!$C$4:$N$12,11,0))</f>
        <v>0</v>
      </c>
      <c r="Z15" s="228">
        <f ca="1">IF(CalcE1!$K$13=0,"",VLOOKUP(CalcE1!$B$7,CalcE1!$C$4:$N$12,12,0))</f>
        <v>2</v>
      </c>
      <c r="AA15" s="230">
        <f ca="1">IF(CalcE1!$K$13=0,"",VLOOKUP(CalcE1!$B$7,CalcE1!$C$4:$N$12,5,0))</f>
        <v>116</v>
      </c>
      <c r="AB15" s="541" t="str">
        <f>Language!$E$80</f>
        <v>-</v>
      </c>
      <c r="AC15" s="232">
        <f ca="1">IF(CalcE1!$K$13=0,"",VLOOKUP(CalcE1!$B$7,CalcE1!$C$4:$N$12,6,0))</f>
        <v>133</v>
      </c>
      <c r="AD15" s="228">
        <f ca="1">IF(CalcE1!$K$13=0,"",IF(VLOOKUP(CalcE1!$B7,CalcE1!$C$4:$AR$12,42,0)=Settings!$F$7,"max",VLOOKUP(CalcE1!$B7,CalcE1!$C$4:$AR$12,42,0)))</f>
        <v>-17</v>
      </c>
      <c r="AE15" s="233">
        <f ca="1">IF(CalcE1!$K$13=0,"",VLOOKUP(CalcE1!$B$7,CalcE1!$C$4:$N$12,8,0))</f>
        <v>2</v>
      </c>
      <c r="AF15" s="46"/>
      <c r="AG15" s="46"/>
      <c r="AH15" s="542" t="s">
        <v>312</v>
      </c>
      <c r="AI15" s="543" t="str">
        <f ca="1">IF(PreliminaryRound!$R$23="","",PreliminaryRound!$R$23)</f>
        <v>Manchester City</v>
      </c>
      <c r="AJ15" s="705">
        <f ca="1">IF($AI15="",0,COUNTIF(TieBreak!$U$25:$U$30,$AI15))</f>
        <v>0</v>
      </c>
    </row>
    <row r="16" spans="2:36" s="356" customFormat="1" ht="24" customHeight="1" thickTop="1" x14ac:dyDescent="0.2">
      <c r="B16" s="421"/>
      <c r="C16" s="423">
        <f t="array" aca="1" ref="C16" ca="1">$C$12+ROW(4:4)-SUM((($I$12:$I15="")+($K$12:$K15="")&gt;0)*1)</f>
        <v>23</v>
      </c>
      <c r="D16" s="383">
        <f t="array" aca="1" ref="D16" ca="1">IF(Planning!$V$15,"",$D$12+QUOTIENT(($C16-$C$12),Planning!$V$11)*(Planning!$S$7+Planning!$S$9)/1440+SUM($S$12:$S15)/1440)</f>
        <v>0.49652777777777779</v>
      </c>
      <c r="E16" s="379">
        <f ca="1">IF(Planning!$V$15,"",MOD($C16-$C$12,Planning!$V$11)+1)</f>
        <v>3</v>
      </c>
      <c r="F16" s="550" t="s">
        <v>313</v>
      </c>
      <c r="G16" s="551" t="s">
        <v>4</v>
      </c>
      <c r="H16" s="552" t="s">
        <v>314</v>
      </c>
      <c r="I16" s="527" t="str">
        <f t="shared" ca="1" si="0"/>
        <v>FC Grönlingen</v>
      </c>
      <c r="J16" s="369" t="s">
        <v>4</v>
      </c>
      <c r="K16" s="370" t="str">
        <f t="shared" ca="1" si="1"/>
        <v>FC Barcelona</v>
      </c>
      <c r="L16" s="374">
        <v>25</v>
      </c>
      <c r="M16" s="377" t="str">
        <f>Language!$E$80</f>
        <v>-</v>
      </c>
      <c r="N16" s="698">
        <v>23</v>
      </c>
      <c r="O16" s="699">
        <v>25</v>
      </c>
      <c r="P16" s="688" t="str">
        <f>Language!$E$80</f>
        <v>-</v>
      </c>
      <c r="Q16" s="693">
        <v>21</v>
      </c>
      <c r="R16" s="790"/>
      <c r="S16" s="691"/>
    </row>
    <row r="17" spans="2:36" s="356" customFormat="1" ht="24" customHeight="1" thickBot="1" x14ac:dyDescent="0.45">
      <c r="B17" s="421"/>
      <c r="C17" s="423">
        <f t="array" aca="1" ref="C17" ca="1">$C$12+ROW(5:5)-SUM((($I$12:$I16="")+($K$12:$K16="")&gt;0)*1)</f>
        <v>24</v>
      </c>
      <c r="D17" s="383">
        <f t="array" aca="1" ref="D17" ca="1">IF(Planning!$V$15,"",$D$12+QUOTIENT(($C17-$C$12),Planning!$V$11)*(Planning!$S$7+Planning!$S$9)/1440+SUM($S$12:$S16)/1440)</f>
        <v>0.49652777777777779</v>
      </c>
      <c r="E17" s="379">
        <f ca="1">IF(Planning!$V$15,"",MOD($C17-$C$12,Planning!$V$11)+1)</f>
        <v>4</v>
      </c>
      <c r="F17" s="550" t="s">
        <v>303</v>
      </c>
      <c r="G17" s="551" t="s">
        <v>4</v>
      </c>
      <c r="H17" s="552" t="s">
        <v>311</v>
      </c>
      <c r="I17" s="527" t="str">
        <f t="shared" ca="1" si="0"/>
        <v>Mainz 05</v>
      </c>
      <c r="J17" s="369" t="s">
        <v>4</v>
      </c>
      <c r="K17" s="370" t="str">
        <f t="shared" ca="1" si="1"/>
        <v>Eintracht Frankfurt</v>
      </c>
      <c r="L17" s="374">
        <v>25</v>
      </c>
      <c r="M17" s="377" t="str">
        <f>Language!$E$80</f>
        <v>-</v>
      </c>
      <c r="N17" s="698">
        <v>17</v>
      </c>
      <c r="O17" s="699">
        <v>25</v>
      </c>
      <c r="P17" s="688" t="str">
        <f>Language!$E$80</f>
        <v>-</v>
      </c>
      <c r="Q17" s="693">
        <v>22</v>
      </c>
      <c r="R17" s="790"/>
      <c r="S17" s="691"/>
      <c r="U17" s="940" t="str">
        <f>Language!$E$58</f>
        <v>Third and fourth in the group</v>
      </c>
      <c r="V17" s="940"/>
      <c r="W17" s="940"/>
      <c r="X17" s="940"/>
      <c r="Y17" s="940"/>
      <c r="Z17" s="940"/>
      <c r="AA17" s="199"/>
      <c r="AB17" s="199"/>
      <c r="AC17" s="199"/>
      <c r="AD17" s="199"/>
      <c r="AE17" s="199"/>
      <c r="AF17" s="46"/>
      <c r="AG17" s="46"/>
      <c r="AH17" s="941" t="str">
        <f>$U17</f>
        <v>Third and fourth in the group</v>
      </c>
      <c r="AI17" s="941"/>
      <c r="AJ17" s="942"/>
    </row>
    <row r="18" spans="2:36" ht="24" customHeight="1" thickTop="1" thickBot="1" x14ac:dyDescent="0.25">
      <c r="C18" s="423">
        <f t="array" aca="1" ref="C18" ca="1">$C$12+ROW(6:6)-SUM((($I$12:$I17="")+($K$12:$K17="")&gt;0)*1)</f>
        <v>25</v>
      </c>
      <c r="D18" s="383">
        <f t="array" aca="1" ref="D18" ca="1">IF(Planning!$V$15,"",$D$12+QUOTIENT(($C18-$C$12),Planning!$V$11)*(Planning!$S$7+Planning!$S$9)/1440+SUM($S$12:$S17)/1440)</f>
        <v>0.52083333333333337</v>
      </c>
      <c r="E18" s="379">
        <f ca="1">IF(Planning!$V$15,"",MOD($C18-$C$12,Planning!$V$11)+1)</f>
        <v>1</v>
      </c>
      <c r="F18" s="550" t="s">
        <v>316</v>
      </c>
      <c r="G18" s="551" t="s">
        <v>4</v>
      </c>
      <c r="H18" s="552" t="s">
        <v>318</v>
      </c>
      <c r="I18" s="527" t="str">
        <f t="shared" ca="1" si="0"/>
        <v>VFB Essenheim</v>
      </c>
      <c r="J18" s="369" t="s">
        <v>4</v>
      </c>
      <c r="K18" s="370" t="str">
        <f t="shared" ca="1" si="1"/>
        <v/>
      </c>
      <c r="L18" s="374"/>
      <c r="M18" s="377" t="str">
        <f>Language!$E$80</f>
        <v>-</v>
      </c>
      <c r="N18" s="698"/>
      <c r="O18" s="699"/>
      <c r="P18" s="688" t="str">
        <f>Language!$E$80</f>
        <v>-</v>
      </c>
      <c r="Q18" s="693"/>
      <c r="R18" s="790"/>
      <c r="S18" s="691"/>
      <c r="U18" s="943"/>
      <c r="V18" s="944"/>
      <c r="W18" s="201" t="str">
        <f>Language!$E$21</f>
        <v>Pld</v>
      </c>
      <c r="X18" s="202" t="str">
        <f>Language!$E$22</f>
        <v>W</v>
      </c>
      <c r="Y18" s="202" t="str">
        <f>Language!$E$23</f>
        <v>D</v>
      </c>
      <c r="Z18" s="524" t="str">
        <f>Language!$E$24</f>
        <v>L</v>
      </c>
      <c r="AA18" s="843" t="str">
        <f>Language!$E$60</f>
        <v>balls</v>
      </c>
      <c r="AB18" s="844"/>
      <c r="AC18" s="845"/>
      <c r="AD18" s="202" t="str">
        <f>IF(Settings!$G$7,Language!$E$26,Language!$E$67)</f>
        <v>GD</v>
      </c>
      <c r="AE18" s="204" t="str">
        <f>Language!$E$27</f>
        <v>Pts</v>
      </c>
      <c r="AH18" s="530"/>
      <c r="AI18" s="531" t="str">
        <f>Language!$E$10</f>
        <v>Participant or team</v>
      </c>
      <c r="AJ18" s="704" t="str">
        <f>Language!$E$49</f>
        <v>Tie break</v>
      </c>
    </row>
    <row r="19" spans="2:36" ht="24" customHeight="1" x14ac:dyDescent="0.2">
      <c r="C19" s="423">
        <f t="array" aca="1" ref="C19" ca="1">$C$12+ROW(7:7)-SUM((($I$12:$I18="")+($K$12:$K18="")&gt;0)*1)</f>
        <v>25</v>
      </c>
      <c r="D19" s="383">
        <f t="array" aca="1" ref="D19" ca="1">IF(Planning!$V$15,"",$D$12+QUOTIENT(($C19-$C$12),Planning!$V$11)*(Planning!$S$7+Planning!$S$9)/1440+SUM($S$12:$S18)/1440)</f>
        <v>0.52083333333333337</v>
      </c>
      <c r="E19" s="379">
        <f ca="1">IF(Planning!$V$15,"",MOD($C19-$C$12,Planning!$V$11)+1)</f>
        <v>1</v>
      </c>
      <c r="F19" s="550" t="s">
        <v>302</v>
      </c>
      <c r="G19" s="551" t="s">
        <v>4</v>
      </c>
      <c r="H19" s="552" t="s">
        <v>314</v>
      </c>
      <c r="I19" s="527" t="str">
        <f t="shared" ca="1" si="0"/>
        <v>1. FC Riedwald</v>
      </c>
      <c r="J19" s="369" t="s">
        <v>4</v>
      </c>
      <c r="K19" s="370" t="str">
        <f t="shared" ca="1" si="1"/>
        <v>FC Barcelona</v>
      </c>
      <c r="L19" s="374">
        <v>19</v>
      </c>
      <c r="M19" s="377" t="str">
        <f>Language!$E$80</f>
        <v>-</v>
      </c>
      <c r="N19" s="698">
        <v>25</v>
      </c>
      <c r="O19" s="699">
        <v>25</v>
      </c>
      <c r="P19" s="688" t="str">
        <f>Language!$E$80</f>
        <v>-</v>
      </c>
      <c r="Q19" s="693">
        <v>12</v>
      </c>
      <c r="R19" s="790"/>
      <c r="S19" s="691"/>
      <c r="U19" s="532">
        <f ca="1">IF(CalcE2!$K$13=0,"",1)</f>
        <v>1</v>
      </c>
      <c r="V19" s="416" t="str">
        <f ca="1">IF(Calc1!$F$14&lt;3,"",IF(AND(CalcE2!$K$13=0,AI23&lt;&gt;1),CalcE2!$Q$64,VLOOKUP(CalcE2!$B$4,CalcE2!$C$4:$N$12,4,0)))</f>
        <v>1. FC Riedwald</v>
      </c>
      <c r="W19" s="533">
        <f ca="1">IF(CalcE2!$K$13=0,"",VLOOKUP(CalcE2!$B$4,CalcE2!$C$4:$N$12,9,0))</f>
        <v>3</v>
      </c>
      <c r="X19" s="208">
        <f ca="1">IF(CalcE2!$K$13=0,"",VLOOKUP(CalcE2!$B$4,CalcE2!$C$4:$N$12,10,0))</f>
        <v>1</v>
      </c>
      <c r="Y19" s="208">
        <f ca="1">IF(CalcE2!$K$13=0,"",VLOOKUP(CalcE2!$B$4,CalcE2!$C$4:$N$12,11,0))</f>
        <v>2</v>
      </c>
      <c r="Z19" s="208">
        <f ca="1">IF(CalcE2!$K$13=0,"",VLOOKUP(CalcE2!$B$4,CalcE2!$C$4:$N$12,12,0))</f>
        <v>0</v>
      </c>
      <c r="AA19" s="210">
        <f ca="1">IF(CalcE2!$K$13=0,"",VLOOKUP(CalcE2!$B$4,CalcE2!$C$4:$N$12,5,0))</f>
        <v>136</v>
      </c>
      <c r="AB19" s="534" t="str">
        <f>Language!$E$80</f>
        <v>-</v>
      </c>
      <c r="AC19" s="212">
        <f ca="1">IF(CalcE2!$K$13=0,"",VLOOKUP(CalcE2!$B$4,CalcE2!$C$4:$N$12,6,0))</f>
        <v>121</v>
      </c>
      <c r="AD19" s="208">
        <f ca="1">IF(CalcE2!$K$13=0,"",IF(VLOOKUP(CalcE2!$B4,CalcE2!$C$4:$AR$12,42,0)=Settings!$F$7,"max",VLOOKUP(CalcE2!$B4,CalcE2!$C$4:$AR$12,42,0)))</f>
        <v>15</v>
      </c>
      <c r="AE19" s="213">
        <f ca="1">IF(CalcE2!$K$13=0,"",VLOOKUP(CalcE2!$B$4,CalcE2!$C$4:$N$12,8,0))</f>
        <v>4</v>
      </c>
      <c r="AH19" s="678" t="s">
        <v>302</v>
      </c>
      <c r="AI19" s="535" t="str">
        <f ca="1">IF(PreliminaryRound!$R$14="","",PreliminaryRound!$R$14)</f>
        <v>1. FC Riedwald</v>
      </c>
      <c r="AJ19" s="705">
        <f ca="1">IF($AI19="",0,COUNTIF(TieBreak!$U$25:$U$30,$AI19))</f>
        <v>0</v>
      </c>
    </row>
    <row r="20" spans="2:36" ht="24" customHeight="1" x14ac:dyDescent="0.2">
      <c r="C20" s="423">
        <f t="array" aca="1" ref="C20" ca="1">$C$12+ROW(8:8)-SUM((($I$12:$I19="")+($K$12:$K19="")&gt;0)*1)</f>
        <v>26</v>
      </c>
      <c r="D20" s="383">
        <f t="array" aca="1" ref="D20" ca="1">IF(Planning!$V$15,"",$D$12+QUOTIENT(($C20-$C$12),Planning!$V$11)*(Planning!$S$7+Planning!$S$9)/1440+SUM($S$12:$S19)/1440)</f>
        <v>0.52083333333333337</v>
      </c>
      <c r="E20" s="379">
        <f ca="1">IF(Planning!$V$15,"",MOD($C20-$C$12,Planning!$V$11)+1)</f>
        <v>2</v>
      </c>
      <c r="F20" s="550" t="s">
        <v>310</v>
      </c>
      <c r="G20" s="551" t="s">
        <v>4</v>
      </c>
      <c r="H20" s="552" t="s">
        <v>311</v>
      </c>
      <c r="I20" s="527" t="str">
        <f t="shared" ca="1" si="0"/>
        <v>Maibach 1822 eV</v>
      </c>
      <c r="J20" s="369" t="s">
        <v>4</v>
      </c>
      <c r="K20" s="370" t="str">
        <f t="shared" ca="1" si="1"/>
        <v>Eintracht Frankfurt</v>
      </c>
      <c r="L20" s="374">
        <v>13</v>
      </c>
      <c r="M20" s="377" t="str">
        <f>Language!$E$80</f>
        <v>-</v>
      </c>
      <c r="N20" s="698">
        <v>25</v>
      </c>
      <c r="O20" s="699">
        <v>18</v>
      </c>
      <c r="P20" s="688" t="str">
        <f>Language!$E$80</f>
        <v>-</v>
      </c>
      <c r="Q20" s="693">
        <v>25</v>
      </c>
      <c r="R20" s="790"/>
      <c r="S20" s="691"/>
      <c r="U20" s="536">
        <f ca="1">IF(CalcE2!$K$13=0,"",IF(VLOOKUP(CalcE2!$B$5,CalcE2!$C$4:$E$12,3,0)=MAX($U19:$U19),VLOOKUP(CalcE2!$B$5,CalcE2!$C$4:$E$12,3,0),CalcE2!$B$5))</f>
        <v>2</v>
      </c>
      <c r="V20" s="418" t="str">
        <f ca="1">IF(OR(Calc1!$F$14&lt;3,AI23=1),"",IF(CalcE2!$K$13=0,CalcE2!$Q$65,VLOOKUP(CalcE2!$B$5,CalcE2!$C$4:$N$12,4,0)))</f>
        <v>SSV Wildbach</v>
      </c>
      <c r="W20" s="223">
        <f ca="1">IF(CalcE2!$K$13=0,"",VLOOKUP(CalcE2!$B$5,CalcE2!$C$4:$N$12,9,0))</f>
        <v>3</v>
      </c>
      <c r="X20" s="198">
        <f ca="1">IF(CalcE2!$K$13=0,"",VLOOKUP(CalcE2!$B$5,CalcE2!$C$4:$N$12,10,0))</f>
        <v>0</v>
      </c>
      <c r="Y20" s="198">
        <f ca="1">IF(CalcE2!$K$13=0,"",VLOOKUP(CalcE2!$B$5,CalcE2!$C$4:$N$12,11,0))</f>
        <v>3</v>
      </c>
      <c r="Z20" s="198">
        <f ca="1">IF(CalcE2!$K$13=0,"",VLOOKUP(CalcE2!$B$5,CalcE2!$C$4:$N$12,12,0))</f>
        <v>0</v>
      </c>
      <c r="AA20" s="219">
        <f ca="1">IF(CalcE2!$K$13=0,"",VLOOKUP(CalcE2!$B$5,CalcE2!$C$4:$N$12,5,0))</f>
        <v>138</v>
      </c>
      <c r="AB20" s="537" t="str">
        <f>Language!$E$80</f>
        <v>-</v>
      </c>
      <c r="AC20" s="221">
        <f ca="1">IF(CalcE2!$K$13=0,"",VLOOKUP(CalcE2!$B$5,CalcE2!$C$4:$N$12,6,0))</f>
        <v>128</v>
      </c>
      <c r="AD20" s="198">
        <f ca="1">IF(CalcE2!$K$13=0,"",IF(VLOOKUP(CalcE2!$B5,CalcE2!$C$4:$AR$12,42,0)=Settings!$F$7,"max",VLOOKUP(CalcE2!$B5,CalcE2!$C$4:$AR$12,42,0)))</f>
        <v>10</v>
      </c>
      <c r="AE20" s="222">
        <f ca="1">IF(CalcE2!$K$13=0,"",VLOOKUP(CalcE2!$B$5,CalcE2!$C$4:$N$12,8,0))</f>
        <v>3</v>
      </c>
      <c r="AH20" s="538" t="s">
        <v>313</v>
      </c>
      <c r="AI20" s="539" t="str">
        <f ca="1">IF(PreliminaryRound!$R$24="","",PreliminaryRound!$R$24)</f>
        <v>FC Grönlingen</v>
      </c>
      <c r="AJ20" s="705">
        <f ca="1">IF($AI20="",0,COUNTIF(TieBreak!$U$25:$U$30,$AI20))</f>
        <v>0</v>
      </c>
    </row>
    <row r="21" spans="2:36" ht="24" customHeight="1" x14ac:dyDescent="0.2">
      <c r="C21" s="423">
        <f t="array" aca="1" ref="C21" ca="1">$C$12+ROW(9:9)-SUM((($I$12:$I20="")+($K$12:$K20="")&gt;0)*1)</f>
        <v>27</v>
      </c>
      <c r="D21" s="383">
        <f t="array" aca="1" ref="D21" ca="1">IF(Planning!$V$15,"",$D$12+QUOTIENT(($C21-$C$12),Planning!$V$11)*(Planning!$S$7+Planning!$S$9)/1440+SUM($S$12:$S20)/1440)</f>
        <v>0.52083333333333337</v>
      </c>
      <c r="E21" s="379">
        <f ca="1">IF(Planning!$V$15,"",MOD($C21-$C$12,Planning!$V$11)+1)</f>
        <v>3</v>
      </c>
      <c r="F21" s="550" t="s">
        <v>317</v>
      </c>
      <c r="G21" s="551" t="s">
        <v>4</v>
      </c>
      <c r="H21" s="552" t="s">
        <v>319</v>
      </c>
      <c r="I21" s="527" t="str">
        <f t="shared" ca="1" si="0"/>
        <v>Inter Mailand</v>
      </c>
      <c r="J21" s="369" t="s">
        <v>4</v>
      </c>
      <c r="K21" s="370" t="str">
        <f t="shared" ca="1" si="1"/>
        <v/>
      </c>
      <c r="L21" s="374"/>
      <c r="M21" s="377" t="str">
        <f>Language!$E$80</f>
        <v>-</v>
      </c>
      <c r="N21" s="698"/>
      <c r="O21" s="699"/>
      <c r="P21" s="688" t="str">
        <f>Language!$E$80</f>
        <v>-</v>
      </c>
      <c r="Q21" s="693"/>
      <c r="R21" s="790"/>
      <c r="S21" s="691"/>
      <c r="U21" s="536">
        <f ca="1">IF(CalcE2!$K$13=0,"",IF(VLOOKUP(CalcE2!$B$6,CalcE2!$C$4:$E$12,3,0)=MAX($U19:$U20),VLOOKUP(CalcE2!$B$6,CalcE2!$C$4:$E$12,3,0),CalcE2!$B$6))</f>
        <v>3</v>
      </c>
      <c r="V21" s="418" t="str">
        <f ca="1">IF(OR(Calc1!$F$14&lt;3,AI23=1),"",IF(CalcE2!$K$13=0,CalcE2!$Q$66,VLOOKUP(CalcE2!$B$6,CalcE2!$C$4:$N$12,4,0)))</f>
        <v>FC Grönlingen</v>
      </c>
      <c r="W21" s="223">
        <f ca="1">IF(CalcE2!$K$13=0,"",VLOOKUP(CalcE2!$B$6,CalcE2!$C$4:$N$12,9,0))</f>
        <v>3</v>
      </c>
      <c r="X21" s="198">
        <f ca="1">IF(CalcE2!$K$13=0,"",VLOOKUP(CalcE2!$B$6,CalcE2!$C$4:$N$12,10,0))</f>
        <v>1</v>
      </c>
      <c r="Y21" s="198">
        <f ca="1">IF(CalcE2!$K$13=0,"",VLOOKUP(CalcE2!$B$6,CalcE2!$C$4:$N$12,11,0))</f>
        <v>1</v>
      </c>
      <c r="Z21" s="198">
        <f ca="1">IF(CalcE2!$K$13=0,"",VLOOKUP(CalcE2!$B$6,CalcE2!$C$4:$N$12,12,0))</f>
        <v>1</v>
      </c>
      <c r="AA21" s="219">
        <f ca="1">IF(CalcE2!$K$13=0,"",VLOOKUP(CalcE2!$B$6,CalcE2!$C$4:$N$12,5,0))</f>
        <v>136</v>
      </c>
      <c r="AB21" s="537" t="str">
        <f>Language!$E$80</f>
        <v>-</v>
      </c>
      <c r="AC21" s="221">
        <f ca="1">IF(CalcE2!$K$13=0,"",VLOOKUP(CalcE2!$B$6,CalcE2!$C$4:$N$12,6,0))</f>
        <v>139</v>
      </c>
      <c r="AD21" s="198">
        <f ca="1">IF(CalcE2!$K$13=0,"",IF(VLOOKUP(CalcE2!$B6,CalcE2!$C$4:$AR$12,42,0)=Settings!$F$7,"max",VLOOKUP(CalcE2!$B6,CalcE2!$C$4:$AR$12,42,0)))</f>
        <v>-3</v>
      </c>
      <c r="AE21" s="222">
        <f ca="1">IF(CalcE2!$K$13=0,"",VLOOKUP(CalcE2!$B$6,CalcE2!$C$4:$N$12,8,0))</f>
        <v>3</v>
      </c>
      <c r="AH21" s="679" t="s">
        <v>314</v>
      </c>
      <c r="AI21" s="539" t="str">
        <f ca="1">IF(PreliminaryRound!$R$15="","",PreliminaryRound!$R$15)</f>
        <v>FC Barcelona</v>
      </c>
      <c r="AJ21" s="705">
        <f ca="1">IF($AI21="",0,COUNTIF(TieBreak!$U$25:$U$30,$AI21))</f>
        <v>0</v>
      </c>
    </row>
    <row r="22" spans="2:36" ht="24" customHeight="1" thickBot="1" x14ac:dyDescent="0.25">
      <c r="C22" s="423">
        <f t="array" aca="1" ref="C22" ca="1">$C$12+ROW(10:10)-SUM((($I$12:$I21="")+($K$12:$K21="")&gt;0)*1)</f>
        <v>27</v>
      </c>
      <c r="D22" s="383">
        <f t="array" aca="1" ref="D22" ca="1">IF(Planning!$V$15,"",$D$12+QUOTIENT(($C22-$C$12),Planning!$V$11)*(Planning!$S$7+Planning!$S$9)/1440+SUM($S$12:$S21)/1440)</f>
        <v>0.52083333333333337</v>
      </c>
      <c r="E22" s="379">
        <f ca="1">IF(Planning!$V$15,"",MOD($C22-$C$12,Planning!$V$11)+1)</f>
        <v>3</v>
      </c>
      <c r="F22" s="550" t="s">
        <v>313</v>
      </c>
      <c r="G22" s="551" t="s">
        <v>4</v>
      </c>
      <c r="H22" s="552" t="s">
        <v>315</v>
      </c>
      <c r="I22" s="527" t="str">
        <f t="shared" ca="1" si="0"/>
        <v>FC Grönlingen</v>
      </c>
      <c r="J22" s="369" t="s">
        <v>4</v>
      </c>
      <c r="K22" s="370" t="str">
        <f t="shared" ca="1" si="1"/>
        <v>SSV Wildbach</v>
      </c>
      <c r="L22" s="374">
        <v>22</v>
      </c>
      <c r="M22" s="377" t="str">
        <f>Language!$E$80</f>
        <v>-</v>
      </c>
      <c r="N22" s="698">
        <v>25</v>
      </c>
      <c r="O22" s="699">
        <v>25</v>
      </c>
      <c r="P22" s="688" t="str">
        <f>Language!$E$80</f>
        <v>-</v>
      </c>
      <c r="Q22" s="693">
        <v>20</v>
      </c>
      <c r="R22" s="790"/>
      <c r="S22" s="691"/>
      <c r="U22" s="540">
        <f ca="1">IF(CalcE2!$K$13=0,"",IF(VLOOKUP(CalcE2!$B$7,CalcE2!$C$4:$E$12,3,0)=MAX($U19:$U21),VLOOKUP(CalcE2!$B$7,CalcE2!$C$4:$E$12,3,0),CalcE2!$B$7))</f>
        <v>4</v>
      </c>
      <c r="V22" s="420" t="str">
        <f ca="1">IF(OR(Calc1!$F$14&lt;3,AI23=1),"",IF(CalcE2!$K$13=0,CalcE2!$Q$67,VLOOKUP(CalcE2!$B$7,CalcE2!$C$4:$N$12,4,0)))</f>
        <v>FC Barcelona</v>
      </c>
      <c r="W22" s="234">
        <f ca="1">IF(CalcE2!$K$13=0,"",VLOOKUP(CalcE2!$B$7,CalcE2!$C$4:$N$12,9,0))</f>
        <v>3</v>
      </c>
      <c r="X22" s="228">
        <f ca="1">IF(CalcE2!$K$13=0,"",VLOOKUP(CalcE2!$B$7,CalcE2!$C$4:$N$12,10,0))</f>
        <v>0</v>
      </c>
      <c r="Y22" s="228">
        <f ca="1">IF(CalcE2!$K$13=0,"",VLOOKUP(CalcE2!$B$7,CalcE2!$C$4:$N$12,11,0))</f>
        <v>2</v>
      </c>
      <c r="Z22" s="228">
        <f ca="1">IF(CalcE2!$K$13=0,"",VLOOKUP(CalcE2!$B$7,CalcE2!$C$4:$N$12,12,0))</f>
        <v>1</v>
      </c>
      <c r="AA22" s="230">
        <f ca="1">IF(CalcE2!$K$13=0,"",VLOOKUP(CalcE2!$B$7,CalcE2!$C$4:$N$12,5,0))</f>
        <v>120</v>
      </c>
      <c r="AB22" s="541" t="str">
        <f>Language!$E$80</f>
        <v>-</v>
      </c>
      <c r="AC22" s="232">
        <f ca="1">IF(CalcE2!$K$13=0,"",VLOOKUP(CalcE2!$B$7,CalcE2!$C$4:$N$12,6,0))</f>
        <v>142</v>
      </c>
      <c r="AD22" s="228">
        <f ca="1">IF(CalcE2!$K$13=0,"",IF(VLOOKUP(CalcE2!$B7,CalcE2!$C$4:$AR$12,42,0)=Settings!$F$7,"max",VLOOKUP(CalcE2!$B7,CalcE2!$C$4:$AR$12,42,0)))</f>
        <v>-22</v>
      </c>
      <c r="AE22" s="233">
        <f ca="1">IF(CalcE2!$K$13=0,"",VLOOKUP(CalcE2!$B$7,CalcE2!$C$4:$N$12,8,0))</f>
        <v>2</v>
      </c>
      <c r="AH22" s="542" t="s">
        <v>315</v>
      </c>
      <c r="AI22" s="543" t="str">
        <f ca="1">IF(PreliminaryRound!$R$25="","",PreliminaryRound!$R$25)</f>
        <v>SSV Wildbach</v>
      </c>
      <c r="AJ22" s="705">
        <f ca="1">IF($AI22="",0,COUNTIF(TieBreak!$U$25:$U$30,$AI22))</f>
        <v>0</v>
      </c>
    </row>
    <row r="23" spans="2:36" ht="24" customHeight="1" thickTop="1" x14ac:dyDescent="0.2">
      <c r="C23" s="423">
        <f t="array" aca="1" ref="C23" ca="1">$C$12+ROW(11:11)-SUM((($I$12:$I22="")+($K$12:$K22="")&gt;0)*1)</f>
        <v>28</v>
      </c>
      <c r="D23" s="383">
        <f t="array" aca="1" ref="D23" ca="1">IF(Planning!$V$15,"",$D$12+QUOTIENT(($C23-$C$12),Planning!$V$11)*(Planning!$S$7+Planning!$S$9)/1440+SUM($S$12:$S22)/1440)</f>
        <v>0.52083333333333337</v>
      </c>
      <c r="E23" s="379">
        <f ca="1">IF(Planning!$V$15,"",MOD($C23-$C$12,Planning!$V$11)+1)</f>
        <v>4</v>
      </c>
      <c r="F23" s="550" t="s">
        <v>303</v>
      </c>
      <c r="G23" s="551" t="s">
        <v>4</v>
      </c>
      <c r="H23" s="552" t="s">
        <v>312</v>
      </c>
      <c r="I23" s="527" t="str">
        <f t="shared" ca="1" si="0"/>
        <v>Mainz 05</v>
      </c>
      <c r="J23" s="369" t="s">
        <v>4</v>
      </c>
      <c r="K23" s="370" t="str">
        <f t="shared" ca="1" si="1"/>
        <v>Manchester City</v>
      </c>
      <c r="L23" s="374">
        <v>19</v>
      </c>
      <c r="M23" s="377" t="str">
        <f>Language!$E$80</f>
        <v>-</v>
      </c>
      <c r="N23" s="698">
        <v>25</v>
      </c>
      <c r="O23" s="699">
        <v>25</v>
      </c>
      <c r="P23" s="688" t="str">
        <f>Language!$E$80</f>
        <v>-</v>
      </c>
      <c r="Q23" s="693">
        <v>19</v>
      </c>
      <c r="R23" s="790"/>
      <c r="S23" s="691"/>
      <c r="AI23" s="568">
        <f t="array" aca="1" ref="AI23" ca="1">SUM((AI19:AI22&lt;&gt;"")*1)</f>
        <v>4</v>
      </c>
    </row>
    <row r="24" spans="2:36" ht="24" customHeight="1" thickBot="1" x14ac:dyDescent="0.45">
      <c r="C24" s="423">
        <f t="array" aca="1" ref="C24" ca="1">$C$12+ROW(12:12)-SUM((($I$12:$I23="")+($K$12:$K23="")&gt;0)*1)</f>
        <v>29</v>
      </c>
      <c r="D24" s="383">
        <f t="array" aca="1" ref="D24" ca="1">IF(Planning!$V$15,"",$D$12+QUOTIENT(($C24-$C$12),Planning!$V$11)*(Planning!$S$7+Planning!$S$9)/1440+SUM($S$12:$S23)/1440)</f>
        <v>0.54513888888888895</v>
      </c>
      <c r="E24" s="379">
        <f ca="1">IF(Planning!$V$15,"",MOD($C24-$C$12,Planning!$V$11)+1)</f>
        <v>1</v>
      </c>
      <c r="F24" s="550" t="s">
        <v>318</v>
      </c>
      <c r="G24" s="551" t="s">
        <v>4</v>
      </c>
      <c r="H24" s="552" t="s">
        <v>319</v>
      </c>
      <c r="I24" s="527" t="str">
        <f t="shared" ca="1" si="0"/>
        <v/>
      </c>
      <c r="J24" s="369" t="s">
        <v>4</v>
      </c>
      <c r="K24" s="370" t="str">
        <f t="shared" ca="1" si="1"/>
        <v/>
      </c>
      <c r="L24" s="374"/>
      <c r="M24" s="377" t="str">
        <f>Language!$E$80</f>
        <v>-</v>
      </c>
      <c r="N24" s="698"/>
      <c r="O24" s="699"/>
      <c r="P24" s="688" t="str">
        <f>Language!$E$80</f>
        <v>-</v>
      </c>
      <c r="Q24" s="693"/>
      <c r="R24" s="790"/>
      <c r="S24" s="691"/>
      <c r="U24" s="940" t="str">
        <f>Language!$E$59</f>
        <v>Fifth and sixth in the group</v>
      </c>
      <c r="V24" s="940"/>
      <c r="W24" s="940"/>
      <c r="X24" s="940"/>
      <c r="Y24" s="940"/>
      <c r="Z24" s="940"/>
      <c r="AA24" s="199"/>
      <c r="AB24" s="199"/>
      <c r="AC24" s="199"/>
      <c r="AD24" s="199"/>
      <c r="AE24" s="199"/>
      <c r="AH24" s="941" t="str">
        <f>$U24</f>
        <v>Fifth and sixth in the group</v>
      </c>
      <c r="AI24" s="941"/>
      <c r="AJ24" s="942"/>
    </row>
    <row r="25" spans="2:36" ht="24" customHeight="1" thickTop="1" thickBot="1" x14ac:dyDescent="0.25">
      <c r="C25" s="423">
        <f t="array" aca="1" ref="C25" ca="1">$C$12+ROW(13:13)-SUM((($I$12:$I24="")+($K$12:$K24="")&gt;0)*1)</f>
        <v>29</v>
      </c>
      <c r="D25" s="383">
        <f t="array" aca="1" ref="D25" ca="1">IF(Planning!$V$15,"",$D$12+QUOTIENT(($C25-$C$12),Planning!$V$11)*(Planning!$S$7+Planning!$S$9)/1440+SUM($S$12:$S24)/1440)</f>
        <v>0.54513888888888895</v>
      </c>
      <c r="E25" s="379">
        <f ca="1">IF(Planning!$V$15,"",MOD($C25-$C$12,Planning!$V$11)+1)</f>
        <v>1</v>
      </c>
      <c r="F25" s="550" t="s">
        <v>314</v>
      </c>
      <c r="G25" s="551" t="s">
        <v>4</v>
      </c>
      <c r="H25" s="552" t="s">
        <v>315</v>
      </c>
      <c r="I25" s="527" t="str">
        <f t="shared" ca="1" si="0"/>
        <v>FC Barcelona</v>
      </c>
      <c r="J25" s="369" t="s">
        <v>4</v>
      </c>
      <c r="K25" s="370" t="str">
        <f t="shared" ca="1" si="1"/>
        <v>SSV Wildbach</v>
      </c>
      <c r="L25" s="374">
        <v>14</v>
      </c>
      <c r="M25" s="377" t="str">
        <f>Language!$E$80</f>
        <v>-</v>
      </c>
      <c r="N25" s="698">
        <v>25</v>
      </c>
      <c r="O25" s="699">
        <v>25</v>
      </c>
      <c r="P25" s="688" t="str">
        <f>Language!$E$80</f>
        <v>-</v>
      </c>
      <c r="Q25" s="693">
        <v>23</v>
      </c>
      <c r="R25" s="790"/>
      <c r="S25" s="691"/>
      <c r="U25" s="943"/>
      <c r="V25" s="944"/>
      <c r="W25" s="201" t="str">
        <f>Language!$E$21</f>
        <v>Pld</v>
      </c>
      <c r="X25" s="202" t="str">
        <f>Language!$E$22</f>
        <v>W</v>
      </c>
      <c r="Y25" s="202" t="str">
        <f>Language!$E$23</f>
        <v>D</v>
      </c>
      <c r="Z25" s="524" t="str">
        <f>Language!$E$24</f>
        <v>L</v>
      </c>
      <c r="AA25" s="843" t="str">
        <f>Language!$E$60</f>
        <v>balls</v>
      </c>
      <c r="AB25" s="844"/>
      <c r="AC25" s="845"/>
      <c r="AD25" s="202" t="str">
        <f>IF(Settings!$G$7,Language!$E$26,Language!$E$67)</f>
        <v>GD</v>
      </c>
      <c r="AE25" s="204" t="str">
        <f>Language!$E$27</f>
        <v>Pts</v>
      </c>
      <c r="AH25" s="530"/>
      <c r="AI25" s="531" t="str">
        <f>Language!$E$10</f>
        <v>Participant or team</v>
      </c>
      <c r="AJ25" s="704" t="str">
        <f>Language!$E$49</f>
        <v>Tie break</v>
      </c>
    </row>
    <row r="26" spans="2:36" ht="24" customHeight="1" x14ac:dyDescent="0.2">
      <c r="C26" s="423">
        <f t="array" aca="1" ref="C26" ca="1">$C$12+ROW(14:14)-SUM((($I$12:$I25="")+($K$12:$K25="")&gt;0)*1)</f>
        <v>30</v>
      </c>
      <c r="D26" s="383">
        <f t="array" aca="1" ref="D26" ca="1">IF(Planning!$V$15,"",$D$12+QUOTIENT(($C26-$C$12),Planning!$V$11)*(Planning!$S$7+Planning!$S$9)/1440+SUM($S$12:$S25)/1440)</f>
        <v>0.54513888888888895</v>
      </c>
      <c r="E26" s="556">
        <f ca="1">IF(Planning!$V$15,"",MOD($C26-$C$12,Planning!$V$11)+1)</f>
        <v>2</v>
      </c>
      <c r="F26" s="550" t="s">
        <v>311</v>
      </c>
      <c r="G26" s="551" t="s">
        <v>4</v>
      </c>
      <c r="H26" s="552" t="s">
        <v>312</v>
      </c>
      <c r="I26" s="528" t="str">
        <f t="shared" ca="1" si="0"/>
        <v>Eintracht Frankfurt</v>
      </c>
      <c r="J26" s="153" t="s">
        <v>4</v>
      </c>
      <c r="K26" s="363" t="str">
        <f t="shared" ca="1" si="1"/>
        <v>Manchester City</v>
      </c>
      <c r="L26" s="374">
        <v>21</v>
      </c>
      <c r="M26" s="377" t="str">
        <f>Language!$E$80</f>
        <v>-</v>
      </c>
      <c r="N26" s="698">
        <v>25</v>
      </c>
      <c r="O26" s="699">
        <v>25</v>
      </c>
      <c r="P26" s="688" t="str">
        <f>Language!$E$80</f>
        <v>-</v>
      </c>
      <c r="Q26" s="693">
        <v>17</v>
      </c>
      <c r="R26" s="790"/>
      <c r="S26" s="691"/>
      <c r="U26" s="532">
        <f ca="1">IF(CalcE3!$K$13=0,"",1)</f>
        <v>1</v>
      </c>
      <c r="V26" s="416" t="str">
        <f ca="1">IF(Calc1!$F$14&lt;3,"",IF(AND(CalcE3!$K$13=0,AI30&lt;&gt;1),CalcE3!$Q$64,VLOOKUP(CalcE3!$B$4,CalcE3!$C$4:$N$12,4,0)))</f>
        <v>Inter Mailand</v>
      </c>
      <c r="W26" s="533">
        <f ca="1">IF(CalcE3!$K$13=0,"",VLOOKUP(CalcE3!$B$4,CalcE3!$C$4:$N$12,9,0))</f>
        <v>1</v>
      </c>
      <c r="X26" s="208">
        <f ca="1">IF(CalcE3!$K$13=0,"",VLOOKUP(CalcE3!$B$4,CalcE3!$C$4:$N$12,10,0))</f>
        <v>1</v>
      </c>
      <c r="Y26" s="208">
        <f ca="1">IF(CalcE3!$K$13=0,"",VLOOKUP(CalcE3!$B$4,CalcE3!$C$4:$N$12,11,0))</f>
        <v>0</v>
      </c>
      <c r="Z26" s="208">
        <f ca="1">IF(CalcE3!$K$13=0,"",VLOOKUP(CalcE3!$B$4,CalcE3!$C$4:$N$12,12,0))</f>
        <v>0</v>
      </c>
      <c r="AA26" s="210">
        <f ca="1">IF(CalcE3!$K$13=0,"",VLOOKUP(CalcE3!$B$4,CalcE3!$C$4:$N$12,5,0))</f>
        <v>50</v>
      </c>
      <c r="AB26" s="534" t="str">
        <f>Language!$E$80</f>
        <v>-</v>
      </c>
      <c r="AC26" s="212">
        <f ca="1">IF(CalcE3!$K$13=0,"",VLOOKUP(CalcE3!$B$4,CalcE3!$C$4:$N$12,6,0))</f>
        <v>38</v>
      </c>
      <c r="AD26" s="208">
        <f ca="1">IF(CalcE3!$K$13=0,"",IF(VLOOKUP(CalcE3!$B4,CalcE3!$C$4:$AR$12,42,0)=Settings!$F$7,"max",VLOOKUP(CalcE3!$B4,CalcE3!$C$4:$AR$12,42,0)))</f>
        <v>12</v>
      </c>
      <c r="AE26" s="213">
        <f ca="1">IF(CalcE3!$K$13=0,"",VLOOKUP(CalcE3!$B$4,CalcE3!$C$4:$N$12,8,0))</f>
        <v>2</v>
      </c>
      <c r="AH26" s="678" t="s">
        <v>316</v>
      </c>
      <c r="AI26" s="535" t="str">
        <f ca="1">IF(PreliminaryRound!$R$16="","",PreliminaryRound!$R$16)</f>
        <v>VFB Essenheim</v>
      </c>
      <c r="AJ26" s="705">
        <f ca="1">IF($AI26="",0,COUNTIF(TieBreak!$U$25:$U$30,$AI26))</f>
        <v>0</v>
      </c>
    </row>
    <row r="27" spans="2:36" ht="24" customHeight="1" x14ac:dyDescent="0.2">
      <c r="C27" s="423">
        <f t="array" aca="1" ref="C27" ca="1">$C$12+ROW(15:15)-SUM((($I$12:$I26="")+($K$12:$K26="")&gt;0)*1)</f>
        <v>31</v>
      </c>
      <c r="D27" s="383">
        <f t="array" aca="1" ref="D27" ca="1">IF(Planning!$V$15,"",$D$12+QUOTIENT(($C27-$C$12),Planning!$V$11)*(Planning!$S$7+Planning!$S$9)/1440+SUM($S$12:$S26)/1440)</f>
        <v>0.54513888888888895</v>
      </c>
      <c r="E27" s="379">
        <f ca="1">IF(Planning!$V$15,"",MOD($C27-$C$12,Planning!$V$11)+1)</f>
        <v>3</v>
      </c>
      <c r="F27" s="550" t="s">
        <v>316</v>
      </c>
      <c r="G27" s="551" t="s">
        <v>4</v>
      </c>
      <c r="H27" s="552" t="s">
        <v>317</v>
      </c>
      <c r="I27" s="527" t="str">
        <f t="shared" ca="1" si="0"/>
        <v>VFB Essenheim</v>
      </c>
      <c r="J27" s="369" t="s">
        <v>4</v>
      </c>
      <c r="K27" s="370" t="str">
        <f t="shared" ca="1" si="1"/>
        <v>Inter Mailand</v>
      </c>
      <c r="L27" s="374">
        <v>20</v>
      </c>
      <c r="M27" s="377" t="str">
        <f>Language!$E$80</f>
        <v>-</v>
      </c>
      <c r="N27" s="698">
        <v>25</v>
      </c>
      <c r="O27" s="699">
        <v>18</v>
      </c>
      <c r="P27" s="688" t="str">
        <f>Language!$E$80</f>
        <v>-</v>
      </c>
      <c r="Q27" s="693">
        <v>25</v>
      </c>
      <c r="R27" s="790"/>
      <c r="S27" s="691"/>
      <c r="U27" s="536">
        <f ca="1">IF(CalcE3!$K$13=0,"",IF(VLOOKUP(CalcE3!$B$5,CalcE3!$C$4:$E$12,3,0)=MAX($U26:$U26),VLOOKUP(CalcE3!$B$5,CalcE3!$C$4:$E$12,3,0),CalcE3!$B$5))</f>
        <v>2</v>
      </c>
      <c r="V27" s="418" t="str">
        <f ca="1">IF(OR(Calc1!$F$14&lt;3,AI30=1),"",IF(CalcE3!$K$13=0,CalcE3!$Q$65,VLOOKUP(CalcE3!$B$5,CalcE3!$C$4:$N$12,4,0)))</f>
        <v>VFB Essenheim</v>
      </c>
      <c r="W27" s="223">
        <f ca="1">IF(CalcE3!$K$13=0,"",VLOOKUP(CalcE3!$B$5,CalcE3!$C$4:$N$12,9,0))</f>
        <v>1</v>
      </c>
      <c r="X27" s="198">
        <f ca="1">IF(CalcE3!$K$13=0,"",VLOOKUP(CalcE3!$B$5,CalcE3!$C$4:$N$12,10,0))</f>
        <v>0</v>
      </c>
      <c r="Y27" s="198">
        <f ca="1">IF(CalcE3!$K$13=0,"",VLOOKUP(CalcE3!$B$5,CalcE3!$C$4:$N$12,11,0))</f>
        <v>0</v>
      </c>
      <c r="Z27" s="198">
        <f ca="1">IF(CalcE3!$K$13=0,"",VLOOKUP(CalcE3!$B$5,CalcE3!$C$4:$N$12,12,0))</f>
        <v>1</v>
      </c>
      <c r="AA27" s="219">
        <f ca="1">IF(CalcE3!$K$13=0,"",VLOOKUP(CalcE3!$B$5,CalcE3!$C$4:$N$12,5,0))</f>
        <v>38</v>
      </c>
      <c r="AB27" s="537" t="str">
        <f>Language!$E$80</f>
        <v>-</v>
      </c>
      <c r="AC27" s="221">
        <f ca="1">IF(CalcE3!$K$13=0,"",VLOOKUP(CalcE3!$B$5,CalcE3!$C$4:$N$12,6,0))</f>
        <v>50</v>
      </c>
      <c r="AD27" s="198">
        <f ca="1">IF(CalcE3!$K$13=0,"",IF(VLOOKUP(CalcE3!$B5,CalcE3!$C$4:$AR$12,42,0)=Settings!$F$7,"max",VLOOKUP(CalcE3!$B5,CalcE3!$C$4:$AR$12,42,0)))</f>
        <v>-12</v>
      </c>
      <c r="AE27" s="222">
        <f ca="1">IF(CalcE3!$K$13=0,"",VLOOKUP(CalcE3!$B$5,CalcE3!$C$4:$N$12,8,0))</f>
        <v>0</v>
      </c>
      <c r="AH27" s="538" t="s">
        <v>317</v>
      </c>
      <c r="AI27" s="539" t="str">
        <f ca="1">IF(PreliminaryRound!$R$26="","",PreliminaryRound!$R$26)</f>
        <v>Inter Mailand</v>
      </c>
      <c r="AJ27" s="705">
        <f ca="1">IF($AI27="",0,COUNTIF(TieBreak!$U$25:$U$30,$AI27))</f>
        <v>0</v>
      </c>
    </row>
    <row r="28" spans="2:36" ht="24" customHeight="1" thickBot="1" x14ac:dyDescent="0.25">
      <c r="C28" s="423">
        <f t="array" aca="1" ref="C28" ca="1">$C$12+ROW(16:16)-SUM((($I$12:$I27="")+($K$12:$K27="")&gt;0)*1)</f>
        <v>32</v>
      </c>
      <c r="D28" s="383">
        <f t="array" aca="1" ref="D28" ca="1">IF(Planning!$V$15,"",$D$12+QUOTIENT(($C28-$C$12),Planning!$V$11)*(Planning!$S$7+Planning!$S$9)/1440+SUM($S$12:$S27)/1440)</f>
        <v>0.54513888888888895</v>
      </c>
      <c r="E28" s="556">
        <f ca="1">IF(Planning!$V$15,"",MOD($C28-$C$12,Planning!$V$11)+1)</f>
        <v>4</v>
      </c>
      <c r="F28" s="550" t="s">
        <v>302</v>
      </c>
      <c r="G28" s="551" t="s">
        <v>4</v>
      </c>
      <c r="H28" s="552" t="s">
        <v>313</v>
      </c>
      <c r="I28" s="528" t="str">
        <f t="shared" ca="1" si="0"/>
        <v>1. FC Riedwald</v>
      </c>
      <c r="J28" s="153" t="s">
        <v>4</v>
      </c>
      <c r="K28" s="363" t="str">
        <f t="shared" ca="1" si="1"/>
        <v>FC Grönlingen</v>
      </c>
      <c r="L28" s="374">
        <v>25</v>
      </c>
      <c r="M28" s="377" t="str">
        <f>Language!$E$80</f>
        <v>-</v>
      </c>
      <c r="N28" s="698">
        <v>20</v>
      </c>
      <c r="O28" s="699">
        <v>25</v>
      </c>
      <c r="P28" s="688" t="str">
        <f>Language!$E$80</f>
        <v>-</v>
      </c>
      <c r="Q28" s="693">
        <v>19</v>
      </c>
      <c r="R28" s="789"/>
      <c r="S28" s="691"/>
      <c r="U28" s="536">
        <f ca="1">IF(CalcE3!$K$13=0,"",IF(VLOOKUP(CalcE3!$B$6,CalcE3!$C$4:$E$12,3,0)=MAX($U26:$U27),VLOOKUP(CalcE3!$B$6,CalcE3!$C$4:$E$12,3,0),CalcE3!$B$6))</f>
        <v>2</v>
      </c>
      <c r="V28" s="418" t="str">
        <f ca="1">IF(OR(Calc1!$F$14&lt;3,AI30=1),"",IF(CalcE3!$K$13=0,CalcE3!$Q$66,VLOOKUP(CalcE3!$B$6,CalcE3!$C$4:$N$12,4,0)))</f>
        <v/>
      </c>
      <c r="W28" s="223">
        <f ca="1">IF(CalcE3!$K$13=0,"",VLOOKUP(CalcE3!$B$6,CalcE3!$C$4:$N$12,9,0))</f>
        <v>0</v>
      </c>
      <c r="X28" s="198">
        <f ca="1">IF(CalcE3!$K$13=0,"",VLOOKUP(CalcE3!$B$6,CalcE3!$C$4:$N$12,10,0))</f>
        <v>0</v>
      </c>
      <c r="Y28" s="198">
        <f ca="1">IF(CalcE3!$K$13=0,"",VLOOKUP(CalcE3!$B$6,CalcE3!$C$4:$N$12,11,0))</f>
        <v>0</v>
      </c>
      <c r="Z28" s="198">
        <f ca="1">IF(CalcE3!$K$13=0,"",VLOOKUP(CalcE3!$B$6,CalcE3!$C$4:$N$12,12,0))</f>
        <v>0</v>
      </c>
      <c r="AA28" s="219">
        <f ca="1">IF(CalcE3!$K$13=0,"",VLOOKUP(CalcE3!$B$6,CalcE3!$C$4:$N$12,5,0))</f>
        <v>0</v>
      </c>
      <c r="AB28" s="537" t="str">
        <f>Language!$E$80</f>
        <v>-</v>
      </c>
      <c r="AC28" s="221">
        <f ca="1">IF(CalcE3!$K$13=0,"",VLOOKUP(CalcE3!$B$6,CalcE3!$C$4:$N$12,6,0))</f>
        <v>0</v>
      </c>
      <c r="AD28" s="198">
        <f ca="1">IF(CalcE3!$K$13=0,"",IF(VLOOKUP(CalcE3!$B6,CalcE3!$C$4:$AR$12,42,0)=Settings!$F$7,"max",VLOOKUP(CalcE3!$B6,CalcE3!$C$4:$AR$12,42,0)))</f>
        <v>0</v>
      </c>
      <c r="AE28" s="222">
        <f ca="1">IF(CalcE3!$K$13=0,"",VLOOKUP(CalcE3!$B$6,CalcE3!$C$4:$N$12,8,0))</f>
        <v>0</v>
      </c>
      <c r="AH28" s="679" t="s">
        <v>318</v>
      </c>
      <c r="AI28" s="539" t="str">
        <f ca="1">IF(PreliminaryRound!$R$17="","",PreliminaryRound!$R$17)</f>
        <v/>
      </c>
      <c r="AJ28" s="705">
        <f ca="1">IF($AI28="",0,COUNTIF(TieBreak!$U$25:$U$30,$AI28))</f>
        <v>0</v>
      </c>
    </row>
    <row r="29" spans="2:36" ht="24" customHeight="1" thickBot="1" x14ac:dyDescent="0.25">
      <c r="C29" s="424">
        <f t="array" aca="1" ref="C29" ca="1">$C$12+ROW(17:17)-SUM((($I$12:$I28="")+($K$12:$K28="")&gt;0)*1)</f>
        <v>33</v>
      </c>
      <c r="D29" s="384">
        <f t="array" aca="1" ref="D29" ca="1">IF(Planning!$V$15,"",$D$12+QUOTIENT(($C29-$C$12),Planning!$V$11)*(Planning!$S$7+Planning!$S$9)/1440+SUM($S$12:$S28)/1440)</f>
        <v>0.56944444444444442</v>
      </c>
      <c r="E29" s="380">
        <f ca="1">IF(Planning!$V$15,"",MOD($C29-$C$12,Planning!$V$11)+1)</f>
        <v>1</v>
      </c>
      <c r="F29" s="553" t="s">
        <v>310</v>
      </c>
      <c r="G29" s="554" t="s">
        <v>4</v>
      </c>
      <c r="H29" s="555" t="s">
        <v>303</v>
      </c>
      <c r="I29" s="557" t="str">
        <f t="shared" ca="1" si="0"/>
        <v>Maibach 1822 eV</v>
      </c>
      <c r="J29" s="558" t="s">
        <v>4</v>
      </c>
      <c r="K29" s="559" t="str">
        <f t="shared" ca="1" si="1"/>
        <v>Mainz 05</v>
      </c>
      <c r="L29" s="375">
        <v>25</v>
      </c>
      <c r="M29" s="408" t="str">
        <f>Language!$E$80</f>
        <v>-</v>
      </c>
      <c r="N29" s="700">
        <v>13</v>
      </c>
      <c r="O29" s="701">
        <v>25</v>
      </c>
      <c r="P29" s="694" t="str">
        <f>Language!$E$80</f>
        <v>-</v>
      </c>
      <c r="Q29" s="695">
        <v>20</v>
      </c>
      <c r="R29" s="788"/>
      <c r="S29" s="692"/>
      <c r="U29" s="540">
        <f ca="1">IF(CalcE3!$K$13=0,"",IF(VLOOKUP(CalcE3!$B$7,CalcE3!$C$4:$E$12,3,0)=MAX($U26:$U28),VLOOKUP(CalcE3!$B$7,CalcE3!$C$4:$E$12,3,0),CalcE3!$B$7))</f>
        <v>2</v>
      </c>
      <c r="V29" s="420" t="str">
        <f ca="1">IF(OR(Calc1!$F$14&lt;3,AI30=1),"",IF(CalcE3!$K$13=0,CalcE3!$Q$67,VLOOKUP(CalcE3!$B$7,CalcE3!$C$4:$N$12,4,0)))</f>
        <v/>
      </c>
      <c r="W29" s="234">
        <f ca="1">IF(CalcE3!$K$13=0,"",VLOOKUP(CalcE3!$B$7,CalcE3!$C$4:$N$12,9,0))</f>
        <v>0</v>
      </c>
      <c r="X29" s="228">
        <f ca="1">IF(CalcE3!$K$13=0,"",VLOOKUP(CalcE3!$B$7,CalcE3!$C$4:$N$12,10,0))</f>
        <v>0</v>
      </c>
      <c r="Y29" s="228">
        <f ca="1">IF(CalcE3!$K$13=0,"",VLOOKUP(CalcE3!$B$7,CalcE3!$C$4:$N$12,11,0))</f>
        <v>0</v>
      </c>
      <c r="Z29" s="228">
        <f ca="1">IF(CalcE3!$K$13=0,"",VLOOKUP(CalcE3!$B$7,CalcE3!$C$4:$N$12,12,0))</f>
        <v>0</v>
      </c>
      <c r="AA29" s="230">
        <f ca="1">IF(CalcE3!$K$13=0,"",VLOOKUP(CalcE3!$B$7,CalcE3!$C$4:$N$12,5,0))</f>
        <v>0</v>
      </c>
      <c r="AB29" s="541" t="str">
        <f>Language!$E$80</f>
        <v>-</v>
      </c>
      <c r="AC29" s="232">
        <f ca="1">IF(CalcE3!$K$13=0,"",VLOOKUP(CalcE3!$B$7,CalcE3!$C$4:$N$12,6,0))</f>
        <v>0</v>
      </c>
      <c r="AD29" s="228">
        <f ca="1">IF(CalcE3!$K$13=0,"",IF(VLOOKUP(CalcE3!$B7,CalcE3!$C$4:$AR$12,42,0)=Settings!$F$7,"max",VLOOKUP(CalcE3!$B7,CalcE3!$C$4:$AR$12,42,0)))</f>
        <v>0</v>
      </c>
      <c r="AE29" s="233">
        <f ca="1">IF(CalcE3!$K$13=0,"",VLOOKUP(CalcE3!$B$7,CalcE3!$C$4:$N$12,8,0))</f>
        <v>0</v>
      </c>
      <c r="AH29" s="542" t="s">
        <v>319</v>
      </c>
      <c r="AI29" s="543" t="str">
        <f ca="1">IF(PreliminaryRound!$R$27="","",PreliminaryRound!$R$27)</f>
        <v/>
      </c>
      <c r="AJ29" s="705">
        <f ca="1">IF($AI29="",0,COUNTIF(TieBreak!$U$25:$U$30,$AI29))</f>
        <v>0</v>
      </c>
    </row>
    <row r="30" spans="2:36" ht="24" customHeight="1" thickTop="1" x14ac:dyDescent="0.2">
      <c r="AI30" s="568">
        <f t="array" aca="1" ref="AI30" ca="1">SUM((AI26:AI29&lt;&gt;"")*1)</f>
        <v>2</v>
      </c>
    </row>
    <row r="31" spans="2:36" ht="24" customHeight="1" x14ac:dyDescent="0.2">
      <c r="C31" s="392"/>
      <c r="D31" s="392"/>
      <c r="E31" s="392"/>
      <c r="F31" s="392"/>
      <c r="G31" s="392"/>
      <c r="H31" s="392"/>
      <c r="I31" s="899" t="str">
        <f>Language!$E$29</f>
        <v>Tournament end:</v>
      </c>
      <c r="J31" s="899"/>
      <c r="K31" s="393">
        <f ca="1">IF(Planning!$S$13="","",$D$29+Planning!$S$7/1440)</f>
        <v>0.59027777777777779</v>
      </c>
      <c r="L31" s="394"/>
      <c r="M31" s="394"/>
      <c r="N31" s="394"/>
      <c r="O31" s="394"/>
      <c r="P31" s="394"/>
      <c r="Q31" s="394"/>
      <c r="R31" s="394"/>
      <c r="S31" s="394"/>
    </row>
    <row r="32" spans="2:36" ht="24" customHeight="1" thickBot="1" x14ac:dyDescent="0.25">
      <c r="D32" s="386"/>
    </row>
    <row r="33" spans="5:22" ht="24" customHeight="1" thickBot="1" x14ac:dyDescent="0.25">
      <c r="F33" s="544"/>
      <c r="G33" s="545"/>
      <c r="H33" s="494" t="str">
        <f>Language!$E$88</f>
        <v>Rank</v>
      </c>
      <c r="I33" s="937" t="str">
        <f>"  "&amp;Language!$E$10</f>
        <v xml:space="preserve">  Participant or team</v>
      </c>
      <c r="J33" s="938"/>
      <c r="K33" s="939"/>
    </row>
    <row r="34" spans="5:22" ht="24" customHeight="1" thickTop="1" x14ac:dyDescent="0.2">
      <c r="E34" s="387">
        <v>1</v>
      </c>
      <c r="F34" s="546"/>
      <c r="G34" s="546"/>
      <c r="H34" s="435">
        <v>1</v>
      </c>
      <c r="I34" s="890" t="str">
        <f ca="1">IF(CalcE1!$K$13=0,"",$V$12)</f>
        <v>Manchester City</v>
      </c>
      <c r="J34" s="890"/>
      <c r="K34" s="891"/>
    </row>
    <row r="35" spans="5:22" ht="24" customHeight="1" x14ac:dyDescent="0.2">
      <c r="E35" s="387">
        <v>2</v>
      </c>
      <c r="F35" s="546"/>
      <c r="G35" s="546"/>
      <c r="H35" s="436">
        <v>2</v>
      </c>
      <c r="I35" s="892" t="str">
        <f ca="1">IF(CalcE1!$K$13=0,"",$V$13)</f>
        <v>Eintracht Frankfurt</v>
      </c>
      <c r="J35" s="892"/>
      <c r="K35" s="893"/>
    </row>
    <row r="36" spans="5:22" ht="24" customHeight="1" x14ac:dyDescent="0.2">
      <c r="E36" s="387">
        <v>3</v>
      </c>
      <c r="F36" s="546"/>
      <c r="G36" s="546"/>
      <c r="H36" s="437">
        <v>3</v>
      </c>
      <c r="I36" s="894" t="str">
        <f ca="1">IF(CalcE1!$K$13=0,"",$V$14)</f>
        <v>Mainz 05</v>
      </c>
      <c r="J36" s="894"/>
      <c r="K36" s="895"/>
    </row>
    <row r="37" spans="5:22" ht="24" customHeight="1" x14ac:dyDescent="0.2">
      <c r="E37" s="387">
        <v>4</v>
      </c>
      <c r="F37" s="546"/>
      <c r="G37" s="546"/>
      <c r="H37" s="438">
        <v>4</v>
      </c>
      <c r="I37" s="888" t="str">
        <f ca="1">IF(CalcE1!$K$13=0,"",$V$15)</f>
        <v>Maibach 1822 eV</v>
      </c>
      <c r="J37" s="888"/>
      <c r="K37" s="889"/>
    </row>
    <row r="38" spans="5:22" ht="24" customHeight="1" x14ac:dyDescent="0.2">
      <c r="E38" s="387">
        <v>5</v>
      </c>
      <c r="F38" s="546"/>
      <c r="G38" s="546"/>
      <c r="H38" s="438">
        <v>5</v>
      </c>
      <c r="I38" s="888" t="str">
        <f ca="1">IF(AND(CalcE2!$K$13=0,CalcE2!$F$13&lt;&gt;1),"",$V$19)</f>
        <v>1. FC Riedwald</v>
      </c>
      <c r="J38" s="888"/>
      <c r="K38" s="889"/>
    </row>
    <row r="39" spans="5:22" ht="24" customHeight="1" x14ac:dyDescent="0.2">
      <c r="E39" s="387">
        <v>6</v>
      </c>
      <c r="F39" s="546"/>
      <c r="G39" s="546"/>
      <c r="H39" s="438">
        <v>6</v>
      </c>
      <c r="I39" s="888" t="str">
        <f ca="1">IF(CalcE2!$K$13=0,"",$V$20)</f>
        <v>SSV Wildbach</v>
      </c>
      <c r="J39" s="888"/>
      <c r="K39" s="889"/>
    </row>
    <row r="40" spans="5:22" ht="24" customHeight="1" x14ac:dyDescent="0.2">
      <c r="E40" s="387">
        <v>7</v>
      </c>
      <c r="F40" s="546"/>
      <c r="G40" s="546"/>
      <c r="H40" s="438">
        <v>7</v>
      </c>
      <c r="I40" s="888" t="str">
        <f ca="1">IF(CalcE2!$K$13=0,"",$V$21)</f>
        <v>FC Grönlingen</v>
      </c>
      <c r="J40" s="888"/>
      <c r="K40" s="889"/>
      <c r="V40" s="560"/>
    </row>
    <row r="41" spans="5:22" ht="24" customHeight="1" x14ac:dyDescent="0.2">
      <c r="E41" s="387">
        <v>8</v>
      </c>
      <c r="F41" s="546"/>
      <c r="G41" s="546"/>
      <c r="H41" s="438">
        <v>8</v>
      </c>
      <c r="I41" s="888" t="str">
        <f ca="1">IF(CalcE2!$K$13=0,"",$V$22)</f>
        <v>FC Barcelona</v>
      </c>
      <c r="J41" s="888"/>
      <c r="K41" s="889"/>
    </row>
    <row r="42" spans="5:22" ht="24" customHeight="1" x14ac:dyDescent="0.2">
      <c r="E42" s="387">
        <v>9</v>
      </c>
      <c r="F42" s="546"/>
      <c r="G42" s="546"/>
      <c r="H42" s="438">
        <v>9</v>
      </c>
      <c r="I42" s="888" t="str">
        <f ca="1">IF(AND(CalcE3!$K$13=0,CalcE3!$F$13&lt;&gt;1),"",$V$26)</f>
        <v>Inter Mailand</v>
      </c>
      <c r="J42" s="888"/>
      <c r="K42" s="889"/>
    </row>
    <row r="43" spans="5:22" ht="24" customHeight="1" x14ac:dyDescent="0.2">
      <c r="E43" s="387">
        <v>10</v>
      </c>
      <c r="F43" s="546"/>
      <c r="G43" s="546"/>
      <c r="H43" s="438">
        <v>10</v>
      </c>
      <c r="I43" s="888" t="str">
        <f ca="1">IF(CalcE3!$K$13=0,"",$V$27)</f>
        <v>VFB Essenheim</v>
      </c>
      <c r="J43" s="888"/>
      <c r="K43" s="889"/>
    </row>
    <row r="44" spans="5:22" ht="24" customHeight="1" x14ac:dyDescent="0.2">
      <c r="E44" s="387">
        <v>11</v>
      </c>
      <c r="F44" s="546"/>
      <c r="G44" s="546"/>
      <c r="H44" s="438">
        <v>11</v>
      </c>
      <c r="I44" s="888" t="str">
        <f ca="1">IF(CalcE3!$K$13=0,"",$V$28)</f>
        <v/>
      </c>
      <c r="J44" s="888"/>
      <c r="K44" s="889"/>
    </row>
    <row r="45" spans="5:22" ht="24" customHeight="1" thickBot="1" x14ac:dyDescent="0.25">
      <c r="E45" s="387">
        <v>12</v>
      </c>
      <c r="F45" s="546"/>
      <c r="G45" s="546"/>
      <c r="H45" s="439">
        <v>12</v>
      </c>
      <c r="I45" s="884" t="str">
        <f ca="1">IF(CalcE3!$K$13=0,"",$V$29)</f>
        <v/>
      </c>
      <c r="J45" s="884"/>
      <c r="K45" s="885"/>
    </row>
    <row r="46" spans="5:22" ht="24" customHeight="1" thickTop="1" x14ac:dyDescent="0.2"/>
    <row r="47" spans="5:22" ht="12.75" customHeight="1" x14ac:dyDescent="0.2"/>
  </sheetData>
  <sheetProtection sheet="1" selectLockedCells="1"/>
  <mergeCells count="36">
    <mergeCell ref="AH24:AJ24"/>
    <mergeCell ref="U25:V25"/>
    <mergeCell ref="AA25:AC25"/>
    <mergeCell ref="I2:AC2"/>
    <mergeCell ref="I3:AC3"/>
    <mergeCell ref="I4:AC4"/>
    <mergeCell ref="I5:AC5"/>
    <mergeCell ref="K7:V8"/>
    <mergeCell ref="I31:J31"/>
    <mergeCell ref="S10:S11"/>
    <mergeCell ref="U10:Z10"/>
    <mergeCell ref="U11:V11"/>
    <mergeCell ref="AA11:AC11"/>
    <mergeCell ref="U18:V18"/>
    <mergeCell ref="AA18:AC18"/>
    <mergeCell ref="U24:Z24"/>
    <mergeCell ref="C10:F10"/>
    <mergeCell ref="I11:K11"/>
    <mergeCell ref="L11:N11"/>
    <mergeCell ref="U17:Z17"/>
    <mergeCell ref="AH17:AJ17"/>
    <mergeCell ref="O11:Q11"/>
    <mergeCell ref="AH10:AJ10"/>
    <mergeCell ref="I42:K42"/>
    <mergeCell ref="I43:K43"/>
    <mergeCell ref="I44:K44"/>
    <mergeCell ref="I45:K45"/>
    <mergeCell ref="I38:K38"/>
    <mergeCell ref="I41:K41"/>
    <mergeCell ref="I40:K40"/>
    <mergeCell ref="I39:K39"/>
    <mergeCell ref="I37:K37"/>
    <mergeCell ref="I36:K36"/>
    <mergeCell ref="I35:K35"/>
    <mergeCell ref="I34:K34"/>
    <mergeCell ref="I33:K33"/>
  </mergeCells>
  <conditionalFormatting sqref="C12:Q29">
    <cfRule type="expression" dxfId="11" priority="19">
      <formula>OR($I12="",$K12="")</formula>
    </cfRule>
  </conditionalFormatting>
  <conditionalFormatting sqref="U12:AE15 U19:AE22 U26:AE29">
    <cfRule type="expression" dxfId="10" priority="7">
      <formula>$V12=""</formula>
    </cfRule>
    <cfRule type="expression" dxfId="9" priority="8">
      <formula>OR(AND($U12=$U11,$V11&lt;&gt;""),AND($U12=$U13,$V13&lt;&gt;""))</formula>
    </cfRule>
  </conditionalFormatting>
  <conditionalFormatting sqref="L12:Q29">
    <cfRule type="expression" dxfId="8" priority="6">
      <formula>OR(AND($L12&lt;&gt;"",$L12=$N12),AND($O12&lt;&gt;"",$O12=$Q12))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648D8133-7717-4F1D-AB74-A1A63E64B3CD}">
            <xm:f>$H34&gt;2*Calc1!$F$14-MOD((Calc1!$F$13+Calc2!$F$13),2)</xm:f>
            <x14:dxf>
              <numFmt numFmtId="165" formatCode=";;;"/>
            </x14:dxf>
          </x14:cfRule>
          <xm:sqref>H34:H45</xm:sqref>
        </x14:conditionalFormatting>
        <x14:conditionalFormatting xmlns:xm="http://schemas.microsoft.com/office/excel/2006/main">
          <x14:cfRule type="expression" priority="5" id="{DA242416-A279-4367-8DE2-71A2992B3B3A}">
            <xm:f>AND($I12&lt;&gt;"",$K12&lt;&gt;"",COUNTIF(Match_times_finals_4!$J$5:$J$62,$C12)&gt;0)</xm:f>
            <x14:dxf>
              <font>
                <b/>
                <i val="0"/>
                <color rgb="FFDA0000"/>
              </font>
            </x14:dxf>
          </x14:cfRule>
          <xm:sqref>D12:D29</xm:sqref>
        </x14:conditionalFormatting>
        <x14:conditionalFormatting xmlns:xm="http://schemas.microsoft.com/office/excel/2006/main">
          <x14:cfRule type="expression" priority="4" id="{F7589944-9608-488F-8773-F6110BB44D7E}">
            <xm:f>AND(COUNTIF(Match_times_finals_4!$J$5:$J$62,$C12)&gt;0,COUNTIF(Match_times_finals_4!$K$5:$K$62,I12)&gt;0)</xm:f>
            <x14:dxf>
              <font>
                <b/>
                <i val="0"/>
                <color rgb="FFDA0000"/>
              </font>
            </x14:dxf>
          </x14:cfRule>
          <xm:sqref>I12:K29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D364-8FB8-428D-B6BE-2D82659729A8}">
  <sheetPr>
    <pageSetUpPr fitToPage="1"/>
  </sheetPr>
  <dimension ref="A1:BT64"/>
  <sheetViews>
    <sheetView showGridLines="0" showRowColHeaders="0" zoomScaleNormal="100" workbookViewId="0">
      <selection activeCell="J1" sqref="J1:XFD1048576"/>
    </sheetView>
  </sheetViews>
  <sheetFormatPr baseColWidth="10" defaultColWidth="0" defaultRowHeight="12.75" zeroHeight="1" x14ac:dyDescent="0.2"/>
  <cols>
    <col min="1" max="1" width="6.140625" customWidth="1"/>
    <col min="2" max="2" width="5" style="730" customWidth="1"/>
    <col min="3" max="3" width="18.140625" style="731" customWidth="1"/>
    <col min="4" max="4" width="8.28515625" style="271" customWidth="1"/>
    <col min="5" max="5" width="8.85546875" customWidth="1"/>
    <col min="6" max="6" width="8.42578125" customWidth="1"/>
    <col min="7" max="7" width="7.7109375" customWidth="1"/>
    <col min="8" max="8" width="18.42578125" customWidth="1"/>
    <col min="9" max="9" width="6.28515625" customWidth="1"/>
    <col min="10" max="10" width="5.7109375" style="729" hidden="1" customWidth="1"/>
    <col min="11" max="11" width="15.7109375" style="729" hidden="1" customWidth="1"/>
    <col min="12" max="13" width="7.85546875" hidden="1" customWidth="1"/>
    <col min="14" max="14" width="10.7109375" hidden="1" customWidth="1"/>
    <col min="15" max="15" width="5.42578125" hidden="1" customWidth="1"/>
    <col min="16" max="16" width="12.7109375" hidden="1" customWidth="1"/>
    <col min="17" max="18" width="9.5703125" hidden="1" customWidth="1"/>
    <col min="19" max="19" width="10.7109375" hidden="1" customWidth="1"/>
    <col min="20" max="20" width="5.42578125" hidden="1" customWidth="1"/>
    <col min="21" max="21" width="12.7109375" hidden="1" customWidth="1"/>
    <col min="22" max="23" width="9.5703125" hidden="1" customWidth="1"/>
    <col min="24" max="24" width="10.7109375" hidden="1" customWidth="1"/>
    <col min="25" max="25" width="5.42578125" hidden="1" customWidth="1"/>
    <col min="26" max="26" width="12.7109375" hidden="1" customWidth="1"/>
    <col min="27" max="28" width="9.5703125" hidden="1" customWidth="1"/>
    <col min="29" max="29" width="10.7109375" hidden="1" customWidth="1"/>
    <col min="30" max="30" width="5.42578125" hidden="1" customWidth="1"/>
    <col min="31" max="31" width="12.7109375" hidden="1" customWidth="1"/>
    <col min="32" max="33" width="9.5703125" hidden="1" customWidth="1"/>
    <col min="34" max="34" width="10.7109375" hidden="1" customWidth="1"/>
    <col min="35" max="35" width="5.42578125" hidden="1" customWidth="1"/>
    <col min="36" max="36" width="12.7109375" hidden="1" customWidth="1"/>
    <col min="37" max="38" width="9.5703125" hidden="1" customWidth="1"/>
    <col min="39" max="39" width="10.7109375" hidden="1" customWidth="1"/>
    <col min="40" max="40" width="5.42578125" hidden="1" customWidth="1"/>
    <col min="41" max="41" width="12.7109375" hidden="1" customWidth="1"/>
    <col min="42" max="43" width="9.5703125" hidden="1" customWidth="1"/>
    <col min="44" max="44" width="10.7109375" hidden="1" customWidth="1"/>
    <col min="45" max="45" width="5.42578125" hidden="1" customWidth="1"/>
    <col min="46" max="46" width="12.7109375" hidden="1" customWidth="1"/>
    <col min="47" max="48" width="9.5703125" hidden="1" customWidth="1"/>
    <col min="49" max="49" width="10.7109375" hidden="1" customWidth="1"/>
    <col min="50" max="50" width="5.42578125" hidden="1" customWidth="1"/>
    <col min="51" max="51" width="12.7109375" hidden="1" customWidth="1"/>
    <col min="52" max="53" width="9.5703125" hidden="1" customWidth="1"/>
    <col min="54" max="54" width="10.7109375" hidden="1" customWidth="1"/>
    <col min="55" max="55" width="5.42578125" hidden="1" customWidth="1"/>
    <col min="56" max="56" width="12.7109375" hidden="1" customWidth="1"/>
    <col min="57" max="58" width="9.5703125" hidden="1" customWidth="1"/>
    <col min="59" max="59" width="10.7109375" hidden="1" customWidth="1"/>
    <col min="60" max="60" width="5.42578125" hidden="1" customWidth="1"/>
    <col min="61" max="61" width="12.7109375" hidden="1" customWidth="1"/>
    <col min="62" max="63" width="9.5703125" hidden="1" customWidth="1"/>
    <col min="64" max="64" width="10.7109375" hidden="1" customWidth="1"/>
    <col min="65" max="65" width="5.42578125" hidden="1" customWidth="1"/>
    <col min="66" max="66" width="12.7109375" hidden="1" customWidth="1"/>
    <col min="67" max="68" width="9.5703125" hidden="1" customWidth="1"/>
    <col min="69" max="69" width="10.7109375" hidden="1" customWidth="1"/>
    <col min="70" max="70" width="5.42578125" hidden="1" customWidth="1"/>
    <col min="71" max="71" width="12.7109375" hidden="1" customWidth="1"/>
    <col min="72" max="72" width="9.5703125" hidden="1" customWidth="1"/>
    <col min="73" max="16384" width="11.42578125" hidden="1"/>
  </cols>
  <sheetData>
    <row r="1" spans="2:72" ht="33" customHeight="1" x14ac:dyDescent="0.2">
      <c r="B1" s="945" t="str">
        <f>Language!$E$96</f>
        <v>End of tournament (final round 4):</v>
      </c>
      <c r="C1" s="945"/>
      <c r="D1" s="945"/>
      <c r="E1" s="945"/>
      <c r="F1" s="945"/>
      <c r="G1" s="945"/>
      <c r="H1" s="945"/>
    </row>
    <row r="2" spans="2:72" ht="15.95" customHeight="1" x14ac:dyDescent="0.2"/>
    <row r="3" spans="2:72" ht="15.95" customHeight="1" thickBot="1" x14ac:dyDescent="0.25"/>
    <row r="4" spans="2:72" ht="15.95" customHeight="1" x14ac:dyDescent="0.2">
      <c r="B4" s="730" t="s">
        <v>194</v>
      </c>
      <c r="C4" s="731" t="str">
        <f>IF(Planning!$C$7="","",Planning!$C$7)</f>
        <v>1. FC Riedwald</v>
      </c>
      <c r="E4" s="732" t="str">
        <f>Language!$E$60</f>
        <v>balls</v>
      </c>
      <c r="F4" s="733" t="str">
        <f>Language!$E$39</f>
        <v>Start</v>
      </c>
      <c r="G4" s="734" t="str">
        <f>Language!$E$48</f>
        <v>Field</v>
      </c>
      <c r="H4" s="735" t="str">
        <f>Language!$E$46</f>
        <v>Match against</v>
      </c>
    </row>
    <row r="5" spans="2:72" ht="15.95" customHeight="1" x14ac:dyDescent="0.2">
      <c r="E5" s="736">
        <f ca="1">IF($Q$12&lt;99999,INDEX($L$12:$L$29,MATCH($Q$12,$M$12:$M$29,0)),"")</f>
        <v>21</v>
      </c>
      <c r="F5" s="737">
        <f ca="1">IF($Q$12&lt;99999,VLOOKUP($Q$12,$M$12:$P$29,2,0),"")</f>
        <v>0.49652777777777779</v>
      </c>
      <c r="G5" s="738">
        <f ca="1">IF($Q$12&lt;99999,VLOOKUP($Q$12,$M$12:$P$29,3,0),"")</f>
        <v>1</v>
      </c>
      <c r="H5" s="739" t="str">
        <f ca="1">IF($Q$12&lt;99999,VLOOKUP($Q$12,$M$12:$P$29,4,0),"")</f>
        <v>SSV Wildbach</v>
      </c>
      <c r="J5" s="729">
        <f t="shared" ref="J5:J14" ca="1" si="0">IF(AND(F5&lt;&gt;"",OR(F5=F4,F5=F6)),E5,0)</f>
        <v>0</v>
      </c>
      <c r="K5" s="729" t="str">
        <f ca="1">IF(J5=0,"",$C$4)</f>
        <v/>
      </c>
    </row>
    <row r="6" spans="2:72" ht="15.95" customHeight="1" x14ac:dyDescent="0.2">
      <c r="E6" s="736">
        <f ca="1">IF($Q$13&lt;99999,INDEX($L$12:$L$29,MATCH($Q$13,$M$12:$M$29,0)),"")</f>
        <v>25</v>
      </c>
      <c r="F6" s="740">
        <f ca="1">IF($Q$13&lt;99999,VLOOKUP($Q$13,$M$12:$P$29,2,0),"")</f>
        <v>0.52083333333333337</v>
      </c>
      <c r="G6" s="741">
        <f ca="1">IF($Q$13&lt;99999,VLOOKUP($Q$13,$M$12:$P$29,3,0),"")</f>
        <v>1</v>
      </c>
      <c r="H6" s="742" t="str">
        <f ca="1">IF($Q$13&lt;99999,VLOOKUP($Q$13,$M$12:$P$29,4,0),"")</f>
        <v>FC Barcelona</v>
      </c>
      <c r="J6" s="729">
        <f t="shared" ca="1" si="0"/>
        <v>0</v>
      </c>
      <c r="K6" s="729" t="str">
        <f t="shared" ref="K6:K7" ca="1" si="1">IF(J6=0,"",$C$4)</f>
        <v/>
      </c>
    </row>
    <row r="7" spans="2:72" ht="15.95" customHeight="1" thickBot="1" x14ac:dyDescent="0.25">
      <c r="E7" s="743">
        <f ca="1">IF($Q$14&lt;99999,INDEX($L$12:$L$29,MATCH($Q$14,$M$12:$M$29,0)),"")</f>
        <v>32</v>
      </c>
      <c r="F7" s="744">
        <f ca="1">IF($Q$14&lt;99999,VLOOKUP($Q$14,$M$12:$P$29,2,0),"")</f>
        <v>0.54513888888888895</v>
      </c>
      <c r="G7" s="745">
        <f ca="1">IF($Q$14&lt;99999,VLOOKUP($Q$14,$M$12:$P$29,3,0),"")</f>
        <v>4</v>
      </c>
      <c r="H7" s="746" t="str">
        <f ca="1">IF($Q$14&lt;99999,VLOOKUP($Q$14,$M$12:$P$29,4,0),"")</f>
        <v>FC Grönlingen</v>
      </c>
      <c r="J7" s="729">
        <f t="shared" ca="1" si="0"/>
        <v>0</v>
      </c>
      <c r="K7" s="729" t="str">
        <f t="shared" ca="1" si="1"/>
        <v/>
      </c>
    </row>
    <row r="8" spans="2:72" ht="30" customHeight="1" thickBot="1" x14ac:dyDescent="0.25">
      <c r="J8" s="729">
        <f t="shared" ca="1" si="0"/>
        <v>0</v>
      </c>
    </row>
    <row r="9" spans="2:72" ht="15.95" customHeight="1" x14ac:dyDescent="0.2">
      <c r="B9" s="730" t="s">
        <v>196</v>
      </c>
      <c r="C9" s="731" t="str">
        <f>IF(Planning!$C$9="","",Planning!$C$9)</f>
        <v>FC Barcelona</v>
      </c>
      <c r="E9" s="732" t="str">
        <f>Language!$E$60</f>
        <v>balls</v>
      </c>
      <c r="F9" s="733" t="str">
        <f>Language!$E$39</f>
        <v>Start</v>
      </c>
      <c r="G9" s="734" t="str">
        <f>Language!$E$48</f>
        <v>Field</v>
      </c>
      <c r="H9" s="735" t="str">
        <f>Language!$E$46</f>
        <v>Match against</v>
      </c>
      <c r="J9" s="729">
        <f t="shared" ca="1" si="0"/>
        <v>0</v>
      </c>
    </row>
    <row r="10" spans="2:72" ht="15.95" customHeight="1" x14ac:dyDescent="0.2">
      <c r="E10" s="736">
        <f ca="1">IF($V$12&lt;99999,INDEX($L$12:$L$29,MATCH($V$12,$R$12:$R$29,0)),"")</f>
        <v>23</v>
      </c>
      <c r="F10" s="737">
        <f ca="1">IF($V$12&lt;99999,VLOOKUP($V$12,$R$12:$U$29,2,0),"")</f>
        <v>0.49652777777777779</v>
      </c>
      <c r="G10" s="738">
        <f ca="1">IF($V$12&lt;99999,VLOOKUP($V$12,$R$12:$U$29,3,0),"")</f>
        <v>3</v>
      </c>
      <c r="H10" s="739" t="str">
        <f ca="1">IF($V$12&lt;99999,VLOOKUP($V$12,$R$12:$U$29,4,0),"")</f>
        <v>FC Grönlingen</v>
      </c>
      <c r="J10" s="729">
        <f t="shared" ca="1" si="0"/>
        <v>0</v>
      </c>
      <c r="K10" s="729" t="str">
        <f ca="1">IF(J10=0,"",$C$9)</f>
        <v/>
      </c>
    </row>
    <row r="11" spans="2:72" ht="15.95" customHeight="1" x14ac:dyDescent="0.2">
      <c r="E11" s="736">
        <f ca="1">IF($V$13&lt;99999,INDEX($L$12:$L$29,MATCH($V$13,$R$12:$R$29,0)),"")</f>
        <v>25</v>
      </c>
      <c r="F11" s="740">
        <f ca="1">IF($V$13&lt;99999,VLOOKUP($V$13,$R$12:$U$29,2,0),"")</f>
        <v>0.52083333333333337</v>
      </c>
      <c r="G11" s="741">
        <f ca="1">IF($V$13&lt;99999,VLOOKUP($V$13,$R$12:$U$29,3,0),"")</f>
        <v>1</v>
      </c>
      <c r="H11" s="742" t="str">
        <f ca="1">IF($V$13&lt;99999,VLOOKUP($V$13,$R$12:$U$29,4,0),"")</f>
        <v>1. FC Riedwald</v>
      </c>
      <c r="J11" s="729">
        <f t="shared" ca="1" si="0"/>
        <v>0</v>
      </c>
      <c r="K11" s="729" t="str">
        <f t="shared" ref="K11:K12" ca="1" si="2">IF(J11=0,"",$C$9)</f>
        <v/>
      </c>
      <c r="L11" s="747" t="str">
        <f>Language!$E$9</f>
        <v>No.</v>
      </c>
      <c r="M11" s="747"/>
      <c r="N11" s="271"/>
      <c r="O11" s="271"/>
      <c r="P11" s="271" t="str">
        <f>$C$4</f>
        <v>1. FC Riedwald</v>
      </c>
      <c r="Q11" s="271"/>
      <c r="R11" s="271"/>
      <c r="S11" s="271"/>
      <c r="T11" s="271"/>
      <c r="U11" s="271" t="str">
        <f>$C$9</f>
        <v>FC Barcelona</v>
      </c>
      <c r="V11" s="271"/>
      <c r="W11" s="271"/>
      <c r="X11" s="271"/>
      <c r="Y11" s="271"/>
      <c r="Z11" s="271" t="str">
        <f>$C$14</f>
        <v>Eintracht Frankfurt</v>
      </c>
      <c r="AA11" s="271"/>
      <c r="AB11" s="271"/>
      <c r="AC11" s="271"/>
      <c r="AD11" s="271"/>
      <c r="AE11" s="271" t="str">
        <f>$C$19</f>
        <v>Maibach 1822 eV</v>
      </c>
      <c r="AF11" s="271"/>
      <c r="AG11" s="271"/>
      <c r="AH11" s="271"/>
      <c r="AI11" s="271"/>
      <c r="AJ11" s="271" t="str">
        <f>$C$24</f>
        <v>VFB Essenheim</v>
      </c>
      <c r="AK11" s="271"/>
      <c r="AL11" s="271"/>
      <c r="AM11" s="271"/>
      <c r="AN11" s="271"/>
      <c r="AO11" s="271" t="str">
        <f>$C$29</f>
        <v/>
      </c>
      <c r="AP11" s="271"/>
      <c r="AQ11" s="271"/>
      <c r="AR11" s="271"/>
      <c r="AS11" s="271"/>
      <c r="AT11" s="271" t="str">
        <f>$C$34</f>
        <v>Mainz 05</v>
      </c>
      <c r="AU11" s="271"/>
      <c r="AV11" s="271"/>
      <c r="AW11" s="271"/>
      <c r="AX11" s="271"/>
      <c r="AY11" s="271" t="str">
        <f>$C$39</f>
        <v>Inter Mailand</v>
      </c>
      <c r="AZ11" s="271"/>
      <c r="BA11" s="271"/>
      <c r="BB11" s="271"/>
      <c r="BC11" s="271"/>
      <c r="BD11" s="271" t="str">
        <f>$C$44</f>
        <v>SSV Wildbach</v>
      </c>
      <c r="BE11" s="271"/>
      <c r="BF11" s="271"/>
      <c r="BG11" s="271"/>
      <c r="BH11" s="271"/>
      <c r="BI11" s="271" t="str">
        <f>$C$49</f>
        <v>Manchester City</v>
      </c>
      <c r="BJ11" s="271"/>
      <c r="BK11" s="271"/>
      <c r="BL11" s="271"/>
      <c r="BM11" s="271"/>
      <c r="BN11" s="271" t="str">
        <f>$C$54</f>
        <v>FC Grönlingen</v>
      </c>
      <c r="BO11" s="271"/>
      <c r="BP11" s="271"/>
      <c r="BQ11" s="271"/>
      <c r="BR11" s="271"/>
      <c r="BS11" s="271" t="str">
        <f>$C$59</f>
        <v/>
      </c>
      <c r="BT11" s="271"/>
    </row>
    <row r="12" spans="2:72" ht="15.95" customHeight="1" thickBot="1" x14ac:dyDescent="0.25">
      <c r="E12" s="743">
        <f ca="1">IF($V$14&lt;99999,INDEX($L$12:$L$29,MATCH($V$14,$R$12:$R$29,0)),"")</f>
        <v>29</v>
      </c>
      <c r="F12" s="744">
        <f ca="1">IF($V$14&lt;99999,VLOOKUP($V$14,$R$12:$U$29,2,0),"")</f>
        <v>0.54513888888888895</v>
      </c>
      <c r="G12" s="745">
        <f ca="1">IF($V$14&lt;99999,VLOOKUP($V$14,$R$12:$U$29,3,0),"")</f>
        <v>1</v>
      </c>
      <c r="H12" s="746" t="str">
        <f ca="1">IF($V$14&lt;99999,VLOOKUP($V$14,$R$12:$U$29,4,0),"")</f>
        <v>SSV Wildbach</v>
      </c>
      <c r="J12" s="729">
        <f t="shared" ca="1" si="0"/>
        <v>0</v>
      </c>
      <c r="K12" s="729" t="str">
        <f t="shared" ca="1" si="2"/>
        <v/>
      </c>
      <c r="L12" s="165">
        <f ca="1">'Finals 4'!$C12</f>
        <v>21</v>
      </c>
      <c r="M12" s="748">
        <f ca="1">N12+ROW(N12)</f>
        <v>100011</v>
      </c>
      <c r="N12" s="749">
        <f ca="1">IF(P12="",99999,'Finals 4'!$D12)</f>
        <v>99999</v>
      </c>
      <c r="O12" s="750" t="str">
        <f ca="1">IF(P12="","",'Finals 4'!$E12)</f>
        <v/>
      </c>
      <c r="P12" s="751" t="str">
        <f ca="1">IF($C$4="","",IF('Finals 4'!$I12=$C$4,'Finals 4'!$K12,IF('Finals 4'!$K12=$C$4,'Finals 4'!$I12,"")))</f>
        <v/>
      </c>
      <c r="Q12" s="752">
        <f ca="1">SMALL(M$12:M$29,ROW(M12)-11)</f>
        <v>13.496527777777779</v>
      </c>
      <c r="R12" s="748">
        <f ca="1">S12+ROW(S12)</f>
        <v>100011</v>
      </c>
      <c r="S12" s="749">
        <f ca="1">IF(U12="",99999,'Finals 4'!$D12)</f>
        <v>99999</v>
      </c>
      <c r="T12" s="750" t="str">
        <f ca="1">IF(U12="","",'Finals 4'!$E12)</f>
        <v/>
      </c>
      <c r="U12" s="751" t="str">
        <f ca="1">IF($C$9="","",IF('Finals 4'!$I12=$C$9,'Finals 4'!$K12,IF('Finals 4'!$K12=$C$9,'Finals 4'!$I12,"")))</f>
        <v/>
      </c>
      <c r="V12" s="752">
        <f ca="1">SMALL(R$12:R$29,ROW(R12)-11)</f>
        <v>16.496527777777779</v>
      </c>
      <c r="W12" s="748">
        <f ca="1">X12+ROW(X12)</f>
        <v>100011</v>
      </c>
      <c r="X12" s="749">
        <f ca="1">IF(Z12="",99999,'Finals 4'!$D12)</f>
        <v>99999</v>
      </c>
      <c r="Y12" s="750" t="str">
        <f ca="1">IF(Z12="","",'Finals 4'!$E12)</f>
        <v/>
      </c>
      <c r="Z12" s="751" t="str">
        <f ca="1">IF($C$14="","",IF('Finals 4'!$I12=$C$14,'Finals 4'!$K12,IF('Finals 4'!$K12=$C$14,'Finals 4'!$I12,"")))</f>
        <v/>
      </c>
      <c r="AA12" s="752">
        <f ca="1">SMALL(W$12:W$29,ROW(W12)-11)</f>
        <v>17.496527777777779</v>
      </c>
      <c r="AB12" s="748">
        <f ca="1">AC12+ROW(AC12)</f>
        <v>100011</v>
      </c>
      <c r="AC12" s="749">
        <f ca="1">IF(AE12="",99999,'Finals 4'!$D12)</f>
        <v>99999</v>
      </c>
      <c r="AD12" s="750" t="str">
        <f ca="1">IF(AE12="","",'Finals 4'!$E12)</f>
        <v/>
      </c>
      <c r="AE12" s="751" t="str">
        <f ca="1">IF($C$19="","",IF('Finals 4'!$I12=$C$19,'Finals 4'!$K12,IF('Finals 4'!$K12=$C$19,'Finals 4'!$I12,"")))</f>
        <v/>
      </c>
      <c r="AF12" s="752">
        <f ca="1">SMALL(AB$12:AB$29,ROW(AB12)-11)</f>
        <v>14.496527777777779</v>
      </c>
      <c r="AG12" s="748">
        <f ca="1">AH12+ROW(AH12)</f>
        <v>100011</v>
      </c>
      <c r="AH12" s="749">
        <f ca="1">IF(AJ12="",99999,'Finals 4'!$D12)</f>
        <v>99999</v>
      </c>
      <c r="AI12" s="750" t="str">
        <f ca="1">IF(AJ12="","",'Finals 4'!$E12)</f>
        <v/>
      </c>
      <c r="AJ12" s="751" t="str">
        <f ca="1">IF($C$24="","",IF('Finals 4'!$I12=$C$24,'Finals 4'!$K12,IF('Finals 4'!$K12=$C$24,'Finals 4'!$I12,"")))</f>
        <v/>
      </c>
      <c r="AK12" s="752">
        <f ca="1">SMALL(AG$12:AG$29,ROW(AG12)-11)</f>
        <v>27.545138888888889</v>
      </c>
      <c r="AL12" s="748">
        <f>AM12+ROW(AM12)</f>
        <v>100011</v>
      </c>
      <c r="AM12" s="749">
        <f>IF(AO12="",99999,'Finals 4'!$D12)</f>
        <v>99999</v>
      </c>
      <c r="AN12" s="750" t="str">
        <f>IF(AO12="","",'Finals 4'!$E12)</f>
        <v/>
      </c>
      <c r="AO12" s="751" t="str">
        <f>IF($C$29="","",IF('Finals 4'!$I12=$C$29,'Finals 4'!$K12,IF('Finals 4'!$K12=$C$29,'Finals 4'!$I12,"")))</f>
        <v/>
      </c>
      <c r="AP12" s="752">
        <f>SMALL(AL$12:AL$29,ROW(AL12)-11)</f>
        <v>100011</v>
      </c>
      <c r="AQ12" s="748">
        <f ca="1">AR12+ROW(AR12)</f>
        <v>100011</v>
      </c>
      <c r="AR12" s="749">
        <f ca="1">IF(AT12="",99999,'Finals 4'!$D12)</f>
        <v>99999</v>
      </c>
      <c r="AS12" s="750" t="str">
        <f ca="1">IF(AT12="","",'Finals 4'!$E12)</f>
        <v/>
      </c>
      <c r="AT12" s="751" t="str">
        <f ca="1">IF($C$34="","",IF('Finals 4'!$I12=$C$34,'Finals 4'!$K12,IF('Finals 4'!$K12=$C$34,'Finals 4'!$I12,"")))</f>
        <v/>
      </c>
      <c r="AU12" s="752">
        <f ca="1">SMALL(AQ$12:AQ$29,ROW(AQ12)-11)</f>
        <v>17.496527777777779</v>
      </c>
      <c r="AV12" s="748">
        <f ca="1">AW12+ROW(AW12)</f>
        <v>100011</v>
      </c>
      <c r="AW12" s="749">
        <f ca="1">IF(AY12="",99999,'Finals 4'!$D12)</f>
        <v>99999</v>
      </c>
      <c r="AX12" s="750" t="str">
        <f ca="1">IF(AY12="","",'Finals 4'!$E12)</f>
        <v/>
      </c>
      <c r="AY12" s="751" t="str">
        <f ca="1">IF($C$39="","",IF('Finals 4'!$I12=$C$39,'Finals 4'!$K12,IF('Finals 4'!$K12=$C$39,'Finals 4'!$I12,"")))</f>
        <v/>
      </c>
      <c r="AZ12" s="752">
        <f ca="1">SMALL(AV$12:AV$29,ROW(AV12)-11)</f>
        <v>27.545138888888889</v>
      </c>
      <c r="BA12" s="748">
        <f ca="1">BB12+ROW(BB12)</f>
        <v>100011</v>
      </c>
      <c r="BB12" s="749">
        <f ca="1">IF(BD12="",99999,'Finals 4'!$D12)</f>
        <v>99999</v>
      </c>
      <c r="BC12" s="750" t="str">
        <f ca="1">IF(BD12="","",'Finals 4'!$E12)</f>
        <v/>
      </c>
      <c r="BD12" s="751" t="str">
        <f ca="1">IF($C$44="","",IF('Finals 4'!$I12=$C$44,'Finals 4'!$K12,IF('Finals 4'!$K12=$C$44,'Finals 4'!$I12,"")))</f>
        <v/>
      </c>
      <c r="BE12" s="752">
        <f ca="1">SMALL(BA$12:BA$29,ROW(BA12)-11)</f>
        <v>13.496527777777779</v>
      </c>
      <c r="BF12" s="748">
        <f ca="1">BG12+ROW(BG12)</f>
        <v>100011</v>
      </c>
      <c r="BG12" s="749">
        <f ca="1">IF(BI12="",99999,'Finals 4'!$D12)</f>
        <v>99999</v>
      </c>
      <c r="BH12" s="750" t="str">
        <f ca="1">IF(BI12="","",'Finals 4'!$E12)</f>
        <v/>
      </c>
      <c r="BI12" s="751" t="str">
        <f ca="1">IF($C$49="","",IF('Finals 4'!$I12=$C$49,'Finals 4'!$K12,IF('Finals 4'!$K12=$C$49,'Finals 4'!$I12,"")))</f>
        <v/>
      </c>
      <c r="BJ12" s="752">
        <f ca="1">SMALL(BF$12:BF$29,ROW(BF12)-11)</f>
        <v>14.496527777777779</v>
      </c>
      <c r="BK12" s="748">
        <f ca="1">BL12+ROW(BL12)</f>
        <v>100011</v>
      </c>
      <c r="BL12" s="749">
        <f ca="1">IF(BN12="",99999,'Finals 4'!$D12)</f>
        <v>99999</v>
      </c>
      <c r="BM12" s="750" t="str">
        <f ca="1">IF(BN12="","",'Finals 4'!$E12)</f>
        <v/>
      </c>
      <c r="BN12" s="751" t="str">
        <f ca="1">IF($C$54="","",IF('Finals 4'!$I12=$C$54,'Finals 4'!$K12,IF('Finals 4'!$K12=$C$54,'Finals 4'!$I12,"")))</f>
        <v/>
      </c>
      <c r="BO12" s="752">
        <f ca="1">SMALL(BK$12:BK$29,ROW(BK12)-11)</f>
        <v>16.496527777777779</v>
      </c>
      <c r="BP12" s="748">
        <f>BQ12+ROW(BQ12)</f>
        <v>100011</v>
      </c>
      <c r="BQ12" s="749">
        <f>IF(BS12="",99999,'Finals 4'!$D12)</f>
        <v>99999</v>
      </c>
      <c r="BR12" s="750" t="str">
        <f>IF(BS12="","",'Finals 4'!$E12)</f>
        <v/>
      </c>
      <c r="BS12" s="751" t="str">
        <f>IF($C$59="","",IF('Finals 4'!$I12=$C$59,'Finals 4'!$K12,IF('Finals 4'!$K12=$C$59,'Finals 4'!$I12,"")))</f>
        <v/>
      </c>
      <c r="BT12" s="752">
        <f>SMALL(BP$12:BP$29,ROW(BP12)-11)</f>
        <v>100011</v>
      </c>
    </row>
    <row r="13" spans="2:72" ht="30" customHeight="1" thickBot="1" x14ac:dyDescent="0.25">
      <c r="J13" s="729">
        <f t="shared" ca="1" si="0"/>
        <v>0</v>
      </c>
      <c r="L13" s="165">
        <f ca="1">'Finals 4'!$C13</f>
        <v>21</v>
      </c>
      <c r="M13" s="753">
        <f t="shared" ref="M13:M29" ca="1" si="3">N13+ROW(N13)</f>
        <v>13.496527777777779</v>
      </c>
      <c r="N13" s="754">
        <f ca="1">IF(P13="",99999,'Finals 4'!$D13)</f>
        <v>0.49652777777777779</v>
      </c>
      <c r="O13" s="328">
        <f ca="1">IF(P13="","",'Finals 4'!$E13)</f>
        <v>1</v>
      </c>
      <c r="P13" s="329" t="str">
        <f ca="1">IF($C$4="","",IF('Finals 4'!$I13=$C$4,'Finals 4'!$K13,IF('Finals 4'!$K13=$C$4,'Finals 4'!$I13,"")))</f>
        <v>SSV Wildbach</v>
      </c>
      <c r="Q13" s="755">
        <f t="shared" ref="Q13:Q29" ca="1" si="4">SMALL(M$12:M$29,ROW(M13)-11)</f>
        <v>19.520833333333332</v>
      </c>
      <c r="R13" s="753">
        <f t="shared" ref="R13:R29" ca="1" si="5">S13+ROW(S13)</f>
        <v>100012</v>
      </c>
      <c r="S13" s="754">
        <f ca="1">IF(U13="",99999,'Finals 4'!$D13)</f>
        <v>99999</v>
      </c>
      <c r="T13" s="328" t="str">
        <f ca="1">IF(U13="","",'Finals 4'!$E13)</f>
        <v/>
      </c>
      <c r="U13" s="329" t="str">
        <f ca="1">IF($C$9="","",IF('Finals 4'!$I13=$C$9,'Finals 4'!$K13,IF('Finals 4'!$K13=$C$9,'Finals 4'!$I13,"")))</f>
        <v/>
      </c>
      <c r="V13" s="755">
        <f t="shared" ref="V13:V29" ca="1" si="6">SMALL(R$12:R$29,ROW(R13)-11)</f>
        <v>19.520833333333332</v>
      </c>
      <c r="W13" s="753">
        <f t="shared" ref="W13:W29" ca="1" si="7">X13+ROW(X13)</f>
        <v>100012</v>
      </c>
      <c r="X13" s="754">
        <f ca="1">IF(Z13="",99999,'Finals 4'!$D13)</f>
        <v>99999</v>
      </c>
      <c r="Y13" s="328" t="str">
        <f ca="1">IF(Z13="","",'Finals 4'!$E13)</f>
        <v/>
      </c>
      <c r="Z13" s="329" t="str">
        <f ca="1">IF($C$14="","",IF('Finals 4'!$I13=$C$14,'Finals 4'!$K13,IF('Finals 4'!$K13=$C$14,'Finals 4'!$I13,"")))</f>
        <v/>
      </c>
      <c r="AA13" s="755">
        <f t="shared" ref="AA13:AA29" ca="1" si="8">SMALL(W$12:W$29,ROW(W13)-11)</f>
        <v>20.520833333333332</v>
      </c>
      <c r="AB13" s="753">
        <f t="shared" ref="AB13:AB29" ca="1" si="9">AC13+ROW(AC13)</f>
        <v>100012</v>
      </c>
      <c r="AC13" s="754">
        <f ca="1">IF(AE13="",99999,'Finals 4'!$D13)</f>
        <v>99999</v>
      </c>
      <c r="AD13" s="328" t="str">
        <f ca="1">IF(AE13="","",'Finals 4'!$E13)</f>
        <v/>
      </c>
      <c r="AE13" s="329" t="str">
        <f ca="1">IF($C$19="","",IF('Finals 4'!$I13=$C$19,'Finals 4'!$K13,IF('Finals 4'!$K13=$C$19,'Finals 4'!$I13,"")))</f>
        <v/>
      </c>
      <c r="AF13" s="755">
        <f t="shared" ref="AF13:AF29" ca="1" si="10">SMALL(AB$12:AB$29,ROW(AB13)-11)</f>
        <v>20.520833333333332</v>
      </c>
      <c r="AG13" s="753">
        <f t="shared" ref="AG13:AG29" ca="1" si="11">AH13+ROW(AH13)</f>
        <v>100012</v>
      </c>
      <c r="AH13" s="754">
        <f ca="1">IF(AJ13="",99999,'Finals 4'!$D13)</f>
        <v>99999</v>
      </c>
      <c r="AI13" s="328" t="str">
        <f ca="1">IF(AJ13="","",'Finals 4'!$E13)</f>
        <v/>
      </c>
      <c r="AJ13" s="329" t="str">
        <f ca="1">IF($C$24="","",IF('Finals 4'!$I13=$C$24,'Finals 4'!$K13,IF('Finals 4'!$K13=$C$24,'Finals 4'!$I13,"")))</f>
        <v/>
      </c>
      <c r="AK13" s="755">
        <f t="shared" ref="AK13:AK29" ca="1" si="12">SMALL(AG$12:AG$29,ROW(AG13)-11)</f>
        <v>100011</v>
      </c>
      <c r="AL13" s="753">
        <f t="shared" ref="AL13:AL29" si="13">AM13+ROW(AM13)</f>
        <v>100012</v>
      </c>
      <c r="AM13" s="754">
        <f>IF(AO13="",99999,'Finals 4'!$D13)</f>
        <v>99999</v>
      </c>
      <c r="AN13" s="328" t="str">
        <f>IF(AO13="","",'Finals 4'!$E13)</f>
        <v/>
      </c>
      <c r="AO13" s="329" t="str">
        <f>IF($C$29="","",IF('Finals 4'!$I13=$C$29,'Finals 4'!$K13,IF('Finals 4'!$K13=$C$29,'Finals 4'!$I13,"")))</f>
        <v/>
      </c>
      <c r="AP13" s="755">
        <f t="shared" ref="AP13:AP29" si="14">SMALL(AL$12:AL$29,ROW(AL13)-11)</f>
        <v>100012</v>
      </c>
      <c r="AQ13" s="753">
        <f t="shared" ref="AQ13:AQ29" ca="1" si="15">AR13+ROW(AR13)</f>
        <v>100012</v>
      </c>
      <c r="AR13" s="754">
        <f ca="1">IF(AT13="",99999,'Finals 4'!$D13)</f>
        <v>99999</v>
      </c>
      <c r="AS13" s="328" t="str">
        <f ca="1">IF(AT13="","",'Finals 4'!$E13)</f>
        <v/>
      </c>
      <c r="AT13" s="329" t="str">
        <f ca="1">IF($C$34="","",IF('Finals 4'!$I13=$C$34,'Finals 4'!$K13,IF('Finals 4'!$K13=$C$34,'Finals 4'!$I13,"")))</f>
        <v/>
      </c>
      <c r="AU13" s="755">
        <f t="shared" ref="AU13:AU29" ca="1" si="16">SMALL(AQ$12:AQ$29,ROW(AQ13)-11)</f>
        <v>23.520833333333332</v>
      </c>
      <c r="AV13" s="753">
        <f t="shared" ref="AV13:AV29" ca="1" si="17">AW13+ROW(AW13)</f>
        <v>100012</v>
      </c>
      <c r="AW13" s="754">
        <f ca="1">IF(AY13="",99999,'Finals 4'!$D13)</f>
        <v>99999</v>
      </c>
      <c r="AX13" s="328" t="str">
        <f ca="1">IF(AY13="","",'Finals 4'!$E13)</f>
        <v/>
      </c>
      <c r="AY13" s="329" t="str">
        <f ca="1">IF($C$39="","",IF('Finals 4'!$I13=$C$39,'Finals 4'!$K13,IF('Finals 4'!$K13=$C$39,'Finals 4'!$I13,"")))</f>
        <v/>
      </c>
      <c r="AZ13" s="755">
        <f t="shared" ref="AZ13:AZ29" ca="1" si="18">SMALL(AV$12:AV$29,ROW(AV13)-11)</f>
        <v>100011</v>
      </c>
      <c r="BA13" s="753">
        <f t="shared" ref="BA13:BA29" ca="1" si="19">BB13+ROW(BB13)</f>
        <v>13.496527777777779</v>
      </c>
      <c r="BB13" s="754">
        <f ca="1">IF(BD13="",99999,'Finals 4'!$D13)</f>
        <v>0.49652777777777779</v>
      </c>
      <c r="BC13" s="328">
        <f ca="1">IF(BD13="","",'Finals 4'!$E13)</f>
        <v>1</v>
      </c>
      <c r="BD13" s="329" t="str">
        <f ca="1">IF($C$44="","",IF('Finals 4'!$I13=$C$44,'Finals 4'!$K13,IF('Finals 4'!$K13=$C$44,'Finals 4'!$I13,"")))</f>
        <v>1. FC Riedwald</v>
      </c>
      <c r="BE13" s="755">
        <f t="shared" ref="BE13:BE29" ca="1" si="20">SMALL(BA$12:BA$29,ROW(BA13)-11)</f>
        <v>22.520833333333332</v>
      </c>
      <c r="BF13" s="753">
        <f t="shared" ref="BF13:BF29" ca="1" si="21">BG13+ROW(BG13)</f>
        <v>100012</v>
      </c>
      <c r="BG13" s="754">
        <f ca="1">IF(BI13="",99999,'Finals 4'!$D13)</f>
        <v>99999</v>
      </c>
      <c r="BH13" s="328" t="str">
        <f ca="1">IF(BI13="","",'Finals 4'!$E13)</f>
        <v/>
      </c>
      <c r="BI13" s="329" t="str">
        <f ca="1">IF($C$49="","",IF('Finals 4'!$I13=$C$49,'Finals 4'!$K13,IF('Finals 4'!$K13=$C$49,'Finals 4'!$I13,"")))</f>
        <v/>
      </c>
      <c r="BJ13" s="755">
        <f t="shared" ref="BJ13:BJ29" ca="1" si="22">SMALL(BF$12:BF$29,ROW(BF13)-11)</f>
        <v>23.520833333333332</v>
      </c>
      <c r="BK13" s="753">
        <f t="shared" ref="BK13:BK29" ca="1" si="23">BL13+ROW(BL13)</f>
        <v>100012</v>
      </c>
      <c r="BL13" s="754">
        <f ca="1">IF(BN13="",99999,'Finals 4'!$D13)</f>
        <v>99999</v>
      </c>
      <c r="BM13" s="328" t="str">
        <f ca="1">IF(BN13="","",'Finals 4'!$E13)</f>
        <v/>
      </c>
      <c r="BN13" s="329" t="str">
        <f ca="1">IF($C$54="","",IF('Finals 4'!$I13=$C$54,'Finals 4'!$K13,IF('Finals 4'!$K13=$C$54,'Finals 4'!$I13,"")))</f>
        <v/>
      </c>
      <c r="BO13" s="755">
        <f t="shared" ref="BO13:BO29" ca="1" si="24">SMALL(BK$12:BK$29,ROW(BK13)-11)</f>
        <v>22.520833333333332</v>
      </c>
      <c r="BP13" s="753">
        <f t="shared" ref="BP13:BP29" si="25">BQ13+ROW(BQ13)</f>
        <v>100012</v>
      </c>
      <c r="BQ13" s="754">
        <f>IF(BS13="",99999,'Finals 4'!$D13)</f>
        <v>99999</v>
      </c>
      <c r="BR13" s="328" t="str">
        <f>IF(BS13="","",'Finals 4'!$E13)</f>
        <v/>
      </c>
      <c r="BS13" s="329" t="str">
        <f>IF($C$59="","",IF('Finals 4'!$I13=$C$59,'Finals 4'!$K13,IF('Finals 4'!$K13=$C$59,'Finals 4'!$I13,"")))</f>
        <v/>
      </c>
      <c r="BT13" s="755">
        <f t="shared" ref="BT13:BT29" si="26">SMALL(BP$12:BP$29,ROW(BP13)-11)</f>
        <v>100012</v>
      </c>
    </row>
    <row r="14" spans="2:72" ht="15.95" customHeight="1" x14ac:dyDescent="0.2">
      <c r="B14" s="730" t="s">
        <v>192</v>
      </c>
      <c r="C14" s="731" t="str">
        <f>IF(Planning!$C$11="","",Planning!$C$11)</f>
        <v>Eintracht Frankfurt</v>
      </c>
      <c r="E14" s="732" t="str">
        <f>Language!$E$60</f>
        <v>balls</v>
      </c>
      <c r="F14" s="733" t="str">
        <f>Language!$E$39</f>
        <v>Start</v>
      </c>
      <c r="G14" s="734" t="str">
        <f>Language!$E$48</f>
        <v>Field</v>
      </c>
      <c r="H14" s="735" t="str">
        <f>Language!$E$46</f>
        <v>Match against</v>
      </c>
      <c r="J14" s="729">
        <f t="shared" ca="1" si="0"/>
        <v>0</v>
      </c>
      <c r="L14" s="165">
        <f ca="1">'Finals 4'!$C14</f>
        <v>22</v>
      </c>
      <c r="M14" s="753">
        <f t="shared" ca="1" si="3"/>
        <v>100013</v>
      </c>
      <c r="N14" s="754">
        <f ca="1">IF(P14="",99999,'Finals 4'!$D14)</f>
        <v>99999</v>
      </c>
      <c r="O14" s="328" t="str">
        <f ca="1">IF(P14="","",'Finals 4'!$E14)</f>
        <v/>
      </c>
      <c r="P14" s="329" t="str">
        <f ca="1">IF($C$4="","",IF('Finals 4'!$I14=$C$4,'Finals 4'!$K14,IF('Finals 4'!$K14=$C$4,'Finals 4'!$I14,"")))</f>
        <v/>
      </c>
      <c r="Q14" s="755">
        <f t="shared" ca="1" si="4"/>
        <v>28.545138888888889</v>
      </c>
      <c r="R14" s="753">
        <f t="shared" ca="1" si="5"/>
        <v>100013</v>
      </c>
      <c r="S14" s="754">
        <f ca="1">IF(U14="",99999,'Finals 4'!$D14)</f>
        <v>99999</v>
      </c>
      <c r="T14" s="328" t="str">
        <f ca="1">IF(U14="","",'Finals 4'!$E14)</f>
        <v/>
      </c>
      <c r="U14" s="329" t="str">
        <f ca="1">IF($C$9="","",IF('Finals 4'!$I14=$C$9,'Finals 4'!$K14,IF('Finals 4'!$K14=$C$9,'Finals 4'!$I14,"")))</f>
        <v/>
      </c>
      <c r="V14" s="755">
        <f t="shared" ca="1" si="6"/>
        <v>25.545138888888889</v>
      </c>
      <c r="W14" s="753">
        <f t="shared" ca="1" si="7"/>
        <v>100013</v>
      </c>
      <c r="X14" s="754">
        <f ca="1">IF(Z14="",99999,'Finals 4'!$D14)</f>
        <v>99999</v>
      </c>
      <c r="Y14" s="328" t="str">
        <f ca="1">IF(Z14="","",'Finals 4'!$E14)</f>
        <v/>
      </c>
      <c r="Z14" s="329" t="str">
        <f ca="1">IF($C$14="","",IF('Finals 4'!$I14=$C$14,'Finals 4'!$K14,IF('Finals 4'!$K14=$C$14,'Finals 4'!$I14,"")))</f>
        <v/>
      </c>
      <c r="AA14" s="755">
        <f t="shared" ca="1" si="8"/>
        <v>26.545138888888889</v>
      </c>
      <c r="AB14" s="753">
        <f t="shared" ca="1" si="9"/>
        <v>14.496527777777779</v>
      </c>
      <c r="AC14" s="754">
        <f ca="1">IF(AE14="",99999,'Finals 4'!$D14)</f>
        <v>0.49652777777777779</v>
      </c>
      <c r="AD14" s="328">
        <f ca="1">IF(AE14="","",'Finals 4'!$E14)</f>
        <v>2</v>
      </c>
      <c r="AE14" s="329" t="str">
        <f ca="1">IF($C$19="","",IF('Finals 4'!$I14=$C$19,'Finals 4'!$K14,IF('Finals 4'!$K14=$C$19,'Finals 4'!$I14,"")))</f>
        <v>Manchester City</v>
      </c>
      <c r="AF14" s="755">
        <f t="shared" ca="1" si="10"/>
        <v>29.569444444444443</v>
      </c>
      <c r="AG14" s="753">
        <f t="shared" ca="1" si="11"/>
        <v>100013</v>
      </c>
      <c r="AH14" s="754">
        <f ca="1">IF(AJ14="",99999,'Finals 4'!$D14)</f>
        <v>99999</v>
      </c>
      <c r="AI14" s="328" t="str">
        <f ca="1">IF(AJ14="","",'Finals 4'!$E14)</f>
        <v/>
      </c>
      <c r="AJ14" s="329" t="str">
        <f ca="1">IF($C$24="","",IF('Finals 4'!$I14=$C$24,'Finals 4'!$K14,IF('Finals 4'!$K14=$C$24,'Finals 4'!$I14,"")))</f>
        <v/>
      </c>
      <c r="AK14" s="755">
        <f t="shared" ca="1" si="12"/>
        <v>100012</v>
      </c>
      <c r="AL14" s="753">
        <f t="shared" si="13"/>
        <v>100013</v>
      </c>
      <c r="AM14" s="754">
        <f>IF(AO14="",99999,'Finals 4'!$D14)</f>
        <v>99999</v>
      </c>
      <c r="AN14" s="328" t="str">
        <f>IF(AO14="","",'Finals 4'!$E14)</f>
        <v/>
      </c>
      <c r="AO14" s="329" t="str">
        <f>IF($C$29="","",IF('Finals 4'!$I14=$C$29,'Finals 4'!$K14,IF('Finals 4'!$K14=$C$29,'Finals 4'!$I14,"")))</f>
        <v/>
      </c>
      <c r="AP14" s="755">
        <f t="shared" si="14"/>
        <v>100013</v>
      </c>
      <c r="AQ14" s="753">
        <f t="shared" ca="1" si="15"/>
        <v>100013</v>
      </c>
      <c r="AR14" s="754">
        <f ca="1">IF(AT14="",99999,'Finals 4'!$D14)</f>
        <v>99999</v>
      </c>
      <c r="AS14" s="328" t="str">
        <f ca="1">IF(AT14="","",'Finals 4'!$E14)</f>
        <v/>
      </c>
      <c r="AT14" s="329" t="str">
        <f ca="1">IF($C$34="","",IF('Finals 4'!$I14=$C$34,'Finals 4'!$K14,IF('Finals 4'!$K14=$C$34,'Finals 4'!$I14,"")))</f>
        <v/>
      </c>
      <c r="AU14" s="755">
        <f t="shared" ca="1" si="16"/>
        <v>29.569444444444443</v>
      </c>
      <c r="AV14" s="753">
        <f t="shared" ca="1" si="17"/>
        <v>100013</v>
      </c>
      <c r="AW14" s="754">
        <f ca="1">IF(AY14="",99999,'Finals 4'!$D14)</f>
        <v>99999</v>
      </c>
      <c r="AX14" s="328" t="str">
        <f ca="1">IF(AY14="","",'Finals 4'!$E14)</f>
        <v/>
      </c>
      <c r="AY14" s="329" t="str">
        <f ca="1">IF($C$39="","",IF('Finals 4'!$I14=$C$39,'Finals 4'!$K14,IF('Finals 4'!$K14=$C$39,'Finals 4'!$I14,"")))</f>
        <v/>
      </c>
      <c r="AZ14" s="755">
        <f t="shared" ca="1" si="18"/>
        <v>100012</v>
      </c>
      <c r="BA14" s="753">
        <f t="shared" ca="1" si="19"/>
        <v>100013</v>
      </c>
      <c r="BB14" s="754">
        <f ca="1">IF(BD14="",99999,'Finals 4'!$D14)</f>
        <v>99999</v>
      </c>
      <c r="BC14" s="328" t="str">
        <f ca="1">IF(BD14="","",'Finals 4'!$E14)</f>
        <v/>
      </c>
      <c r="BD14" s="329" t="str">
        <f ca="1">IF($C$44="","",IF('Finals 4'!$I14=$C$44,'Finals 4'!$K14,IF('Finals 4'!$K14=$C$44,'Finals 4'!$I14,"")))</f>
        <v/>
      </c>
      <c r="BE14" s="755">
        <f t="shared" ca="1" si="20"/>
        <v>25.545138888888889</v>
      </c>
      <c r="BF14" s="753">
        <f t="shared" ca="1" si="21"/>
        <v>14.496527777777779</v>
      </c>
      <c r="BG14" s="754">
        <f ca="1">IF(BI14="",99999,'Finals 4'!$D14)</f>
        <v>0.49652777777777779</v>
      </c>
      <c r="BH14" s="328">
        <f ca="1">IF(BI14="","",'Finals 4'!$E14)</f>
        <v>2</v>
      </c>
      <c r="BI14" s="329" t="str">
        <f ca="1">IF($C$49="","",IF('Finals 4'!$I14=$C$49,'Finals 4'!$K14,IF('Finals 4'!$K14=$C$49,'Finals 4'!$I14,"")))</f>
        <v>Maibach 1822 eV</v>
      </c>
      <c r="BJ14" s="755">
        <f t="shared" ca="1" si="22"/>
        <v>26.545138888888889</v>
      </c>
      <c r="BK14" s="753">
        <f t="shared" ca="1" si="23"/>
        <v>100013</v>
      </c>
      <c r="BL14" s="754">
        <f ca="1">IF(BN14="",99999,'Finals 4'!$D14)</f>
        <v>99999</v>
      </c>
      <c r="BM14" s="328" t="str">
        <f ca="1">IF(BN14="","",'Finals 4'!$E14)</f>
        <v/>
      </c>
      <c r="BN14" s="329" t="str">
        <f ca="1">IF($C$54="","",IF('Finals 4'!$I14=$C$54,'Finals 4'!$K14,IF('Finals 4'!$K14=$C$54,'Finals 4'!$I14,"")))</f>
        <v/>
      </c>
      <c r="BO14" s="755">
        <f t="shared" ca="1" si="24"/>
        <v>28.545138888888889</v>
      </c>
      <c r="BP14" s="753">
        <f t="shared" si="25"/>
        <v>100013</v>
      </c>
      <c r="BQ14" s="754">
        <f>IF(BS14="",99999,'Finals 4'!$D14)</f>
        <v>99999</v>
      </c>
      <c r="BR14" s="328" t="str">
        <f>IF(BS14="","",'Finals 4'!$E14)</f>
        <v/>
      </c>
      <c r="BS14" s="329" t="str">
        <f>IF($C$59="","",IF('Finals 4'!$I14=$C$59,'Finals 4'!$K14,IF('Finals 4'!$K14=$C$59,'Finals 4'!$I14,"")))</f>
        <v/>
      </c>
      <c r="BT14" s="755">
        <f t="shared" si="26"/>
        <v>100013</v>
      </c>
    </row>
    <row r="15" spans="2:72" ht="15.95" customHeight="1" x14ac:dyDescent="0.2">
      <c r="E15" s="736">
        <f ca="1">IF($AA$12&lt;99999,INDEX($L$12:$L$29,MATCH($AA$12,$W$12:$W$29,0)),"")</f>
        <v>24</v>
      </c>
      <c r="F15" s="737">
        <f ca="1">IF($AA$12&lt;99999,VLOOKUP($AA$12,$W$12:$Z$29,2,0),"")</f>
        <v>0.49652777777777779</v>
      </c>
      <c r="G15" s="738">
        <f ca="1">IF($AA$12&lt;99999,VLOOKUP($AA$12,$W$12:$Z$29,3,0),"")</f>
        <v>4</v>
      </c>
      <c r="H15" s="739" t="str">
        <f ca="1">IF($AA$12&lt;99999,VLOOKUP($AA$12,$W$12:$Z$29,4,0),"")</f>
        <v>Mainz 05</v>
      </c>
      <c r="J15" s="729">
        <f ca="1">IF(AND(F15&lt;&gt;"",OR(F15=F14,F15=F16)),E15,0)</f>
        <v>0</v>
      </c>
      <c r="K15" s="729" t="str">
        <f ca="1">IF(J15=0,"",$C$14)</f>
        <v/>
      </c>
      <c r="L15" s="165">
        <f ca="1">'Finals 4'!$C15</f>
        <v>23</v>
      </c>
      <c r="M15" s="753">
        <f t="shared" ca="1" si="3"/>
        <v>100014</v>
      </c>
      <c r="N15" s="754">
        <f ca="1">IF(P15="",99999,'Finals 4'!$D15)</f>
        <v>99999</v>
      </c>
      <c r="O15" s="328" t="str">
        <f ca="1">IF(P15="","",'Finals 4'!$E15)</f>
        <v/>
      </c>
      <c r="P15" s="329" t="str">
        <f ca="1">IF($C$4="","",IF('Finals 4'!$I15=$C$4,'Finals 4'!$K15,IF('Finals 4'!$K15=$C$4,'Finals 4'!$I15,"")))</f>
        <v/>
      </c>
      <c r="Q15" s="755">
        <f t="shared" ca="1" si="4"/>
        <v>100011</v>
      </c>
      <c r="R15" s="753">
        <f t="shared" ca="1" si="5"/>
        <v>100014</v>
      </c>
      <c r="S15" s="754">
        <f ca="1">IF(U15="",99999,'Finals 4'!$D15)</f>
        <v>99999</v>
      </c>
      <c r="T15" s="328" t="str">
        <f ca="1">IF(U15="","",'Finals 4'!$E15)</f>
        <v/>
      </c>
      <c r="U15" s="329" t="str">
        <f ca="1">IF($C$9="","",IF('Finals 4'!$I15=$C$9,'Finals 4'!$K15,IF('Finals 4'!$K15=$C$9,'Finals 4'!$I15,"")))</f>
        <v/>
      </c>
      <c r="V15" s="755">
        <f t="shared" ca="1" si="6"/>
        <v>100011</v>
      </c>
      <c r="W15" s="753">
        <f t="shared" ca="1" si="7"/>
        <v>100014</v>
      </c>
      <c r="X15" s="754">
        <f ca="1">IF(Z15="",99999,'Finals 4'!$D15)</f>
        <v>99999</v>
      </c>
      <c r="Y15" s="328" t="str">
        <f ca="1">IF(Z15="","",'Finals 4'!$E15)</f>
        <v/>
      </c>
      <c r="Z15" s="329" t="str">
        <f ca="1">IF($C$14="","",IF('Finals 4'!$I15=$C$14,'Finals 4'!$K15,IF('Finals 4'!$K15=$C$14,'Finals 4'!$I15,"")))</f>
        <v/>
      </c>
      <c r="AA15" s="755">
        <f t="shared" ca="1" si="8"/>
        <v>100011</v>
      </c>
      <c r="AB15" s="753">
        <f t="shared" ca="1" si="9"/>
        <v>100014</v>
      </c>
      <c r="AC15" s="754">
        <f ca="1">IF(AE15="",99999,'Finals 4'!$D15)</f>
        <v>99999</v>
      </c>
      <c r="AD15" s="328" t="str">
        <f ca="1">IF(AE15="","",'Finals 4'!$E15)</f>
        <v/>
      </c>
      <c r="AE15" s="329" t="str">
        <f ca="1">IF($C$19="","",IF('Finals 4'!$I15=$C$19,'Finals 4'!$K15,IF('Finals 4'!$K15=$C$19,'Finals 4'!$I15,"")))</f>
        <v/>
      </c>
      <c r="AF15" s="755">
        <f t="shared" ca="1" si="10"/>
        <v>100011</v>
      </c>
      <c r="AG15" s="753">
        <f t="shared" ca="1" si="11"/>
        <v>100014</v>
      </c>
      <c r="AH15" s="754">
        <f ca="1">IF(AJ15="",99999,'Finals 4'!$D15)</f>
        <v>99999</v>
      </c>
      <c r="AI15" s="328" t="str">
        <f ca="1">IF(AJ15="","",'Finals 4'!$E15)</f>
        <v/>
      </c>
      <c r="AJ15" s="329" t="str">
        <f ca="1">IF($C$24="","",IF('Finals 4'!$I15=$C$24,'Finals 4'!$K15,IF('Finals 4'!$K15=$C$24,'Finals 4'!$I15,"")))</f>
        <v/>
      </c>
      <c r="AK15" s="755">
        <f t="shared" ca="1" si="12"/>
        <v>100013</v>
      </c>
      <c r="AL15" s="753">
        <f t="shared" si="13"/>
        <v>100014</v>
      </c>
      <c r="AM15" s="754">
        <f>IF(AO15="",99999,'Finals 4'!$D15)</f>
        <v>99999</v>
      </c>
      <c r="AN15" s="328" t="str">
        <f>IF(AO15="","",'Finals 4'!$E15)</f>
        <v/>
      </c>
      <c r="AO15" s="329" t="str">
        <f>IF($C$29="","",IF('Finals 4'!$I15=$C$29,'Finals 4'!$K15,IF('Finals 4'!$K15=$C$29,'Finals 4'!$I15,"")))</f>
        <v/>
      </c>
      <c r="AP15" s="755">
        <f t="shared" si="14"/>
        <v>100014</v>
      </c>
      <c r="AQ15" s="753">
        <f t="shared" ca="1" si="15"/>
        <v>100014</v>
      </c>
      <c r="AR15" s="754">
        <f ca="1">IF(AT15="",99999,'Finals 4'!$D15)</f>
        <v>99999</v>
      </c>
      <c r="AS15" s="328" t="str">
        <f ca="1">IF(AT15="","",'Finals 4'!$E15)</f>
        <v/>
      </c>
      <c r="AT15" s="329" t="str">
        <f ca="1">IF($C$34="","",IF('Finals 4'!$I15=$C$34,'Finals 4'!$K15,IF('Finals 4'!$K15=$C$34,'Finals 4'!$I15,"")))</f>
        <v/>
      </c>
      <c r="AU15" s="755">
        <f t="shared" ca="1" si="16"/>
        <v>100011</v>
      </c>
      <c r="AV15" s="753">
        <f t="shared" ca="1" si="17"/>
        <v>100014</v>
      </c>
      <c r="AW15" s="754">
        <f ca="1">IF(AY15="",99999,'Finals 4'!$D15)</f>
        <v>99999</v>
      </c>
      <c r="AX15" s="328" t="str">
        <f ca="1">IF(AY15="","",'Finals 4'!$E15)</f>
        <v/>
      </c>
      <c r="AY15" s="329" t="str">
        <f ca="1">IF($C$39="","",IF('Finals 4'!$I15=$C$39,'Finals 4'!$K15,IF('Finals 4'!$K15=$C$39,'Finals 4'!$I15,"")))</f>
        <v/>
      </c>
      <c r="AZ15" s="755">
        <f t="shared" ca="1" si="18"/>
        <v>100013</v>
      </c>
      <c r="BA15" s="753">
        <f t="shared" ca="1" si="19"/>
        <v>100014</v>
      </c>
      <c r="BB15" s="754">
        <f ca="1">IF(BD15="",99999,'Finals 4'!$D15)</f>
        <v>99999</v>
      </c>
      <c r="BC15" s="328" t="str">
        <f ca="1">IF(BD15="","",'Finals 4'!$E15)</f>
        <v/>
      </c>
      <c r="BD15" s="329" t="str">
        <f ca="1">IF($C$44="","",IF('Finals 4'!$I15=$C$44,'Finals 4'!$K15,IF('Finals 4'!$K15=$C$44,'Finals 4'!$I15,"")))</f>
        <v/>
      </c>
      <c r="BE15" s="755">
        <f t="shared" ca="1" si="20"/>
        <v>100011</v>
      </c>
      <c r="BF15" s="753">
        <f t="shared" ca="1" si="21"/>
        <v>100014</v>
      </c>
      <c r="BG15" s="754">
        <f ca="1">IF(BI15="",99999,'Finals 4'!$D15)</f>
        <v>99999</v>
      </c>
      <c r="BH15" s="328" t="str">
        <f ca="1">IF(BI15="","",'Finals 4'!$E15)</f>
        <v/>
      </c>
      <c r="BI15" s="329" t="str">
        <f ca="1">IF($C$49="","",IF('Finals 4'!$I15=$C$49,'Finals 4'!$K15,IF('Finals 4'!$K15=$C$49,'Finals 4'!$I15,"")))</f>
        <v/>
      </c>
      <c r="BJ15" s="755">
        <f t="shared" ca="1" si="22"/>
        <v>100011</v>
      </c>
      <c r="BK15" s="753">
        <f t="shared" ca="1" si="23"/>
        <v>100014</v>
      </c>
      <c r="BL15" s="754">
        <f ca="1">IF(BN15="",99999,'Finals 4'!$D15)</f>
        <v>99999</v>
      </c>
      <c r="BM15" s="328" t="str">
        <f ca="1">IF(BN15="","",'Finals 4'!$E15)</f>
        <v/>
      </c>
      <c r="BN15" s="329" t="str">
        <f ca="1">IF($C$54="","",IF('Finals 4'!$I15=$C$54,'Finals 4'!$K15,IF('Finals 4'!$K15=$C$54,'Finals 4'!$I15,"")))</f>
        <v/>
      </c>
      <c r="BO15" s="755">
        <f t="shared" ca="1" si="24"/>
        <v>100011</v>
      </c>
      <c r="BP15" s="753">
        <f t="shared" si="25"/>
        <v>100014</v>
      </c>
      <c r="BQ15" s="754">
        <f>IF(BS15="",99999,'Finals 4'!$D15)</f>
        <v>99999</v>
      </c>
      <c r="BR15" s="328" t="str">
        <f>IF(BS15="","",'Finals 4'!$E15)</f>
        <v/>
      </c>
      <c r="BS15" s="329" t="str">
        <f>IF($C$59="","",IF('Finals 4'!$I15=$C$59,'Finals 4'!$K15,IF('Finals 4'!$K15=$C$59,'Finals 4'!$I15,"")))</f>
        <v/>
      </c>
      <c r="BT15" s="755">
        <f t="shared" si="26"/>
        <v>100014</v>
      </c>
    </row>
    <row r="16" spans="2:72" ht="15.95" customHeight="1" x14ac:dyDescent="0.2">
      <c r="E16" s="736">
        <f ca="1">IF($AA$13&lt;99999,INDEX($L$12:$L$29,MATCH($AA$13,$W$12:$W$29,0)),"")</f>
        <v>26</v>
      </c>
      <c r="F16" s="740">
        <f ca="1">IF($AA$13&lt;99999,VLOOKUP($AA$13,$W$12:$Z$29,2,0),"")</f>
        <v>0.52083333333333337</v>
      </c>
      <c r="G16" s="741">
        <f ca="1">IF($AA$13&lt;99999,VLOOKUP($AA$13,$W$12:$Z$29,3,0),"")</f>
        <v>2</v>
      </c>
      <c r="H16" s="742" t="str">
        <f ca="1">IF($AA$13&lt;99999,VLOOKUP($AA$13,$W$12:$Z$29,4,0),"")</f>
        <v>Maibach 1822 eV</v>
      </c>
      <c r="J16" s="729">
        <f t="shared" ref="J16:J62" ca="1" si="27">IF(AND(F16&lt;&gt;"",OR(F16=F15,F16=F17)),E16,0)</f>
        <v>0</v>
      </c>
      <c r="K16" s="729" t="str">
        <f t="shared" ref="K16:K17" ca="1" si="28">IF(J16=0,"",$C$14)</f>
        <v/>
      </c>
      <c r="L16" s="165">
        <f ca="1">'Finals 4'!$C16</f>
        <v>23</v>
      </c>
      <c r="M16" s="753">
        <f t="shared" ca="1" si="3"/>
        <v>100015</v>
      </c>
      <c r="N16" s="754">
        <f ca="1">IF(P16="",99999,'Finals 4'!$D16)</f>
        <v>99999</v>
      </c>
      <c r="O16" s="328" t="str">
        <f ca="1">IF(P16="","",'Finals 4'!$E16)</f>
        <v/>
      </c>
      <c r="P16" s="329" t="str">
        <f ca="1">IF($C$4="","",IF('Finals 4'!$I16=$C$4,'Finals 4'!$K16,IF('Finals 4'!$K16=$C$4,'Finals 4'!$I16,"")))</f>
        <v/>
      </c>
      <c r="Q16" s="755">
        <f t="shared" ca="1" si="4"/>
        <v>100013</v>
      </c>
      <c r="R16" s="753">
        <f t="shared" ca="1" si="5"/>
        <v>16.496527777777779</v>
      </c>
      <c r="S16" s="754">
        <f ca="1">IF(U16="",99999,'Finals 4'!$D16)</f>
        <v>0.49652777777777779</v>
      </c>
      <c r="T16" s="328">
        <f ca="1">IF(U16="","",'Finals 4'!$E16)</f>
        <v>3</v>
      </c>
      <c r="U16" s="329" t="str">
        <f ca="1">IF($C$9="","",IF('Finals 4'!$I16=$C$9,'Finals 4'!$K16,IF('Finals 4'!$K16=$C$9,'Finals 4'!$I16,"")))</f>
        <v>FC Grönlingen</v>
      </c>
      <c r="V16" s="755">
        <f t="shared" ca="1" si="6"/>
        <v>100012</v>
      </c>
      <c r="W16" s="753">
        <f t="shared" ca="1" si="7"/>
        <v>100015</v>
      </c>
      <c r="X16" s="754">
        <f ca="1">IF(Z16="",99999,'Finals 4'!$D16)</f>
        <v>99999</v>
      </c>
      <c r="Y16" s="328" t="str">
        <f ca="1">IF(Z16="","",'Finals 4'!$E16)</f>
        <v/>
      </c>
      <c r="Z16" s="329" t="str">
        <f ca="1">IF($C$14="","",IF('Finals 4'!$I16=$C$14,'Finals 4'!$K16,IF('Finals 4'!$K16=$C$14,'Finals 4'!$I16,"")))</f>
        <v/>
      </c>
      <c r="AA16" s="755">
        <f t="shared" ca="1" si="8"/>
        <v>100012</v>
      </c>
      <c r="AB16" s="753">
        <f t="shared" ca="1" si="9"/>
        <v>100015</v>
      </c>
      <c r="AC16" s="754">
        <f ca="1">IF(AE16="",99999,'Finals 4'!$D16)</f>
        <v>99999</v>
      </c>
      <c r="AD16" s="328" t="str">
        <f ca="1">IF(AE16="","",'Finals 4'!$E16)</f>
        <v/>
      </c>
      <c r="AE16" s="329" t="str">
        <f ca="1">IF($C$19="","",IF('Finals 4'!$I16=$C$19,'Finals 4'!$K16,IF('Finals 4'!$K16=$C$19,'Finals 4'!$I16,"")))</f>
        <v/>
      </c>
      <c r="AF16" s="755">
        <f t="shared" ca="1" si="10"/>
        <v>100012</v>
      </c>
      <c r="AG16" s="753">
        <f t="shared" ca="1" si="11"/>
        <v>100015</v>
      </c>
      <c r="AH16" s="754">
        <f ca="1">IF(AJ16="",99999,'Finals 4'!$D16)</f>
        <v>99999</v>
      </c>
      <c r="AI16" s="328" t="str">
        <f ca="1">IF(AJ16="","",'Finals 4'!$E16)</f>
        <v/>
      </c>
      <c r="AJ16" s="329" t="str">
        <f ca="1">IF($C$24="","",IF('Finals 4'!$I16=$C$24,'Finals 4'!$K16,IF('Finals 4'!$K16=$C$24,'Finals 4'!$I16,"")))</f>
        <v/>
      </c>
      <c r="AK16" s="755">
        <f t="shared" ca="1" si="12"/>
        <v>100014</v>
      </c>
      <c r="AL16" s="753">
        <f t="shared" si="13"/>
        <v>100015</v>
      </c>
      <c r="AM16" s="754">
        <f>IF(AO16="",99999,'Finals 4'!$D16)</f>
        <v>99999</v>
      </c>
      <c r="AN16" s="328" t="str">
        <f>IF(AO16="","",'Finals 4'!$E16)</f>
        <v/>
      </c>
      <c r="AO16" s="329" t="str">
        <f>IF($C$29="","",IF('Finals 4'!$I16=$C$29,'Finals 4'!$K16,IF('Finals 4'!$K16=$C$29,'Finals 4'!$I16,"")))</f>
        <v/>
      </c>
      <c r="AP16" s="755">
        <f t="shared" si="14"/>
        <v>100015</v>
      </c>
      <c r="AQ16" s="753">
        <f t="shared" ca="1" si="15"/>
        <v>100015</v>
      </c>
      <c r="AR16" s="754">
        <f ca="1">IF(AT16="",99999,'Finals 4'!$D16)</f>
        <v>99999</v>
      </c>
      <c r="AS16" s="328" t="str">
        <f ca="1">IF(AT16="","",'Finals 4'!$E16)</f>
        <v/>
      </c>
      <c r="AT16" s="329" t="str">
        <f ca="1">IF($C$34="","",IF('Finals 4'!$I16=$C$34,'Finals 4'!$K16,IF('Finals 4'!$K16=$C$34,'Finals 4'!$I16,"")))</f>
        <v/>
      </c>
      <c r="AU16" s="755">
        <f t="shared" ca="1" si="16"/>
        <v>100012</v>
      </c>
      <c r="AV16" s="753">
        <f t="shared" ca="1" si="17"/>
        <v>100015</v>
      </c>
      <c r="AW16" s="754">
        <f ca="1">IF(AY16="",99999,'Finals 4'!$D16)</f>
        <v>99999</v>
      </c>
      <c r="AX16" s="328" t="str">
        <f ca="1">IF(AY16="","",'Finals 4'!$E16)</f>
        <v/>
      </c>
      <c r="AY16" s="329" t="str">
        <f ca="1">IF($C$39="","",IF('Finals 4'!$I16=$C$39,'Finals 4'!$K16,IF('Finals 4'!$K16=$C$39,'Finals 4'!$I16,"")))</f>
        <v/>
      </c>
      <c r="AZ16" s="755">
        <f t="shared" ca="1" si="18"/>
        <v>100014</v>
      </c>
      <c r="BA16" s="753">
        <f t="shared" ca="1" si="19"/>
        <v>100015</v>
      </c>
      <c r="BB16" s="754">
        <f ca="1">IF(BD16="",99999,'Finals 4'!$D16)</f>
        <v>99999</v>
      </c>
      <c r="BC16" s="328" t="str">
        <f ca="1">IF(BD16="","",'Finals 4'!$E16)</f>
        <v/>
      </c>
      <c r="BD16" s="329" t="str">
        <f ca="1">IF($C$44="","",IF('Finals 4'!$I16=$C$44,'Finals 4'!$K16,IF('Finals 4'!$K16=$C$44,'Finals 4'!$I16,"")))</f>
        <v/>
      </c>
      <c r="BE16" s="755">
        <f t="shared" ca="1" si="20"/>
        <v>100013</v>
      </c>
      <c r="BF16" s="753">
        <f t="shared" ca="1" si="21"/>
        <v>100015</v>
      </c>
      <c r="BG16" s="754">
        <f ca="1">IF(BI16="",99999,'Finals 4'!$D16)</f>
        <v>99999</v>
      </c>
      <c r="BH16" s="328" t="str">
        <f ca="1">IF(BI16="","",'Finals 4'!$E16)</f>
        <v/>
      </c>
      <c r="BI16" s="329" t="str">
        <f ca="1">IF($C$49="","",IF('Finals 4'!$I16=$C$49,'Finals 4'!$K16,IF('Finals 4'!$K16=$C$49,'Finals 4'!$I16,"")))</f>
        <v/>
      </c>
      <c r="BJ16" s="755">
        <f t="shared" ca="1" si="22"/>
        <v>100012</v>
      </c>
      <c r="BK16" s="753">
        <f t="shared" ca="1" si="23"/>
        <v>16.496527777777779</v>
      </c>
      <c r="BL16" s="754">
        <f ca="1">IF(BN16="",99999,'Finals 4'!$D16)</f>
        <v>0.49652777777777779</v>
      </c>
      <c r="BM16" s="328">
        <f ca="1">IF(BN16="","",'Finals 4'!$E16)</f>
        <v>3</v>
      </c>
      <c r="BN16" s="329" t="str">
        <f ca="1">IF($C$54="","",IF('Finals 4'!$I16=$C$54,'Finals 4'!$K16,IF('Finals 4'!$K16=$C$54,'Finals 4'!$I16,"")))</f>
        <v>FC Barcelona</v>
      </c>
      <c r="BO16" s="755">
        <f t="shared" ca="1" si="24"/>
        <v>100012</v>
      </c>
      <c r="BP16" s="753">
        <f t="shared" si="25"/>
        <v>100015</v>
      </c>
      <c r="BQ16" s="754">
        <f>IF(BS16="",99999,'Finals 4'!$D16)</f>
        <v>99999</v>
      </c>
      <c r="BR16" s="328" t="str">
        <f>IF(BS16="","",'Finals 4'!$E16)</f>
        <v/>
      </c>
      <c r="BS16" s="329" t="str">
        <f>IF($C$59="","",IF('Finals 4'!$I16=$C$59,'Finals 4'!$K16,IF('Finals 4'!$K16=$C$59,'Finals 4'!$I16,"")))</f>
        <v/>
      </c>
      <c r="BT16" s="755">
        <f t="shared" si="26"/>
        <v>100015</v>
      </c>
    </row>
    <row r="17" spans="2:72" ht="15.95" customHeight="1" thickBot="1" x14ac:dyDescent="0.25">
      <c r="E17" s="743">
        <f ca="1">IF($AA$14&lt;99999,INDEX($L$12:$L$29,MATCH($AA$14,$W$12:$W$29,0)),"")</f>
        <v>30</v>
      </c>
      <c r="F17" s="744">
        <f ca="1">IF($AA$14&lt;99999,VLOOKUP($AA$14,$W$12:$Z$29,2,0),"")</f>
        <v>0.54513888888888895</v>
      </c>
      <c r="G17" s="745">
        <f ca="1">IF($AA$14&lt;99999,VLOOKUP($AA$14,$W$12:$Z$29,3,0),"")</f>
        <v>2</v>
      </c>
      <c r="H17" s="746" t="str">
        <f ca="1">IF($AA$14&lt;99999,VLOOKUP($AA$14,$W$12:$Z$29,4,0),"")</f>
        <v>Manchester City</v>
      </c>
      <c r="J17" s="729">
        <f t="shared" ca="1" si="27"/>
        <v>0</v>
      </c>
      <c r="K17" s="729" t="str">
        <f t="shared" ca="1" si="28"/>
        <v/>
      </c>
      <c r="L17" s="165">
        <f ca="1">'Finals 4'!$C17</f>
        <v>24</v>
      </c>
      <c r="M17" s="753">
        <f t="shared" ca="1" si="3"/>
        <v>100016</v>
      </c>
      <c r="N17" s="754">
        <f ca="1">IF(P17="",99999,'Finals 4'!$D17)</f>
        <v>99999</v>
      </c>
      <c r="O17" s="328" t="str">
        <f ca="1">IF(P17="","",'Finals 4'!$E17)</f>
        <v/>
      </c>
      <c r="P17" s="329" t="str">
        <f ca="1">IF($C$4="","",IF('Finals 4'!$I17=$C$4,'Finals 4'!$K17,IF('Finals 4'!$K17=$C$4,'Finals 4'!$I17,"")))</f>
        <v/>
      </c>
      <c r="Q17" s="755">
        <f t="shared" ca="1" si="4"/>
        <v>100014</v>
      </c>
      <c r="R17" s="753">
        <f t="shared" ca="1" si="5"/>
        <v>100016</v>
      </c>
      <c r="S17" s="754">
        <f ca="1">IF(U17="",99999,'Finals 4'!$D17)</f>
        <v>99999</v>
      </c>
      <c r="T17" s="328" t="str">
        <f ca="1">IF(U17="","",'Finals 4'!$E17)</f>
        <v/>
      </c>
      <c r="U17" s="329" t="str">
        <f ca="1">IF($C$9="","",IF('Finals 4'!$I17=$C$9,'Finals 4'!$K17,IF('Finals 4'!$K17=$C$9,'Finals 4'!$I17,"")))</f>
        <v/>
      </c>
      <c r="V17" s="755">
        <f t="shared" ca="1" si="6"/>
        <v>100013</v>
      </c>
      <c r="W17" s="753">
        <f t="shared" ca="1" si="7"/>
        <v>17.496527777777779</v>
      </c>
      <c r="X17" s="754">
        <f ca="1">IF(Z17="",99999,'Finals 4'!$D17)</f>
        <v>0.49652777777777779</v>
      </c>
      <c r="Y17" s="328">
        <f ca="1">IF(Z17="","",'Finals 4'!$E17)</f>
        <v>4</v>
      </c>
      <c r="Z17" s="329" t="str">
        <f ca="1">IF($C$14="","",IF('Finals 4'!$I17=$C$14,'Finals 4'!$K17,IF('Finals 4'!$K17=$C$14,'Finals 4'!$I17,"")))</f>
        <v>Mainz 05</v>
      </c>
      <c r="AA17" s="755">
        <f t="shared" ca="1" si="8"/>
        <v>100013</v>
      </c>
      <c r="AB17" s="753">
        <f t="shared" ca="1" si="9"/>
        <v>100016</v>
      </c>
      <c r="AC17" s="754">
        <f ca="1">IF(AE17="",99999,'Finals 4'!$D17)</f>
        <v>99999</v>
      </c>
      <c r="AD17" s="328" t="str">
        <f ca="1">IF(AE17="","",'Finals 4'!$E17)</f>
        <v/>
      </c>
      <c r="AE17" s="329" t="str">
        <f ca="1">IF($C$19="","",IF('Finals 4'!$I17=$C$19,'Finals 4'!$K17,IF('Finals 4'!$K17=$C$19,'Finals 4'!$I17,"")))</f>
        <v/>
      </c>
      <c r="AF17" s="755">
        <f t="shared" ca="1" si="10"/>
        <v>100014</v>
      </c>
      <c r="AG17" s="753">
        <f t="shared" ca="1" si="11"/>
        <v>100016</v>
      </c>
      <c r="AH17" s="754">
        <f ca="1">IF(AJ17="",99999,'Finals 4'!$D17)</f>
        <v>99999</v>
      </c>
      <c r="AI17" s="328" t="str">
        <f ca="1">IF(AJ17="","",'Finals 4'!$E17)</f>
        <v/>
      </c>
      <c r="AJ17" s="329" t="str">
        <f ca="1">IF($C$24="","",IF('Finals 4'!$I17=$C$24,'Finals 4'!$K17,IF('Finals 4'!$K17=$C$24,'Finals 4'!$I17,"")))</f>
        <v/>
      </c>
      <c r="AK17" s="755">
        <f t="shared" ca="1" si="12"/>
        <v>100015</v>
      </c>
      <c r="AL17" s="753">
        <f t="shared" si="13"/>
        <v>100016</v>
      </c>
      <c r="AM17" s="754">
        <f>IF(AO17="",99999,'Finals 4'!$D17)</f>
        <v>99999</v>
      </c>
      <c r="AN17" s="328" t="str">
        <f>IF(AO17="","",'Finals 4'!$E17)</f>
        <v/>
      </c>
      <c r="AO17" s="329" t="str">
        <f>IF($C$29="","",IF('Finals 4'!$I17=$C$29,'Finals 4'!$K17,IF('Finals 4'!$K17=$C$29,'Finals 4'!$I17,"")))</f>
        <v/>
      </c>
      <c r="AP17" s="755">
        <f t="shared" si="14"/>
        <v>100016</v>
      </c>
      <c r="AQ17" s="753">
        <f t="shared" ca="1" si="15"/>
        <v>17.496527777777779</v>
      </c>
      <c r="AR17" s="754">
        <f ca="1">IF(AT17="",99999,'Finals 4'!$D17)</f>
        <v>0.49652777777777779</v>
      </c>
      <c r="AS17" s="328">
        <f ca="1">IF(AT17="","",'Finals 4'!$E17)</f>
        <v>4</v>
      </c>
      <c r="AT17" s="329" t="str">
        <f ca="1">IF($C$34="","",IF('Finals 4'!$I17=$C$34,'Finals 4'!$K17,IF('Finals 4'!$K17=$C$34,'Finals 4'!$I17,"")))</f>
        <v>Eintracht Frankfurt</v>
      </c>
      <c r="AU17" s="755">
        <f t="shared" ca="1" si="16"/>
        <v>100013</v>
      </c>
      <c r="AV17" s="753">
        <f t="shared" ca="1" si="17"/>
        <v>100016</v>
      </c>
      <c r="AW17" s="754">
        <f ca="1">IF(AY17="",99999,'Finals 4'!$D17)</f>
        <v>99999</v>
      </c>
      <c r="AX17" s="328" t="str">
        <f ca="1">IF(AY17="","",'Finals 4'!$E17)</f>
        <v/>
      </c>
      <c r="AY17" s="329" t="str">
        <f ca="1">IF($C$39="","",IF('Finals 4'!$I17=$C$39,'Finals 4'!$K17,IF('Finals 4'!$K17=$C$39,'Finals 4'!$I17,"")))</f>
        <v/>
      </c>
      <c r="AZ17" s="755">
        <f t="shared" ca="1" si="18"/>
        <v>100015</v>
      </c>
      <c r="BA17" s="753">
        <f t="shared" ca="1" si="19"/>
        <v>100016</v>
      </c>
      <c r="BB17" s="754">
        <f ca="1">IF(BD17="",99999,'Finals 4'!$D17)</f>
        <v>99999</v>
      </c>
      <c r="BC17" s="328" t="str">
        <f ca="1">IF(BD17="","",'Finals 4'!$E17)</f>
        <v/>
      </c>
      <c r="BD17" s="329" t="str">
        <f ca="1">IF($C$44="","",IF('Finals 4'!$I17=$C$44,'Finals 4'!$K17,IF('Finals 4'!$K17=$C$44,'Finals 4'!$I17,"")))</f>
        <v/>
      </c>
      <c r="BE17" s="755">
        <f t="shared" ca="1" si="20"/>
        <v>100014</v>
      </c>
      <c r="BF17" s="753">
        <f t="shared" ca="1" si="21"/>
        <v>100016</v>
      </c>
      <c r="BG17" s="754">
        <f ca="1">IF(BI17="",99999,'Finals 4'!$D17)</f>
        <v>99999</v>
      </c>
      <c r="BH17" s="328" t="str">
        <f ca="1">IF(BI17="","",'Finals 4'!$E17)</f>
        <v/>
      </c>
      <c r="BI17" s="329" t="str">
        <f ca="1">IF($C$49="","",IF('Finals 4'!$I17=$C$49,'Finals 4'!$K17,IF('Finals 4'!$K17=$C$49,'Finals 4'!$I17,"")))</f>
        <v/>
      </c>
      <c r="BJ17" s="755">
        <f t="shared" ca="1" si="22"/>
        <v>100014</v>
      </c>
      <c r="BK17" s="753">
        <f t="shared" ca="1" si="23"/>
        <v>100016</v>
      </c>
      <c r="BL17" s="754">
        <f ca="1">IF(BN17="",99999,'Finals 4'!$D17)</f>
        <v>99999</v>
      </c>
      <c r="BM17" s="328" t="str">
        <f ca="1">IF(BN17="","",'Finals 4'!$E17)</f>
        <v/>
      </c>
      <c r="BN17" s="329" t="str">
        <f ca="1">IF($C$54="","",IF('Finals 4'!$I17=$C$54,'Finals 4'!$K17,IF('Finals 4'!$K17=$C$54,'Finals 4'!$I17,"")))</f>
        <v/>
      </c>
      <c r="BO17" s="755">
        <f t="shared" ca="1" si="24"/>
        <v>100013</v>
      </c>
      <c r="BP17" s="753">
        <f t="shared" si="25"/>
        <v>100016</v>
      </c>
      <c r="BQ17" s="754">
        <f>IF(BS17="",99999,'Finals 4'!$D17)</f>
        <v>99999</v>
      </c>
      <c r="BR17" s="328" t="str">
        <f>IF(BS17="","",'Finals 4'!$E17)</f>
        <v/>
      </c>
      <c r="BS17" s="329" t="str">
        <f>IF($C$59="","",IF('Finals 4'!$I17=$C$59,'Finals 4'!$K17,IF('Finals 4'!$K17=$C$59,'Finals 4'!$I17,"")))</f>
        <v/>
      </c>
      <c r="BT17" s="755">
        <f t="shared" si="26"/>
        <v>100016</v>
      </c>
    </row>
    <row r="18" spans="2:72" ht="30" customHeight="1" thickBot="1" x14ac:dyDescent="0.25">
      <c r="J18" s="729">
        <f t="shared" ca="1" si="27"/>
        <v>0</v>
      </c>
      <c r="L18" s="165">
        <f ca="1">'Finals 4'!$C18</f>
        <v>25</v>
      </c>
      <c r="M18" s="753">
        <f t="shared" ca="1" si="3"/>
        <v>100017</v>
      </c>
      <c r="N18" s="754">
        <f ca="1">IF(P18="",99999,'Finals 4'!$D18)</f>
        <v>99999</v>
      </c>
      <c r="O18" s="328" t="str">
        <f ca="1">IF(P18="","",'Finals 4'!$E18)</f>
        <v/>
      </c>
      <c r="P18" s="329" t="str">
        <f ca="1">IF($C$4="","",IF('Finals 4'!$I18=$C$4,'Finals 4'!$K18,IF('Finals 4'!$K18=$C$4,'Finals 4'!$I18,"")))</f>
        <v/>
      </c>
      <c r="Q18" s="755">
        <f t="shared" ca="1" si="4"/>
        <v>100015</v>
      </c>
      <c r="R18" s="753">
        <f t="shared" ca="1" si="5"/>
        <v>100017</v>
      </c>
      <c r="S18" s="754">
        <f ca="1">IF(U18="",99999,'Finals 4'!$D18)</f>
        <v>99999</v>
      </c>
      <c r="T18" s="328" t="str">
        <f ca="1">IF(U18="","",'Finals 4'!$E18)</f>
        <v/>
      </c>
      <c r="U18" s="329" t="str">
        <f ca="1">IF($C$9="","",IF('Finals 4'!$I18=$C$9,'Finals 4'!$K18,IF('Finals 4'!$K18=$C$9,'Finals 4'!$I18,"")))</f>
        <v/>
      </c>
      <c r="V18" s="755">
        <f t="shared" ca="1" si="6"/>
        <v>100014</v>
      </c>
      <c r="W18" s="753">
        <f t="shared" ca="1" si="7"/>
        <v>100017</v>
      </c>
      <c r="X18" s="754">
        <f ca="1">IF(Z18="",99999,'Finals 4'!$D18)</f>
        <v>99999</v>
      </c>
      <c r="Y18" s="328" t="str">
        <f ca="1">IF(Z18="","",'Finals 4'!$E18)</f>
        <v/>
      </c>
      <c r="Z18" s="329" t="str">
        <f ca="1">IF($C$14="","",IF('Finals 4'!$I18=$C$14,'Finals 4'!$K18,IF('Finals 4'!$K18=$C$14,'Finals 4'!$I18,"")))</f>
        <v/>
      </c>
      <c r="AA18" s="755">
        <f t="shared" ca="1" si="8"/>
        <v>100014</v>
      </c>
      <c r="AB18" s="753">
        <f t="shared" ca="1" si="9"/>
        <v>100017</v>
      </c>
      <c r="AC18" s="754">
        <f ca="1">IF(AE18="",99999,'Finals 4'!$D18)</f>
        <v>99999</v>
      </c>
      <c r="AD18" s="328" t="str">
        <f ca="1">IF(AE18="","",'Finals 4'!$E18)</f>
        <v/>
      </c>
      <c r="AE18" s="329" t="str">
        <f ca="1">IF($C$19="","",IF('Finals 4'!$I18=$C$19,'Finals 4'!$K18,IF('Finals 4'!$K18=$C$19,'Finals 4'!$I18,"")))</f>
        <v/>
      </c>
      <c r="AF18" s="755">
        <f t="shared" ca="1" si="10"/>
        <v>100015</v>
      </c>
      <c r="AG18" s="753">
        <f t="shared" ca="1" si="11"/>
        <v>100017</v>
      </c>
      <c r="AH18" s="754">
        <f ca="1">IF(AJ18="",99999,'Finals 4'!$D18)</f>
        <v>99999</v>
      </c>
      <c r="AI18" s="328" t="str">
        <f ca="1">IF(AJ18="","",'Finals 4'!$E18)</f>
        <v/>
      </c>
      <c r="AJ18" s="329" t="str">
        <f ca="1">IF($C$24="","",IF('Finals 4'!$I18=$C$24,'Finals 4'!$K18,IF('Finals 4'!$K18=$C$24,'Finals 4'!$I18,"")))</f>
        <v/>
      </c>
      <c r="AK18" s="755">
        <f t="shared" ca="1" si="12"/>
        <v>100016</v>
      </c>
      <c r="AL18" s="753">
        <f t="shared" si="13"/>
        <v>100017</v>
      </c>
      <c r="AM18" s="754">
        <f>IF(AO18="",99999,'Finals 4'!$D18)</f>
        <v>99999</v>
      </c>
      <c r="AN18" s="328" t="str">
        <f>IF(AO18="","",'Finals 4'!$E18)</f>
        <v/>
      </c>
      <c r="AO18" s="329" t="str">
        <f>IF($C$29="","",IF('Finals 4'!$I18=$C$29,'Finals 4'!$K18,IF('Finals 4'!$K18=$C$29,'Finals 4'!$I18,"")))</f>
        <v/>
      </c>
      <c r="AP18" s="755">
        <f t="shared" si="14"/>
        <v>100017</v>
      </c>
      <c r="AQ18" s="753">
        <f t="shared" ca="1" si="15"/>
        <v>100017</v>
      </c>
      <c r="AR18" s="754">
        <f ca="1">IF(AT18="",99999,'Finals 4'!$D18)</f>
        <v>99999</v>
      </c>
      <c r="AS18" s="328" t="str">
        <f ca="1">IF(AT18="","",'Finals 4'!$E18)</f>
        <v/>
      </c>
      <c r="AT18" s="329" t="str">
        <f ca="1">IF($C$34="","",IF('Finals 4'!$I18=$C$34,'Finals 4'!$K18,IF('Finals 4'!$K18=$C$34,'Finals 4'!$I18,"")))</f>
        <v/>
      </c>
      <c r="AU18" s="755">
        <f t="shared" ca="1" si="16"/>
        <v>100014</v>
      </c>
      <c r="AV18" s="753">
        <f t="shared" ca="1" si="17"/>
        <v>100017</v>
      </c>
      <c r="AW18" s="754">
        <f ca="1">IF(AY18="",99999,'Finals 4'!$D18)</f>
        <v>99999</v>
      </c>
      <c r="AX18" s="328" t="str">
        <f ca="1">IF(AY18="","",'Finals 4'!$E18)</f>
        <v/>
      </c>
      <c r="AY18" s="329" t="str">
        <f ca="1">IF($C$39="","",IF('Finals 4'!$I18=$C$39,'Finals 4'!$K18,IF('Finals 4'!$K18=$C$39,'Finals 4'!$I18,"")))</f>
        <v/>
      </c>
      <c r="AZ18" s="755">
        <f t="shared" ca="1" si="18"/>
        <v>100016</v>
      </c>
      <c r="BA18" s="753">
        <f t="shared" ca="1" si="19"/>
        <v>100017</v>
      </c>
      <c r="BB18" s="754">
        <f ca="1">IF(BD18="",99999,'Finals 4'!$D18)</f>
        <v>99999</v>
      </c>
      <c r="BC18" s="328" t="str">
        <f ca="1">IF(BD18="","",'Finals 4'!$E18)</f>
        <v/>
      </c>
      <c r="BD18" s="329" t="str">
        <f ca="1">IF($C$44="","",IF('Finals 4'!$I18=$C$44,'Finals 4'!$K18,IF('Finals 4'!$K18=$C$44,'Finals 4'!$I18,"")))</f>
        <v/>
      </c>
      <c r="BE18" s="755">
        <f t="shared" ca="1" si="20"/>
        <v>100015</v>
      </c>
      <c r="BF18" s="753">
        <f t="shared" ca="1" si="21"/>
        <v>100017</v>
      </c>
      <c r="BG18" s="754">
        <f ca="1">IF(BI18="",99999,'Finals 4'!$D18)</f>
        <v>99999</v>
      </c>
      <c r="BH18" s="328" t="str">
        <f ca="1">IF(BI18="","",'Finals 4'!$E18)</f>
        <v/>
      </c>
      <c r="BI18" s="329" t="str">
        <f ca="1">IF($C$49="","",IF('Finals 4'!$I18=$C$49,'Finals 4'!$K18,IF('Finals 4'!$K18=$C$49,'Finals 4'!$I18,"")))</f>
        <v/>
      </c>
      <c r="BJ18" s="755">
        <f t="shared" ca="1" si="22"/>
        <v>100015</v>
      </c>
      <c r="BK18" s="753">
        <f t="shared" ca="1" si="23"/>
        <v>100017</v>
      </c>
      <c r="BL18" s="754">
        <f ca="1">IF(BN18="",99999,'Finals 4'!$D18)</f>
        <v>99999</v>
      </c>
      <c r="BM18" s="328" t="str">
        <f ca="1">IF(BN18="","",'Finals 4'!$E18)</f>
        <v/>
      </c>
      <c r="BN18" s="329" t="str">
        <f ca="1">IF($C$54="","",IF('Finals 4'!$I18=$C$54,'Finals 4'!$K18,IF('Finals 4'!$K18=$C$54,'Finals 4'!$I18,"")))</f>
        <v/>
      </c>
      <c r="BO18" s="755">
        <f t="shared" ca="1" si="24"/>
        <v>100014</v>
      </c>
      <c r="BP18" s="753">
        <f t="shared" si="25"/>
        <v>100017</v>
      </c>
      <c r="BQ18" s="754">
        <f>IF(BS18="",99999,'Finals 4'!$D18)</f>
        <v>99999</v>
      </c>
      <c r="BR18" s="328" t="str">
        <f>IF(BS18="","",'Finals 4'!$E18)</f>
        <v/>
      </c>
      <c r="BS18" s="329" t="str">
        <f>IF($C$59="","",IF('Finals 4'!$I18=$C$59,'Finals 4'!$K18,IF('Finals 4'!$K18=$C$59,'Finals 4'!$I18,"")))</f>
        <v/>
      </c>
      <c r="BT18" s="755">
        <f t="shared" si="26"/>
        <v>100017</v>
      </c>
    </row>
    <row r="19" spans="2:72" ht="15.95" customHeight="1" x14ac:dyDescent="0.2">
      <c r="B19" s="730" t="s">
        <v>198</v>
      </c>
      <c r="C19" s="731" t="str">
        <f>IF(Planning!$C$13="","",Planning!$C$13)</f>
        <v>Maibach 1822 eV</v>
      </c>
      <c r="E19" s="732" t="str">
        <f>Language!$E$60</f>
        <v>balls</v>
      </c>
      <c r="F19" s="733" t="str">
        <f>Language!$E$39</f>
        <v>Start</v>
      </c>
      <c r="G19" s="734" t="str">
        <f>Language!$E$48</f>
        <v>Field</v>
      </c>
      <c r="H19" s="735" t="str">
        <f>Language!$E$46</f>
        <v>Match against</v>
      </c>
      <c r="J19" s="729">
        <f t="shared" ca="1" si="27"/>
        <v>0</v>
      </c>
      <c r="L19" s="165">
        <f ca="1">'Finals 4'!$C19</f>
        <v>25</v>
      </c>
      <c r="M19" s="753">
        <f t="shared" ca="1" si="3"/>
        <v>19.520833333333332</v>
      </c>
      <c r="N19" s="754">
        <f ca="1">IF(P19="",99999,'Finals 4'!$D19)</f>
        <v>0.52083333333333337</v>
      </c>
      <c r="O19" s="328">
        <f ca="1">IF(P19="","",'Finals 4'!$E19)</f>
        <v>1</v>
      </c>
      <c r="P19" s="329" t="str">
        <f ca="1">IF($C$4="","",IF('Finals 4'!$I19=$C$4,'Finals 4'!$K19,IF('Finals 4'!$K19=$C$4,'Finals 4'!$I19,"")))</f>
        <v>FC Barcelona</v>
      </c>
      <c r="Q19" s="755">
        <f t="shared" ca="1" si="4"/>
        <v>100016</v>
      </c>
      <c r="R19" s="753">
        <f t="shared" ca="1" si="5"/>
        <v>19.520833333333332</v>
      </c>
      <c r="S19" s="754">
        <f ca="1">IF(U19="",99999,'Finals 4'!$D19)</f>
        <v>0.52083333333333337</v>
      </c>
      <c r="T19" s="328">
        <f ca="1">IF(U19="","",'Finals 4'!$E19)</f>
        <v>1</v>
      </c>
      <c r="U19" s="329" t="str">
        <f ca="1">IF($C$9="","",IF('Finals 4'!$I19=$C$9,'Finals 4'!$K19,IF('Finals 4'!$K19=$C$9,'Finals 4'!$I19,"")))</f>
        <v>1. FC Riedwald</v>
      </c>
      <c r="V19" s="755">
        <f t="shared" ca="1" si="6"/>
        <v>100016</v>
      </c>
      <c r="W19" s="753">
        <f t="shared" ca="1" si="7"/>
        <v>100018</v>
      </c>
      <c r="X19" s="754">
        <f ca="1">IF(Z19="",99999,'Finals 4'!$D19)</f>
        <v>99999</v>
      </c>
      <c r="Y19" s="328" t="str">
        <f ca="1">IF(Z19="","",'Finals 4'!$E19)</f>
        <v/>
      </c>
      <c r="Z19" s="329" t="str">
        <f ca="1">IF($C$14="","",IF('Finals 4'!$I19=$C$14,'Finals 4'!$K19,IF('Finals 4'!$K19=$C$14,'Finals 4'!$I19,"")))</f>
        <v/>
      </c>
      <c r="AA19" s="755">
        <f t="shared" ca="1" si="8"/>
        <v>100015</v>
      </c>
      <c r="AB19" s="753">
        <f t="shared" ca="1" si="9"/>
        <v>100018</v>
      </c>
      <c r="AC19" s="754">
        <f ca="1">IF(AE19="",99999,'Finals 4'!$D19)</f>
        <v>99999</v>
      </c>
      <c r="AD19" s="328" t="str">
        <f ca="1">IF(AE19="","",'Finals 4'!$E19)</f>
        <v/>
      </c>
      <c r="AE19" s="329" t="str">
        <f ca="1">IF($C$19="","",IF('Finals 4'!$I19=$C$19,'Finals 4'!$K19,IF('Finals 4'!$K19=$C$19,'Finals 4'!$I19,"")))</f>
        <v/>
      </c>
      <c r="AF19" s="755">
        <f t="shared" ca="1" si="10"/>
        <v>100016</v>
      </c>
      <c r="AG19" s="753">
        <f t="shared" ca="1" si="11"/>
        <v>100018</v>
      </c>
      <c r="AH19" s="754">
        <f ca="1">IF(AJ19="",99999,'Finals 4'!$D19)</f>
        <v>99999</v>
      </c>
      <c r="AI19" s="328" t="str">
        <f ca="1">IF(AJ19="","",'Finals 4'!$E19)</f>
        <v/>
      </c>
      <c r="AJ19" s="329" t="str">
        <f ca="1">IF($C$24="","",IF('Finals 4'!$I19=$C$24,'Finals 4'!$K19,IF('Finals 4'!$K19=$C$24,'Finals 4'!$I19,"")))</f>
        <v/>
      </c>
      <c r="AK19" s="755">
        <f t="shared" ca="1" si="12"/>
        <v>100017</v>
      </c>
      <c r="AL19" s="753">
        <f t="shared" si="13"/>
        <v>100018</v>
      </c>
      <c r="AM19" s="754">
        <f>IF(AO19="",99999,'Finals 4'!$D19)</f>
        <v>99999</v>
      </c>
      <c r="AN19" s="328" t="str">
        <f>IF(AO19="","",'Finals 4'!$E19)</f>
        <v/>
      </c>
      <c r="AO19" s="329" t="str">
        <f>IF($C$29="","",IF('Finals 4'!$I19=$C$29,'Finals 4'!$K19,IF('Finals 4'!$K19=$C$29,'Finals 4'!$I19,"")))</f>
        <v/>
      </c>
      <c r="AP19" s="755">
        <f t="shared" si="14"/>
        <v>100018</v>
      </c>
      <c r="AQ19" s="753">
        <f t="shared" ca="1" si="15"/>
        <v>100018</v>
      </c>
      <c r="AR19" s="754">
        <f ca="1">IF(AT19="",99999,'Finals 4'!$D19)</f>
        <v>99999</v>
      </c>
      <c r="AS19" s="328" t="str">
        <f ca="1">IF(AT19="","",'Finals 4'!$E19)</f>
        <v/>
      </c>
      <c r="AT19" s="329" t="str">
        <f ca="1">IF($C$34="","",IF('Finals 4'!$I19=$C$34,'Finals 4'!$K19,IF('Finals 4'!$K19=$C$34,'Finals 4'!$I19,"")))</f>
        <v/>
      </c>
      <c r="AU19" s="755">
        <f t="shared" ca="1" si="16"/>
        <v>100015</v>
      </c>
      <c r="AV19" s="753">
        <f t="shared" ca="1" si="17"/>
        <v>100018</v>
      </c>
      <c r="AW19" s="754">
        <f ca="1">IF(AY19="",99999,'Finals 4'!$D19)</f>
        <v>99999</v>
      </c>
      <c r="AX19" s="328" t="str">
        <f ca="1">IF(AY19="","",'Finals 4'!$E19)</f>
        <v/>
      </c>
      <c r="AY19" s="329" t="str">
        <f ca="1">IF($C$39="","",IF('Finals 4'!$I19=$C$39,'Finals 4'!$K19,IF('Finals 4'!$K19=$C$39,'Finals 4'!$I19,"")))</f>
        <v/>
      </c>
      <c r="AZ19" s="755">
        <f t="shared" ca="1" si="18"/>
        <v>100017</v>
      </c>
      <c r="BA19" s="753">
        <f t="shared" ca="1" si="19"/>
        <v>100018</v>
      </c>
      <c r="BB19" s="754">
        <f ca="1">IF(BD19="",99999,'Finals 4'!$D19)</f>
        <v>99999</v>
      </c>
      <c r="BC19" s="328" t="str">
        <f ca="1">IF(BD19="","",'Finals 4'!$E19)</f>
        <v/>
      </c>
      <c r="BD19" s="329" t="str">
        <f ca="1">IF($C$44="","",IF('Finals 4'!$I19=$C$44,'Finals 4'!$K19,IF('Finals 4'!$K19=$C$44,'Finals 4'!$I19,"")))</f>
        <v/>
      </c>
      <c r="BE19" s="755">
        <f t="shared" ca="1" si="20"/>
        <v>100016</v>
      </c>
      <c r="BF19" s="753">
        <f t="shared" ca="1" si="21"/>
        <v>100018</v>
      </c>
      <c r="BG19" s="754">
        <f ca="1">IF(BI19="",99999,'Finals 4'!$D19)</f>
        <v>99999</v>
      </c>
      <c r="BH19" s="328" t="str">
        <f ca="1">IF(BI19="","",'Finals 4'!$E19)</f>
        <v/>
      </c>
      <c r="BI19" s="329" t="str">
        <f ca="1">IF($C$49="","",IF('Finals 4'!$I19=$C$49,'Finals 4'!$K19,IF('Finals 4'!$K19=$C$49,'Finals 4'!$I19,"")))</f>
        <v/>
      </c>
      <c r="BJ19" s="755">
        <f t="shared" ca="1" si="22"/>
        <v>100016</v>
      </c>
      <c r="BK19" s="753">
        <f t="shared" ca="1" si="23"/>
        <v>100018</v>
      </c>
      <c r="BL19" s="754">
        <f ca="1">IF(BN19="",99999,'Finals 4'!$D19)</f>
        <v>99999</v>
      </c>
      <c r="BM19" s="328" t="str">
        <f ca="1">IF(BN19="","",'Finals 4'!$E19)</f>
        <v/>
      </c>
      <c r="BN19" s="329" t="str">
        <f ca="1">IF($C$54="","",IF('Finals 4'!$I19=$C$54,'Finals 4'!$K19,IF('Finals 4'!$K19=$C$54,'Finals 4'!$I19,"")))</f>
        <v/>
      </c>
      <c r="BO19" s="755">
        <f t="shared" ca="1" si="24"/>
        <v>100016</v>
      </c>
      <c r="BP19" s="753">
        <f t="shared" si="25"/>
        <v>100018</v>
      </c>
      <c r="BQ19" s="754">
        <f>IF(BS19="",99999,'Finals 4'!$D19)</f>
        <v>99999</v>
      </c>
      <c r="BR19" s="328" t="str">
        <f>IF(BS19="","",'Finals 4'!$E19)</f>
        <v/>
      </c>
      <c r="BS19" s="329" t="str">
        <f>IF($C$59="","",IF('Finals 4'!$I19=$C$59,'Finals 4'!$K19,IF('Finals 4'!$K19=$C$59,'Finals 4'!$I19,"")))</f>
        <v/>
      </c>
      <c r="BT19" s="755">
        <f t="shared" si="26"/>
        <v>100018</v>
      </c>
    </row>
    <row r="20" spans="2:72" ht="15.95" customHeight="1" x14ac:dyDescent="0.2">
      <c r="E20" s="736">
        <f ca="1">IF($AF$12&lt;99999,INDEX($L$12:$L$29,MATCH($AF$12,$AB$12:$AB$29,0)),"")</f>
        <v>22</v>
      </c>
      <c r="F20" s="737">
        <f ca="1">IF($AF$12&lt;99999,VLOOKUP($AF$12,$AB$12:$AE$29,2,0),"")</f>
        <v>0.49652777777777779</v>
      </c>
      <c r="G20" s="738">
        <f ca="1">IF($AF$12&lt;99999,VLOOKUP($AF$12,$AB$12:$AE$29,3,0),"")</f>
        <v>2</v>
      </c>
      <c r="H20" s="739" t="str">
        <f ca="1">IF($AF$12&lt;99999,VLOOKUP($AF$12,$AB$12:$AE$29,4,0),"")</f>
        <v>Manchester City</v>
      </c>
      <c r="J20" s="729">
        <f t="shared" ca="1" si="27"/>
        <v>0</v>
      </c>
      <c r="K20" s="729" t="str">
        <f ca="1">IF(J20=0,"",$C$19)</f>
        <v/>
      </c>
      <c r="L20" s="165">
        <f ca="1">'Finals 4'!$C20</f>
        <v>26</v>
      </c>
      <c r="M20" s="753">
        <f t="shared" ca="1" si="3"/>
        <v>100019</v>
      </c>
      <c r="N20" s="754">
        <f ca="1">IF(P20="",99999,'Finals 4'!$D20)</f>
        <v>99999</v>
      </c>
      <c r="O20" s="328" t="str">
        <f ca="1">IF(P20="","",'Finals 4'!$E20)</f>
        <v/>
      </c>
      <c r="P20" s="329" t="str">
        <f ca="1">IF($C$4="","",IF('Finals 4'!$I20=$C$4,'Finals 4'!$K20,IF('Finals 4'!$K20=$C$4,'Finals 4'!$I20,"")))</f>
        <v/>
      </c>
      <c r="Q20" s="755">
        <f t="shared" ca="1" si="4"/>
        <v>100017</v>
      </c>
      <c r="R20" s="753">
        <f t="shared" ca="1" si="5"/>
        <v>100019</v>
      </c>
      <c r="S20" s="754">
        <f ca="1">IF(U20="",99999,'Finals 4'!$D20)</f>
        <v>99999</v>
      </c>
      <c r="T20" s="328" t="str">
        <f ca="1">IF(U20="","",'Finals 4'!$E20)</f>
        <v/>
      </c>
      <c r="U20" s="329" t="str">
        <f ca="1">IF($C$9="","",IF('Finals 4'!$I20=$C$9,'Finals 4'!$K20,IF('Finals 4'!$K20=$C$9,'Finals 4'!$I20,"")))</f>
        <v/>
      </c>
      <c r="V20" s="755">
        <f t="shared" ca="1" si="6"/>
        <v>100017</v>
      </c>
      <c r="W20" s="753">
        <f t="shared" ca="1" si="7"/>
        <v>20.520833333333332</v>
      </c>
      <c r="X20" s="754">
        <f ca="1">IF(Z20="",99999,'Finals 4'!$D20)</f>
        <v>0.52083333333333337</v>
      </c>
      <c r="Y20" s="328">
        <f ca="1">IF(Z20="","",'Finals 4'!$E20)</f>
        <v>2</v>
      </c>
      <c r="Z20" s="329" t="str">
        <f ca="1">IF($C$14="","",IF('Finals 4'!$I20=$C$14,'Finals 4'!$K20,IF('Finals 4'!$K20=$C$14,'Finals 4'!$I20,"")))</f>
        <v>Maibach 1822 eV</v>
      </c>
      <c r="AA20" s="755">
        <f t="shared" ca="1" si="8"/>
        <v>100017</v>
      </c>
      <c r="AB20" s="753">
        <f t="shared" ca="1" si="9"/>
        <v>20.520833333333332</v>
      </c>
      <c r="AC20" s="754">
        <f ca="1">IF(AE20="",99999,'Finals 4'!$D20)</f>
        <v>0.52083333333333337</v>
      </c>
      <c r="AD20" s="328">
        <f ca="1">IF(AE20="","",'Finals 4'!$E20)</f>
        <v>2</v>
      </c>
      <c r="AE20" s="329" t="str">
        <f ca="1">IF($C$19="","",IF('Finals 4'!$I20=$C$19,'Finals 4'!$K20,IF('Finals 4'!$K20=$C$19,'Finals 4'!$I20,"")))</f>
        <v>Eintracht Frankfurt</v>
      </c>
      <c r="AF20" s="755">
        <f t="shared" ca="1" si="10"/>
        <v>100017</v>
      </c>
      <c r="AG20" s="753">
        <f t="shared" ca="1" si="11"/>
        <v>100019</v>
      </c>
      <c r="AH20" s="754">
        <f ca="1">IF(AJ20="",99999,'Finals 4'!$D20)</f>
        <v>99999</v>
      </c>
      <c r="AI20" s="328" t="str">
        <f ca="1">IF(AJ20="","",'Finals 4'!$E20)</f>
        <v/>
      </c>
      <c r="AJ20" s="329" t="str">
        <f ca="1">IF($C$24="","",IF('Finals 4'!$I20=$C$24,'Finals 4'!$K20,IF('Finals 4'!$K20=$C$24,'Finals 4'!$I20,"")))</f>
        <v/>
      </c>
      <c r="AK20" s="755">
        <f t="shared" ca="1" si="12"/>
        <v>100018</v>
      </c>
      <c r="AL20" s="753">
        <f t="shared" si="13"/>
        <v>100019</v>
      </c>
      <c r="AM20" s="754">
        <f>IF(AO20="",99999,'Finals 4'!$D20)</f>
        <v>99999</v>
      </c>
      <c r="AN20" s="328" t="str">
        <f>IF(AO20="","",'Finals 4'!$E20)</f>
        <v/>
      </c>
      <c r="AO20" s="329" t="str">
        <f>IF($C$29="","",IF('Finals 4'!$I20=$C$29,'Finals 4'!$K20,IF('Finals 4'!$K20=$C$29,'Finals 4'!$I20,"")))</f>
        <v/>
      </c>
      <c r="AP20" s="755">
        <f t="shared" si="14"/>
        <v>100019</v>
      </c>
      <c r="AQ20" s="753">
        <f t="shared" ca="1" si="15"/>
        <v>100019</v>
      </c>
      <c r="AR20" s="754">
        <f ca="1">IF(AT20="",99999,'Finals 4'!$D20)</f>
        <v>99999</v>
      </c>
      <c r="AS20" s="328" t="str">
        <f ca="1">IF(AT20="","",'Finals 4'!$E20)</f>
        <v/>
      </c>
      <c r="AT20" s="329" t="str">
        <f ca="1">IF($C$34="","",IF('Finals 4'!$I20=$C$34,'Finals 4'!$K20,IF('Finals 4'!$K20=$C$34,'Finals 4'!$I20,"")))</f>
        <v/>
      </c>
      <c r="AU20" s="755">
        <f t="shared" ca="1" si="16"/>
        <v>100017</v>
      </c>
      <c r="AV20" s="753">
        <f t="shared" ca="1" si="17"/>
        <v>100019</v>
      </c>
      <c r="AW20" s="754">
        <f ca="1">IF(AY20="",99999,'Finals 4'!$D20)</f>
        <v>99999</v>
      </c>
      <c r="AX20" s="328" t="str">
        <f ca="1">IF(AY20="","",'Finals 4'!$E20)</f>
        <v/>
      </c>
      <c r="AY20" s="329" t="str">
        <f ca="1">IF($C$39="","",IF('Finals 4'!$I20=$C$39,'Finals 4'!$K20,IF('Finals 4'!$K20=$C$39,'Finals 4'!$I20,"")))</f>
        <v/>
      </c>
      <c r="AZ20" s="755">
        <f t="shared" ca="1" si="18"/>
        <v>100018</v>
      </c>
      <c r="BA20" s="753">
        <f t="shared" ca="1" si="19"/>
        <v>100019</v>
      </c>
      <c r="BB20" s="754">
        <f ca="1">IF(BD20="",99999,'Finals 4'!$D20)</f>
        <v>99999</v>
      </c>
      <c r="BC20" s="328" t="str">
        <f ca="1">IF(BD20="","",'Finals 4'!$E20)</f>
        <v/>
      </c>
      <c r="BD20" s="329" t="str">
        <f ca="1">IF($C$44="","",IF('Finals 4'!$I20=$C$44,'Finals 4'!$K20,IF('Finals 4'!$K20=$C$44,'Finals 4'!$I20,"")))</f>
        <v/>
      </c>
      <c r="BE20" s="755">
        <f t="shared" ca="1" si="20"/>
        <v>100017</v>
      </c>
      <c r="BF20" s="753">
        <f t="shared" ca="1" si="21"/>
        <v>100019</v>
      </c>
      <c r="BG20" s="754">
        <f ca="1">IF(BI20="",99999,'Finals 4'!$D20)</f>
        <v>99999</v>
      </c>
      <c r="BH20" s="328" t="str">
        <f ca="1">IF(BI20="","",'Finals 4'!$E20)</f>
        <v/>
      </c>
      <c r="BI20" s="329" t="str">
        <f ca="1">IF($C$49="","",IF('Finals 4'!$I20=$C$49,'Finals 4'!$K20,IF('Finals 4'!$K20=$C$49,'Finals 4'!$I20,"")))</f>
        <v/>
      </c>
      <c r="BJ20" s="755">
        <f t="shared" ca="1" si="22"/>
        <v>100017</v>
      </c>
      <c r="BK20" s="753">
        <f t="shared" ca="1" si="23"/>
        <v>100019</v>
      </c>
      <c r="BL20" s="754">
        <f ca="1">IF(BN20="",99999,'Finals 4'!$D20)</f>
        <v>99999</v>
      </c>
      <c r="BM20" s="328" t="str">
        <f ca="1">IF(BN20="","",'Finals 4'!$E20)</f>
        <v/>
      </c>
      <c r="BN20" s="329" t="str">
        <f ca="1">IF($C$54="","",IF('Finals 4'!$I20=$C$54,'Finals 4'!$K20,IF('Finals 4'!$K20=$C$54,'Finals 4'!$I20,"")))</f>
        <v/>
      </c>
      <c r="BO20" s="755">
        <f t="shared" ca="1" si="24"/>
        <v>100017</v>
      </c>
      <c r="BP20" s="753">
        <f t="shared" si="25"/>
        <v>100019</v>
      </c>
      <c r="BQ20" s="754">
        <f>IF(BS20="",99999,'Finals 4'!$D20)</f>
        <v>99999</v>
      </c>
      <c r="BR20" s="328" t="str">
        <f>IF(BS20="","",'Finals 4'!$E20)</f>
        <v/>
      </c>
      <c r="BS20" s="329" t="str">
        <f>IF($C$59="","",IF('Finals 4'!$I20=$C$59,'Finals 4'!$K20,IF('Finals 4'!$K20=$C$59,'Finals 4'!$I20,"")))</f>
        <v/>
      </c>
      <c r="BT20" s="755">
        <f t="shared" si="26"/>
        <v>100019</v>
      </c>
    </row>
    <row r="21" spans="2:72" ht="15.95" customHeight="1" x14ac:dyDescent="0.2">
      <c r="E21" s="736">
        <f ca="1">IF($AF$13&lt;99999,INDEX($L$12:$L$29,MATCH($AF$13,$AB$12:$AB$29,0)),"")</f>
        <v>26</v>
      </c>
      <c r="F21" s="740">
        <f ca="1">IF($AF$13&lt;99999,VLOOKUP($AF$13,$AB$12:$AE$29,2,0),"")</f>
        <v>0.52083333333333337</v>
      </c>
      <c r="G21" s="741">
        <f ca="1">IF($AF$13&lt;99999,VLOOKUP($AF$13,$AB$12:$AE$29,3,0),"")</f>
        <v>2</v>
      </c>
      <c r="H21" s="742" t="str">
        <f ca="1">IF($AF$13&lt;99999,VLOOKUP($AF$13,$AB$12:$AE$29,4,0),"")</f>
        <v>Eintracht Frankfurt</v>
      </c>
      <c r="J21" s="729">
        <f t="shared" ca="1" si="27"/>
        <v>0</v>
      </c>
      <c r="K21" s="729" t="str">
        <f t="shared" ref="K21:K22" ca="1" si="29">IF(J21=0,"",$C$19)</f>
        <v/>
      </c>
      <c r="L21" s="165">
        <f ca="1">'Finals 4'!$C21</f>
        <v>27</v>
      </c>
      <c r="M21" s="753">
        <f t="shared" ca="1" si="3"/>
        <v>100020</v>
      </c>
      <c r="N21" s="754">
        <f ca="1">IF(P21="",99999,'Finals 4'!$D21)</f>
        <v>99999</v>
      </c>
      <c r="O21" s="328" t="str">
        <f ca="1">IF(P21="","",'Finals 4'!$E21)</f>
        <v/>
      </c>
      <c r="P21" s="329" t="str">
        <f ca="1">IF($C$4="","",IF('Finals 4'!$I21=$C$4,'Finals 4'!$K21,IF('Finals 4'!$K21=$C$4,'Finals 4'!$I21,"")))</f>
        <v/>
      </c>
      <c r="Q21" s="755">
        <f t="shared" ca="1" si="4"/>
        <v>100019</v>
      </c>
      <c r="R21" s="753">
        <f t="shared" ca="1" si="5"/>
        <v>100020</v>
      </c>
      <c r="S21" s="754">
        <f ca="1">IF(U21="",99999,'Finals 4'!$D21)</f>
        <v>99999</v>
      </c>
      <c r="T21" s="328" t="str">
        <f ca="1">IF(U21="","",'Finals 4'!$E21)</f>
        <v/>
      </c>
      <c r="U21" s="329" t="str">
        <f ca="1">IF($C$9="","",IF('Finals 4'!$I21=$C$9,'Finals 4'!$K21,IF('Finals 4'!$K21=$C$9,'Finals 4'!$I21,"")))</f>
        <v/>
      </c>
      <c r="V21" s="755">
        <f t="shared" ca="1" si="6"/>
        <v>100019</v>
      </c>
      <c r="W21" s="753">
        <f t="shared" ca="1" si="7"/>
        <v>100020</v>
      </c>
      <c r="X21" s="754">
        <f ca="1">IF(Z21="",99999,'Finals 4'!$D21)</f>
        <v>99999</v>
      </c>
      <c r="Y21" s="328" t="str">
        <f ca="1">IF(Z21="","",'Finals 4'!$E21)</f>
        <v/>
      </c>
      <c r="Z21" s="329" t="str">
        <f ca="1">IF($C$14="","",IF('Finals 4'!$I21=$C$14,'Finals 4'!$K21,IF('Finals 4'!$K21=$C$14,'Finals 4'!$I21,"")))</f>
        <v/>
      </c>
      <c r="AA21" s="755">
        <f t="shared" ca="1" si="8"/>
        <v>100018</v>
      </c>
      <c r="AB21" s="753">
        <f t="shared" ca="1" si="9"/>
        <v>100020</v>
      </c>
      <c r="AC21" s="754">
        <f ca="1">IF(AE21="",99999,'Finals 4'!$D21)</f>
        <v>99999</v>
      </c>
      <c r="AD21" s="328" t="str">
        <f ca="1">IF(AE21="","",'Finals 4'!$E21)</f>
        <v/>
      </c>
      <c r="AE21" s="329" t="str">
        <f ca="1">IF($C$19="","",IF('Finals 4'!$I21=$C$19,'Finals 4'!$K21,IF('Finals 4'!$K21=$C$19,'Finals 4'!$I21,"")))</f>
        <v/>
      </c>
      <c r="AF21" s="755">
        <f t="shared" ca="1" si="10"/>
        <v>100018</v>
      </c>
      <c r="AG21" s="753">
        <f t="shared" ca="1" si="11"/>
        <v>100020</v>
      </c>
      <c r="AH21" s="754">
        <f ca="1">IF(AJ21="",99999,'Finals 4'!$D21)</f>
        <v>99999</v>
      </c>
      <c r="AI21" s="328" t="str">
        <f ca="1">IF(AJ21="","",'Finals 4'!$E21)</f>
        <v/>
      </c>
      <c r="AJ21" s="329" t="str">
        <f ca="1">IF($C$24="","",IF('Finals 4'!$I21=$C$24,'Finals 4'!$K21,IF('Finals 4'!$K21=$C$24,'Finals 4'!$I21,"")))</f>
        <v/>
      </c>
      <c r="AK21" s="755">
        <f t="shared" ca="1" si="12"/>
        <v>100019</v>
      </c>
      <c r="AL21" s="753">
        <f t="shared" si="13"/>
        <v>100020</v>
      </c>
      <c r="AM21" s="754">
        <f>IF(AO21="",99999,'Finals 4'!$D21)</f>
        <v>99999</v>
      </c>
      <c r="AN21" s="328" t="str">
        <f>IF(AO21="","",'Finals 4'!$E21)</f>
        <v/>
      </c>
      <c r="AO21" s="329" t="str">
        <f>IF($C$29="","",IF('Finals 4'!$I21=$C$29,'Finals 4'!$K21,IF('Finals 4'!$K21=$C$29,'Finals 4'!$I21,"")))</f>
        <v/>
      </c>
      <c r="AP21" s="755">
        <f t="shared" si="14"/>
        <v>100020</v>
      </c>
      <c r="AQ21" s="753">
        <f t="shared" ca="1" si="15"/>
        <v>100020</v>
      </c>
      <c r="AR21" s="754">
        <f ca="1">IF(AT21="",99999,'Finals 4'!$D21)</f>
        <v>99999</v>
      </c>
      <c r="AS21" s="328" t="str">
        <f ca="1">IF(AT21="","",'Finals 4'!$E21)</f>
        <v/>
      </c>
      <c r="AT21" s="329" t="str">
        <f ca="1">IF($C$34="","",IF('Finals 4'!$I21=$C$34,'Finals 4'!$K21,IF('Finals 4'!$K21=$C$34,'Finals 4'!$I21,"")))</f>
        <v/>
      </c>
      <c r="AU21" s="755">
        <f t="shared" ca="1" si="16"/>
        <v>100018</v>
      </c>
      <c r="AV21" s="753">
        <f t="shared" ca="1" si="17"/>
        <v>100020</v>
      </c>
      <c r="AW21" s="754">
        <f ca="1">IF(AY21="",99999,'Finals 4'!$D21)</f>
        <v>99999</v>
      </c>
      <c r="AX21" s="328" t="str">
        <f ca="1">IF(AY21="","",'Finals 4'!$E21)</f>
        <v/>
      </c>
      <c r="AY21" s="329" t="str">
        <f ca="1">IF($C$39="","",IF('Finals 4'!$I21=$C$39,'Finals 4'!$K21,IF('Finals 4'!$K21=$C$39,'Finals 4'!$I21,"")))</f>
        <v/>
      </c>
      <c r="AZ21" s="755">
        <f t="shared" ca="1" si="18"/>
        <v>100019</v>
      </c>
      <c r="BA21" s="753">
        <f t="shared" ca="1" si="19"/>
        <v>100020</v>
      </c>
      <c r="BB21" s="754">
        <f ca="1">IF(BD21="",99999,'Finals 4'!$D21)</f>
        <v>99999</v>
      </c>
      <c r="BC21" s="328" t="str">
        <f ca="1">IF(BD21="","",'Finals 4'!$E21)</f>
        <v/>
      </c>
      <c r="BD21" s="329" t="str">
        <f ca="1">IF($C$44="","",IF('Finals 4'!$I21=$C$44,'Finals 4'!$K21,IF('Finals 4'!$K21=$C$44,'Finals 4'!$I21,"")))</f>
        <v/>
      </c>
      <c r="BE21" s="755">
        <f t="shared" ca="1" si="20"/>
        <v>100018</v>
      </c>
      <c r="BF21" s="753">
        <f t="shared" ca="1" si="21"/>
        <v>100020</v>
      </c>
      <c r="BG21" s="754">
        <f ca="1">IF(BI21="",99999,'Finals 4'!$D21)</f>
        <v>99999</v>
      </c>
      <c r="BH21" s="328" t="str">
        <f ca="1">IF(BI21="","",'Finals 4'!$E21)</f>
        <v/>
      </c>
      <c r="BI21" s="329" t="str">
        <f ca="1">IF($C$49="","",IF('Finals 4'!$I21=$C$49,'Finals 4'!$K21,IF('Finals 4'!$K21=$C$49,'Finals 4'!$I21,"")))</f>
        <v/>
      </c>
      <c r="BJ21" s="755">
        <f t="shared" ca="1" si="22"/>
        <v>100018</v>
      </c>
      <c r="BK21" s="753">
        <f t="shared" ca="1" si="23"/>
        <v>100020</v>
      </c>
      <c r="BL21" s="754">
        <f ca="1">IF(BN21="",99999,'Finals 4'!$D21)</f>
        <v>99999</v>
      </c>
      <c r="BM21" s="328" t="str">
        <f ca="1">IF(BN21="","",'Finals 4'!$E21)</f>
        <v/>
      </c>
      <c r="BN21" s="329" t="str">
        <f ca="1">IF($C$54="","",IF('Finals 4'!$I21=$C$54,'Finals 4'!$K21,IF('Finals 4'!$K21=$C$54,'Finals 4'!$I21,"")))</f>
        <v/>
      </c>
      <c r="BO21" s="755">
        <f t="shared" ca="1" si="24"/>
        <v>100018</v>
      </c>
      <c r="BP21" s="753">
        <f t="shared" si="25"/>
        <v>100020</v>
      </c>
      <c r="BQ21" s="754">
        <f>IF(BS21="",99999,'Finals 4'!$D21)</f>
        <v>99999</v>
      </c>
      <c r="BR21" s="328" t="str">
        <f>IF(BS21="","",'Finals 4'!$E21)</f>
        <v/>
      </c>
      <c r="BS21" s="329" t="str">
        <f>IF($C$59="","",IF('Finals 4'!$I21=$C$59,'Finals 4'!$K21,IF('Finals 4'!$K21=$C$59,'Finals 4'!$I21,"")))</f>
        <v/>
      </c>
      <c r="BT21" s="755">
        <f t="shared" si="26"/>
        <v>100020</v>
      </c>
    </row>
    <row r="22" spans="2:72" ht="15.95" customHeight="1" thickBot="1" x14ac:dyDescent="0.25">
      <c r="E22" s="743">
        <f ca="1">IF($AF$14&lt;99999,INDEX($L$12:$L$29,MATCH($AF$14,$AB$12:$AB$29,0)),"")</f>
        <v>33</v>
      </c>
      <c r="F22" s="744">
        <f ca="1">IF($AF$14&lt;99999,VLOOKUP($AF$14,$AB$12:$AE$29,2,0),"")</f>
        <v>0.56944444444444442</v>
      </c>
      <c r="G22" s="745">
        <f ca="1">IF($AF$14&lt;99999,VLOOKUP($AF$14,$AB$12:$AE$29,3,0),"")</f>
        <v>1</v>
      </c>
      <c r="H22" s="746" t="str">
        <f ca="1">IF($AF$14&lt;99999,VLOOKUP($AF$14,$AB$12:$AE$29,4,0),"")</f>
        <v>Mainz 05</v>
      </c>
      <c r="J22" s="729">
        <f t="shared" ca="1" si="27"/>
        <v>0</v>
      </c>
      <c r="K22" s="729" t="str">
        <f t="shared" ca="1" si="29"/>
        <v/>
      </c>
      <c r="L22" s="165">
        <f ca="1">'Finals 4'!$C22</f>
        <v>27</v>
      </c>
      <c r="M22" s="753">
        <f t="shared" ca="1" si="3"/>
        <v>100021</v>
      </c>
      <c r="N22" s="754">
        <f ca="1">IF(P22="",99999,'Finals 4'!$D22)</f>
        <v>99999</v>
      </c>
      <c r="O22" s="328" t="str">
        <f ca="1">IF(P22="","",'Finals 4'!$E22)</f>
        <v/>
      </c>
      <c r="P22" s="329" t="str">
        <f ca="1">IF($C$4="","",IF('Finals 4'!$I22=$C$4,'Finals 4'!$K22,IF('Finals 4'!$K22=$C$4,'Finals 4'!$I22,"")))</f>
        <v/>
      </c>
      <c r="Q22" s="755">
        <f t="shared" ca="1" si="4"/>
        <v>100020</v>
      </c>
      <c r="R22" s="753">
        <f t="shared" ca="1" si="5"/>
        <v>100021</v>
      </c>
      <c r="S22" s="754">
        <f ca="1">IF(U22="",99999,'Finals 4'!$D22)</f>
        <v>99999</v>
      </c>
      <c r="T22" s="328" t="str">
        <f ca="1">IF(U22="","",'Finals 4'!$E22)</f>
        <v/>
      </c>
      <c r="U22" s="329" t="str">
        <f ca="1">IF($C$9="","",IF('Finals 4'!$I22=$C$9,'Finals 4'!$K22,IF('Finals 4'!$K22=$C$9,'Finals 4'!$I22,"")))</f>
        <v/>
      </c>
      <c r="V22" s="755">
        <f t="shared" ca="1" si="6"/>
        <v>100020</v>
      </c>
      <c r="W22" s="753">
        <f t="shared" ca="1" si="7"/>
        <v>100021</v>
      </c>
      <c r="X22" s="754">
        <f ca="1">IF(Z22="",99999,'Finals 4'!$D22)</f>
        <v>99999</v>
      </c>
      <c r="Y22" s="328" t="str">
        <f ca="1">IF(Z22="","",'Finals 4'!$E22)</f>
        <v/>
      </c>
      <c r="Z22" s="329" t="str">
        <f ca="1">IF($C$14="","",IF('Finals 4'!$I22=$C$14,'Finals 4'!$K22,IF('Finals 4'!$K22=$C$14,'Finals 4'!$I22,"")))</f>
        <v/>
      </c>
      <c r="AA22" s="755">
        <f t="shared" ca="1" si="8"/>
        <v>100020</v>
      </c>
      <c r="AB22" s="753">
        <f t="shared" ca="1" si="9"/>
        <v>100021</v>
      </c>
      <c r="AC22" s="754">
        <f ca="1">IF(AE22="",99999,'Finals 4'!$D22)</f>
        <v>99999</v>
      </c>
      <c r="AD22" s="328" t="str">
        <f ca="1">IF(AE22="","",'Finals 4'!$E22)</f>
        <v/>
      </c>
      <c r="AE22" s="329" t="str">
        <f ca="1">IF($C$19="","",IF('Finals 4'!$I22=$C$19,'Finals 4'!$K22,IF('Finals 4'!$K22=$C$19,'Finals 4'!$I22,"")))</f>
        <v/>
      </c>
      <c r="AF22" s="755">
        <f t="shared" ca="1" si="10"/>
        <v>100020</v>
      </c>
      <c r="AG22" s="753">
        <f t="shared" ca="1" si="11"/>
        <v>100021</v>
      </c>
      <c r="AH22" s="754">
        <f ca="1">IF(AJ22="",99999,'Finals 4'!$D22)</f>
        <v>99999</v>
      </c>
      <c r="AI22" s="328" t="str">
        <f ca="1">IF(AJ22="","",'Finals 4'!$E22)</f>
        <v/>
      </c>
      <c r="AJ22" s="329" t="str">
        <f ca="1">IF($C$24="","",IF('Finals 4'!$I22=$C$24,'Finals 4'!$K22,IF('Finals 4'!$K22=$C$24,'Finals 4'!$I22,"")))</f>
        <v/>
      </c>
      <c r="AK22" s="755">
        <f t="shared" ca="1" si="12"/>
        <v>100020</v>
      </c>
      <c r="AL22" s="753">
        <f t="shared" si="13"/>
        <v>100021</v>
      </c>
      <c r="AM22" s="754">
        <f>IF(AO22="",99999,'Finals 4'!$D22)</f>
        <v>99999</v>
      </c>
      <c r="AN22" s="328" t="str">
        <f>IF(AO22="","",'Finals 4'!$E22)</f>
        <v/>
      </c>
      <c r="AO22" s="329" t="str">
        <f>IF($C$29="","",IF('Finals 4'!$I22=$C$29,'Finals 4'!$K22,IF('Finals 4'!$K22=$C$29,'Finals 4'!$I22,"")))</f>
        <v/>
      </c>
      <c r="AP22" s="755">
        <f t="shared" si="14"/>
        <v>100021</v>
      </c>
      <c r="AQ22" s="753">
        <f t="shared" ca="1" si="15"/>
        <v>100021</v>
      </c>
      <c r="AR22" s="754">
        <f ca="1">IF(AT22="",99999,'Finals 4'!$D22)</f>
        <v>99999</v>
      </c>
      <c r="AS22" s="328" t="str">
        <f ca="1">IF(AT22="","",'Finals 4'!$E22)</f>
        <v/>
      </c>
      <c r="AT22" s="329" t="str">
        <f ca="1">IF($C$34="","",IF('Finals 4'!$I22=$C$34,'Finals 4'!$K22,IF('Finals 4'!$K22=$C$34,'Finals 4'!$I22,"")))</f>
        <v/>
      </c>
      <c r="AU22" s="755">
        <f t="shared" ca="1" si="16"/>
        <v>100019</v>
      </c>
      <c r="AV22" s="753">
        <f t="shared" ca="1" si="17"/>
        <v>100021</v>
      </c>
      <c r="AW22" s="754">
        <f ca="1">IF(AY22="",99999,'Finals 4'!$D22)</f>
        <v>99999</v>
      </c>
      <c r="AX22" s="328" t="str">
        <f ca="1">IF(AY22="","",'Finals 4'!$E22)</f>
        <v/>
      </c>
      <c r="AY22" s="329" t="str">
        <f ca="1">IF($C$39="","",IF('Finals 4'!$I22=$C$39,'Finals 4'!$K22,IF('Finals 4'!$K22=$C$39,'Finals 4'!$I22,"")))</f>
        <v/>
      </c>
      <c r="AZ22" s="755">
        <f t="shared" ca="1" si="18"/>
        <v>100020</v>
      </c>
      <c r="BA22" s="753">
        <f t="shared" ca="1" si="19"/>
        <v>22.520833333333332</v>
      </c>
      <c r="BB22" s="754">
        <f ca="1">IF(BD22="",99999,'Finals 4'!$D22)</f>
        <v>0.52083333333333337</v>
      </c>
      <c r="BC22" s="328">
        <f ca="1">IF(BD22="","",'Finals 4'!$E22)</f>
        <v>3</v>
      </c>
      <c r="BD22" s="329" t="str">
        <f ca="1">IF($C$44="","",IF('Finals 4'!$I22=$C$44,'Finals 4'!$K22,IF('Finals 4'!$K22=$C$44,'Finals 4'!$I22,"")))</f>
        <v>FC Grönlingen</v>
      </c>
      <c r="BE22" s="755">
        <f t="shared" ca="1" si="20"/>
        <v>100019</v>
      </c>
      <c r="BF22" s="753">
        <f t="shared" ca="1" si="21"/>
        <v>100021</v>
      </c>
      <c r="BG22" s="754">
        <f ca="1">IF(BI22="",99999,'Finals 4'!$D22)</f>
        <v>99999</v>
      </c>
      <c r="BH22" s="328" t="str">
        <f ca="1">IF(BI22="","",'Finals 4'!$E22)</f>
        <v/>
      </c>
      <c r="BI22" s="329" t="str">
        <f ca="1">IF($C$49="","",IF('Finals 4'!$I22=$C$49,'Finals 4'!$K22,IF('Finals 4'!$K22=$C$49,'Finals 4'!$I22,"")))</f>
        <v/>
      </c>
      <c r="BJ22" s="755">
        <f t="shared" ca="1" si="22"/>
        <v>100019</v>
      </c>
      <c r="BK22" s="753">
        <f t="shared" ca="1" si="23"/>
        <v>22.520833333333332</v>
      </c>
      <c r="BL22" s="754">
        <f ca="1">IF(BN22="",99999,'Finals 4'!$D22)</f>
        <v>0.52083333333333337</v>
      </c>
      <c r="BM22" s="328">
        <f ca="1">IF(BN22="","",'Finals 4'!$E22)</f>
        <v>3</v>
      </c>
      <c r="BN22" s="329" t="str">
        <f ca="1">IF($C$54="","",IF('Finals 4'!$I22=$C$54,'Finals 4'!$K22,IF('Finals 4'!$K22=$C$54,'Finals 4'!$I22,"")))</f>
        <v>SSV Wildbach</v>
      </c>
      <c r="BO22" s="755">
        <f t="shared" ca="1" si="24"/>
        <v>100019</v>
      </c>
      <c r="BP22" s="753">
        <f t="shared" si="25"/>
        <v>100021</v>
      </c>
      <c r="BQ22" s="754">
        <f>IF(BS22="",99999,'Finals 4'!$D22)</f>
        <v>99999</v>
      </c>
      <c r="BR22" s="328" t="str">
        <f>IF(BS22="","",'Finals 4'!$E22)</f>
        <v/>
      </c>
      <c r="BS22" s="329" t="str">
        <f>IF($C$59="","",IF('Finals 4'!$I22=$C$59,'Finals 4'!$K22,IF('Finals 4'!$K22=$C$59,'Finals 4'!$I22,"")))</f>
        <v/>
      </c>
      <c r="BT22" s="755">
        <f t="shared" si="26"/>
        <v>100021</v>
      </c>
    </row>
    <row r="23" spans="2:72" ht="30" customHeight="1" thickBot="1" x14ac:dyDescent="0.25">
      <c r="J23" s="729">
        <f t="shared" ca="1" si="27"/>
        <v>0</v>
      </c>
      <c r="L23" s="165">
        <f ca="1">'Finals 4'!$C23</f>
        <v>28</v>
      </c>
      <c r="M23" s="753">
        <f t="shared" ca="1" si="3"/>
        <v>100022</v>
      </c>
      <c r="N23" s="754">
        <f ca="1">IF(P23="",99999,'Finals 4'!$D23)</f>
        <v>99999</v>
      </c>
      <c r="O23" s="328" t="str">
        <f ca="1">IF(P23="","",'Finals 4'!$E23)</f>
        <v/>
      </c>
      <c r="P23" s="329" t="str">
        <f ca="1">IF($C$4="","",IF('Finals 4'!$I23=$C$4,'Finals 4'!$K23,IF('Finals 4'!$K23=$C$4,'Finals 4'!$I23,"")))</f>
        <v/>
      </c>
      <c r="Q23" s="755">
        <f t="shared" ca="1" si="4"/>
        <v>100021</v>
      </c>
      <c r="R23" s="753">
        <f t="shared" ca="1" si="5"/>
        <v>100022</v>
      </c>
      <c r="S23" s="754">
        <f ca="1">IF(U23="",99999,'Finals 4'!$D23)</f>
        <v>99999</v>
      </c>
      <c r="T23" s="328" t="str">
        <f ca="1">IF(U23="","",'Finals 4'!$E23)</f>
        <v/>
      </c>
      <c r="U23" s="329" t="str">
        <f ca="1">IF($C$9="","",IF('Finals 4'!$I23=$C$9,'Finals 4'!$K23,IF('Finals 4'!$K23=$C$9,'Finals 4'!$I23,"")))</f>
        <v/>
      </c>
      <c r="V23" s="755">
        <f t="shared" ca="1" si="6"/>
        <v>100021</v>
      </c>
      <c r="W23" s="753">
        <f t="shared" ca="1" si="7"/>
        <v>100022</v>
      </c>
      <c r="X23" s="754">
        <f ca="1">IF(Z23="",99999,'Finals 4'!$D23)</f>
        <v>99999</v>
      </c>
      <c r="Y23" s="328" t="str">
        <f ca="1">IF(Z23="","",'Finals 4'!$E23)</f>
        <v/>
      </c>
      <c r="Z23" s="329" t="str">
        <f ca="1">IF($C$14="","",IF('Finals 4'!$I23=$C$14,'Finals 4'!$K23,IF('Finals 4'!$K23=$C$14,'Finals 4'!$I23,"")))</f>
        <v/>
      </c>
      <c r="AA23" s="755">
        <f t="shared" ca="1" si="8"/>
        <v>100021</v>
      </c>
      <c r="AB23" s="753">
        <f t="shared" ca="1" si="9"/>
        <v>100022</v>
      </c>
      <c r="AC23" s="754">
        <f ca="1">IF(AE23="",99999,'Finals 4'!$D23)</f>
        <v>99999</v>
      </c>
      <c r="AD23" s="328" t="str">
        <f ca="1">IF(AE23="","",'Finals 4'!$E23)</f>
        <v/>
      </c>
      <c r="AE23" s="329" t="str">
        <f ca="1">IF($C$19="","",IF('Finals 4'!$I23=$C$19,'Finals 4'!$K23,IF('Finals 4'!$K23=$C$19,'Finals 4'!$I23,"")))</f>
        <v/>
      </c>
      <c r="AF23" s="755">
        <f t="shared" ca="1" si="10"/>
        <v>100021</v>
      </c>
      <c r="AG23" s="753">
        <f t="shared" ca="1" si="11"/>
        <v>100022</v>
      </c>
      <c r="AH23" s="754">
        <f ca="1">IF(AJ23="",99999,'Finals 4'!$D23)</f>
        <v>99999</v>
      </c>
      <c r="AI23" s="328" t="str">
        <f ca="1">IF(AJ23="","",'Finals 4'!$E23)</f>
        <v/>
      </c>
      <c r="AJ23" s="329" t="str">
        <f ca="1">IF($C$24="","",IF('Finals 4'!$I23=$C$24,'Finals 4'!$K23,IF('Finals 4'!$K23=$C$24,'Finals 4'!$I23,"")))</f>
        <v/>
      </c>
      <c r="AK23" s="755">
        <f t="shared" ca="1" si="12"/>
        <v>100021</v>
      </c>
      <c r="AL23" s="753">
        <f t="shared" si="13"/>
        <v>100022</v>
      </c>
      <c r="AM23" s="754">
        <f>IF(AO23="",99999,'Finals 4'!$D23)</f>
        <v>99999</v>
      </c>
      <c r="AN23" s="328" t="str">
        <f>IF(AO23="","",'Finals 4'!$E23)</f>
        <v/>
      </c>
      <c r="AO23" s="329" t="str">
        <f>IF($C$29="","",IF('Finals 4'!$I23=$C$29,'Finals 4'!$K23,IF('Finals 4'!$K23=$C$29,'Finals 4'!$I23,"")))</f>
        <v/>
      </c>
      <c r="AP23" s="755">
        <f t="shared" si="14"/>
        <v>100022</v>
      </c>
      <c r="AQ23" s="753">
        <f t="shared" ca="1" si="15"/>
        <v>23.520833333333332</v>
      </c>
      <c r="AR23" s="754">
        <f ca="1">IF(AT23="",99999,'Finals 4'!$D23)</f>
        <v>0.52083333333333337</v>
      </c>
      <c r="AS23" s="328">
        <f ca="1">IF(AT23="","",'Finals 4'!$E23)</f>
        <v>4</v>
      </c>
      <c r="AT23" s="329" t="str">
        <f ca="1">IF($C$34="","",IF('Finals 4'!$I23=$C$34,'Finals 4'!$K23,IF('Finals 4'!$K23=$C$34,'Finals 4'!$I23,"")))</f>
        <v>Manchester City</v>
      </c>
      <c r="AU23" s="755">
        <f t="shared" ca="1" si="16"/>
        <v>100020</v>
      </c>
      <c r="AV23" s="753">
        <f t="shared" ca="1" si="17"/>
        <v>100022</v>
      </c>
      <c r="AW23" s="754">
        <f ca="1">IF(AY23="",99999,'Finals 4'!$D23)</f>
        <v>99999</v>
      </c>
      <c r="AX23" s="328" t="str">
        <f ca="1">IF(AY23="","",'Finals 4'!$E23)</f>
        <v/>
      </c>
      <c r="AY23" s="329" t="str">
        <f ca="1">IF($C$39="","",IF('Finals 4'!$I23=$C$39,'Finals 4'!$K23,IF('Finals 4'!$K23=$C$39,'Finals 4'!$I23,"")))</f>
        <v/>
      </c>
      <c r="AZ23" s="755">
        <f t="shared" ca="1" si="18"/>
        <v>100021</v>
      </c>
      <c r="BA23" s="753">
        <f t="shared" ca="1" si="19"/>
        <v>100022</v>
      </c>
      <c r="BB23" s="754">
        <f ca="1">IF(BD23="",99999,'Finals 4'!$D23)</f>
        <v>99999</v>
      </c>
      <c r="BC23" s="328" t="str">
        <f ca="1">IF(BD23="","",'Finals 4'!$E23)</f>
        <v/>
      </c>
      <c r="BD23" s="329" t="str">
        <f ca="1">IF($C$44="","",IF('Finals 4'!$I23=$C$44,'Finals 4'!$K23,IF('Finals 4'!$K23=$C$44,'Finals 4'!$I23,"")))</f>
        <v/>
      </c>
      <c r="BE23" s="755">
        <f t="shared" ca="1" si="20"/>
        <v>100020</v>
      </c>
      <c r="BF23" s="753">
        <f t="shared" ca="1" si="21"/>
        <v>23.520833333333332</v>
      </c>
      <c r="BG23" s="754">
        <f ca="1">IF(BI23="",99999,'Finals 4'!$D23)</f>
        <v>0.52083333333333337</v>
      </c>
      <c r="BH23" s="328">
        <f ca="1">IF(BI23="","",'Finals 4'!$E23)</f>
        <v>4</v>
      </c>
      <c r="BI23" s="329" t="str">
        <f ca="1">IF($C$49="","",IF('Finals 4'!$I23=$C$49,'Finals 4'!$K23,IF('Finals 4'!$K23=$C$49,'Finals 4'!$I23,"")))</f>
        <v>Mainz 05</v>
      </c>
      <c r="BJ23" s="755">
        <f t="shared" ca="1" si="22"/>
        <v>100020</v>
      </c>
      <c r="BK23" s="753">
        <f t="shared" ca="1" si="23"/>
        <v>100022</v>
      </c>
      <c r="BL23" s="754">
        <f ca="1">IF(BN23="",99999,'Finals 4'!$D23)</f>
        <v>99999</v>
      </c>
      <c r="BM23" s="328" t="str">
        <f ca="1">IF(BN23="","",'Finals 4'!$E23)</f>
        <v/>
      </c>
      <c r="BN23" s="329" t="str">
        <f ca="1">IF($C$54="","",IF('Finals 4'!$I23=$C$54,'Finals 4'!$K23,IF('Finals 4'!$K23=$C$54,'Finals 4'!$I23,"")))</f>
        <v/>
      </c>
      <c r="BO23" s="755">
        <f t="shared" ca="1" si="24"/>
        <v>100020</v>
      </c>
      <c r="BP23" s="753">
        <f t="shared" si="25"/>
        <v>100022</v>
      </c>
      <c r="BQ23" s="754">
        <f>IF(BS23="",99999,'Finals 4'!$D23)</f>
        <v>99999</v>
      </c>
      <c r="BR23" s="328" t="str">
        <f>IF(BS23="","",'Finals 4'!$E23)</f>
        <v/>
      </c>
      <c r="BS23" s="329" t="str">
        <f>IF($C$59="","",IF('Finals 4'!$I23=$C$59,'Finals 4'!$K23,IF('Finals 4'!$K23=$C$59,'Finals 4'!$I23,"")))</f>
        <v/>
      </c>
      <c r="BT23" s="755">
        <f t="shared" si="26"/>
        <v>100022</v>
      </c>
    </row>
    <row r="24" spans="2:72" ht="15.95" customHeight="1" x14ac:dyDescent="0.2">
      <c r="B24" s="730" t="s">
        <v>200</v>
      </c>
      <c r="C24" s="731" t="str">
        <f>IF(Planning!$C$15="","",Planning!$C$15)</f>
        <v>VFB Essenheim</v>
      </c>
      <c r="E24" s="732" t="str">
        <f>Language!$E$60</f>
        <v>balls</v>
      </c>
      <c r="F24" s="733" t="str">
        <f>Language!$E$39</f>
        <v>Start</v>
      </c>
      <c r="G24" s="734" t="str">
        <f>Language!$E$48</f>
        <v>Field</v>
      </c>
      <c r="H24" s="735" t="str">
        <f>Language!$E$46</f>
        <v>Match against</v>
      </c>
      <c r="J24" s="729">
        <f t="shared" ca="1" si="27"/>
        <v>0</v>
      </c>
      <c r="L24" s="165">
        <f ca="1">'Finals 4'!$C24</f>
        <v>29</v>
      </c>
      <c r="M24" s="753">
        <f t="shared" ca="1" si="3"/>
        <v>100023</v>
      </c>
      <c r="N24" s="754">
        <f ca="1">IF(P24="",99999,'Finals 4'!$D24)</f>
        <v>99999</v>
      </c>
      <c r="O24" s="328" t="str">
        <f ca="1">IF(P24="","",'Finals 4'!$E24)</f>
        <v/>
      </c>
      <c r="P24" s="329" t="str">
        <f ca="1">IF($C$4="","",IF('Finals 4'!$I24=$C$4,'Finals 4'!$K24,IF('Finals 4'!$K24=$C$4,'Finals 4'!$I24,"")))</f>
        <v/>
      </c>
      <c r="Q24" s="755">
        <f t="shared" ca="1" si="4"/>
        <v>100022</v>
      </c>
      <c r="R24" s="753">
        <f t="shared" ca="1" si="5"/>
        <v>100023</v>
      </c>
      <c r="S24" s="754">
        <f ca="1">IF(U24="",99999,'Finals 4'!$D24)</f>
        <v>99999</v>
      </c>
      <c r="T24" s="328" t="str">
        <f ca="1">IF(U24="","",'Finals 4'!$E24)</f>
        <v/>
      </c>
      <c r="U24" s="329" t="str">
        <f ca="1">IF($C$9="","",IF('Finals 4'!$I24=$C$9,'Finals 4'!$K24,IF('Finals 4'!$K24=$C$9,'Finals 4'!$I24,"")))</f>
        <v/>
      </c>
      <c r="V24" s="755">
        <f t="shared" ca="1" si="6"/>
        <v>100022</v>
      </c>
      <c r="W24" s="753">
        <f t="shared" ca="1" si="7"/>
        <v>100023</v>
      </c>
      <c r="X24" s="754">
        <f ca="1">IF(Z24="",99999,'Finals 4'!$D24)</f>
        <v>99999</v>
      </c>
      <c r="Y24" s="328" t="str">
        <f ca="1">IF(Z24="","",'Finals 4'!$E24)</f>
        <v/>
      </c>
      <c r="Z24" s="329" t="str">
        <f ca="1">IF($C$14="","",IF('Finals 4'!$I24=$C$14,'Finals 4'!$K24,IF('Finals 4'!$K24=$C$14,'Finals 4'!$I24,"")))</f>
        <v/>
      </c>
      <c r="AA24" s="755">
        <f t="shared" ca="1" si="8"/>
        <v>100022</v>
      </c>
      <c r="AB24" s="753">
        <f t="shared" ca="1" si="9"/>
        <v>100023</v>
      </c>
      <c r="AC24" s="754">
        <f ca="1">IF(AE24="",99999,'Finals 4'!$D24)</f>
        <v>99999</v>
      </c>
      <c r="AD24" s="328" t="str">
        <f ca="1">IF(AE24="","",'Finals 4'!$E24)</f>
        <v/>
      </c>
      <c r="AE24" s="329" t="str">
        <f ca="1">IF($C$19="","",IF('Finals 4'!$I24=$C$19,'Finals 4'!$K24,IF('Finals 4'!$K24=$C$19,'Finals 4'!$I24,"")))</f>
        <v/>
      </c>
      <c r="AF24" s="755">
        <f t="shared" ca="1" si="10"/>
        <v>100022</v>
      </c>
      <c r="AG24" s="753">
        <f t="shared" ca="1" si="11"/>
        <v>100023</v>
      </c>
      <c r="AH24" s="754">
        <f ca="1">IF(AJ24="",99999,'Finals 4'!$D24)</f>
        <v>99999</v>
      </c>
      <c r="AI24" s="328" t="str">
        <f ca="1">IF(AJ24="","",'Finals 4'!$E24)</f>
        <v/>
      </c>
      <c r="AJ24" s="329" t="str">
        <f ca="1">IF($C$24="","",IF('Finals 4'!$I24=$C$24,'Finals 4'!$K24,IF('Finals 4'!$K24=$C$24,'Finals 4'!$I24,"")))</f>
        <v/>
      </c>
      <c r="AK24" s="755">
        <f t="shared" ca="1" si="12"/>
        <v>100022</v>
      </c>
      <c r="AL24" s="753">
        <f t="shared" si="13"/>
        <v>100023</v>
      </c>
      <c r="AM24" s="754">
        <f>IF(AO24="",99999,'Finals 4'!$D24)</f>
        <v>99999</v>
      </c>
      <c r="AN24" s="328" t="str">
        <f>IF(AO24="","",'Finals 4'!$E24)</f>
        <v/>
      </c>
      <c r="AO24" s="329" t="str">
        <f>IF($C$29="","",IF('Finals 4'!$I24=$C$29,'Finals 4'!$K24,IF('Finals 4'!$K24=$C$29,'Finals 4'!$I24,"")))</f>
        <v/>
      </c>
      <c r="AP24" s="755">
        <f t="shared" si="14"/>
        <v>100023</v>
      </c>
      <c r="AQ24" s="753">
        <f t="shared" ca="1" si="15"/>
        <v>100023</v>
      </c>
      <c r="AR24" s="754">
        <f ca="1">IF(AT24="",99999,'Finals 4'!$D24)</f>
        <v>99999</v>
      </c>
      <c r="AS24" s="328" t="str">
        <f ca="1">IF(AT24="","",'Finals 4'!$E24)</f>
        <v/>
      </c>
      <c r="AT24" s="329" t="str">
        <f ca="1">IF($C$34="","",IF('Finals 4'!$I24=$C$34,'Finals 4'!$K24,IF('Finals 4'!$K24=$C$34,'Finals 4'!$I24,"")))</f>
        <v/>
      </c>
      <c r="AU24" s="755">
        <f t="shared" ca="1" si="16"/>
        <v>100021</v>
      </c>
      <c r="AV24" s="753">
        <f t="shared" ca="1" si="17"/>
        <v>100023</v>
      </c>
      <c r="AW24" s="754">
        <f ca="1">IF(AY24="",99999,'Finals 4'!$D24)</f>
        <v>99999</v>
      </c>
      <c r="AX24" s="328" t="str">
        <f ca="1">IF(AY24="","",'Finals 4'!$E24)</f>
        <v/>
      </c>
      <c r="AY24" s="329" t="str">
        <f ca="1">IF($C$39="","",IF('Finals 4'!$I24=$C$39,'Finals 4'!$K24,IF('Finals 4'!$K24=$C$39,'Finals 4'!$I24,"")))</f>
        <v/>
      </c>
      <c r="AZ24" s="755">
        <f t="shared" ca="1" si="18"/>
        <v>100022</v>
      </c>
      <c r="BA24" s="753">
        <f t="shared" ca="1" si="19"/>
        <v>100023</v>
      </c>
      <c r="BB24" s="754">
        <f ca="1">IF(BD24="",99999,'Finals 4'!$D24)</f>
        <v>99999</v>
      </c>
      <c r="BC24" s="328" t="str">
        <f ca="1">IF(BD24="","",'Finals 4'!$E24)</f>
        <v/>
      </c>
      <c r="BD24" s="329" t="str">
        <f ca="1">IF($C$44="","",IF('Finals 4'!$I24=$C$44,'Finals 4'!$K24,IF('Finals 4'!$K24=$C$44,'Finals 4'!$I24,"")))</f>
        <v/>
      </c>
      <c r="BE24" s="755">
        <f t="shared" ca="1" si="20"/>
        <v>100022</v>
      </c>
      <c r="BF24" s="753">
        <f t="shared" ca="1" si="21"/>
        <v>100023</v>
      </c>
      <c r="BG24" s="754">
        <f ca="1">IF(BI24="",99999,'Finals 4'!$D24)</f>
        <v>99999</v>
      </c>
      <c r="BH24" s="328" t="str">
        <f ca="1">IF(BI24="","",'Finals 4'!$E24)</f>
        <v/>
      </c>
      <c r="BI24" s="329" t="str">
        <f ca="1">IF($C$49="","",IF('Finals 4'!$I24=$C$49,'Finals 4'!$K24,IF('Finals 4'!$K24=$C$49,'Finals 4'!$I24,"")))</f>
        <v/>
      </c>
      <c r="BJ24" s="755">
        <f t="shared" ca="1" si="22"/>
        <v>100021</v>
      </c>
      <c r="BK24" s="753">
        <f t="shared" ca="1" si="23"/>
        <v>100023</v>
      </c>
      <c r="BL24" s="754">
        <f ca="1">IF(BN24="",99999,'Finals 4'!$D24)</f>
        <v>99999</v>
      </c>
      <c r="BM24" s="328" t="str">
        <f ca="1">IF(BN24="","",'Finals 4'!$E24)</f>
        <v/>
      </c>
      <c r="BN24" s="329" t="str">
        <f ca="1">IF($C$54="","",IF('Finals 4'!$I24=$C$54,'Finals 4'!$K24,IF('Finals 4'!$K24=$C$54,'Finals 4'!$I24,"")))</f>
        <v/>
      </c>
      <c r="BO24" s="755">
        <f t="shared" ca="1" si="24"/>
        <v>100022</v>
      </c>
      <c r="BP24" s="753">
        <f t="shared" si="25"/>
        <v>100023</v>
      </c>
      <c r="BQ24" s="754">
        <f>IF(BS24="",99999,'Finals 4'!$D24)</f>
        <v>99999</v>
      </c>
      <c r="BR24" s="328" t="str">
        <f>IF(BS24="","",'Finals 4'!$E24)</f>
        <v/>
      </c>
      <c r="BS24" s="329" t="str">
        <f>IF($C$59="","",IF('Finals 4'!$I24=$C$59,'Finals 4'!$K24,IF('Finals 4'!$K24=$C$59,'Finals 4'!$I24,"")))</f>
        <v/>
      </c>
      <c r="BT24" s="755">
        <f t="shared" si="26"/>
        <v>100023</v>
      </c>
    </row>
    <row r="25" spans="2:72" ht="15.95" customHeight="1" x14ac:dyDescent="0.2">
      <c r="E25" s="736">
        <f ca="1">IF($AK$12&lt;99999,INDEX($L$12:$L$29,MATCH($AK$12,$AG$12:$AG$29,0)),"")</f>
        <v>31</v>
      </c>
      <c r="F25" s="737">
        <f ca="1">IF($AK$12&lt;99999,VLOOKUP($AK$12,$AG$12:$AJ$29,2,0),"")</f>
        <v>0.54513888888888895</v>
      </c>
      <c r="G25" s="738">
        <f ca="1">IF($AK$12&lt;99999,VLOOKUP($AK$12,$AG$12:$AJ$29,3,0),"")</f>
        <v>3</v>
      </c>
      <c r="H25" s="739" t="str">
        <f ca="1">IF($AK$12&lt;99999,VLOOKUP($AK$12,$AG$12:$AJ$29,4,0),"")</f>
        <v>Inter Mailand</v>
      </c>
      <c r="J25" s="729">
        <f t="shared" ca="1" si="27"/>
        <v>0</v>
      </c>
      <c r="K25" s="729" t="str">
        <f ca="1">IF(J25=0,"",$C$24)</f>
        <v/>
      </c>
      <c r="L25" s="165">
        <f ca="1">'Finals 4'!$C25</f>
        <v>29</v>
      </c>
      <c r="M25" s="753">
        <f t="shared" ca="1" si="3"/>
        <v>100024</v>
      </c>
      <c r="N25" s="754">
        <f ca="1">IF(P25="",99999,'Finals 4'!$D25)</f>
        <v>99999</v>
      </c>
      <c r="O25" s="328" t="str">
        <f ca="1">IF(P25="","",'Finals 4'!$E25)</f>
        <v/>
      </c>
      <c r="P25" s="329" t="str">
        <f ca="1">IF($C$4="","",IF('Finals 4'!$I25=$C$4,'Finals 4'!$K25,IF('Finals 4'!$K25=$C$4,'Finals 4'!$I25,"")))</f>
        <v/>
      </c>
      <c r="Q25" s="755">
        <f t="shared" ca="1" si="4"/>
        <v>100023</v>
      </c>
      <c r="R25" s="753">
        <f t="shared" ca="1" si="5"/>
        <v>25.545138888888889</v>
      </c>
      <c r="S25" s="754">
        <f ca="1">IF(U25="",99999,'Finals 4'!$D25)</f>
        <v>0.54513888888888895</v>
      </c>
      <c r="T25" s="328">
        <f ca="1">IF(U25="","",'Finals 4'!$E25)</f>
        <v>1</v>
      </c>
      <c r="U25" s="329" t="str">
        <f ca="1">IF($C$9="","",IF('Finals 4'!$I25=$C$9,'Finals 4'!$K25,IF('Finals 4'!$K25=$C$9,'Finals 4'!$I25,"")))</f>
        <v>SSV Wildbach</v>
      </c>
      <c r="V25" s="755">
        <f t="shared" ca="1" si="6"/>
        <v>100023</v>
      </c>
      <c r="W25" s="753">
        <f t="shared" ca="1" si="7"/>
        <v>100024</v>
      </c>
      <c r="X25" s="754">
        <f ca="1">IF(Z25="",99999,'Finals 4'!$D25)</f>
        <v>99999</v>
      </c>
      <c r="Y25" s="328" t="str">
        <f ca="1">IF(Z25="","",'Finals 4'!$E25)</f>
        <v/>
      </c>
      <c r="Z25" s="329" t="str">
        <f ca="1">IF($C$14="","",IF('Finals 4'!$I25=$C$14,'Finals 4'!$K25,IF('Finals 4'!$K25=$C$14,'Finals 4'!$I25,"")))</f>
        <v/>
      </c>
      <c r="AA25" s="755">
        <f t="shared" ca="1" si="8"/>
        <v>100023</v>
      </c>
      <c r="AB25" s="753">
        <f t="shared" ca="1" si="9"/>
        <v>100024</v>
      </c>
      <c r="AC25" s="754">
        <f ca="1">IF(AE25="",99999,'Finals 4'!$D25)</f>
        <v>99999</v>
      </c>
      <c r="AD25" s="328" t="str">
        <f ca="1">IF(AE25="","",'Finals 4'!$E25)</f>
        <v/>
      </c>
      <c r="AE25" s="329" t="str">
        <f ca="1">IF($C$19="","",IF('Finals 4'!$I25=$C$19,'Finals 4'!$K25,IF('Finals 4'!$K25=$C$19,'Finals 4'!$I25,"")))</f>
        <v/>
      </c>
      <c r="AF25" s="755">
        <f t="shared" ca="1" si="10"/>
        <v>100023</v>
      </c>
      <c r="AG25" s="753">
        <f t="shared" ca="1" si="11"/>
        <v>100024</v>
      </c>
      <c r="AH25" s="754">
        <f ca="1">IF(AJ25="",99999,'Finals 4'!$D25)</f>
        <v>99999</v>
      </c>
      <c r="AI25" s="328" t="str">
        <f ca="1">IF(AJ25="","",'Finals 4'!$E25)</f>
        <v/>
      </c>
      <c r="AJ25" s="329" t="str">
        <f ca="1">IF($C$24="","",IF('Finals 4'!$I25=$C$24,'Finals 4'!$K25,IF('Finals 4'!$K25=$C$24,'Finals 4'!$I25,"")))</f>
        <v/>
      </c>
      <c r="AK25" s="755">
        <f t="shared" ca="1" si="12"/>
        <v>100023</v>
      </c>
      <c r="AL25" s="753">
        <f t="shared" si="13"/>
        <v>100024</v>
      </c>
      <c r="AM25" s="754">
        <f>IF(AO25="",99999,'Finals 4'!$D25)</f>
        <v>99999</v>
      </c>
      <c r="AN25" s="328" t="str">
        <f>IF(AO25="","",'Finals 4'!$E25)</f>
        <v/>
      </c>
      <c r="AO25" s="329" t="str">
        <f>IF($C$29="","",IF('Finals 4'!$I25=$C$29,'Finals 4'!$K25,IF('Finals 4'!$K25=$C$29,'Finals 4'!$I25,"")))</f>
        <v/>
      </c>
      <c r="AP25" s="755">
        <f t="shared" si="14"/>
        <v>100024</v>
      </c>
      <c r="AQ25" s="753">
        <f t="shared" ca="1" si="15"/>
        <v>100024</v>
      </c>
      <c r="AR25" s="754">
        <f ca="1">IF(AT25="",99999,'Finals 4'!$D25)</f>
        <v>99999</v>
      </c>
      <c r="AS25" s="328" t="str">
        <f ca="1">IF(AT25="","",'Finals 4'!$E25)</f>
        <v/>
      </c>
      <c r="AT25" s="329" t="str">
        <f ca="1">IF($C$34="","",IF('Finals 4'!$I25=$C$34,'Finals 4'!$K25,IF('Finals 4'!$K25=$C$34,'Finals 4'!$I25,"")))</f>
        <v/>
      </c>
      <c r="AU25" s="755">
        <f t="shared" ca="1" si="16"/>
        <v>100023</v>
      </c>
      <c r="AV25" s="753">
        <f t="shared" ca="1" si="17"/>
        <v>100024</v>
      </c>
      <c r="AW25" s="754">
        <f ca="1">IF(AY25="",99999,'Finals 4'!$D25)</f>
        <v>99999</v>
      </c>
      <c r="AX25" s="328" t="str">
        <f ca="1">IF(AY25="","",'Finals 4'!$E25)</f>
        <v/>
      </c>
      <c r="AY25" s="329" t="str">
        <f ca="1">IF($C$39="","",IF('Finals 4'!$I25=$C$39,'Finals 4'!$K25,IF('Finals 4'!$K25=$C$39,'Finals 4'!$I25,"")))</f>
        <v/>
      </c>
      <c r="AZ25" s="755">
        <f t="shared" ca="1" si="18"/>
        <v>100023</v>
      </c>
      <c r="BA25" s="753">
        <f t="shared" ca="1" si="19"/>
        <v>25.545138888888889</v>
      </c>
      <c r="BB25" s="754">
        <f ca="1">IF(BD25="",99999,'Finals 4'!$D25)</f>
        <v>0.54513888888888895</v>
      </c>
      <c r="BC25" s="328">
        <f ca="1">IF(BD25="","",'Finals 4'!$E25)</f>
        <v>1</v>
      </c>
      <c r="BD25" s="329" t="str">
        <f ca="1">IF($C$44="","",IF('Finals 4'!$I25=$C$44,'Finals 4'!$K25,IF('Finals 4'!$K25=$C$44,'Finals 4'!$I25,"")))</f>
        <v>FC Barcelona</v>
      </c>
      <c r="BE25" s="755">
        <f t="shared" ca="1" si="20"/>
        <v>100023</v>
      </c>
      <c r="BF25" s="753">
        <f t="shared" ca="1" si="21"/>
        <v>100024</v>
      </c>
      <c r="BG25" s="754">
        <f ca="1">IF(BI25="",99999,'Finals 4'!$D25)</f>
        <v>99999</v>
      </c>
      <c r="BH25" s="328" t="str">
        <f ca="1">IF(BI25="","",'Finals 4'!$E25)</f>
        <v/>
      </c>
      <c r="BI25" s="329" t="str">
        <f ca="1">IF($C$49="","",IF('Finals 4'!$I25=$C$49,'Finals 4'!$K25,IF('Finals 4'!$K25=$C$49,'Finals 4'!$I25,"")))</f>
        <v/>
      </c>
      <c r="BJ25" s="755">
        <f t="shared" ca="1" si="22"/>
        <v>100023</v>
      </c>
      <c r="BK25" s="753">
        <f t="shared" ca="1" si="23"/>
        <v>100024</v>
      </c>
      <c r="BL25" s="754">
        <f ca="1">IF(BN25="",99999,'Finals 4'!$D25)</f>
        <v>99999</v>
      </c>
      <c r="BM25" s="328" t="str">
        <f ca="1">IF(BN25="","",'Finals 4'!$E25)</f>
        <v/>
      </c>
      <c r="BN25" s="329" t="str">
        <f ca="1">IF($C$54="","",IF('Finals 4'!$I25=$C$54,'Finals 4'!$K25,IF('Finals 4'!$K25=$C$54,'Finals 4'!$I25,"")))</f>
        <v/>
      </c>
      <c r="BO25" s="755">
        <f t="shared" ca="1" si="24"/>
        <v>100023</v>
      </c>
      <c r="BP25" s="753">
        <f t="shared" si="25"/>
        <v>100024</v>
      </c>
      <c r="BQ25" s="754">
        <f>IF(BS25="",99999,'Finals 4'!$D25)</f>
        <v>99999</v>
      </c>
      <c r="BR25" s="328" t="str">
        <f>IF(BS25="","",'Finals 4'!$E25)</f>
        <v/>
      </c>
      <c r="BS25" s="329" t="str">
        <f>IF($C$59="","",IF('Finals 4'!$I25=$C$59,'Finals 4'!$K25,IF('Finals 4'!$K25=$C$59,'Finals 4'!$I25,"")))</f>
        <v/>
      </c>
      <c r="BT25" s="755">
        <f t="shared" si="26"/>
        <v>100024</v>
      </c>
    </row>
    <row r="26" spans="2:72" ht="15.95" customHeight="1" x14ac:dyDescent="0.2">
      <c r="E26" s="736" t="str">
        <f ca="1">IF($AK$13&lt;99999,INDEX($L$12:$L$29,MATCH($AK$13,$AG$12:$AG$29,0)),"")</f>
        <v/>
      </c>
      <c r="F26" s="740" t="str">
        <f ca="1">IF($AK$13&lt;99999,VLOOKUP($AK$13,$AG$12:$AJ$29,2,0),"")</f>
        <v/>
      </c>
      <c r="G26" s="741" t="str">
        <f ca="1">IF($AK$13&lt;99999,VLOOKUP($AK$13,$AG$12:$AJ$29,3,0),"")</f>
        <v/>
      </c>
      <c r="H26" s="742" t="str">
        <f ca="1">IF($AK$13&lt;99999,VLOOKUP($AK$13,$AG$12:$AJ$29,4,0),"")</f>
        <v/>
      </c>
      <c r="J26" s="729">
        <f t="shared" ca="1" si="27"/>
        <v>0</v>
      </c>
      <c r="K26" s="729" t="str">
        <f t="shared" ref="K26:K27" ca="1" si="30">IF(J26=0,"",$C$24)</f>
        <v/>
      </c>
      <c r="L26" s="165">
        <f ca="1">'Finals 4'!$C26</f>
        <v>30</v>
      </c>
      <c r="M26" s="753">
        <f t="shared" ca="1" si="3"/>
        <v>100025</v>
      </c>
      <c r="N26" s="754">
        <f ca="1">IF(P26="",99999,'Finals 4'!$D26)</f>
        <v>99999</v>
      </c>
      <c r="O26" s="328" t="str">
        <f ca="1">IF(P26="","",'Finals 4'!$E26)</f>
        <v/>
      </c>
      <c r="P26" s="329" t="str">
        <f ca="1">IF($C$4="","",IF('Finals 4'!$I26=$C$4,'Finals 4'!$K26,IF('Finals 4'!$K26=$C$4,'Finals 4'!$I26,"")))</f>
        <v/>
      </c>
      <c r="Q26" s="755">
        <f t="shared" ca="1" si="4"/>
        <v>100024</v>
      </c>
      <c r="R26" s="753">
        <f t="shared" ca="1" si="5"/>
        <v>100025</v>
      </c>
      <c r="S26" s="754">
        <f ca="1">IF(U26="",99999,'Finals 4'!$D26)</f>
        <v>99999</v>
      </c>
      <c r="T26" s="328" t="str">
        <f ca="1">IF(U26="","",'Finals 4'!$E26)</f>
        <v/>
      </c>
      <c r="U26" s="329" t="str">
        <f ca="1">IF($C$9="","",IF('Finals 4'!$I26=$C$9,'Finals 4'!$K26,IF('Finals 4'!$K26=$C$9,'Finals 4'!$I26,"")))</f>
        <v/>
      </c>
      <c r="V26" s="755">
        <f t="shared" ca="1" si="6"/>
        <v>100025</v>
      </c>
      <c r="W26" s="753">
        <f t="shared" ca="1" si="7"/>
        <v>26.545138888888889</v>
      </c>
      <c r="X26" s="754">
        <f ca="1">IF(Z26="",99999,'Finals 4'!$D26)</f>
        <v>0.54513888888888895</v>
      </c>
      <c r="Y26" s="328">
        <f ca="1">IF(Z26="","",'Finals 4'!$E26)</f>
        <v>2</v>
      </c>
      <c r="Z26" s="329" t="str">
        <f ca="1">IF($C$14="","",IF('Finals 4'!$I26=$C$14,'Finals 4'!$K26,IF('Finals 4'!$K26=$C$14,'Finals 4'!$I26,"")))</f>
        <v>Manchester City</v>
      </c>
      <c r="AA26" s="755">
        <f t="shared" ca="1" si="8"/>
        <v>100024</v>
      </c>
      <c r="AB26" s="753">
        <f t="shared" ca="1" si="9"/>
        <v>100025</v>
      </c>
      <c r="AC26" s="754">
        <f ca="1">IF(AE26="",99999,'Finals 4'!$D26)</f>
        <v>99999</v>
      </c>
      <c r="AD26" s="328" t="str">
        <f ca="1">IF(AE26="","",'Finals 4'!$E26)</f>
        <v/>
      </c>
      <c r="AE26" s="329" t="str">
        <f ca="1">IF($C$19="","",IF('Finals 4'!$I26=$C$19,'Finals 4'!$K26,IF('Finals 4'!$K26=$C$19,'Finals 4'!$I26,"")))</f>
        <v/>
      </c>
      <c r="AF26" s="755">
        <f t="shared" ca="1" si="10"/>
        <v>100024</v>
      </c>
      <c r="AG26" s="753">
        <f t="shared" ca="1" si="11"/>
        <v>100025</v>
      </c>
      <c r="AH26" s="754">
        <f ca="1">IF(AJ26="",99999,'Finals 4'!$D26)</f>
        <v>99999</v>
      </c>
      <c r="AI26" s="328" t="str">
        <f ca="1">IF(AJ26="","",'Finals 4'!$E26)</f>
        <v/>
      </c>
      <c r="AJ26" s="329" t="str">
        <f ca="1">IF($C$24="","",IF('Finals 4'!$I26=$C$24,'Finals 4'!$K26,IF('Finals 4'!$K26=$C$24,'Finals 4'!$I26,"")))</f>
        <v/>
      </c>
      <c r="AK26" s="755">
        <f t="shared" ca="1" si="12"/>
        <v>100024</v>
      </c>
      <c r="AL26" s="753">
        <f t="shared" si="13"/>
        <v>100025</v>
      </c>
      <c r="AM26" s="754">
        <f>IF(AO26="",99999,'Finals 4'!$D26)</f>
        <v>99999</v>
      </c>
      <c r="AN26" s="328" t="str">
        <f>IF(AO26="","",'Finals 4'!$E26)</f>
        <v/>
      </c>
      <c r="AO26" s="329" t="str">
        <f>IF($C$29="","",IF('Finals 4'!$I26=$C$29,'Finals 4'!$K26,IF('Finals 4'!$K26=$C$29,'Finals 4'!$I26,"")))</f>
        <v/>
      </c>
      <c r="AP26" s="755">
        <f t="shared" si="14"/>
        <v>100025</v>
      </c>
      <c r="AQ26" s="753">
        <f t="shared" ca="1" si="15"/>
        <v>100025</v>
      </c>
      <c r="AR26" s="754">
        <f ca="1">IF(AT26="",99999,'Finals 4'!$D26)</f>
        <v>99999</v>
      </c>
      <c r="AS26" s="328" t="str">
        <f ca="1">IF(AT26="","",'Finals 4'!$E26)</f>
        <v/>
      </c>
      <c r="AT26" s="329" t="str">
        <f ca="1">IF($C$34="","",IF('Finals 4'!$I26=$C$34,'Finals 4'!$K26,IF('Finals 4'!$K26=$C$34,'Finals 4'!$I26,"")))</f>
        <v/>
      </c>
      <c r="AU26" s="755">
        <f t="shared" ca="1" si="16"/>
        <v>100024</v>
      </c>
      <c r="AV26" s="753">
        <f t="shared" ca="1" si="17"/>
        <v>100025</v>
      </c>
      <c r="AW26" s="754">
        <f ca="1">IF(AY26="",99999,'Finals 4'!$D26)</f>
        <v>99999</v>
      </c>
      <c r="AX26" s="328" t="str">
        <f ca="1">IF(AY26="","",'Finals 4'!$E26)</f>
        <v/>
      </c>
      <c r="AY26" s="329" t="str">
        <f ca="1">IF($C$39="","",IF('Finals 4'!$I26=$C$39,'Finals 4'!$K26,IF('Finals 4'!$K26=$C$39,'Finals 4'!$I26,"")))</f>
        <v/>
      </c>
      <c r="AZ26" s="755">
        <f t="shared" ca="1" si="18"/>
        <v>100024</v>
      </c>
      <c r="BA26" s="753">
        <f t="shared" ca="1" si="19"/>
        <v>100025</v>
      </c>
      <c r="BB26" s="754">
        <f ca="1">IF(BD26="",99999,'Finals 4'!$D26)</f>
        <v>99999</v>
      </c>
      <c r="BC26" s="328" t="str">
        <f ca="1">IF(BD26="","",'Finals 4'!$E26)</f>
        <v/>
      </c>
      <c r="BD26" s="329" t="str">
        <f ca="1">IF($C$44="","",IF('Finals 4'!$I26=$C$44,'Finals 4'!$K26,IF('Finals 4'!$K26=$C$44,'Finals 4'!$I26,"")))</f>
        <v/>
      </c>
      <c r="BE26" s="755">
        <f t="shared" ca="1" si="20"/>
        <v>100025</v>
      </c>
      <c r="BF26" s="753">
        <f t="shared" ca="1" si="21"/>
        <v>26.545138888888889</v>
      </c>
      <c r="BG26" s="754">
        <f ca="1">IF(BI26="",99999,'Finals 4'!$D26)</f>
        <v>0.54513888888888895</v>
      </c>
      <c r="BH26" s="328">
        <f ca="1">IF(BI26="","",'Finals 4'!$E26)</f>
        <v>2</v>
      </c>
      <c r="BI26" s="329" t="str">
        <f ca="1">IF($C$49="","",IF('Finals 4'!$I26=$C$49,'Finals 4'!$K26,IF('Finals 4'!$K26=$C$49,'Finals 4'!$I26,"")))</f>
        <v>Eintracht Frankfurt</v>
      </c>
      <c r="BJ26" s="755">
        <f t="shared" ca="1" si="22"/>
        <v>100024</v>
      </c>
      <c r="BK26" s="753">
        <f t="shared" ca="1" si="23"/>
        <v>100025</v>
      </c>
      <c r="BL26" s="754">
        <f ca="1">IF(BN26="",99999,'Finals 4'!$D26)</f>
        <v>99999</v>
      </c>
      <c r="BM26" s="328" t="str">
        <f ca="1">IF(BN26="","",'Finals 4'!$E26)</f>
        <v/>
      </c>
      <c r="BN26" s="329" t="str">
        <f ca="1">IF($C$54="","",IF('Finals 4'!$I26=$C$54,'Finals 4'!$K26,IF('Finals 4'!$K26=$C$54,'Finals 4'!$I26,"")))</f>
        <v/>
      </c>
      <c r="BO26" s="755">
        <f t="shared" ca="1" si="24"/>
        <v>100024</v>
      </c>
      <c r="BP26" s="753">
        <f t="shared" si="25"/>
        <v>100025</v>
      </c>
      <c r="BQ26" s="754">
        <f>IF(BS26="",99999,'Finals 4'!$D26)</f>
        <v>99999</v>
      </c>
      <c r="BR26" s="328" t="str">
        <f>IF(BS26="","",'Finals 4'!$E26)</f>
        <v/>
      </c>
      <c r="BS26" s="329" t="str">
        <f>IF($C$59="","",IF('Finals 4'!$I26=$C$59,'Finals 4'!$K26,IF('Finals 4'!$K26=$C$59,'Finals 4'!$I26,"")))</f>
        <v/>
      </c>
      <c r="BT26" s="755">
        <f t="shared" si="26"/>
        <v>100025</v>
      </c>
    </row>
    <row r="27" spans="2:72" ht="15.95" customHeight="1" thickBot="1" x14ac:dyDescent="0.25">
      <c r="E27" s="743" t="str">
        <f ca="1">IF($AK$14&lt;99999,INDEX($L$12:$L$29,MATCH($AK$14,$AG$12:$AG$29,0)),"")</f>
        <v/>
      </c>
      <c r="F27" s="744" t="str">
        <f ca="1">IF($AK$14&lt;99999,VLOOKUP($AK$14,$AG$12:$AJ$29,2,0),"")</f>
        <v/>
      </c>
      <c r="G27" s="745" t="str">
        <f ca="1">IF($AK$14&lt;99999,VLOOKUP($AK$14,$AG$12:$AJ$29,3,0),"")</f>
        <v/>
      </c>
      <c r="H27" s="746" t="str">
        <f ca="1">IF($AK$14&lt;99999,VLOOKUP($AK$14,$AG$12:$AJ$29,4,0),"")</f>
        <v/>
      </c>
      <c r="J27" s="729">
        <f t="shared" ca="1" si="27"/>
        <v>0</v>
      </c>
      <c r="K27" s="729" t="str">
        <f t="shared" ca="1" si="30"/>
        <v/>
      </c>
      <c r="L27" s="165">
        <f ca="1">'Finals 4'!$C27</f>
        <v>31</v>
      </c>
      <c r="M27" s="753">
        <f t="shared" ca="1" si="3"/>
        <v>100026</v>
      </c>
      <c r="N27" s="754">
        <f ca="1">IF(P27="",99999,'Finals 4'!$D27)</f>
        <v>99999</v>
      </c>
      <c r="O27" s="328" t="str">
        <f ca="1">IF(P27="","",'Finals 4'!$E27)</f>
        <v/>
      </c>
      <c r="P27" s="329" t="str">
        <f ca="1">IF($C$4="","",IF('Finals 4'!$I27=$C$4,'Finals 4'!$K27,IF('Finals 4'!$K27=$C$4,'Finals 4'!$I27,"")))</f>
        <v/>
      </c>
      <c r="Q27" s="755">
        <f t="shared" ca="1" si="4"/>
        <v>100025</v>
      </c>
      <c r="R27" s="753">
        <f t="shared" ca="1" si="5"/>
        <v>100026</v>
      </c>
      <c r="S27" s="754">
        <f ca="1">IF(U27="",99999,'Finals 4'!$D27)</f>
        <v>99999</v>
      </c>
      <c r="T27" s="328" t="str">
        <f ca="1">IF(U27="","",'Finals 4'!$E27)</f>
        <v/>
      </c>
      <c r="U27" s="329" t="str">
        <f ca="1">IF($C$9="","",IF('Finals 4'!$I27=$C$9,'Finals 4'!$K27,IF('Finals 4'!$K27=$C$9,'Finals 4'!$I27,"")))</f>
        <v/>
      </c>
      <c r="V27" s="755">
        <f t="shared" ca="1" si="6"/>
        <v>100026</v>
      </c>
      <c r="W27" s="753">
        <f t="shared" ca="1" si="7"/>
        <v>100026</v>
      </c>
      <c r="X27" s="754">
        <f ca="1">IF(Z27="",99999,'Finals 4'!$D27)</f>
        <v>99999</v>
      </c>
      <c r="Y27" s="328" t="str">
        <f ca="1">IF(Z27="","",'Finals 4'!$E27)</f>
        <v/>
      </c>
      <c r="Z27" s="329" t="str">
        <f ca="1">IF($C$14="","",IF('Finals 4'!$I27=$C$14,'Finals 4'!$K27,IF('Finals 4'!$K27=$C$14,'Finals 4'!$I27,"")))</f>
        <v/>
      </c>
      <c r="AA27" s="755">
        <f t="shared" ca="1" si="8"/>
        <v>100026</v>
      </c>
      <c r="AB27" s="753">
        <f t="shared" ca="1" si="9"/>
        <v>100026</v>
      </c>
      <c r="AC27" s="754">
        <f ca="1">IF(AE27="",99999,'Finals 4'!$D27)</f>
        <v>99999</v>
      </c>
      <c r="AD27" s="328" t="str">
        <f ca="1">IF(AE27="","",'Finals 4'!$E27)</f>
        <v/>
      </c>
      <c r="AE27" s="329" t="str">
        <f ca="1">IF($C$19="","",IF('Finals 4'!$I27=$C$19,'Finals 4'!$K27,IF('Finals 4'!$K27=$C$19,'Finals 4'!$I27,"")))</f>
        <v/>
      </c>
      <c r="AF27" s="755">
        <f t="shared" ca="1" si="10"/>
        <v>100025</v>
      </c>
      <c r="AG27" s="753">
        <f t="shared" ca="1" si="11"/>
        <v>27.545138888888889</v>
      </c>
      <c r="AH27" s="754">
        <f ca="1">IF(AJ27="",99999,'Finals 4'!$D27)</f>
        <v>0.54513888888888895</v>
      </c>
      <c r="AI27" s="328">
        <f ca="1">IF(AJ27="","",'Finals 4'!$E27)</f>
        <v>3</v>
      </c>
      <c r="AJ27" s="329" t="str">
        <f ca="1">IF($C$24="","",IF('Finals 4'!$I27=$C$24,'Finals 4'!$K27,IF('Finals 4'!$K27=$C$24,'Finals 4'!$I27,"")))</f>
        <v>Inter Mailand</v>
      </c>
      <c r="AK27" s="755">
        <f t="shared" ca="1" si="12"/>
        <v>100025</v>
      </c>
      <c r="AL27" s="753">
        <f t="shared" si="13"/>
        <v>100026</v>
      </c>
      <c r="AM27" s="754">
        <f>IF(AO27="",99999,'Finals 4'!$D27)</f>
        <v>99999</v>
      </c>
      <c r="AN27" s="328" t="str">
        <f>IF(AO27="","",'Finals 4'!$E27)</f>
        <v/>
      </c>
      <c r="AO27" s="329" t="str">
        <f>IF($C$29="","",IF('Finals 4'!$I27=$C$29,'Finals 4'!$K27,IF('Finals 4'!$K27=$C$29,'Finals 4'!$I27,"")))</f>
        <v/>
      </c>
      <c r="AP27" s="755">
        <f t="shared" si="14"/>
        <v>100026</v>
      </c>
      <c r="AQ27" s="753">
        <f t="shared" ca="1" si="15"/>
        <v>100026</v>
      </c>
      <c r="AR27" s="754">
        <f ca="1">IF(AT27="",99999,'Finals 4'!$D27)</f>
        <v>99999</v>
      </c>
      <c r="AS27" s="328" t="str">
        <f ca="1">IF(AT27="","",'Finals 4'!$E27)</f>
        <v/>
      </c>
      <c r="AT27" s="329" t="str">
        <f ca="1">IF($C$34="","",IF('Finals 4'!$I27=$C$34,'Finals 4'!$K27,IF('Finals 4'!$K27=$C$34,'Finals 4'!$I27,"")))</f>
        <v/>
      </c>
      <c r="AU27" s="755">
        <f t="shared" ca="1" si="16"/>
        <v>100025</v>
      </c>
      <c r="AV27" s="753">
        <f t="shared" ca="1" si="17"/>
        <v>27.545138888888889</v>
      </c>
      <c r="AW27" s="754">
        <f ca="1">IF(AY27="",99999,'Finals 4'!$D27)</f>
        <v>0.54513888888888895</v>
      </c>
      <c r="AX27" s="328">
        <f ca="1">IF(AY27="","",'Finals 4'!$E27)</f>
        <v>3</v>
      </c>
      <c r="AY27" s="329" t="str">
        <f ca="1">IF($C$39="","",IF('Finals 4'!$I27=$C$39,'Finals 4'!$K27,IF('Finals 4'!$K27=$C$39,'Finals 4'!$I27,"")))</f>
        <v>VFB Essenheim</v>
      </c>
      <c r="AZ27" s="755">
        <f t="shared" ca="1" si="18"/>
        <v>100025</v>
      </c>
      <c r="BA27" s="753">
        <f t="shared" ca="1" si="19"/>
        <v>100026</v>
      </c>
      <c r="BB27" s="754">
        <f ca="1">IF(BD27="",99999,'Finals 4'!$D27)</f>
        <v>99999</v>
      </c>
      <c r="BC27" s="328" t="str">
        <f ca="1">IF(BD27="","",'Finals 4'!$E27)</f>
        <v/>
      </c>
      <c r="BD27" s="329" t="str">
        <f ca="1">IF($C$44="","",IF('Finals 4'!$I27=$C$44,'Finals 4'!$K27,IF('Finals 4'!$K27=$C$44,'Finals 4'!$I27,"")))</f>
        <v/>
      </c>
      <c r="BE27" s="755">
        <f t="shared" ca="1" si="20"/>
        <v>100026</v>
      </c>
      <c r="BF27" s="753">
        <f t="shared" ca="1" si="21"/>
        <v>100026</v>
      </c>
      <c r="BG27" s="754">
        <f ca="1">IF(BI27="",99999,'Finals 4'!$D27)</f>
        <v>99999</v>
      </c>
      <c r="BH27" s="328" t="str">
        <f ca="1">IF(BI27="","",'Finals 4'!$E27)</f>
        <v/>
      </c>
      <c r="BI27" s="329" t="str">
        <f ca="1">IF($C$49="","",IF('Finals 4'!$I27=$C$49,'Finals 4'!$K27,IF('Finals 4'!$K27=$C$49,'Finals 4'!$I27,"")))</f>
        <v/>
      </c>
      <c r="BJ27" s="755">
        <f t="shared" ca="1" si="22"/>
        <v>100026</v>
      </c>
      <c r="BK27" s="753">
        <f t="shared" ca="1" si="23"/>
        <v>100026</v>
      </c>
      <c r="BL27" s="754">
        <f ca="1">IF(BN27="",99999,'Finals 4'!$D27)</f>
        <v>99999</v>
      </c>
      <c r="BM27" s="328" t="str">
        <f ca="1">IF(BN27="","",'Finals 4'!$E27)</f>
        <v/>
      </c>
      <c r="BN27" s="329" t="str">
        <f ca="1">IF($C$54="","",IF('Finals 4'!$I27=$C$54,'Finals 4'!$K27,IF('Finals 4'!$K27=$C$54,'Finals 4'!$I27,"")))</f>
        <v/>
      </c>
      <c r="BO27" s="755">
        <f t="shared" ca="1" si="24"/>
        <v>100025</v>
      </c>
      <c r="BP27" s="753">
        <f t="shared" si="25"/>
        <v>100026</v>
      </c>
      <c r="BQ27" s="754">
        <f>IF(BS27="",99999,'Finals 4'!$D27)</f>
        <v>99999</v>
      </c>
      <c r="BR27" s="328" t="str">
        <f>IF(BS27="","",'Finals 4'!$E27)</f>
        <v/>
      </c>
      <c r="BS27" s="329" t="str">
        <f>IF($C$59="","",IF('Finals 4'!$I27=$C$59,'Finals 4'!$K27,IF('Finals 4'!$K27=$C$59,'Finals 4'!$I27,"")))</f>
        <v/>
      </c>
      <c r="BT27" s="755">
        <f t="shared" si="26"/>
        <v>100026</v>
      </c>
    </row>
    <row r="28" spans="2:72" ht="30" customHeight="1" thickBot="1" x14ac:dyDescent="0.25">
      <c r="J28" s="729">
        <f t="shared" ca="1" si="27"/>
        <v>0</v>
      </c>
      <c r="L28" s="165">
        <f ca="1">'Finals 4'!$C28</f>
        <v>32</v>
      </c>
      <c r="M28" s="753">
        <f t="shared" ca="1" si="3"/>
        <v>28.545138888888889</v>
      </c>
      <c r="N28" s="754">
        <f ca="1">IF(P28="",99999,'Finals 4'!$D28)</f>
        <v>0.54513888888888895</v>
      </c>
      <c r="O28" s="328">
        <f ca="1">IF(P28="","",'Finals 4'!$E28)</f>
        <v>4</v>
      </c>
      <c r="P28" s="329" t="str">
        <f ca="1">IF($C$4="","",IF('Finals 4'!$I28=$C$4,'Finals 4'!$K28,IF('Finals 4'!$K28=$C$4,'Finals 4'!$I28,"")))</f>
        <v>FC Grönlingen</v>
      </c>
      <c r="Q28" s="755">
        <f t="shared" ca="1" si="4"/>
        <v>100026</v>
      </c>
      <c r="R28" s="753">
        <f t="shared" ca="1" si="5"/>
        <v>100027</v>
      </c>
      <c r="S28" s="754">
        <f ca="1">IF(U28="",99999,'Finals 4'!$D28)</f>
        <v>99999</v>
      </c>
      <c r="T28" s="328" t="str">
        <f ca="1">IF(U28="","",'Finals 4'!$E28)</f>
        <v/>
      </c>
      <c r="U28" s="329" t="str">
        <f ca="1">IF($C$9="","",IF('Finals 4'!$I28=$C$9,'Finals 4'!$K28,IF('Finals 4'!$K28=$C$9,'Finals 4'!$I28,"")))</f>
        <v/>
      </c>
      <c r="V28" s="755">
        <f t="shared" ca="1" si="6"/>
        <v>100027</v>
      </c>
      <c r="W28" s="753">
        <f t="shared" ca="1" si="7"/>
        <v>100027</v>
      </c>
      <c r="X28" s="754">
        <f ca="1">IF(Z28="",99999,'Finals 4'!$D28)</f>
        <v>99999</v>
      </c>
      <c r="Y28" s="328" t="str">
        <f ca="1">IF(Z28="","",'Finals 4'!$E28)</f>
        <v/>
      </c>
      <c r="Z28" s="329" t="str">
        <f ca="1">IF($C$14="","",IF('Finals 4'!$I28=$C$14,'Finals 4'!$K28,IF('Finals 4'!$K28=$C$14,'Finals 4'!$I28,"")))</f>
        <v/>
      </c>
      <c r="AA28" s="755">
        <f t="shared" ca="1" si="8"/>
        <v>100027</v>
      </c>
      <c r="AB28" s="753">
        <f t="shared" ca="1" si="9"/>
        <v>100027</v>
      </c>
      <c r="AC28" s="754">
        <f ca="1">IF(AE28="",99999,'Finals 4'!$D28)</f>
        <v>99999</v>
      </c>
      <c r="AD28" s="328" t="str">
        <f ca="1">IF(AE28="","",'Finals 4'!$E28)</f>
        <v/>
      </c>
      <c r="AE28" s="329" t="str">
        <f ca="1">IF($C$19="","",IF('Finals 4'!$I28=$C$19,'Finals 4'!$K28,IF('Finals 4'!$K28=$C$19,'Finals 4'!$I28,"")))</f>
        <v/>
      </c>
      <c r="AF28" s="755">
        <f t="shared" ca="1" si="10"/>
        <v>100026</v>
      </c>
      <c r="AG28" s="753">
        <f t="shared" ca="1" si="11"/>
        <v>100027</v>
      </c>
      <c r="AH28" s="754">
        <f ca="1">IF(AJ28="",99999,'Finals 4'!$D28)</f>
        <v>99999</v>
      </c>
      <c r="AI28" s="328" t="str">
        <f ca="1">IF(AJ28="","",'Finals 4'!$E28)</f>
        <v/>
      </c>
      <c r="AJ28" s="329" t="str">
        <f ca="1">IF($C$24="","",IF('Finals 4'!$I28=$C$24,'Finals 4'!$K28,IF('Finals 4'!$K28=$C$24,'Finals 4'!$I28,"")))</f>
        <v/>
      </c>
      <c r="AK28" s="755">
        <f t="shared" ca="1" si="12"/>
        <v>100027</v>
      </c>
      <c r="AL28" s="753">
        <f t="shared" si="13"/>
        <v>100027</v>
      </c>
      <c r="AM28" s="754">
        <f>IF(AO28="",99999,'Finals 4'!$D28)</f>
        <v>99999</v>
      </c>
      <c r="AN28" s="328" t="str">
        <f>IF(AO28="","",'Finals 4'!$E28)</f>
        <v/>
      </c>
      <c r="AO28" s="329" t="str">
        <f>IF($C$29="","",IF('Finals 4'!$I28=$C$29,'Finals 4'!$K28,IF('Finals 4'!$K28=$C$29,'Finals 4'!$I28,"")))</f>
        <v/>
      </c>
      <c r="AP28" s="755">
        <f t="shared" si="14"/>
        <v>100027</v>
      </c>
      <c r="AQ28" s="753">
        <f t="shared" ca="1" si="15"/>
        <v>100027</v>
      </c>
      <c r="AR28" s="754">
        <f ca="1">IF(AT28="",99999,'Finals 4'!$D28)</f>
        <v>99999</v>
      </c>
      <c r="AS28" s="328" t="str">
        <f ca="1">IF(AT28="","",'Finals 4'!$E28)</f>
        <v/>
      </c>
      <c r="AT28" s="329" t="str">
        <f ca="1">IF($C$34="","",IF('Finals 4'!$I28=$C$34,'Finals 4'!$K28,IF('Finals 4'!$K28=$C$34,'Finals 4'!$I28,"")))</f>
        <v/>
      </c>
      <c r="AU28" s="755">
        <f t="shared" ca="1" si="16"/>
        <v>100026</v>
      </c>
      <c r="AV28" s="753">
        <f t="shared" ca="1" si="17"/>
        <v>100027</v>
      </c>
      <c r="AW28" s="754">
        <f ca="1">IF(AY28="",99999,'Finals 4'!$D28)</f>
        <v>99999</v>
      </c>
      <c r="AX28" s="328" t="str">
        <f ca="1">IF(AY28="","",'Finals 4'!$E28)</f>
        <v/>
      </c>
      <c r="AY28" s="329" t="str">
        <f ca="1">IF($C$39="","",IF('Finals 4'!$I28=$C$39,'Finals 4'!$K28,IF('Finals 4'!$K28=$C$39,'Finals 4'!$I28,"")))</f>
        <v/>
      </c>
      <c r="AZ28" s="755">
        <f t="shared" ca="1" si="18"/>
        <v>100027</v>
      </c>
      <c r="BA28" s="753">
        <f t="shared" ca="1" si="19"/>
        <v>100027</v>
      </c>
      <c r="BB28" s="754">
        <f ca="1">IF(BD28="",99999,'Finals 4'!$D28)</f>
        <v>99999</v>
      </c>
      <c r="BC28" s="328" t="str">
        <f ca="1">IF(BD28="","",'Finals 4'!$E28)</f>
        <v/>
      </c>
      <c r="BD28" s="329" t="str">
        <f ca="1">IF($C$44="","",IF('Finals 4'!$I28=$C$44,'Finals 4'!$K28,IF('Finals 4'!$K28=$C$44,'Finals 4'!$I28,"")))</f>
        <v/>
      </c>
      <c r="BE28" s="755">
        <f t="shared" ca="1" si="20"/>
        <v>100027</v>
      </c>
      <c r="BF28" s="753">
        <f t="shared" ca="1" si="21"/>
        <v>100027</v>
      </c>
      <c r="BG28" s="754">
        <f ca="1">IF(BI28="",99999,'Finals 4'!$D28)</f>
        <v>99999</v>
      </c>
      <c r="BH28" s="328" t="str">
        <f ca="1">IF(BI28="","",'Finals 4'!$E28)</f>
        <v/>
      </c>
      <c r="BI28" s="329" t="str">
        <f ca="1">IF($C$49="","",IF('Finals 4'!$I28=$C$49,'Finals 4'!$K28,IF('Finals 4'!$K28=$C$49,'Finals 4'!$I28,"")))</f>
        <v/>
      </c>
      <c r="BJ28" s="755">
        <f t="shared" ca="1" si="22"/>
        <v>100027</v>
      </c>
      <c r="BK28" s="753">
        <f t="shared" ca="1" si="23"/>
        <v>28.545138888888889</v>
      </c>
      <c r="BL28" s="754">
        <f ca="1">IF(BN28="",99999,'Finals 4'!$D28)</f>
        <v>0.54513888888888895</v>
      </c>
      <c r="BM28" s="328">
        <f ca="1">IF(BN28="","",'Finals 4'!$E28)</f>
        <v>4</v>
      </c>
      <c r="BN28" s="329" t="str">
        <f ca="1">IF($C$54="","",IF('Finals 4'!$I28=$C$54,'Finals 4'!$K28,IF('Finals 4'!$K28=$C$54,'Finals 4'!$I28,"")))</f>
        <v>1. FC Riedwald</v>
      </c>
      <c r="BO28" s="755">
        <f t="shared" ca="1" si="24"/>
        <v>100026</v>
      </c>
      <c r="BP28" s="753">
        <f t="shared" si="25"/>
        <v>100027</v>
      </c>
      <c r="BQ28" s="754">
        <f>IF(BS28="",99999,'Finals 4'!$D28)</f>
        <v>99999</v>
      </c>
      <c r="BR28" s="328" t="str">
        <f>IF(BS28="","",'Finals 4'!$E28)</f>
        <v/>
      </c>
      <c r="BS28" s="329" t="str">
        <f>IF($C$59="","",IF('Finals 4'!$I28=$C$59,'Finals 4'!$K28,IF('Finals 4'!$K28=$C$59,'Finals 4'!$I28,"")))</f>
        <v/>
      </c>
      <c r="BT28" s="755">
        <f t="shared" si="26"/>
        <v>100027</v>
      </c>
    </row>
    <row r="29" spans="2:72" ht="15.95" customHeight="1" x14ac:dyDescent="0.2">
      <c r="B29" s="730" t="s">
        <v>202</v>
      </c>
      <c r="C29" s="731" t="str">
        <f>IF(Planning!$C$17="","",Planning!$C$17)</f>
        <v/>
      </c>
      <c r="E29" s="732" t="str">
        <f>Language!$E$60</f>
        <v>balls</v>
      </c>
      <c r="F29" s="733" t="str">
        <f>Language!$E$39</f>
        <v>Start</v>
      </c>
      <c r="G29" s="734" t="str">
        <f>Language!$E$48</f>
        <v>Field</v>
      </c>
      <c r="H29" s="735" t="str">
        <f>Language!$E$46</f>
        <v>Match against</v>
      </c>
      <c r="J29" s="729">
        <f t="shared" si="27"/>
        <v>0</v>
      </c>
      <c r="L29" s="165">
        <f ca="1">'Finals 4'!$C29</f>
        <v>33</v>
      </c>
      <c r="M29" s="756">
        <f t="shared" ca="1" si="3"/>
        <v>100028</v>
      </c>
      <c r="N29" s="757">
        <f ca="1">IF(P29="",99999,'Finals 4'!$D29)</f>
        <v>99999</v>
      </c>
      <c r="O29" s="758" t="str">
        <f ca="1">IF(P29="","",'Finals 4'!$E29)</f>
        <v/>
      </c>
      <c r="P29" s="759" t="str">
        <f ca="1">IF($C$4="","",IF('Finals 4'!$I29=$C$4,'Finals 4'!$K29,IF('Finals 4'!$K29=$C$4,'Finals 4'!$I29,"")))</f>
        <v/>
      </c>
      <c r="Q29" s="760">
        <f t="shared" ca="1" si="4"/>
        <v>100028</v>
      </c>
      <c r="R29" s="756">
        <f t="shared" ca="1" si="5"/>
        <v>100028</v>
      </c>
      <c r="S29" s="757">
        <f ca="1">IF(U29="",99999,'Finals 4'!$D29)</f>
        <v>99999</v>
      </c>
      <c r="T29" s="758" t="str">
        <f ca="1">IF(U29="","",'Finals 4'!$E29)</f>
        <v/>
      </c>
      <c r="U29" s="759" t="str">
        <f ca="1">IF($C$9="","",IF('Finals 4'!$I29=$C$9,'Finals 4'!$K29,IF('Finals 4'!$K29=$C$9,'Finals 4'!$I29,"")))</f>
        <v/>
      </c>
      <c r="V29" s="760">
        <f t="shared" ca="1" si="6"/>
        <v>100028</v>
      </c>
      <c r="W29" s="756">
        <f t="shared" ca="1" si="7"/>
        <v>100028</v>
      </c>
      <c r="X29" s="757">
        <f ca="1">IF(Z29="",99999,'Finals 4'!$D29)</f>
        <v>99999</v>
      </c>
      <c r="Y29" s="758" t="str">
        <f ca="1">IF(Z29="","",'Finals 4'!$E29)</f>
        <v/>
      </c>
      <c r="Z29" s="759" t="str">
        <f ca="1">IF($C$14="","",IF('Finals 4'!$I29=$C$14,'Finals 4'!$K29,IF('Finals 4'!$K29=$C$14,'Finals 4'!$I29,"")))</f>
        <v/>
      </c>
      <c r="AA29" s="760">
        <f t="shared" ca="1" si="8"/>
        <v>100028</v>
      </c>
      <c r="AB29" s="756">
        <f t="shared" ca="1" si="9"/>
        <v>29.569444444444443</v>
      </c>
      <c r="AC29" s="757">
        <f ca="1">IF(AE29="",99999,'Finals 4'!$D29)</f>
        <v>0.56944444444444442</v>
      </c>
      <c r="AD29" s="758">
        <f ca="1">IF(AE29="","",'Finals 4'!$E29)</f>
        <v>1</v>
      </c>
      <c r="AE29" s="759" t="str">
        <f ca="1">IF($C$19="","",IF('Finals 4'!$I29=$C$19,'Finals 4'!$K29,IF('Finals 4'!$K29=$C$19,'Finals 4'!$I29,"")))</f>
        <v>Mainz 05</v>
      </c>
      <c r="AF29" s="760">
        <f t="shared" ca="1" si="10"/>
        <v>100027</v>
      </c>
      <c r="AG29" s="756">
        <f t="shared" ca="1" si="11"/>
        <v>100028</v>
      </c>
      <c r="AH29" s="757">
        <f ca="1">IF(AJ29="",99999,'Finals 4'!$D29)</f>
        <v>99999</v>
      </c>
      <c r="AI29" s="758" t="str">
        <f ca="1">IF(AJ29="","",'Finals 4'!$E29)</f>
        <v/>
      </c>
      <c r="AJ29" s="759" t="str">
        <f ca="1">IF($C$24="","",IF('Finals 4'!$I29=$C$24,'Finals 4'!$K29,IF('Finals 4'!$K29=$C$24,'Finals 4'!$I29,"")))</f>
        <v/>
      </c>
      <c r="AK29" s="760">
        <f t="shared" ca="1" si="12"/>
        <v>100028</v>
      </c>
      <c r="AL29" s="756">
        <f t="shared" si="13"/>
        <v>100028</v>
      </c>
      <c r="AM29" s="757">
        <f>IF(AO29="",99999,'Finals 4'!$D29)</f>
        <v>99999</v>
      </c>
      <c r="AN29" s="758" t="str">
        <f>IF(AO29="","",'Finals 4'!$E29)</f>
        <v/>
      </c>
      <c r="AO29" s="759" t="str">
        <f>IF($C$29="","",IF('Finals 4'!$I29=$C$29,'Finals 4'!$K29,IF('Finals 4'!$K29=$C$29,'Finals 4'!$I29,"")))</f>
        <v/>
      </c>
      <c r="AP29" s="760">
        <f t="shared" si="14"/>
        <v>100028</v>
      </c>
      <c r="AQ29" s="756">
        <f t="shared" ca="1" si="15"/>
        <v>29.569444444444443</v>
      </c>
      <c r="AR29" s="757">
        <f ca="1">IF(AT29="",99999,'Finals 4'!$D29)</f>
        <v>0.56944444444444442</v>
      </c>
      <c r="AS29" s="758">
        <f ca="1">IF(AT29="","",'Finals 4'!$E29)</f>
        <v>1</v>
      </c>
      <c r="AT29" s="759" t="str">
        <f ca="1">IF($C$34="","",IF('Finals 4'!$I29=$C$34,'Finals 4'!$K29,IF('Finals 4'!$K29=$C$34,'Finals 4'!$I29,"")))</f>
        <v>Maibach 1822 eV</v>
      </c>
      <c r="AU29" s="760">
        <f t="shared" ca="1" si="16"/>
        <v>100027</v>
      </c>
      <c r="AV29" s="756">
        <f t="shared" ca="1" si="17"/>
        <v>100028</v>
      </c>
      <c r="AW29" s="757">
        <f ca="1">IF(AY29="",99999,'Finals 4'!$D29)</f>
        <v>99999</v>
      </c>
      <c r="AX29" s="758" t="str">
        <f ca="1">IF(AY29="","",'Finals 4'!$E29)</f>
        <v/>
      </c>
      <c r="AY29" s="759" t="str">
        <f ca="1">IF($C$39="","",IF('Finals 4'!$I29=$C$39,'Finals 4'!$K29,IF('Finals 4'!$K29=$C$39,'Finals 4'!$I29,"")))</f>
        <v/>
      </c>
      <c r="AZ29" s="760">
        <f t="shared" ca="1" si="18"/>
        <v>100028</v>
      </c>
      <c r="BA29" s="756">
        <f t="shared" ca="1" si="19"/>
        <v>100028</v>
      </c>
      <c r="BB29" s="757">
        <f ca="1">IF(BD29="",99999,'Finals 4'!$D29)</f>
        <v>99999</v>
      </c>
      <c r="BC29" s="758" t="str">
        <f ca="1">IF(BD29="","",'Finals 4'!$E29)</f>
        <v/>
      </c>
      <c r="BD29" s="759" t="str">
        <f ca="1">IF($C$44="","",IF('Finals 4'!$I29=$C$44,'Finals 4'!$K29,IF('Finals 4'!$K29=$C$44,'Finals 4'!$I29,"")))</f>
        <v/>
      </c>
      <c r="BE29" s="760">
        <f t="shared" ca="1" si="20"/>
        <v>100028</v>
      </c>
      <c r="BF29" s="756">
        <f t="shared" ca="1" si="21"/>
        <v>100028</v>
      </c>
      <c r="BG29" s="757">
        <f ca="1">IF(BI29="",99999,'Finals 4'!$D29)</f>
        <v>99999</v>
      </c>
      <c r="BH29" s="758" t="str">
        <f ca="1">IF(BI29="","",'Finals 4'!$E29)</f>
        <v/>
      </c>
      <c r="BI29" s="759" t="str">
        <f ca="1">IF($C$49="","",IF('Finals 4'!$I29=$C$49,'Finals 4'!$K29,IF('Finals 4'!$K29=$C$49,'Finals 4'!$I29,"")))</f>
        <v/>
      </c>
      <c r="BJ29" s="760">
        <f t="shared" ca="1" si="22"/>
        <v>100028</v>
      </c>
      <c r="BK29" s="756">
        <f t="shared" ca="1" si="23"/>
        <v>100028</v>
      </c>
      <c r="BL29" s="757">
        <f ca="1">IF(BN29="",99999,'Finals 4'!$D29)</f>
        <v>99999</v>
      </c>
      <c r="BM29" s="758" t="str">
        <f ca="1">IF(BN29="","",'Finals 4'!$E29)</f>
        <v/>
      </c>
      <c r="BN29" s="759" t="str">
        <f ca="1">IF($C$54="","",IF('Finals 4'!$I29=$C$54,'Finals 4'!$K29,IF('Finals 4'!$K29=$C$54,'Finals 4'!$I29,"")))</f>
        <v/>
      </c>
      <c r="BO29" s="760">
        <f t="shared" ca="1" si="24"/>
        <v>100028</v>
      </c>
      <c r="BP29" s="756">
        <f t="shared" si="25"/>
        <v>100028</v>
      </c>
      <c r="BQ29" s="757">
        <f>IF(BS29="",99999,'Finals 4'!$D29)</f>
        <v>99999</v>
      </c>
      <c r="BR29" s="758" t="str">
        <f>IF(BS29="","",'Finals 4'!$E29)</f>
        <v/>
      </c>
      <c r="BS29" s="759" t="str">
        <f>IF($C$59="","",IF('Finals 4'!$I29=$C$59,'Finals 4'!$K29,IF('Finals 4'!$K29=$C$59,'Finals 4'!$I29,"")))</f>
        <v/>
      </c>
      <c r="BT29" s="760">
        <f t="shared" si="26"/>
        <v>100028</v>
      </c>
    </row>
    <row r="30" spans="2:72" ht="15.95" customHeight="1" x14ac:dyDescent="0.2">
      <c r="E30" s="736" t="str">
        <f>IF($AP$12&lt;99999,INDEX($L$12:$L$29,MATCH($AP$12,$AL$12:$AL$29,0)),"")</f>
        <v/>
      </c>
      <c r="F30" s="737" t="str">
        <f>IF($AP$12&lt;99999,VLOOKUP($AP$12,$AL$12:$AO$29,2,0),"")</f>
        <v/>
      </c>
      <c r="G30" s="738" t="str">
        <f>IF($AP$12&lt;99999,VLOOKUP($AP$12,$AL$12:$AO$29,3,0),"")</f>
        <v/>
      </c>
      <c r="H30" s="739" t="str">
        <f>IF($AP$12&lt;99999,VLOOKUP($AP$12,$AL$12:$AO$29,4,0),"")</f>
        <v/>
      </c>
      <c r="J30" s="729">
        <f t="shared" si="27"/>
        <v>0</v>
      </c>
      <c r="K30" s="729" t="str">
        <f>IF(J30=0,"",$C$29)</f>
        <v/>
      </c>
    </row>
    <row r="31" spans="2:72" ht="15.95" customHeight="1" x14ac:dyDescent="0.2">
      <c r="E31" s="736" t="str">
        <f>IF($AP$13&lt;99999,INDEX($L$12:$L$29,MATCH($AP$13,$AL$12:$AL$29,0)),"")</f>
        <v/>
      </c>
      <c r="F31" s="740" t="str">
        <f>IF($AP$13&lt;99999,VLOOKUP($AP$13,$AL$12:$AO$29,2,0),"")</f>
        <v/>
      </c>
      <c r="G31" s="741" t="str">
        <f>IF($AP$13&lt;99999,VLOOKUP($AP$13,$AL$12:$AO$29,3,0),"")</f>
        <v/>
      </c>
      <c r="H31" s="742" t="str">
        <f>IF($AP$13&lt;99999,VLOOKUP($AP$13,$AL$12:$AO$29,4,0),"")</f>
        <v/>
      </c>
      <c r="J31" s="729">
        <f t="shared" si="27"/>
        <v>0</v>
      </c>
      <c r="K31" s="729" t="str">
        <f t="shared" ref="K31:K32" si="31">IF(J31=0,"",$C$29)</f>
        <v/>
      </c>
    </row>
    <row r="32" spans="2:72" ht="15.95" customHeight="1" thickBot="1" x14ac:dyDescent="0.25">
      <c r="E32" s="743" t="str">
        <f>IF($AP$14&lt;99999,INDEX($L$12:$L$29,MATCH($AP$14,$AL$12:$AL$29,0)),"")</f>
        <v/>
      </c>
      <c r="F32" s="744" t="str">
        <f>IF($AP$14&lt;99999,VLOOKUP($AP$14,$AL$12:$AO$29,2,0),"")</f>
        <v/>
      </c>
      <c r="G32" s="745" t="str">
        <f>IF($AP$14&lt;99999,VLOOKUP($AP$14,$AL$12:$AO$29,3,0),"")</f>
        <v/>
      </c>
      <c r="H32" s="746" t="str">
        <f>IF($AP$14&lt;99999,VLOOKUP($AP$14,$AL$12:$AO$29,4,0),"")</f>
        <v/>
      </c>
      <c r="J32" s="729">
        <f t="shared" si="27"/>
        <v>0</v>
      </c>
      <c r="K32" s="729" t="str">
        <f t="shared" si="31"/>
        <v/>
      </c>
    </row>
    <row r="33" spans="2:11" ht="30" customHeight="1" thickBot="1" x14ac:dyDescent="0.25">
      <c r="J33" s="729">
        <f t="shared" si="27"/>
        <v>0</v>
      </c>
    </row>
    <row r="34" spans="2:11" ht="15.95" customHeight="1" x14ac:dyDescent="0.2">
      <c r="B34" s="730" t="s">
        <v>195</v>
      </c>
      <c r="C34" s="731" t="str">
        <f>IF(Planning!$C$24="","",Planning!$C$24)</f>
        <v>Mainz 05</v>
      </c>
      <c r="E34" s="732" t="str">
        <f>Language!$E$60</f>
        <v>balls</v>
      </c>
      <c r="F34" s="733" t="str">
        <f>Language!$E$39</f>
        <v>Start</v>
      </c>
      <c r="G34" s="734" t="str">
        <f>Language!$E$48</f>
        <v>Field</v>
      </c>
      <c r="H34" s="735" t="str">
        <f>Language!$E$46</f>
        <v>Match against</v>
      </c>
      <c r="J34" s="729">
        <f t="shared" ca="1" si="27"/>
        <v>0</v>
      </c>
    </row>
    <row r="35" spans="2:11" ht="15.95" customHeight="1" x14ac:dyDescent="0.2">
      <c r="E35" s="736">
        <f ca="1">IF($AU$12&lt;99999,INDEX($L$12:$L$29,MATCH($AU$12,$AQ$12:$AQ$29,0)),"")</f>
        <v>24</v>
      </c>
      <c r="F35" s="737">
        <f ca="1">IF($AU$12&lt;99999,VLOOKUP($AU$12,$AQ$12:$AT$29,2,0),"")</f>
        <v>0.49652777777777779</v>
      </c>
      <c r="G35" s="738">
        <f ca="1">IF($AU$12&lt;99999,VLOOKUP($AU$12,$AQ$12:$AT$29,3,0),"")</f>
        <v>4</v>
      </c>
      <c r="H35" s="739" t="str">
        <f ca="1">IF($AU$12&lt;99999,VLOOKUP($AU$12,$AQ$12:$AT$29,4,0),"")</f>
        <v>Eintracht Frankfurt</v>
      </c>
      <c r="J35" s="729">
        <f t="shared" ca="1" si="27"/>
        <v>0</v>
      </c>
      <c r="K35" s="729" t="str">
        <f ca="1">IF(J35=0,"",$C$34)</f>
        <v/>
      </c>
    </row>
    <row r="36" spans="2:11" ht="15.95" customHeight="1" x14ac:dyDescent="0.2">
      <c r="E36" s="736">
        <f ca="1">IF($AU$13&lt;99999,INDEX($L$12:$L$29,MATCH($AU$13,$AQ$12:$AQ$29,0)),"")</f>
        <v>28</v>
      </c>
      <c r="F36" s="740">
        <f ca="1">IF($AU$13&lt;99999,VLOOKUP($AU$13,$AQ$12:$AT$29,2,0),"")</f>
        <v>0.52083333333333337</v>
      </c>
      <c r="G36" s="741">
        <f ca="1">IF($AU$13&lt;99999,VLOOKUP($AU$13,$AQ$12:$AT$29,3,0),"")</f>
        <v>4</v>
      </c>
      <c r="H36" s="742" t="str">
        <f ca="1">IF($AU$13&lt;99999,VLOOKUP($AU$13,$AQ$12:$AT$29,4,0),"")</f>
        <v>Manchester City</v>
      </c>
      <c r="J36" s="729">
        <f t="shared" ca="1" si="27"/>
        <v>0</v>
      </c>
      <c r="K36" s="729" t="str">
        <f t="shared" ref="K36:K37" ca="1" si="32">IF(J36=0,"",$C$34)</f>
        <v/>
      </c>
    </row>
    <row r="37" spans="2:11" ht="15.95" customHeight="1" thickBot="1" x14ac:dyDescent="0.25">
      <c r="E37" s="743">
        <f ca="1">IF($AU$14&lt;99999,INDEX($L$12:$L$29,MATCH($AU$14,$AQ$12:$AQ$29,0)),"")</f>
        <v>33</v>
      </c>
      <c r="F37" s="744">
        <f ca="1">IF($AU$14&lt;99999,VLOOKUP($AU$14,$AQ$12:$AT$29,2,0),"")</f>
        <v>0.56944444444444442</v>
      </c>
      <c r="G37" s="745">
        <f ca="1">IF($AU$14&lt;99999,VLOOKUP($AU$14,$AQ$12:$AT$29,3,0),"")</f>
        <v>1</v>
      </c>
      <c r="H37" s="746" t="str">
        <f ca="1">IF($AU$14&lt;99999,VLOOKUP($AU$14,$AQ$12:$AT$29,4,0),"")</f>
        <v>Maibach 1822 eV</v>
      </c>
      <c r="J37" s="729">
        <f t="shared" ca="1" si="27"/>
        <v>0</v>
      </c>
      <c r="K37" s="729" t="str">
        <f t="shared" ca="1" si="32"/>
        <v/>
      </c>
    </row>
    <row r="38" spans="2:11" ht="30" customHeight="1" thickBot="1" x14ac:dyDescent="0.25">
      <c r="J38" s="729">
        <f t="shared" ca="1" si="27"/>
        <v>0</v>
      </c>
    </row>
    <row r="39" spans="2:11" ht="15.95" customHeight="1" x14ac:dyDescent="0.2">
      <c r="B39" s="730" t="s">
        <v>197</v>
      </c>
      <c r="C39" s="731" t="str">
        <f>IF(Planning!$C$26="","",Planning!$C$26)</f>
        <v>Inter Mailand</v>
      </c>
      <c r="E39" s="732" t="str">
        <f>Language!$E$60</f>
        <v>balls</v>
      </c>
      <c r="F39" s="733" t="str">
        <f>Language!$E$39</f>
        <v>Start</v>
      </c>
      <c r="G39" s="734" t="str">
        <f>Language!$E$48</f>
        <v>Field</v>
      </c>
      <c r="H39" s="735" t="str">
        <f>Language!$E$46</f>
        <v>Match against</v>
      </c>
      <c r="J39" s="729">
        <f t="shared" ca="1" si="27"/>
        <v>0</v>
      </c>
    </row>
    <row r="40" spans="2:11" ht="15.95" customHeight="1" x14ac:dyDescent="0.2">
      <c r="E40" s="736">
        <f ca="1">IF($AZ$12&lt;99999,INDEX($L$12:$L$29,MATCH($AZ$12,$AV$12:$AV$29,0)),"")</f>
        <v>31</v>
      </c>
      <c r="F40" s="737">
        <f ca="1">IF($AZ$12&lt;99999,VLOOKUP($AZ$12,$AV$12:$AY$29,2,0),"")</f>
        <v>0.54513888888888895</v>
      </c>
      <c r="G40" s="738">
        <f ca="1">IF($AZ$12&lt;99999,VLOOKUP($AZ$12,$AV$12:$AY$29,3,0),"")</f>
        <v>3</v>
      </c>
      <c r="H40" s="739" t="str">
        <f ca="1">IF($AZ$12&lt;99999,VLOOKUP($AZ$12,$AV$12:$AY$29,4,0),"")</f>
        <v>VFB Essenheim</v>
      </c>
      <c r="J40" s="729">
        <f t="shared" ca="1" si="27"/>
        <v>0</v>
      </c>
      <c r="K40" s="729" t="str">
        <f ca="1">IF(J40=0,"",$C$39)</f>
        <v/>
      </c>
    </row>
    <row r="41" spans="2:11" ht="15.95" customHeight="1" x14ac:dyDescent="0.2">
      <c r="E41" s="736" t="str">
        <f ca="1">IF($AZ$13&lt;99999,INDEX($L$12:$L$29,MATCH($AZ$13,$AV$12:$AV$29,0)),"")</f>
        <v/>
      </c>
      <c r="F41" s="740" t="str">
        <f ca="1">IF($AZ$13&lt;99999,VLOOKUP($AZ$13,$AV$12:$AY$29,2,0),"")</f>
        <v/>
      </c>
      <c r="G41" s="741" t="str">
        <f ca="1">IF($AZ$13&lt;99999,VLOOKUP($AZ$13,$AV$12:$AY$29,3,0),"")</f>
        <v/>
      </c>
      <c r="H41" s="742" t="str">
        <f ca="1">IF($AZ$13&lt;99999,VLOOKUP($AZ$13,$AV$12:$AY$29,4,0),"")</f>
        <v/>
      </c>
      <c r="J41" s="729">
        <f t="shared" ca="1" si="27"/>
        <v>0</v>
      </c>
      <c r="K41" s="729" t="str">
        <f t="shared" ref="K41:K42" ca="1" si="33">IF(J41=0,"",$C$39)</f>
        <v/>
      </c>
    </row>
    <row r="42" spans="2:11" ht="15.95" customHeight="1" thickBot="1" x14ac:dyDescent="0.25">
      <c r="E42" s="743" t="str">
        <f ca="1">IF($AZ$14&lt;99999,INDEX($L$12:$L$29,MATCH($AZ$14,$AV$12:$AV$29,0)),"")</f>
        <v/>
      </c>
      <c r="F42" s="744" t="str">
        <f ca="1">IF($AZ$14&lt;99999,VLOOKUP($AZ$14,$AV$12:$AY$29,2,0),"")</f>
        <v/>
      </c>
      <c r="G42" s="745" t="str">
        <f ca="1">IF($AZ$14&lt;99999,VLOOKUP($AZ$14,$AV$12:$AY$29,3,0),"")</f>
        <v/>
      </c>
      <c r="H42" s="746" t="str">
        <f ca="1">IF($AZ$14&lt;99999,VLOOKUP($AZ$14,$AV$12:$AY$29,4,0),"")</f>
        <v/>
      </c>
      <c r="J42" s="729">
        <f t="shared" ca="1" si="27"/>
        <v>0</v>
      </c>
      <c r="K42" s="729" t="str">
        <f t="shared" ca="1" si="33"/>
        <v/>
      </c>
    </row>
    <row r="43" spans="2:11" ht="30" customHeight="1" thickBot="1" x14ac:dyDescent="0.25">
      <c r="J43" s="729">
        <f t="shared" ca="1" si="27"/>
        <v>0</v>
      </c>
    </row>
    <row r="44" spans="2:11" ht="15.95" customHeight="1" x14ac:dyDescent="0.2">
      <c r="B44" s="730" t="s">
        <v>193</v>
      </c>
      <c r="C44" s="731" t="str">
        <f>IF(Planning!$C$28="","",Planning!$C$28)</f>
        <v>SSV Wildbach</v>
      </c>
      <c r="E44" s="732" t="str">
        <f>Language!$E$60</f>
        <v>balls</v>
      </c>
      <c r="F44" s="733" t="str">
        <f>Language!$E$39</f>
        <v>Start</v>
      </c>
      <c r="G44" s="734" t="str">
        <f>Language!$E$48</f>
        <v>Field</v>
      </c>
      <c r="H44" s="735" t="str">
        <f>Language!$E$46</f>
        <v>Match against</v>
      </c>
      <c r="J44" s="729">
        <f t="shared" ca="1" si="27"/>
        <v>0</v>
      </c>
    </row>
    <row r="45" spans="2:11" ht="15.95" customHeight="1" x14ac:dyDescent="0.2">
      <c r="E45" s="736">
        <f ca="1">IF($BE$12&lt;99999,INDEX($L$12:$L$29,MATCH($BE$12,$BA$12:$BA$29,0)),"")</f>
        <v>21</v>
      </c>
      <c r="F45" s="737">
        <f ca="1">IF($BE$12&lt;99999,VLOOKUP($BE$12,$BA$12:$BD$29,2,0),"")</f>
        <v>0.49652777777777779</v>
      </c>
      <c r="G45" s="738">
        <f ca="1">IF($BE$12&lt;99999,VLOOKUP($BE$12,$BA$12:$BD$29,3,0),"")</f>
        <v>1</v>
      </c>
      <c r="H45" s="739" t="str">
        <f ca="1">IF($BE$12&lt;99999,VLOOKUP($BE$12,$BA$12:$BD$29,4,0),"")</f>
        <v>1. FC Riedwald</v>
      </c>
      <c r="J45" s="729">
        <f t="shared" ca="1" si="27"/>
        <v>0</v>
      </c>
      <c r="K45" s="729" t="str">
        <f ca="1">IF(J45=0,"",$C$44)</f>
        <v/>
      </c>
    </row>
    <row r="46" spans="2:11" ht="15.95" customHeight="1" x14ac:dyDescent="0.2">
      <c r="E46" s="736">
        <f ca="1">IF($BE$13&lt;99999,INDEX($L$12:$L$29,MATCH($BE$13,$BA$12:$BA$29,0)),"")</f>
        <v>27</v>
      </c>
      <c r="F46" s="740">
        <f ca="1">IF($BE$13&lt;99999,VLOOKUP($BE$13,$BA$12:$BD$29,2,0),"")</f>
        <v>0.52083333333333337</v>
      </c>
      <c r="G46" s="741">
        <f ca="1">IF($BE$13&lt;99999,VLOOKUP($BE$13,$BA$12:$BD$29,3,0),"")</f>
        <v>3</v>
      </c>
      <c r="H46" s="742" t="str">
        <f ca="1">IF($BE$13&lt;99999,VLOOKUP($BE$13,$BA$12:$BD$29,4,0),"")</f>
        <v>FC Grönlingen</v>
      </c>
      <c r="J46" s="729">
        <f t="shared" ca="1" si="27"/>
        <v>0</v>
      </c>
      <c r="K46" s="729" t="str">
        <f t="shared" ref="K46:K47" ca="1" si="34">IF(J46=0,"",$C$44)</f>
        <v/>
      </c>
    </row>
    <row r="47" spans="2:11" ht="15.95" customHeight="1" thickBot="1" x14ac:dyDescent="0.25">
      <c r="E47" s="743">
        <f ca="1">IF($BE$14&lt;99999,INDEX($L$12:$L$29,MATCH($BE$14,$BA$12:$BA$29,0)),"")</f>
        <v>29</v>
      </c>
      <c r="F47" s="744">
        <f ca="1">IF($BE$14&lt;99999,VLOOKUP($BE$14,$BA$12:$BD$29,2,0),"")</f>
        <v>0.54513888888888895</v>
      </c>
      <c r="G47" s="745">
        <f ca="1">IF($BE$14&lt;99999,VLOOKUP($BE$14,$BA$12:$BD$29,3,0),"")</f>
        <v>1</v>
      </c>
      <c r="H47" s="746" t="str">
        <f ca="1">IF($BE$14&lt;99999,VLOOKUP($BE$14,$BA$12:$BD$29,4,0),"")</f>
        <v>FC Barcelona</v>
      </c>
      <c r="J47" s="729">
        <f t="shared" ca="1" si="27"/>
        <v>0</v>
      </c>
      <c r="K47" s="729" t="str">
        <f t="shared" ca="1" si="34"/>
        <v/>
      </c>
    </row>
    <row r="48" spans="2:11" ht="30" customHeight="1" thickBot="1" x14ac:dyDescent="0.25">
      <c r="J48" s="729">
        <f t="shared" ca="1" si="27"/>
        <v>0</v>
      </c>
    </row>
    <row r="49" spans="2:11" ht="15.95" customHeight="1" x14ac:dyDescent="0.2">
      <c r="B49" s="730" t="s">
        <v>199</v>
      </c>
      <c r="C49" s="731" t="str">
        <f>IF(Planning!$C$30="","",Planning!$C$30)</f>
        <v>Manchester City</v>
      </c>
      <c r="E49" s="732" t="str">
        <f>Language!$E$60</f>
        <v>balls</v>
      </c>
      <c r="F49" s="733" t="str">
        <f>Language!$E$39</f>
        <v>Start</v>
      </c>
      <c r="G49" s="734" t="str">
        <f>Language!$E$48</f>
        <v>Field</v>
      </c>
      <c r="H49" s="735" t="str">
        <f>Language!$E$46</f>
        <v>Match against</v>
      </c>
      <c r="J49" s="729">
        <f t="shared" ca="1" si="27"/>
        <v>0</v>
      </c>
    </row>
    <row r="50" spans="2:11" ht="15.95" customHeight="1" x14ac:dyDescent="0.2">
      <c r="E50" s="736">
        <f ca="1">IF($BJ$12&lt;99999,INDEX($L$12:$L$29,MATCH($BJ$12,$BF$12:$BF$29,0)),"")</f>
        <v>22</v>
      </c>
      <c r="F50" s="737">
        <f ca="1">IF($BJ$12&lt;99999,VLOOKUP($BJ$12,$BF$12:$BI$29,2,0),"")</f>
        <v>0.49652777777777779</v>
      </c>
      <c r="G50" s="738">
        <f ca="1">IF($BJ$12&lt;99999,VLOOKUP($BJ$12,$BF$12:$BI$29,3,0),"")</f>
        <v>2</v>
      </c>
      <c r="H50" s="739" t="str">
        <f ca="1">IF($BJ$12&lt;99999,VLOOKUP($BJ$12,$BF$12:$BI$29,4,0),"")</f>
        <v>Maibach 1822 eV</v>
      </c>
      <c r="J50" s="729">
        <f t="shared" ca="1" si="27"/>
        <v>0</v>
      </c>
      <c r="K50" s="729" t="str">
        <f ca="1">IF(J50=0,"",$C$49)</f>
        <v/>
      </c>
    </row>
    <row r="51" spans="2:11" ht="15.95" customHeight="1" x14ac:dyDescent="0.2">
      <c r="E51" s="736">
        <f ca="1">IF($BJ$13&lt;99999,INDEX($L$12:$L$29,MATCH($BJ$13,$BF$12:$BF$29,0)),"")</f>
        <v>28</v>
      </c>
      <c r="F51" s="740">
        <f ca="1">IF($BJ$13&lt;99999,VLOOKUP($BJ$13,$BF$12:$BI$29,2,0),"")</f>
        <v>0.52083333333333337</v>
      </c>
      <c r="G51" s="741">
        <f ca="1">IF($BJ$13&lt;99999,VLOOKUP($BJ$13,$BF$12:$BI$29,3,0),"")</f>
        <v>4</v>
      </c>
      <c r="H51" s="742" t="str">
        <f ca="1">IF($BJ$13&lt;99999,VLOOKUP($BJ$13,$BF$12:$BI$29,4,0),"")</f>
        <v>Mainz 05</v>
      </c>
      <c r="J51" s="729">
        <f t="shared" ca="1" si="27"/>
        <v>0</v>
      </c>
      <c r="K51" s="729" t="str">
        <f t="shared" ref="K51:K52" ca="1" si="35">IF(J51=0,"",$C$49)</f>
        <v/>
      </c>
    </row>
    <row r="52" spans="2:11" ht="15.95" customHeight="1" thickBot="1" x14ac:dyDescent="0.25">
      <c r="E52" s="743">
        <f ca="1">IF($BJ$14&lt;99999,INDEX($L$12:$L$29,MATCH($BJ$14,$BF$12:$BF$29,0)),"")</f>
        <v>30</v>
      </c>
      <c r="F52" s="744">
        <f ca="1">IF($BJ$14&lt;99999,VLOOKUP($BJ$14,$BF$12:$BI$29,2,0),"")</f>
        <v>0.54513888888888895</v>
      </c>
      <c r="G52" s="745">
        <f ca="1">IF($BJ$14&lt;99999,VLOOKUP($BJ$14,$BF$12:$BI$29,3,0),"")</f>
        <v>2</v>
      </c>
      <c r="H52" s="746" t="str">
        <f ca="1">IF($BJ$14&lt;99999,VLOOKUP($BJ$14,$BF$12:$BI$29,4,0),"")</f>
        <v>Eintracht Frankfurt</v>
      </c>
      <c r="J52" s="729">
        <f t="shared" ca="1" si="27"/>
        <v>0</v>
      </c>
      <c r="K52" s="729" t="str">
        <f t="shared" ca="1" si="35"/>
        <v/>
      </c>
    </row>
    <row r="53" spans="2:11" ht="30" customHeight="1" thickBot="1" x14ac:dyDescent="0.25">
      <c r="J53" s="729">
        <f t="shared" ca="1" si="27"/>
        <v>0</v>
      </c>
    </row>
    <row r="54" spans="2:11" ht="15.95" customHeight="1" x14ac:dyDescent="0.2">
      <c r="B54" s="730" t="s">
        <v>201</v>
      </c>
      <c r="C54" s="731" t="str">
        <f>IF(Planning!$C$32="","",Planning!$C$32)</f>
        <v>FC Grönlingen</v>
      </c>
      <c r="E54" s="732" t="str">
        <f>Language!$E$60</f>
        <v>balls</v>
      </c>
      <c r="F54" s="733" t="str">
        <f>Language!$E$39</f>
        <v>Start</v>
      </c>
      <c r="G54" s="734" t="str">
        <f>Language!$E$48</f>
        <v>Field</v>
      </c>
      <c r="H54" s="735" t="str">
        <f>Language!$E$46</f>
        <v>Match against</v>
      </c>
      <c r="J54" s="729">
        <f t="shared" ca="1" si="27"/>
        <v>0</v>
      </c>
    </row>
    <row r="55" spans="2:11" ht="15.95" customHeight="1" x14ac:dyDescent="0.2">
      <c r="E55" s="736">
        <f ca="1">IF($BO$12&lt;99999,INDEX($L$12:$L$29,MATCH($BO$12,$BK$12:$BK$29,0)),"")</f>
        <v>23</v>
      </c>
      <c r="F55" s="737">
        <f ca="1">IF($BO$12&lt;99999,VLOOKUP($BO$12,$BK$12:$BN$29,2,0),"")</f>
        <v>0.49652777777777779</v>
      </c>
      <c r="G55" s="738">
        <f ca="1">IF($BO$12&lt;99999,VLOOKUP($BO$12,$BK$12:$BN$29,3,0),"")</f>
        <v>3</v>
      </c>
      <c r="H55" s="739" t="str">
        <f ca="1">IF($BO$12&lt;99999,VLOOKUP($BO$12,$BK$12:$BN$29,4,0),"")</f>
        <v>FC Barcelona</v>
      </c>
      <c r="J55" s="729">
        <f t="shared" ca="1" si="27"/>
        <v>0</v>
      </c>
      <c r="K55" s="729" t="str">
        <f ca="1">IF(J55=0,"",$C$54)</f>
        <v/>
      </c>
    </row>
    <row r="56" spans="2:11" ht="15.95" customHeight="1" x14ac:dyDescent="0.2">
      <c r="E56" s="736">
        <f ca="1">IF($BO$13&lt;99999,INDEX($L$12:$L$29,MATCH($BO$13,$BK$12:$BK$29,0)),"")</f>
        <v>27</v>
      </c>
      <c r="F56" s="740">
        <f ca="1">IF($BO$13&lt;99999,VLOOKUP($BO$13,$BK$12:$BN$29,2,0),"")</f>
        <v>0.52083333333333337</v>
      </c>
      <c r="G56" s="741">
        <f ca="1">IF($BO$13&lt;99999,VLOOKUP($BO$13,$BK$12:$BN$29,3,0),"")</f>
        <v>3</v>
      </c>
      <c r="H56" s="742" t="str">
        <f ca="1">IF($BO$13&lt;99999,VLOOKUP($BO$13,$BK$12:$BN$29,4,0),"")</f>
        <v>SSV Wildbach</v>
      </c>
      <c r="J56" s="729">
        <f t="shared" ca="1" si="27"/>
        <v>0</v>
      </c>
      <c r="K56" s="729" t="str">
        <f t="shared" ref="K56:K57" ca="1" si="36">IF(J56=0,"",$C$54)</f>
        <v/>
      </c>
    </row>
    <row r="57" spans="2:11" ht="15.95" customHeight="1" thickBot="1" x14ac:dyDescent="0.25">
      <c r="E57" s="743">
        <f ca="1">IF($BO$14&lt;99999,INDEX($L$12:$L$29,MATCH($BO$14,$BK$12:$BK$29,0)),"")</f>
        <v>32</v>
      </c>
      <c r="F57" s="744">
        <f ca="1">IF($BO$14&lt;99999,VLOOKUP($BO$14,$BK$12:$BN$29,2,0),"")</f>
        <v>0.54513888888888895</v>
      </c>
      <c r="G57" s="745">
        <f ca="1">IF($BO$14&lt;99999,VLOOKUP($BO$14,$BK$12:$BN$29,3,0),"")</f>
        <v>4</v>
      </c>
      <c r="H57" s="746" t="str">
        <f ca="1">IF($BO$14&lt;99999,VLOOKUP($BO$14,$BK$12:$BN$29,4,0),"")</f>
        <v>1. FC Riedwald</v>
      </c>
      <c r="J57" s="729">
        <f t="shared" ca="1" si="27"/>
        <v>0</v>
      </c>
      <c r="K57" s="729" t="str">
        <f t="shared" ca="1" si="36"/>
        <v/>
      </c>
    </row>
    <row r="58" spans="2:11" ht="30" customHeight="1" thickBot="1" x14ac:dyDescent="0.25">
      <c r="J58" s="729">
        <f t="shared" ca="1" si="27"/>
        <v>0</v>
      </c>
    </row>
    <row r="59" spans="2:11" ht="15.95" customHeight="1" x14ac:dyDescent="0.2">
      <c r="B59" s="730" t="s">
        <v>203</v>
      </c>
      <c r="C59" s="731" t="str">
        <f>IF(Planning!$C$34="","",Planning!$C$34)</f>
        <v/>
      </c>
      <c r="E59" s="732" t="str">
        <f>Language!$E$60</f>
        <v>balls</v>
      </c>
      <c r="F59" s="733" t="str">
        <f>Language!$E$39</f>
        <v>Start</v>
      </c>
      <c r="G59" s="734" t="str">
        <f>Language!$E$48</f>
        <v>Field</v>
      </c>
      <c r="H59" s="735" t="str">
        <f>Language!$E$46</f>
        <v>Match against</v>
      </c>
      <c r="J59" s="729">
        <f t="shared" si="27"/>
        <v>0</v>
      </c>
    </row>
    <row r="60" spans="2:11" ht="15.95" customHeight="1" x14ac:dyDescent="0.2">
      <c r="E60" s="736" t="str">
        <f>IF($BT$12&lt;99999,INDEX($L$12:$L$29,MATCH($BT$12,$BP$12:$BP$29,0)),"")</f>
        <v/>
      </c>
      <c r="F60" s="737" t="str">
        <f>IF($BT$12&lt;99999,VLOOKUP($BT$12,$BP$12:$BS$29,2,0),"")</f>
        <v/>
      </c>
      <c r="G60" s="738" t="str">
        <f>IF($BT$12&lt;99999,VLOOKUP($BT$12,$BP$12:$BS$29,3,0),"")</f>
        <v/>
      </c>
      <c r="H60" s="739" t="str">
        <f>IF($BT$12&lt;99999,VLOOKUP($BT$12,$BP$12:$BS$29,4,0),"")</f>
        <v/>
      </c>
      <c r="J60" s="729">
        <f t="shared" si="27"/>
        <v>0</v>
      </c>
      <c r="K60" s="729" t="str">
        <f>IF(J60=0,"",$C$59)</f>
        <v/>
      </c>
    </row>
    <row r="61" spans="2:11" ht="15.95" customHeight="1" x14ac:dyDescent="0.2">
      <c r="E61" s="736" t="str">
        <f>IF($BT$13&lt;99999,INDEX($L$12:$L$29,MATCH($BT$13,$BP$12:$BP$29,0)),"")</f>
        <v/>
      </c>
      <c r="F61" s="740" t="str">
        <f>IF($BT$13&lt;99999,VLOOKUP($BT$13,$BP$12:$BS$29,2,0),"")</f>
        <v/>
      </c>
      <c r="G61" s="741" t="str">
        <f>IF($BT$13&lt;99999,VLOOKUP($BT$13,$BP$12:$BS$29,3,0),"")</f>
        <v/>
      </c>
      <c r="H61" s="742" t="str">
        <f>IF($BT$13&lt;99999,VLOOKUP($BT$13,$BP$12:$BS$29,4,0),"")</f>
        <v/>
      </c>
      <c r="J61" s="729">
        <f t="shared" si="27"/>
        <v>0</v>
      </c>
      <c r="K61" s="729" t="str">
        <f t="shared" ref="K61:K62" si="37">IF(J61=0,"",$C$59)</f>
        <v/>
      </c>
    </row>
    <row r="62" spans="2:11" ht="15.95" customHeight="1" thickBot="1" x14ac:dyDescent="0.25">
      <c r="E62" s="743" t="str">
        <f>IF($BT$14&lt;99999,INDEX($L$12:$L$29,MATCH($BT$14,$BP$12:$BP$29,0)),"")</f>
        <v/>
      </c>
      <c r="F62" s="744" t="str">
        <f>IF($BT$14&lt;99999,VLOOKUP($BT$14,$BP$12:$BS$29,2,0),"")</f>
        <v/>
      </c>
      <c r="G62" s="745" t="str">
        <f>IF($BT$14&lt;99999,VLOOKUP($BT$14,$BP$12:$BS$29,3,0),"")</f>
        <v/>
      </c>
      <c r="H62" s="746" t="str">
        <f>IF($BT$14&lt;99999,VLOOKUP($BT$14,$BP$12:$BS$29,4,0),"")</f>
        <v/>
      </c>
      <c r="J62" s="729">
        <f t="shared" si="27"/>
        <v>0</v>
      </c>
      <c r="K62" s="729" t="str">
        <f t="shared" si="37"/>
        <v/>
      </c>
    </row>
    <row r="63" spans="2:11" ht="15.95" customHeight="1" x14ac:dyDescent="0.2"/>
    <row r="64" spans="2:11" x14ac:dyDescent="0.2"/>
  </sheetData>
  <sheetProtection sheet="1" selectLockedCells="1"/>
  <mergeCells count="1">
    <mergeCell ref="B1:H1"/>
  </mergeCells>
  <conditionalFormatting sqref="E5:F62">
    <cfRule type="expression" dxfId="4" priority="1">
      <formula>AND($F5&lt;&gt;"",OR($F5=$F4,$F5=$F6))</formula>
    </cfRule>
  </conditionalFormatting>
  <pageMargins left="0.70866141732283472" right="0.31496062992125984" top="0.39370078740157483" bottom="0.39370078740157483" header="0.31496062992125984" footer="0.31496062992125984"/>
  <pageSetup paperSize="9" scale="72"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2"/>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68"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7"/>
      <c r="F1" s="792" t="str">
        <f>$E$35</f>
        <v>Choose language</v>
      </c>
      <c r="G1" s="792"/>
      <c r="H1" s="792"/>
      <c r="I1" s="104"/>
      <c r="J1" s="106" t="s">
        <v>112</v>
      </c>
      <c r="K1" s="173" t="str">
        <f>_xlfn.UNICHAR(8592)</f>
        <v>←</v>
      </c>
      <c r="L1" s="172" t="str">
        <f>$E$76</f>
        <v>Click here and choose language</v>
      </c>
    </row>
    <row r="2" spans="2:12" ht="11.25" customHeight="1" thickBot="1" x14ac:dyDescent="0.25">
      <c r="F2" s="948"/>
      <c r="G2" s="948"/>
      <c r="I2" s="69"/>
      <c r="J2" s="70"/>
    </row>
    <row r="3" spans="2:12" ht="13.5" thickTop="1" x14ac:dyDescent="0.2">
      <c r="B3" s="71" t="s">
        <v>112</v>
      </c>
      <c r="C3" s="72">
        <f>IF(AND($J$1&lt;&gt;B4,$J$1&lt;&gt;B5),1,0)</f>
        <v>1</v>
      </c>
      <c r="D3" s="949"/>
      <c r="E3" s="951"/>
      <c r="F3" s="952" t="s">
        <v>112</v>
      </c>
      <c r="G3" s="954" t="s">
        <v>147</v>
      </c>
      <c r="H3" s="946" t="s">
        <v>111</v>
      </c>
      <c r="I3" s="73"/>
    </row>
    <row r="4" spans="2:12" ht="13.5" thickBot="1" x14ac:dyDescent="0.25">
      <c r="B4" s="71" t="s">
        <v>147</v>
      </c>
      <c r="C4" s="72">
        <f>IF($J$1=B4,1,0)</f>
        <v>0</v>
      </c>
      <c r="D4" s="950"/>
      <c r="E4" s="951"/>
      <c r="F4" s="953"/>
      <c r="G4" s="955"/>
      <c r="H4" s="947"/>
      <c r="I4" s="74"/>
      <c r="J4" s="75"/>
    </row>
    <row r="5" spans="2:12" ht="29.25" thickTop="1" x14ac:dyDescent="0.45">
      <c r="B5" s="71" t="s">
        <v>111</v>
      </c>
      <c r="C5" s="72">
        <f>IF($J$1=B5,1,0)</f>
        <v>0</v>
      </c>
      <c r="E5" s="71"/>
      <c r="F5" s="79" t="str">
        <f>$E$36</f>
        <v>Captions</v>
      </c>
      <c r="G5" s="80"/>
      <c r="H5" s="81"/>
      <c r="I5" s="74"/>
      <c r="J5" s="75"/>
    </row>
    <row r="6" spans="2:12" x14ac:dyDescent="0.2">
      <c r="E6" s="71" t="str">
        <f>IF($C$3,F6,IF($C$4,G6,IF($H6&lt;&gt;"",$H6,$F6)))</f>
        <v>Tie break preliminary round</v>
      </c>
      <c r="F6" s="78" t="s">
        <v>211</v>
      </c>
      <c r="G6" s="76" t="s">
        <v>210</v>
      </c>
      <c r="H6" s="99"/>
    </row>
    <row r="7" spans="2:12" x14ac:dyDescent="0.2">
      <c r="E7" s="71" t="str">
        <f t="shared" ref="E7:E107" si="0">IF($C$3,F7,IF($C$4,G7,IF($H7&lt;&gt;"",$H7,$F7)))</f>
        <v>Direct comparisons</v>
      </c>
      <c r="F7" s="78" t="s">
        <v>113</v>
      </c>
      <c r="G7" s="76" t="s">
        <v>12</v>
      </c>
      <c r="H7" s="77"/>
    </row>
    <row r="8" spans="2:12" x14ac:dyDescent="0.2">
      <c r="E8" s="71" t="str">
        <f t="shared" si="0"/>
        <v>Your date</v>
      </c>
      <c r="F8" s="97" t="s">
        <v>142</v>
      </c>
      <c r="G8" s="96" t="s">
        <v>141</v>
      </c>
      <c r="H8" s="77"/>
    </row>
    <row r="9" spans="2:12" ht="15" customHeight="1" x14ac:dyDescent="0.45">
      <c r="E9" s="71" t="str">
        <f t="shared" si="0"/>
        <v>No.</v>
      </c>
      <c r="F9" s="94" t="s">
        <v>115</v>
      </c>
      <c r="G9" s="93" t="s">
        <v>0</v>
      </c>
      <c r="H9" s="77"/>
      <c r="I9" s="85"/>
    </row>
    <row r="10" spans="2:12" ht="15" customHeight="1" x14ac:dyDescent="0.45">
      <c r="E10" s="71" t="str">
        <f t="shared" si="0"/>
        <v>Participant or team</v>
      </c>
      <c r="F10" s="94" t="s">
        <v>116</v>
      </c>
      <c r="G10" s="93" t="s">
        <v>21</v>
      </c>
      <c r="H10" s="77"/>
      <c r="I10" s="85"/>
    </row>
    <row r="11" spans="2:12" ht="15" customHeight="1" x14ac:dyDescent="0.45">
      <c r="E11" s="71" t="str">
        <f t="shared" si="0"/>
        <v>Results</v>
      </c>
      <c r="F11" s="94" t="s">
        <v>117</v>
      </c>
      <c r="G11" s="93" t="s">
        <v>22</v>
      </c>
      <c r="H11" s="77"/>
      <c r="I11" s="85"/>
    </row>
    <row r="12" spans="2:12" ht="15" customHeight="1" x14ac:dyDescent="0.45">
      <c r="E12" s="71" t="str">
        <f t="shared" si="0"/>
        <v>Total table</v>
      </c>
      <c r="F12" s="94" t="s">
        <v>118</v>
      </c>
      <c r="G12" s="93" t="s">
        <v>13</v>
      </c>
      <c r="H12" s="77"/>
      <c r="I12" s="85"/>
    </row>
    <row r="13" spans="2:12" ht="15" customHeight="1" x14ac:dyDescent="0.45">
      <c r="E13" s="71" t="str">
        <f t="shared" si="0"/>
        <v>Total table (copy)</v>
      </c>
      <c r="F13" s="94" t="s">
        <v>119</v>
      </c>
      <c r="G13" s="93" t="s">
        <v>52</v>
      </c>
      <c r="H13" s="77"/>
      <c r="I13" s="85"/>
    </row>
    <row r="14" spans="2:12" ht="15" customHeight="1" x14ac:dyDescent="0.45">
      <c r="E14" s="71" t="str">
        <f t="shared" si="0"/>
        <v>Match pairing</v>
      </c>
      <c r="F14" s="94" t="s">
        <v>122</v>
      </c>
      <c r="G14" s="93" t="s">
        <v>1</v>
      </c>
      <c r="H14" s="77"/>
      <c r="I14" s="85"/>
    </row>
    <row r="15" spans="2:12" ht="15" customHeight="1" x14ac:dyDescent="0.45">
      <c r="E15" s="71" t="str">
        <f t="shared" si="0"/>
        <v>Result</v>
      </c>
      <c r="F15" s="94" t="s">
        <v>123</v>
      </c>
      <c r="G15" s="93" t="s">
        <v>2</v>
      </c>
      <c r="H15" s="77"/>
      <c r="I15" s="85"/>
    </row>
    <row r="16" spans="2:12" ht="15" customHeight="1" x14ac:dyDescent="0.45">
      <c r="E16" s="71" t="str">
        <f t="shared" si="0"/>
        <v>Group</v>
      </c>
      <c r="F16" s="94" t="s">
        <v>190</v>
      </c>
      <c r="G16" s="93" t="s">
        <v>189</v>
      </c>
      <c r="H16" s="77"/>
      <c r="I16" s="85"/>
    </row>
    <row r="17" spans="5:13" ht="15" customHeight="1" x14ac:dyDescent="0.45">
      <c r="E17" s="71" t="str">
        <f t="shared" si="0"/>
        <v>Grp</v>
      </c>
      <c r="F17" s="94" t="s">
        <v>191</v>
      </c>
      <c r="G17" s="93" t="s">
        <v>191</v>
      </c>
      <c r="H17" s="77"/>
      <c r="I17" s="85"/>
    </row>
    <row r="18" spans="5:13" ht="15" customHeight="1" x14ac:dyDescent="0.45">
      <c r="E18" s="71" t="str">
        <f t="shared" si="0"/>
        <v>Preliminary round</v>
      </c>
      <c r="F18" s="94" t="s">
        <v>206</v>
      </c>
      <c r="G18" s="93" t="s">
        <v>204</v>
      </c>
      <c r="H18" s="77"/>
      <c r="I18" s="85"/>
    </row>
    <row r="19" spans="5:13" ht="15" customHeight="1" x14ac:dyDescent="0.45">
      <c r="E19" s="71" t="str">
        <f t="shared" si="0"/>
        <v>Final round</v>
      </c>
      <c r="F19" s="94" t="s">
        <v>207</v>
      </c>
      <c r="G19" s="93" t="s">
        <v>205</v>
      </c>
      <c r="H19" s="77"/>
      <c r="I19" s="85"/>
    </row>
    <row r="20" spans="5:13" ht="15" x14ac:dyDescent="0.25">
      <c r="E20" s="71" t="str">
        <f t="shared" si="0"/>
        <v>Addit. Pause (min)</v>
      </c>
      <c r="F20" s="97" t="s">
        <v>220</v>
      </c>
      <c r="G20" s="96" t="s">
        <v>219</v>
      </c>
      <c r="H20" s="77"/>
      <c r="I20" s="86"/>
      <c r="J20" s="86"/>
      <c r="K20" s="86"/>
      <c r="L20" s="86"/>
      <c r="M20" s="86"/>
    </row>
    <row r="21" spans="5:13" ht="15" x14ac:dyDescent="0.25">
      <c r="E21" s="71" t="str">
        <f t="shared" si="0"/>
        <v>Pld</v>
      </c>
      <c r="F21" s="97" t="s">
        <v>102</v>
      </c>
      <c r="G21" s="96" t="s">
        <v>124</v>
      </c>
      <c r="H21" s="77"/>
      <c r="I21" s="86"/>
      <c r="J21" s="86"/>
      <c r="K21" s="86"/>
      <c r="L21" s="86"/>
      <c r="M21" s="86"/>
    </row>
    <row r="22" spans="5:13" ht="15" x14ac:dyDescent="0.25">
      <c r="E22" s="71" t="str">
        <f t="shared" si="0"/>
        <v>W</v>
      </c>
      <c r="F22" s="97" t="s">
        <v>103</v>
      </c>
      <c r="G22" s="96" t="s">
        <v>125</v>
      </c>
      <c r="H22" s="77"/>
      <c r="I22" s="86"/>
      <c r="J22" s="86"/>
      <c r="K22" s="86"/>
      <c r="L22" s="86"/>
      <c r="M22" s="86"/>
    </row>
    <row r="23" spans="5:13" ht="15" x14ac:dyDescent="0.25">
      <c r="E23" s="71" t="str">
        <f t="shared" si="0"/>
        <v>D</v>
      </c>
      <c r="F23" s="97" t="s">
        <v>104</v>
      </c>
      <c r="G23" s="96" t="s">
        <v>126</v>
      </c>
      <c r="H23" s="77"/>
      <c r="I23" s="86"/>
      <c r="J23" s="86"/>
      <c r="K23" s="86"/>
      <c r="L23" s="86"/>
      <c r="M23" s="86"/>
    </row>
    <row r="24" spans="5:13" ht="15" x14ac:dyDescent="0.25">
      <c r="E24" s="71" t="str">
        <f t="shared" si="0"/>
        <v>L</v>
      </c>
      <c r="F24" s="97" t="s">
        <v>105</v>
      </c>
      <c r="G24" s="96" t="s">
        <v>127</v>
      </c>
      <c r="H24" s="77"/>
      <c r="I24" s="86"/>
      <c r="J24" s="86"/>
      <c r="K24" s="86"/>
      <c r="L24" s="86"/>
      <c r="M24" s="86"/>
    </row>
    <row r="25" spans="5:13" ht="15" x14ac:dyDescent="0.25">
      <c r="E25" s="71" t="str">
        <f t="shared" si="0"/>
        <v>sets</v>
      </c>
      <c r="F25" s="97" t="s">
        <v>375</v>
      </c>
      <c r="G25" s="96" t="s">
        <v>376</v>
      </c>
      <c r="H25" s="77"/>
      <c r="I25" s="86"/>
      <c r="J25" s="86"/>
      <c r="K25" s="86"/>
      <c r="L25" s="86"/>
      <c r="M25" s="86"/>
    </row>
    <row r="26" spans="5:13" ht="15" x14ac:dyDescent="0.25">
      <c r="E26" s="71" t="str">
        <f t="shared" si="0"/>
        <v>GD</v>
      </c>
      <c r="F26" s="97" t="s">
        <v>108</v>
      </c>
      <c r="G26" s="96" t="s">
        <v>3</v>
      </c>
      <c r="H26" s="77"/>
      <c r="I26" s="86"/>
      <c r="J26" s="86"/>
      <c r="K26" s="86"/>
      <c r="L26" s="86"/>
      <c r="M26" s="86"/>
    </row>
    <row r="27" spans="5:13" ht="15" x14ac:dyDescent="0.25">
      <c r="E27" s="71" t="str">
        <f t="shared" si="0"/>
        <v>Pts</v>
      </c>
      <c r="F27" s="97" t="s">
        <v>109</v>
      </c>
      <c r="G27" s="96" t="s">
        <v>128</v>
      </c>
      <c r="H27" s="77"/>
      <c r="I27" s="86"/>
      <c r="J27" s="86"/>
      <c r="K27" s="86"/>
      <c r="L27" s="86"/>
      <c r="M27" s="86"/>
    </row>
    <row r="28" spans="5:13" ht="15" x14ac:dyDescent="0.25">
      <c r="E28" s="71" t="str">
        <f t="shared" si="0"/>
        <v>GF</v>
      </c>
      <c r="F28" s="97" t="s">
        <v>106</v>
      </c>
      <c r="G28" s="96" t="s">
        <v>151</v>
      </c>
      <c r="H28" s="77"/>
      <c r="I28" s="86"/>
      <c r="J28" s="86"/>
      <c r="K28" s="86"/>
      <c r="L28" s="86"/>
      <c r="M28" s="86"/>
    </row>
    <row r="29" spans="5:13" x14ac:dyDescent="0.2">
      <c r="E29" s="71" t="str">
        <f t="shared" si="0"/>
        <v>Tournament end:</v>
      </c>
      <c r="F29" s="97" t="s">
        <v>222</v>
      </c>
      <c r="G29" s="96" t="s">
        <v>221</v>
      </c>
      <c r="H29" s="77"/>
    </row>
    <row r="30" spans="5:13" x14ac:dyDescent="0.2">
      <c r="E30" s="71" t="str">
        <f t="shared" si="0"/>
        <v>Participants and schedule</v>
      </c>
      <c r="F30" s="97" t="s">
        <v>129</v>
      </c>
      <c r="G30" s="96" t="s">
        <v>19</v>
      </c>
      <c r="H30" s="77"/>
    </row>
    <row r="31" spans="5:13" x14ac:dyDescent="0.2">
      <c r="E31" s="71" t="str">
        <f t="shared" si="0"/>
        <v>Participants</v>
      </c>
      <c r="F31" s="98" t="s">
        <v>130</v>
      </c>
      <c r="G31" s="96" t="s">
        <v>20</v>
      </c>
      <c r="H31" s="77"/>
    </row>
    <row r="32" spans="5:13" x14ac:dyDescent="0.2">
      <c r="E32" s="71" t="str">
        <f t="shared" si="0"/>
        <v>Schedule</v>
      </c>
      <c r="F32" s="98" t="s">
        <v>131</v>
      </c>
      <c r="G32" s="96" t="s">
        <v>23</v>
      </c>
      <c r="H32" s="77"/>
    </row>
    <row r="33" spans="5:8" x14ac:dyDescent="0.2">
      <c r="E33" s="71" t="str">
        <f t="shared" si="0"/>
        <v>Game no.</v>
      </c>
      <c r="F33" s="98" t="s">
        <v>132</v>
      </c>
      <c r="G33" s="96" t="s">
        <v>51</v>
      </c>
      <c r="H33" s="77"/>
    </row>
    <row r="34" spans="5:8" x14ac:dyDescent="0.2">
      <c r="E34" s="71" t="str">
        <f t="shared" si="0"/>
        <v>Pairings</v>
      </c>
      <c r="F34" s="98" t="s">
        <v>135</v>
      </c>
      <c r="G34" s="96" t="s">
        <v>53</v>
      </c>
      <c r="H34" s="77"/>
    </row>
    <row r="35" spans="5:8" x14ac:dyDescent="0.2">
      <c r="E35" s="71" t="str">
        <f t="shared" si="0"/>
        <v>Choose language</v>
      </c>
      <c r="F35" s="97" t="s">
        <v>110</v>
      </c>
      <c r="G35" s="96" t="s">
        <v>140</v>
      </c>
      <c r="H35" s="77"/>
    </row>
    <row r="36" spans="5:8" x14ac:dyDescent="0.2">
      <c r="E36" s="71" t="str">
        <f t="shared" si="0"/>
        <v>Captions</v>
      </c>
      <c r="F36" s="97" t="s">
        <v>114</v>
      </c>
      <c r="G36" s="96" t="s">
        <v>137</v>
      </c>
      <c r="H36" s="77"/>
    </row>
    <row r="37" spans="5:8" x14ac:dyDescent="0.2">
      <c r="E37" s="71" t="str">
        <f t="shared" si="0"/>
        <v>Messages</v>
      </c>
      <c r="F37" s="97" t="s">
        <v>138</v>
      </c>
      <c r="G37" s="96" t="s">
        <v>139</v>
      </c>
      <c r="H37" s="77"/>
    </row>
    <row r="38" spans="5:8" x14ac:dyDescent="0.2">
      <c r="E38" s="71" t="str">
        <f t="shared" si="0"/>
        <v>Your captions</v>
      </c>
      <c r="F38" s="97" t="s">
        <v>145</v>
      </c>
      <c r="G38" s="96" t="s">
        <v>144</v>
      </c>
      <c r="H38" s="77"/>
    </row>
    <row r="39" spans="5:8" x14ac:dyDescent="0.2">
      <c r="E39" s="71" t="str">
        <f t="shared" si="0"/>
        <v>Start</v>
      </c>
      <c r="F39" s="97" t="s">
        <v>297</v>
      </c>
      <c r="G39" s="96" t="s">
        <v>298</v>
      </c>
      <c r="H39" s="77"/>
    </row>
    <row r="40" spans="5:8" x14ac:dyDescent="0.2">
      <c r="E40" s="71" t="str">
        <f t="shared" si="0"/>
        <v>End of preliminary round:</v>
      </c>
      <c r="F40" s="97" t="s">
        <v>223</v>
      </c>
      <c r="G40" s="96" t="s">
        <v>224</v>
      </c>
      <c r="H40" s="77"/>
    </row>
    <row r="41" spans="5:8" x14ac:dyDescent="0.2">
      <c r="E41" s="71" t="str">
        <f t="shared" si="0"/>
        <v>Playing times</v>
      </c>
      <c r="F41" s="97" t="s">
        <v>168</v>
      </c>
      <c r="G41" s="96" t="s">
        <v>167</v>
      </c>
      <c r="H41" s="77"/>
    </row>
    <row r="42" spans="5:8" x14ac:dyDescent="0.2">
      <c r="E42" s="71" t="str">
        <f t="shared" si="0"/>
        <v>Playing time per match:</v>
      </c>
      <c r="F42" s="97" t="s">
        <v>225</v>
      </c>
      <c r="G42" s="96" t="s">
        <v>226</v>
      </c>
      <c r="H42" s="77"/>
    </row>
    <row r="43" spans="5:8" x14ac:dyDescent="0.2">
      <c r="E43" s="71" t="str">
        <f t="shared" si="0"/>
        <v>Change time:</v>
      </c>
      <c r="F43" s="97" t="s">
        <v>227</v>
      </c>
      <c r="G43" s="96" t="s">
        <v>228</v>
      </c>
      <c r="H43" s="77"/>
    </row>
    <row r="44" spans="5:8" x14ac:dyDescent="0.2">
      <c r="E44" s="71" t="str">
        <f t="shared" si="0"/>
        <v>Number of fields:</v>
      </c>
      <c r="F44" s="97" t="s">
        <v>295</v>
      </c>
      <c r="G44" s="96" t="s">
        <v>294</v>
      </c>
      <c r="H44" s="77"/>
    </row>
    <row r="45" spans="5:8" x14ac:dyDescent="0.2">
      <c r="E45" s="71" t="str">
        <f t="shared" si="0"/>
        <v xml:space="preserve"> </v>
      </c>
      <c r="F45" s="97" t="s">
        <v>160</v>
      </c>
      <c r="G45" s="96" t="s">
        <v>159</v>
      </c>
      <c r="H45" s="77"/>
    </row>
    <row r="46" spans="5:8" x14ac:dyDescent="0.2">
      <c r="E46" s="71" t="str">
        <f t="shared" si="0"/>
        <v>Match against</v>
      </c>
      <c r="F46" s="97" t="s">
        <v>164</v>
      </c>
      <c r="G46" s="96" t="s">
        <v>163</v>
      </c>
      <c r="H46" s="77"/>
    </row>
    <row r="47" spans="5:8" x14ac:dyDescent="0.2">
      <c r="E47" s="71" t="str">
        <f t="shared" si="0"/>
        <v>Note</v>
      </c>
      <c r="F47" s="97" t="s">
        <v>165</v>
      </c>
      <c r="G47" s="96" t="s">
        <v>166</v>
      </c>
      <c r="H47" s="77"/>
    </row>
    <row r="48" spans="5:8" x14ac:dyDescent="0.2">
      <c r="E48" s="71" t="str">
        <f t="shared" si="0"/>
        <v>Field</v>
      </c>
      <c r="F48" s="97" t="s">
        <v>229</v>
      </c>
      <c r="G48" s="96" t="s">
        <v>296</v>
      </c>
      <c r="H48" s="77"/>
    </row>
    <row r="49" spans="5:8" x14ac:dyDescent="0.2">
      <c r="E49" s="71" t="str">
        <f t="shared" si="0"/>
        <v>Tie break</v>
      </c>
      <c r="F49" s="78" t="s">
        <v>337</v>
      </c>
      <c r="G49" s="76" t="s">
        <v>336</v>
      </c>
      <c r="H49" s="77"/>
    </row>
    <row r="50" spans="5:8" x14ac:dyDescent="0.2">
      <c r="E50" s="71" t="str">
        <f t="shared" si="0"/>
        <v>Matchups</v>
      </c>
      <c r="F50" s="94" t="s">
        <v>174</v>
      </c>
      <c r="G50" s="93" t="s">
        <v>175</v>
      </c>
      <c r="H50" s="238"/>
    </row>
    <row r="51" spans="5:8" x14ac:dyDescent="0.2">
      <c r="E51" s="71" t="str">
        <f t="shared" si="0"/>
        <v>Settings</v>
      </c>
      <c r="F51" s="94" t="s">
        <v>177</v>
      </c>
      <c r="G51" s="93" t="s">
        <v>176</v>
      </c>
      <c r="H51" s="238"/>
    </row>
    <row r="52" spans="5:8" x14ac:dyDescent="0.2">
      <c r="E52" s="71" t="str">
        <f t="shared" si="0"/>
        <v>Number of points for a win:</v>
      </c>
      <c r="F52" s="94" t="s">
        <v>179</v>
      </c>
      <c r="G52" s="93" t="s">
        <v>178</v>
      </c>
      <c r="H52" s="238"/>
    </row>
    <row r="53" spans="5:8" x14ac:dyDescent="0.2">
      <c r="E53" s="71" t="str">
        <f t="shared" si="0"/>
        <v>Semi-finals</v>
      </c>
      <c r="F53" s="94" t="s">
        <v>243</v>
      </c>
      <c r="G53" s="93" t="s">
        <v>240</v>
      </c>
      <c r="H53" s="238"/>
    </row>
    <row r="54" spans="5:8" x14ac:dyDescent="0.2">
      <c r="E54" s="71" t="str">
        <f t="shared" si="0"/>
        <v>Finals</v>
      </c>
      <c r="F54" s="94" t="s">
        <v>242</v>
      </c>
      <c r="G54" s="93" t="s">
        <v>241</v>
      </c>
      <c r="H54" s="238"/>
    </row>
    <row r="55" spans="5:8" x14ac:dyDescent="0.2">
      <c r="E55" s="71" t="str">
        <f t="shared" si="0"/>
        <v xml:space="preserve">Games for places </v>
      </c>
      <c r="F55" s="94" t="s">
        <v>245</v>
      </c>
      <c r="G55" s="93" t="s">
        <v>244</v>
      </c>
      <c r="H55" s="238"/>
    </row>
    <row r="56" spans="5:8" x14ac:dyDescent="0.2">
      <c r="E56" s="71" t="str">
        <f t="shared" si="0"/>
        <v>Preliminary round group</v>
      </c>
      <c r="F56" s="94" t="s">
        <v>247</v>
      </c>
      <c r="G56" s="93" t="s">
        <v>246</v>
      </c>
      <c r="H56" s="238"/>
    </row>
    <row r="57" spans="5:8" x14ac:dyDescent="0.2">
      <c r="E57" s="71" t="str">
        <f t="shared" si="0"/>
        <v>First and second in the group</v>
      </c>
      <c r="F57" s="94" t="s">
        <v>304</v>
      </c>
      <c r="G57" s="93" t="s">
        <v>305</v>
      </c>
      <c r="H57" s="238"/>
    </row>
    <row r="58" spans="5:8" x14ac:dyDescent="0.2">
      <c r="E58" s="71" t="str">
        <f t="shared" si="0"/>
        <v>Third and fourth in the group</v>
      </c>
      <c r="F58" s="94" t="s">
        <v>306</v>
      </c>
      <c r="G58" s="93" t="s">
        <v>307</v>
      </c>
      <c r="H58" s="238"/>
    </row>
    <row r="59" spans="5:8" x14ac:dyDescent="0.2">
      <c r="E59" s="71" t="str">
        <f t="shared" si="0"/>
        <v>Fifth and sixth in the group</v>
      </c>
      <c r="F59" s="94" t="s">
        <v>308</v>
      </c>
      <c r="G59" s="93" t="s">
        <v>309</v>
      </c>
      <c r="H59" s="238"/>
    </row>
    <row r="60" spans="5:8" x14ac:dyDescent="0.2">
      <c r="E60" s="71" t="str">
        <f t="shared" si="0"/>
        <v>balls</v>
      </c>
      <c r="F60" s="94" t="s">
        <v>327</v>
      </c>
      <c r="G60" s="93" t="s">
        <v>328</v>
      </c>
      <c r="H60" s="238"/>
    </row>
    <row r="61" spans="5:8" x14ac:dyDescent="0.2">
      <c r="E61" s="71" t="str">
        <f t="shared" si="0"/>
        <v>1st set</v>
      </c>
      <c r="F61" s="94" t="s">
        <v>323</v>
      </c>
      <c r="G61" s="93" t="s">
        <v>324</v>
      </c>
      <c r="H61" s="238"/>
    </row>
    <row r="62" spans="5:8" x14ac:dyDescent="0.2">
      <c r="E62" s="71" t="str">
        <f t="shared" si="0"/>
        <v>2nd set</v>
      </c>
      <c r="F62" s="94" t="s">
        <v>325</v>
      </c>
      <c r="G62" s="93" t="s">
        <v>326</v>
      </c>
      <c r="H62" s="238"/>
    </row>
    <row r="63" spans="5:8" x14ac:dyDescent="0.2">
      <c r="E63" s="71" t="str">
        <f t="shared" si="0"/>
        <v>3rd set</v>
      </c>
      <c r="F63" s="94" t="s">
        <v>329</v>
      </c>
      <c r="G63" s="93" t="s">
        <v>330</v>
      </c>
      <c r="H63" s="238"/>
    </row>
    <row r="64" spans="5:8" x14ac:dyDescent="0.2">
      <c r="E64" s="71" t="str">
        <f t="shared" si="0"/>
        <v>Tie break final round 4</v>
      </c>
      <c r="F64" s="94" t="s">
        <v>341</v>
      </c>
      <c r="G64" s="93" t="s">
        <v>342</v>
      </c>
      <c r="H64" s="238"/>
    </row>
    <row r="65" spans="5:8" x14ac:dyDescent="0.2">
      <c r="E65" s="71" t="str">
        <f t="shared" si="0"/>
        <v>Team IDs</v>
      </c>
      <c r="F65" s="94" t="s">
        <v>343</v>
      </c>
      <c r="G65" s="93" t="s">
        <v>344</v>
      </c>
      <c r="H65" s="238"/>
    </row>
    <row r="66" spans="5:8" x14ac:dyDescent="0.2">
      <c r="E66" s="71" t="str">
        <f t="shared" si="0"/>
        <v>e.g.  A2 - A4</v>
      </c>
      <c r="F66" s="94" t="s">
        <v>345</v>
      </c>
      <c r="G66" s="93" t="s">
        <v>346</v>
      </c>
      <c r="H66" s="238"/>
    </row>
    <row r="67" spans="5:8" x14ac:dyDescent="0.2">
      <c r="E67" s="71" t="str">
        <f t="shared" si="0"/>
        <v>Quot.</v>
      </c>
      <c r="F67" s="78" t="s">
        <v>359</v>
      </c>
      <c r="G67" s="76" t="s">
        <v>359</v>
      </c>
      <c r="H67" s="238"/>
    </row>
    <row r="68" spans="5:8" x14ac:dyDescent="0.2">
      <c r="E68" s="71" t="str">
        <f t="shared" si="0"/>
        <v>Referee</v>
      </c>
      <c r="F68" s="94" t="s">
        <v>379</v>
      </c>
      <c r="G68" s="93" t="s">
        <v>378</v>
      </c>
      <c r="H68" s="238"/>
    </row>
    <row r="69" spans="5:8" x14ac:dyDescent="0.2">
      <c r="E69" s="71">
        <f t="shared" si="0"/>
        <v>0</v>
      </c>
      <c r="F69" s="94"/>
      <c r="G69" s="93"/>
      <c r="H69" s="238"/>
    </row>
    <row r="70" spans="5:8" x14ac:dyDescent="0.2">
      <c r="E70" s="71">
        <f t="shared" si="0"/>
        <v>0</v>
      </c>
      <c r="F70" s="94"/>
      <c r="G70" s="93"/>
      <c r="H70" s="238"/>
    </row>
    <row r="71" spans="5:8" ht="28.5" x14ac:dyDescent="0.45">
      <c r="E71" s="71"/>
      <c r="F71" s="82" t="str">
        <f>$E$37</f>
        <v>Messages</v>
      </c>
      <c r="G71" s="83"/>
      <c r="H71" s="84"/>
    </row>
    <row r="72" spans="5:8" ht="79.5" customHeight="1" x14ac:dyDescent="0.2">
      <c r="E72" s="71" t="str">
        <f t="shared" si="0"/>
        <v>If two or more teams cannot be distinguished and a decision is made, for example, through a penalty shootout or drawing lots, it is sufficient to enter a bonus point for the preferred team.</v>
      </c>
      <c r="F72" s="88" t="s">
        <v>233</v>
      </c>
      <c r="G72" s="89" t="s">
        <v>232</v>
      </c>
      <c r="H72" s="90"/>
    </row>
    <row r="73" spans="5:8" ht="51.75" customHeight="1" x14ac:dyDescent="0.2">
      <c r="E73" s="71" t="str">
        <f t="shared" si="0"/>
        <v>Double match pairings and matches against oneself
lead to incorrect values in the overall table!</v>
      </c>
      <c r="F73" s="95" t="s">
        <v>152</v>
      </c>
      <c r="G73" s="138" t="s">
        <v>55</v>
      </c>
      <c r="H73" s="90"/>
    </row>
    <row r="74" spans="5:8" ht="51.75" customHeight="1" x14ac:dyDescent="0.2">
      <c r="E74" s="71" t="str">
        <f t="shared" si="0"/>
        <v>Change of the fixtures only on the sheet 'Planning'! Just enter the results here!</v>
      </c>
      <c r="F74" s="95" t="s">
        <v>121</v>
      </c>
      <c r="G74" s="89" t="s">
        <v>120</v>
      </c>
      <c r="H74" s="90"/>
    </row>
    <row r="75" spans="5:8" ht="16.5" customHeight="1" x14ac:dyDescent="0.2">
      <c r="E75" s="71" t="str">
        <f t="shared" si="0"/>
        <v>Hint may be deleted   →</v>
      </c>
      <c r="F75" s="101" t="s">
        <v>146</v>
      </c>
      <c r="G75" s="100" t="s">
        <v>143</v>
      </c>
      <c r="H75" s="91"/>
    </row>
    <row r="76" spans="5:8" ht="20.25" customHeight="1" x14ac:dyDescent="0.2">
      <c r="E76" s="71" t="str">
        <f t="shared" si="0"/>
        <v>Click here and choose language</v>
      </c>
      <c r="F76" s="107" t="s">
        <v>149</v>
      </c>
      <c r="G76" s="105" t="s">
        <v>148</v>
      </c>
      <c r="H76" s="92"/>
    </row>
    <row r="77" spans="5:8" ht="32.25" customHeight="1" x14ac:dyDescent="0.2">
      <c r="E77" s="71" t="str">
        <f t="shared" si="0"/>
        <v>Duplicate names lead to
incorrect table values</v>
      </c>
      <c r="F77" s="164" t="s">
        <v>157</v>
      </c>
      <c r="G77" s="163" t="s">
        <v>54</v>
      </c>
      <c r="H77" s="92"/>
    </row>
    <row r="78" spans="5:8" ht="51.75" customHeight="1" x14ac:dyDescent="0.2">
      <c r="E78" s="71" t="str">
        <f t="shared" si="0"/>
        <v>Red font means that the ranking is not clear even with the direct comparison. A playoff match or drawing of lots must decide here.</v>
      </c>
      <c r="F78" s="253" t="s">
        <v>349</v>
      </c>
      <c r="G78" s="254" t="s">
        <v>350</v>
      </c>
      <c r="H78" s="91"/>
    </row>
    <row r="79" spans="5:8" ht="17.25" customHeight="1" x14ac:dyDescent="0.2">
      <c r="E79" s="71" t="str">
        <f t="shared" si="0"/>
        <v>Time conflict</v>
      </c>
      <c r="F79" s="255" t="s">
        <v>162</v>
      </c>
      <c r="G79" s="256" t="s">
        <v>161</v>
      </c>
      <c r="H79" s="257"/>
    </row>
    <row r="80" spans="5:8" ht="16.5" customHeight="1" x14ac:dyDescent="0.2">
      <c r="E80" s="71" t="str">
        <f t="shared" si="0"/>
        <v>-</v>
      </c>
      <c r="F80" s="258" t="s">
        <v>4</v>
      </c>
      <c r="G80" s="274" t="s">
        <v>218</v>
      </c>
      <c r="H80" s="257"/>
    </row>
    <row r="81" spans="5:8" ht="33" customHeight="1" x14ac:dyDescent="0.2">
      <c r="E81" s="71" t="str">
        <f t="shared" si="0"/>
        <v>Direct comparisons in case of a tie in points, goal difference and goals scored (FIFA mode)</v>
      </c>
      <c r="F81" s="263" t="s">
        <v>186</v>
      </c>
      <c r="G81" s="264" t="s">
        <v>183</v>
      </c>
      <c r="H81" s="260"/>
    </row>
    <row r="82" spans="5:8" ht="32.25" customHeight="1" x14ac:dyDescent="0.2">
      <c r="E82" s="71" t="str">
        <f t="shared" si="0"/>
        <v>Direct comparisons in case of a tie in points (UEFA mode)</v>
      </c>
      <c r="F82" s="263" t="s">
        <v>184</v>
      </c>
      <c r="G82" s="264" t="s">
        <v>185</v>
      </c>
      <c r="H82" s="260"/>
    </row>
    <row r="83" spans="5:8" ht="18" customHeight="1" x14ac:dyDescent="0.2">
      <c r="E83" s="71" t="str">
        <f t="shared" si="0"/>
        <v>Ball difference or ball quotient</v>
      </c>
      <c r="F83" s="266" t="s">
        <v>351</v>
      </c>
      <c r="G83" s="267" t="s">
        <v>352</v>
      </c>
      <c r="H83" s="268"/>
    </row>
    <row r="84" spans="5:8" ht="18" customHeight="1" x14ac:dyDescent="0.2">
      <c r="E84" s="71" t="str">
        <f t="shared" si="0"/>
        <v>Ball difference</v>
      </c>
      <c r="F84" s="266" t="s">
        <v>353</v>
      </c>
      <c r="G84" s="267" t="s">
        <v>354</v>
      </c>
      <c r="H84" s="268"/>
    </row>
    <row r="85" spans="5:8" ht="20.25" customHeight="1" x14ac:dyDescent="0.2">
      <c r="E85" s="71" t="str">
        <f t="shared" si="0"/>
        <v>Ball quotient</v>
      </c>
      <c r="F85" s="266" t="s">
        <v>355</v>
      </c>
      <c r="G85" s="267" t="s">
        <v>356</v>
      </c>
      <c r="H85" s="268"/>
    </row>
    <row r="86" spans="5:8" ht="18" customHeight="1" x14ac:dyDescent="0.2">
      <c r="E86" s="71" t="str">
        <f t="shared" si="0"/>
        <v>Abbreviations of the team names:</v>
      </c>
      <c r="F86" s="266" t="s">
        <v>266</v>
      </c>
      <c r="G86" s="267" t="s">
        <v>267</v>
      </c>
      <c r="H86" s="268"/>
    </row>
    <row r="87" spans="5:8" ht="17.25" customHeight="1" x14ac:dyDescent="0.2">
      <c r="E87" s="71" t="str">
        <f t="shared" si="0"/>
        <v>letters</v>
      </c>
      <c r="F87" s="266" t="s">
        <v>188</v>
      </c>
      <c r="G87" s="267" t="s">
        <v>187</v>
      </c>
      <c r="H87" s="268"/>
    </row>
    <row r="88" spans="5:8" ht="18" customHeight="1" x14ac:dyDescent="0.2">
      <c r="E88" s="71" t="str">
        <f t="shared" si="0"/>
        <v>Rank</v>
      </c>
      <c r="F88" s="266" t="s">
        <v>231</v>
      </c>
      <c r="G88" s="267" t="s">
        <v>230</v>
      </c>
      <c r="H88" s="268"/>
    </row>
    <row r="89" spans="5:8" ht="16.5" customHeight="1" x14ac:dyDescent="0.2">
      <c r="E89" s="71" t="str">
        <f t="shared" si="0"/>
        <v>3rd place</v>
      </c>
      <c r="F89" s="266" t="s">
        <v>239</v>
      </c>
      <c r="G89" s="267" t="s">
        <v>236</v>
      </c>
      <c r="H89" s="268"/>
    </row>
    <row r="90" spans="5:8" ht="17.25" customHeight="1" x14ac:dyDescent="0.2">
      <c r="E90" s="71" t="str">
        <f t="shared" si="0"/>
        <v>Final</v>
      </c>
      <c r="F90" s="266" t="s">
        <v>238</v>
      </c>
      <c r="G90" s="267" t="s">
        <v>237</v>
      </c>
      <c r="H90" s="268"/>
    </row>
    <row r="91" spans="5:8" ht="30.75" customHeight="1" x14ac:dyDescent="0.2">
      <c r="E91" s="71" t="str">
        <f t="shared" si="0"/>
        <v xml:space="preserve">Due to time conflicts, you can only play on a maximum of </v>
      </c>
      <c r="F91" s="263" t="s">
        <v>263</v>
      </c>
      <c r="G91" s="264" t="s">
        <v>264</v>
      </c>
      <c r="H91" s="268"/>
    </row>
    <row r="92" spans="5:8" ht="17.25" customHeight="1" x14ac:dyDescent="0.2">
      <c r="E92" s="71" t="str">
        <f t="shared" si="0"/>
        <v xml:space="preserve"> pitches at the same time.</v>
      </c>
      <c r="F92" s="263" t="s">
        <v>274</v>
      </c>
      <c r="G92" s="264" t="s">
        <v>265</v>
      </c>
      <c r="H92" s="268"/>
    </row>
    <row r="93" spans="5:8" ht="17.25" customHeight="1" x14ac:dyDescent="0.2">
      <c r="E93" s="71" t="str">
        <f t="shared" si="0"/>
        <v>End of tournament (final round 1):</v>
      </c>
      <c r="F93" s="266" t="s">
        <v>268</v>
      </c>
      <c r="G93" s="267" t="s">
        <v>269</v>
      </c>
      <c r="H93" s="268"/>
    </row>
    <row r="94" spans="5:8" ht="17.25" customHeight="1" x14ac:dyDescent="0.2">
      <c r="E94" s="71" t="str">
        <f t="shared" si="0"/>
        <v>End of tournament (final round 2):</v>
      </c>
      <c r="F94" s="266" t="s">
        <v>270</v>
      </c>
      <c r="G94" s="267" t="s">
        <v>271</v>
      </c>
      <c r="H94" s="268"/>
    </row>
    <row r="95" spans="5:8" ht="17.25" customHeight="1" x14ac:dyDescent="0.2">
      <c r="E95" s="71" t="str">
        <f t="shared" si="0"/>
        <v>End of tournament (final round 3):</v>
      </c>
      <c r="F95" s="266" t="s">
        <v>299</v>
      </c>
      <c r="G95" s="267" t="s">
        <v>300</v>
      </c>
      <c r="H95" s="268"/>
    </row>
    <row r="96" spans="5:8" ht="17.25" customHeight="1" x14ac:dyDescent="0.2">
      <c r="E96" s="71" t="str">
        <f t="shared" si="0"/>
        <v>End of tournament (final round 4):</v>
      </c>
      <c r="F96" s="266" t="s">
        <v>320</v>
      </c>
      <c r="G96" s="267" t="s">
        <v>321</v>
      </c>
      <c r="H96" s="268"/>
    </row>
    <row r="97" spans="5:9" ht="17.25" customHeight="1" x14ac:dyDescent="0.2">
      <c r="E97" s="71">
        <f t="shared" si="0"/>
        <v>0</v>
      </c>
      <c r="F97" s="266"/>
      <c r="G97" s="267"/>
      <c r="H97" s="268"/>
    </row>
    <row r="98" spans="5:9" ht="17.25" customHeight="1" x14ac:dyDescent="0.2">
      <c r="E98" s="71" t="str">
        <f t="shared" si="0"/>
        <v xml:space="preserve">TIME CONFLICT for team </v>
      </c>
      <c r="F98" s="266" t="s">
        <v>279</v>
      </c>
      <c r="G98" s="267" t="s">
        <v>280</v>
      </c>
      <c r="H98" s="268"/>
    </row>
    <row r="99" spans="5:9" ht="17.25" customHeight="1" x14ac:dyDescent="0.2">
      <c r="E99" s="71" t="str">
        <f t="shared" si="0"/>
        <v xml:space="preserve">in matches </v>
      </c>
      <c r="F99" s="266" t="s">
        <v>281</v>
      </c>
      <c r="G99" s="267" t="s">
        <v>282</v>
      </c>
      <c r="H99" s="268"/>
    </row>
    <row r="100" spans="5:9" ht="17.25" customHeight="1" x14ac:dyDescent="0.2">
      <c r="E100" s="71" t="str">
        <f t="shared" si="0"/>
        <v xml:space="preserve"> and </v>
      </c>
      <c r="F100" s="266" t="s">
        <v>283</v>
      </c>
      <c r="G100" s="267" t="s">
        <v>284</v>
      </c>
      <c r="H100" s="268"/>
    </row>
    <row r="101" spans="5:9" ht="31.5" customHeight="1" x14ac:dyDescent="0.2">
      <c r="E101" s="71" t="str">
        <f t="shared" si="0"/>
        <v>TIME CONFLICT
Too many pitches!</v>
      </c>
      <c r="F101" s="266" t="s">
        <v>272</v>
      </c>
      <c r="G101" s="267" t="s">
        <v>273</v>
      </c>
      <c r="H101" s="268"/>
    </row>
    <row r="102" spans="5:9" ht="17.25" customHeight="1" x14ac:dyDescent="0.2">
      <c r="E102" s="71" t="str">
        <f t="shared" si="0"/>
        <v>Winner</v>
      </c>
      <c r="F102" s="266" t="s">
        <v>347</v>
      </c>
      <c r="G102" s="267" t="s">
        <v>348</v>
      </c>
      <c r="H102" s="268"/>
    </row>
    <row r="103" spans="5:9" ht="17.25" customHeight="1" x14ac:dyDescent="0.2">
      <c r="E103" s="71" t="str">
        <f t="shared" si="0"/>
        <v>Display in the crosstabs of the preliminary round:</v>
      </c>
      <c r="F103" s="266" t="s">
        <v>361</v>
      </c>
      <c r="G103" s="267" t="s">
        <v>362</v>
      </c>
      <c r="H103" s="268"/>
    </row>
    <row r="104" spans="5:9" ht="17.25" customHeight="1" x14ac:dyDescent="0.2">
      <c r="E104" s="71" t="str">
        <f t="shared" si="0"/>
        <v>Ball points</v>
      </c>
      <c r="F104" s="266" t="s">
        <v>363</v>
      </c>
      <c r="G104" s="267" t="s">
        <v>364</v>
      </c>
      <c r="H104" s="268"/>
    </row>
    <row r="105" spans="5:9" ht="17.25" customHeight="1" x14ac:dyDescent="0.2">
      <c r="E105" s="71" t="str">
        <f t="shared" si="0"/>
        <v>Set points</v>
      </c>
      <c r="F105" s="266" t="s">
        <v>365</v>
      </c>
      <c r="G105" s="267" t="s">
        <v>366</v>
      </c>
      <c r="H105" s="268"/>
    </row>
    <row r="106" spans="5:9" ht="17.25" customHeight="1" x14ac:dyDescent="0.2">
      <c r="E106" s="71">
        <f t="shared" si="0"/>
        <v>0</v>
      </c>
      <c r="F106" s="266"/>
      <c r="G106" s="267"/>
      <c r="H106" s="268"/>
    </row>
    <row r="107" spans="5:9" ht="18.75" customHeight="1" thickBot="1" x14ac:dyDescent="0.25">
      <c r="E107" s="71">
        <f t="shared" si="0"/>
        <v>0</v>
      </c>
      <c r="F107" s="261"/>
      <c r="G107" s="259"/>
      <c r="H107" s="262"/>
    </row>
    <row r="108" spans="5:9" ht="13.5" thickTop="1" x14ac:dyDescent="0.2"/>
    <row r="109" spans="5:9" x14ac:dyDescent="0.2"/>
    <row r="110" spans="5:9" x14ac:dyDescent="0.2"/>
    <row r="111" spans="5:9" x14ac:dyDescent="0.2"/>
    <row r="112" spans="5:9" hidden="1" x14ac:dyDescent="0.2">
      <c r="I112" s="102"/>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269" customWidth="1"/>
    <col min="2" max="2" width="37.140625" customWidth="1"/>
    <col min="3" max="3" width="7.28515625" customWidth="1"/>
    <col min="4" max="4" width="15" customWidth="1"/>
    <col min="5" max="5" width="11.42578125" customWidth="1"/>
    <col min="6" max="7" width="11.42578125" hidden="1" customWidth="1"/>
    <col min="8" max="8" width="12.85546875" hidden="1" customWidth="1"/>
    <col min="9" max="16384" width="11.42578125" hidden="1"/>
  </cols>
  <sheetData>
    <row r="1" spans="1:8" ht="26.25" x14ac:dyDescent="0.4">
      <c r="B1" s="240" t="str">
        <f>Language!$E$51</f>
        <v>Settings</v>
      </c>
    </row>
    <row r="2" spans="1:8" x14ac:dyDescent="0.2"/>
    <row r="3" spans="1:8" x14ac:dyDescent="0.2"/>
    <row r="4" spans="1:8" x14ac:dyDescent="0.2"/>
    <row r="5" spans="1:8" x14ac:dyDescent="0.2">
      <c r="A5" s="273" t="s">
        <v>6</v>
      </c>
      <c r="B5" s="272" t="str">
        <f>Language!E83</f>
        <v>Ball difference or ball quotient</v>
      </c>
      <c r="C5" s="265"/>
    </row>
    <row r="6" spans="1:8" x14ac:dyDescent="0.2">
      <c r="B6" s="265"/>
      <c r="C6" s="265"/>
      <c r="F6" s="189" t="s">
        <v>358</v>
      </c>
      <c r="G6" s="189" t="s">
        <v>357</v>
      </c>
      <c r="H6" s="189" t="s">
        <v>360</v>
      </c>
    </row>
    <row r="7" spans="1:8" ht="21.75" customHeight="1" x14ac:dyDescent="0.2">
      <c r="B7" s="270" t="s">
        <v>353</v>
      </c>
      <c r="C7" s="265"/>
      <c r="F7" s="1">
        <v>499</v>
      </c>
      <c r="G7" s="2" t="b">
        <f>(Settings!$B$7=Language!$E$84)</f>
        <v>1</v>
      </c>
      <c r="H7" s="720">
        <v>3</v>
      </c>
    </row>
    <row r="8" spans="1:8" x14ac:dyDescent="0.2"/>
    <row r="9" spans="1:8" x14ac:dyDescent="0.2"/>
    <row r="10" spans="1:8" x14ac:dyDescent="0.2"/>
    <row r="11" spans="1:8" x14ac:dyDescent="0.2">
      <c r="A11" s="273" t="s">
        <v>7</v>
      </c>
      <c r="B11" s="271" t="str">
        <f>Language!$E$86</f>
        <v>Abbreviations of the team names:</v>
      </c>
      <c r="C11" s="241">
        <v>7</v>
      </c>
      <c r="D11" t="str">
        <f>" "&amp;Language!$E$87</f>
        <v xml:space="preserve"> letters</v>
      </c>
    </row>
    <row r="12" spans="1:8" x14ac:dyDescent="0.2"/>
    <row r="13" spans="1:8" x14ac:dyDescent="0.2"/>
    <row r="14" spans="1:8" x14ac:dyDescent="0.2"/>
    <row r="15" spans="1:8" x14ac:dyDescent="0.2">
      <c r="A15" s="273" t="s">
        <v>8</v>
      </c>
      <c r="B15" s="271" t="str">
        <f>Language!$E$103</f>
        <v>Display in the crosstabs of the preliminary round:</v>
      </c>
    </row>
    <row r="16" spans="1:8" x14ac:dyDescent="0.2">
      <c r="G16" s="723" t="s">
        <v>367</v>
      </c>
    </row>
    <row r="17" spans="2:7" ht="21.75" customHeight="1" x14ac:dyDescent="0.2">
      <c r="B17" s="270" t="s">
        <v>363</v>
      </c>
      <c r="G17" s="722">
        <f>IF(Settings!$B$17=Language!$E$104,3,10)</f>
        <v>3</v>
      </c>
    </row>
    <row r="18" spans="2:7" x14ac:dyDescent="0.2"/>
    <row r="19" spans="2:7" x14ac:dyDescent="0.2"/>
    <row r="20" spans="2:7" x14ac:dyDescent="0.2"/>
  </sheetData>
  <sheetProtection sheet="1" selectLockedCells="1"/>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Language!$E$84:$E$85</xm:f>
          </x14:formula1>
          <xm:sqref>B7</xm:sqref>
        </x14:dataValidation>
        <x14:dataValidation type="list" allowBlank="1" showInputMessage="1" showErrorMessage="1" xr:uid="{479507A5-81DD-4E9C-BE3A-555C5FCA2A6C}">
          <x14:formula1>
            <xm:f>Language!$E$104:$E$105</xm:f>
          </x14:formula1>
          <xm:sqref>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6"/>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1"/>
    </row>
    <row r="2" spans="1:13" x14ac:dyDescent="0.2">
      <c r="B2" s="103" t="s">
        <v>133</v>
      </c>
      <c r="M2" s="103" t="s">
        <v>134</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440"/>
      <c r="C88" s="440"/>
    </row>
    <row r="89" spans="2:3" x14ac:dyDescent="0.2">
      <c r="B89" s="441"/>
      <c r="C89" s="443"/>
    </row>
    <row r="90" spans="2:3" x14ac:dyDescent="0.2">
      <c r="B90" s="441"/>
      <c r="C90" s="443"/>
    </row>
    <row r="91" spans="2:3" x14ac:dyDescent="0.2">
      <c r="B91" s="441"/>
      <c r="C91" s="443"/>
    </row>
    <row r="92" spans="2:3" x14ac:dyDescent="0.2">
      <c r="B92" s="441"/>
      <c r="C92" s="443"/>
    </row>
    <row r="93" spans="2:3" x14ac:dyDescent="0.2">
      <c r="B93" s="441"/>
      <c r="C93" s="443"/>
    </row>
    <row r="94" spans="2:3" x14ac:dyDescent="0.2">
      <c r="B94" s="441"/>
      <c r="C94" s="443"/>
    </row>
    <row r="95" spans="2:3" x14ac:dyDescent="0.2">
      <c r="B95" s="441"/>
      <c r="C95" s="443"/>
    </row>
    <row r="96" spans="2:3" x14ac:dyDescent="0.2">
      <c r="B96" s="441"/>
      <c r="C96" s="443"/>
    </row>
    <row r="97" spans="2:20" x14ac:dyDescent="0.2">
      <c r="B97" s="441"/>
      <c r="C97" s="443"/>
    </row>
    <row r="98" spans="2:20" x14ac:dyDescent="0.2">
      <c r="B98" s="442"/>
      <c r="C98" s="442"/>
    </row>
    <row r="99" spans="2:20" x14ac:dyDescent="0.2">
      <c r="B99" s="440"/>
      <c r="C99" s="440"/>
      <c r="D99" s="440"/>
      <c r="E99" s="440"/>
      <c r="F99" s="440"/>
      <c r="G99" s="440"/>
      <c r="H99" s="440"/>
    </row>
    <row r="100" spans="2:20" x14ac:dyDescent="0.2">
      <c r="D100" s="956"/>
      <c r="E100" s="957"/>
      <c r="F100" s="957"/>
      <c r="G100" s="957"/>
      <c r="H100" s="957"/>
      <c r="I100" s="958"/>
      <c r="O100" s="956"/>
      <c r="P100" s="957"/>
      <c r="Q100" s="957"/>
      <c r="R100" s="957"/>
      <c r="S100" s="957"/>
      <c r="T100" s="958"/>
    </row>
    <row r="101" spans="2:20" x14ac:dyDescent="0.2">
      <c r="D101" s="959" t="s">
        <v>136</v>
      </c>
      <c r="E101" s="960"/>
      <c r="F101" s="960"/>
      <c r="G101" s="960"/>
      <c r="H101" s="960"/>
      <c r="I101" s="961"/>
      <c r="O101" s="959" t="s">
        <v>57</v>
      </c>
      <c r="P101" s="960"/>
      <c r="Q101" s="960"/>
      <c r="R101" s="960"/>
      <c r="S101" s="960"/>
      <c r="T101" s="961"/>
    </row>
    <row r="102" spans="2:20" x14ac:dyDescent="0.2">
      <c r="D102" s="962" t="s">
        <v>56</v>
      </c>
      <c r="E102" s="963"/>
      <c r="F102" s="963"/>
      <c r="G102" s="963"/>
      <c r="H102" s="963"/>
      <c r="I102" s="964"/>
      <c r="O102" s="962" t="s">
        <v>56</v>
      </c>
      <c r="P102" s="963"/>
      <c r="Q102" s="963"/>
      <c r="R102" s="963"/>
      <c r="S102" s="963"/>
      <c r="T102" s="964"/>
    </row>
    <row r="103" spans="2:20" x14ac:dyDescent="0.2">
      <c r="D103" s="965"/>
      <c r="E103" s="966"/>
      <c r="F103" s="966"/>
      <c r="G103" s="966"/>
      <c r="H103" s="966"/>
      <c r="I103" s="967"/>
      <c r="O103" s="965"/>
      <c r="P103" s="966"/>
      <c r="Q103" s="966"/>
      <c r="R103" s="966"/>
      <c r="S103" s="966"/>
      <c r="T103" s="967"/>
    </row>
    <row r="104" spans="2:20" x14ac:dyDescent="0.2"/>
    <row r="105" spans="2:20" x14ac:dyDescent="0.2"/>
    <row r="106"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7.140625" style="9" customWidth="1"/>
    <col min="9"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333</v>
      </c>
      <c r="K2" s="1"/>
      <c r="L2" s="1"/>
      <c r="M2" s="1"/>
      <c r="N2" s="12"/>
      <c r="O2" s="1"/>
      <c r="P2" s="1"/>
      <c r="Q2" s="1"/>
      <c r="W2" s="2" t="s">
        <v>150</v>
      </c>
    </row>
    <row r="3" spans="1:45" s="2" customFormat="1" ht="13.5" customHeight="1" thickBot="1" x14ac:dyDescent="0.25">
      <c r="B3" s="1"/>
      <c r="C3" s="12"/>
      <c r="D3" s="12"/>
      <c r="E3" s="12"/>
      <c r="F3" s="12"/>
      <c r="G3" s="67" t="s">
        <v>106</v>
      </c>
      <c r="H3" s="67" t="s">
        <v>107</v>
      </c>
      <c r="I3" s="587" t="s">
        <v>108</v>
      </c>
      <c r="J3" s="587" t="s">
        <v>109</v>
      </c>
      <c r="K3" s="587"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74">
        <f ca="1">IF($O$4&lt;10,$O$4,0)</f>
        <v>0</v>
      </c>
      <c r="X3" s="975"/>
      <c r="Y3" s="975"/>
      <c r="Z3" s="975"/>
      <c r="AA3" s="975"/>
      <c r="AB3" s="974">
        <f ca="1">IF($P$4&lt;10,$P$4,0)</f>
        <v>0</v>
      </c>
      <c r="AC3" s="975"/>
      <c r="AD3" s="975"/>
      <c r="AE3" s="975"/>
      <c r="AF3" s="975"/>
      <c r="AG3" s="974">
        <f ca="1">IF($Q$4&lt;10,$Q$4,0)</f>
        <v>0</v>
      </c>
      <c r="AH3" s="975"/>
      <c r="AI3" s="975"/>
      <c r="AJ3" s="975"/>
      <c r="AK3" s="975"/>
      <c r="AL3" s="974">
        <f ca="1">IF($R$4&lt;10,$R$4,0)</f>
        <v>0</v>
      </c>
      <c r="AM3" s="975"/>
      <c r="AN3" s="975"/>
      <c r="AO3" s="975"/>
      <c r="AP3" s="975"/>
      <c r="AR3" s="26" t="s">
        <v>373</v>
      </c>
      <c r="AS3" s="26" t="s">
        <v>374</v>
      </c>
    </row>
    <row r="4" spans="1:45" s="2" customFormat="1" ht="12.75" thickTop="1" x14ac:dyDescent="0.2">
      <c r="A4" s="239"/>
      <c r="B4" s="1">
        <v>1</v>
      </c>
      <c r="C4" s="20">
        <f t="shared" ref="C4:C12" ca="1" si="1">RANK(D4,$D$4:$D$12,1)</f>
        <v>3</v>
      </c>
      <c r="D4" s="12">
        <f t="shared" ref="D4:D12" ca="1" si="2">E4+ROW()/1000+(F4="")*10</f>
        <v>3.004</v>
      </c>
      <c r="E4" s="252">
        <f t="shared" ref="E4:E12" ca="1" si="3">IF($AI$15,RANK(AH17,AH$17:AH$25,1),RANK(X17,X$17:X$25,1))</f>
        <v>3</v>
      </c>
      <c r="F4" s="724" t="str">
        <f>$Q64</f>
        <v>1. FC Riedwald</v>
      </c>
      <c r="G4" s="1">
        <f t="shared" ref="G4:G12" ca="1" si="4">SUMIFS($X$64:$X$135,$V$64:$V$135,$F4)+SUMIFS($Y$64:$Y$135,$W$64:$W$135,$F4)+SUMIFS($AG$64:$AG$135,$V$64:$V$135,$F4)+SUMIFS($AH$64:$AH$135,$W$64:$W$135,$F4)</f>
        <v>177</v>
      </c>
      <c r="H4" s="1">
        <f t="shared" ref="H4:H12" ca="1" si="5">SUMIFS($Y$64:$Y$135,$V$64:$V$135,$F4)+SUMIFS($X$64:$X$135,$W$64:$W$135,$F4)+SUMIFS($AH$64:$AH$135,$V$64:$V$135,$F4)+SUMIFS($AG$64:$AG$135,$W$64:$W$135,$F4)</f>
        <v>176</v>
      </c>
      <c r="I4" s="12">
        <f ca="1">IF(Settings!$G$7,G4-H4,IF(H4=0,IF(G4=0,0,Settings!$F$7),G4/H4))</f>
        <v>1</v>
      </c>
      <c r="J4" s="1">
        <f t="shared" ref="J4:J7" ca="1" si="6">SUMPRODUCT(($V$64:$V$135=F4)*$AE$64:$AE$135*$AA$64:$AA$135)+SUMPRODUCT(($W$64:$W$135=F4)*$AF$64:$AF$135*$AA$64:$AA$135)</f>
        <v>4</v>
      </c>
      <c r="K4" s="1">
        <f t="shared" ref="K4:K12" ca="1" si="7">SUMPRODUCT(($V$64:$V$135=F4)*$AA$64:$AA$135)+SUMPRODUCT(($W$64:$W$135=F4)*$AA$64:$AA$135)</f>
        <v>4</v>
      </c>
      <c r="L4" s="1">
        <f t="shared" ref="L4:L12" ca="1" si="8">K4-M4-N4</f>
        <v>1</v>
      </c>
      <c r="M4" s="1">
        <f t="shared" ref="M4:M12" ca="1" si="9">SUMPRODUCT(($V$64:$W$135=F4)*($AE$64:$AE$135=$AF$64:$AF$135)*$AA$64:$AA$135)</f>
        <v>2</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1.0604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1.0604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1.0604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1.0604</v>
      </c>
      <c r="AP4" s="578">
        <f t="shared" ref="AP4:AP12" ca="1" si="30">RANK($AO4,$AO$4:$AO$12,1)</f>
        <v>1</v>
      </c>
      <c r="AR4" s="1">
        <f ca="1">IF(Settings!$G$7,$I4,ROUND($I4,Settings!$H$7))</f>
        <v>1</v>
      </c>
      <c r="AS4" s="1">
        <f ca="1">SUMPRODUCT(($W$64:$W$135=F4)*$AE$64:$AE$135*$AA$64:$AA$135)+SUMPRODUCT(($V$64:$V$135=F4)*$AF$64:$AF$135*$AA$64:$AA$135)</f>
        <v>4</v>
      </c>
    </row>
    <row r="5" spans="1:45" s="2" customFormat="1" x14ac:dyDescent="0.2">
      <c r="A5" s="239"/>
      <c r="B5" s="1">
        <v>2</v>
      </c>
      <c r="C5" s="21">
        <f t="shared" ca="1" si="1"/>
        <v>4</v>
      </c>
      <c r="D5" s="12">
        <f t="shared" ca="1" si="2"/>
        <v>4.0049999999999999</v>
      </c>
      <c r="E5" s="252">
        <f t="shared" ca="1" si="3"/>
        <v>4</v>
      </c>
      <c r="F5" s="724" t="str">
        <f t="shared" ref="F5:F12" si="31">$Q65</f>
        <v>FC Barcelona</v>
      </c>
      <c r="G5" s="1">
        <f t="shared" ca="1" si="4"/>
        <v>164</v>
      </c>
      <c r="H5" s="1">
        <f t="shared" ca="1" si="5"/>
        <v>181</v>
      </c>
      <c r="I5" s="12">
        <f ca="1">IF(Settings!$G$7,G5-H5,IF(H5=0,IF(G5=0,0,Settings!$F$7),G5/H5))</f>
        <v>-17</v>
      </c>
      <c r="J5" s="1">
        <f t="shared" ca="1" si="6"/>
        <v>3</v>
      </c>
      <c r="K5" s="1">
        <f t="shared" ca="1" si="7"/>
        <v>4</v>
      </c>
      <c r="L5" s="1">
        <f t="shared" ca="1" si="8"/>
        <v>1</v>
      </c>
      <c r="M5" s="1">
        <f t="shared" ca="1" si="9"/>
        <v>1</v>
      </c>
      <c r="N5" s="1">
        <f t="shared" ca="1" si="10"/>
        <v>2</v>
      </c>
      <c r="O5" s="23"/>
      <c r="P5" s="24"/>
      <c r="V5" s="1"/>
      <c r="W5" s="575" t="str">
        <f t="shared" ca="1" si="11"/>
        <v/>
      </c>
      <c r="X5" s="576" t="str">
        <f t="shared" ca="1" si="12"/>
        <v/>
      </c>
      <c r="Y5" s="573">
        <f t="shared" ca="1" si="13"/>
        <v>99999</v>
      </c>
      <c r="Z5" s="573">
        <f t="shared" ca="1" si="14"/>
        <v>1.0605</v>
      </c>
      <c r="AA5" s="578">
        <f t="shared" ca="1" si="15"/>
        <v>2</v>
      </c>
      <c r="AB5" s="575" t="str">
        <f t="shared" ca="1" si="16"/>
        <v/>
      </c>
      <c r="AC5" s="576" t="str">
        <f t="shared" ca="1" si="17"/>
        <v/>
      </c>
      <c r="AD5" s="577">
        <f t="shared" ca="1" si="18"/>
        <v>99999</v>
      </c>
      <c r="AE5" s="573">
        <f t="shared" ca="1" si="19"/>
        <v>1.0605</v>
      </c>
      <c r="AF5" s="573">
        <f t="shared" ca="1" si="20"/>
        <v>2</v>
      </c>
      <c r="AG5" s="575" t="str">
        <f t="shared" ca="1" si="21"/>
        <v/>
      </c>
      <c r="AH5" s="576" t="str">
        <f t="shared" ca="1" si="22"/>
        <v/>
      </c>
      <c r="AI5" s="577">
        <f t="shared" ca="1" si="23"/>
        <v>99999</v>
      </c>
      <c r="AJ5" s="573">
        <f t="shared" ca="1" si="24"/>
        <v>1.0605</v>
      </c>
      <c r="AK5" s="578">
        <f t="shared" ca="1" si="25"/>
        <v>2</v>
      </c>
      <c r="AL5" s="576" t="str">
        <f t="shared" ca="1" si="26"/>
        <v/>
      </c>
      <c r="AM5" s="576" t="str">
        <f t="shared" ca="1" si="27"/>
        <v/>
      </c>
      <c r="AN5" s="577">
        <f t="shared" ca="1" si="28"/>
        <v>99999</v>
      </c>
      <c r="AO5" s="573">
        <f t="shared" ca="1" si="29"/>
        <v>1.0605</v>
      </c>
      <c r="AP5" s="578">
        <f t="shared" ca="1" si="30"/>
        <v>2</v>
      </c>
      <c r="AR5" s="1">
        <f ca="1">IF(Settings!$G$7,$I5,ROUND($I5,Settings!$H$7))</f>
        <v>-17</v>
      </c>
      <c r="AS5" s="1">
        <f t="shared" ref="AS5:AS12" ca="1" si="32">SUMPRODUCT(($W$64:$W$135=F5)*$AE$64:$AE$135*$AA$64:$AA$135)+SUMPRODUCT(($V$64:$V$135=F5)*$AF$64:$AF$135*$AA$64:$AA$135)</f>
        <v>5</v>
      </c>
    </row>
    <row r="6" spans="1:45" s="2" customFormat="1" x14ac:dyDescent="0.2">
      <c r="A6" s="239"/>
      <c r="B6" s="1">
        <v>3</v>
      </c>
      <c r="C6" s="21">
        <f t="shared" ca="1" si="1"/>
        <v>2</v>
      </c>
      <c r="D6" s="12">
        <f t="shared" ca="1" si="2"/>
        <v>2.0059999999999998</v>
      </c>
      <c r="E6" s="252">
        <f t="shared" ca="1" si="3"/>
        <v>2</v>
      </c>
      <c r="F6" s="724" t="str">
        <f t="shared" si="31"/>
        <v>Eintracht Frankfurt</v>
      </c>
      <c r="G6" s="1">
        <f t="shared" ca="1" si="4"/>
        <v>191</v>
      </c>
      <c r="H6" s="1">
        <f t="shared" ca="1" si="5"/>
        <v>175</v>
      </c>
      <c r="I6" s="12">
        <f ca="1">IF(Settings!$G$7,G6-H6,IF(H6=0,IF(G6=0,0,Settings!$F$7),G6/H6))</f>
        <v>16</v>
      </c>
      <c r="J6" s="1">
        <f t="shared" ca="1" si="6"/>
        <v>5</v>
      </c>
      <c r="K6" s="1">
        <f t="shared" ca="1" si="7"/>
        <v>4</v>
      </c>
      <c r="L6" s="1">
        <f t="shared" ca="1" si="8"/>
        <v>1</v>
      </c>
      <c r="M6" s="1">
        <f t="shared" ca="1" si="9"/>
        <v>3</v>
      </c>
      <c r="N6" s="1">
        <f t="shared" ca="1" si="10"/>
        <v>0</v>
      </c>
      <c r="O6" s="23"/>
      <c r="P6" s="24"/>
      <c r="V6" s="1"/>
      <c r="W6" s="575" t="str">
        <f t="shared" ca="1" si="11"/>
        <v/>
      </c>
      <c r="X6" s="576" t="str">
        <f t="shared" ca="1" si="12"/>
        <v/>
      </c>
      <c r="Y6" s="573">
        <f t="shared" ca="1" si="13"/>
        <v>99999</v>
      </c>
      <c r="Z6" s="573">
        <f t="shared" ca="1" si="14"/>
        <v>1.0606</v>
      </c>
      <c r="AA6" s="578">
        <f t="shared" ca="1" si="15"/>
        <v>3</v>
      </c>
      <c r="AB6" s="575" t="str">
        <f t="shared" ca="1" si="16"/>
        <v/>
      </c>
      <c r="AC6" s="576" t="str">
        <f t="shared" ca="1" si="17"/>
        <v/>
      </c>
      <c r="AD6" s="577">
        <f t="shared" ca="1" si="18"/>
        <v>99999</v>
      </c>
      <c r="AE6" s="573">
        <f t="shared" ca="1" si="19"/>
        <v>1.0606</v>
      </c>
      <c r="AF6" s="573">
        <f t="shared" ca="1" si="20"/>
        <v>3</v>
      </c>
      <c r="AG6" s="575" t="str">
        <f t="shared" ca="1" si="21"/>
        <v/>
      </c>
      <c r="AH6" s="576" t="str">
        <f t="shared" ca="1" si="22"/>
        <v/>
      </c>
      <c r="AI6" s="577">
        <f t="shared" ca="1" si="23"/>
        <v>99999</v>
      </c>
      <c r="AJ6" s="573">
        <f t="shared" ca="1" si="24"/>
        <v>1.0606</v>
      </c>
      <c r="AK6" s="578">
        <f t="shared" ca="1" si="25"/>
        <v>3</v>
      </c>
      <c r="AL6" s="576" t="str">
        <f t="shared" ca="1" si="26"/>
        <v/>
      </c>
      <c r="AM6" s="576" t="str">
        <f t="shared" ca="1" si="27"/>
        <v/>
      </c>
      <c r="AN6" s="577">
        <f t="shared" ca="1" si="28"/>
        <v>99999</v>
      </c>
      <c r="AO6" s="573">
        <f t="shared" ca="1" si="29"/>
        <v>1.0606</v>
      </c>
      <c r="AP6" s="578">
        <f t="shared" ca="1" si="30"/>
        <v>3</v>
      </c>
      <c r="AR6" s="1">
        <f ca="1">IF(Settings!$G$7,$I6,ROUND($I6,Settings!$H$7))</f>
        <v>16</v>
      </c>
      <c r="AS6" s="1">
        <f t="shared" ca="1" si="32"/>
        <v>3</v>
      </c>
    </row>
    <row r="7" spans="1:45" s="2" customFormat="1" x14ac:dyDescent="0.2">
      <c r="A7" s="239"/>
      <c r="B7" s="1">
        <v>4</v>
      </c>
      <c r="C7" s="21">
        <f t="shared" ca="1" si="1"/>
        <v>1</v>
      </c>
      <c r="D7" s="12">
        <f t="shared" ca="1" si="2"/>
        <v>1.0069999999999999</v>
      </c>
      <c r="E7" s="252">
        <f t="shared" ca="1" si="3"/>
        <v>1</v>
      </c>
      <c r="F7" s="724" t="str">
        <f t="shared" si="31"/>
        <v>Maibach 1822 eV</v>
      </c>
      <c r="G7" s="1">
        <f t="shared" ca="1" si="4"/>
        <v>183</v>
      </c>
      <c r="H7" s="1">
        <f t="shared" ca="1" si="5"/>
        <v>159</v>
      </c>
      <c r="I7" s="12">
        <f ca="1">IF(Settings!$G$7,G7-H7,IF(H7=0,IF(G7=0,0,Settings!$F$7),G7/H7))</f>
        <v>24</v>
      </c>
      <c r="J7" s="1">
        <f t="shared" ca="1" si="6"/>
        <v>5</v>
      </c>
      <c r="K7" s="1">
        <f t="shared" ca="1" si="7"/>
        <v>4</v>
      </c>
      <c r="L7" s="1">
        <f t="shared" ca="1" si="8"/>
        <v>2</v>
      </c>
      <c r="M7" s="1">
        <f t="shared" ca="1" si="9"/>
        <v>1</v>
      </c>
      <c r="N7" s="1">
        <f t="shared" ca="1" si="10"/>
        <v>1</v>
      </c>
      <c r="O7" s="23"/>
      <c r="P7" s="24"/>
      <c r="V7" s="1"/>
      <c r="W7" s="575" t="str">
        <f t="shared" ca="1" si="11"/>
        <v/>
      </c>
      <c r="X7" s="576" t="str">
        <f t="shared" ca="1" si="12"/>
        <v/>
      </c>
      <c r="Y7" s="573">
        <f t="shared" ca="1" si="13"/>
        <v>99999</v>
      </c>
      <c r="Z7" s="573">
        <f t="shared" ca="1" si="14"/>
        <v>1.0607</v>
      </c>
      <c r="AA7" s="578">
        <f t="shared" ca="1" si="15"/>
        <v>4</v>
      </c>
      <c r="AB7" s="575" t="str">
        <f t="shared" ca="1" si="16"/>
        <v/>
      </c>
      <c r="AC7" s="576" t="str">
        <f t="shared" ca="1" si="17"/>
        <v/>
      </c>
      <c r="AD7" s="577">
        <f t="shared" ca="1" si="18"/>
        <v>99999</v>
      </c>
      <c r="AE7" s="573">
        <f t="shared" ca="1" si="19"/>
        <v>1.0607</v>
      </c>
      <c r="AF7" s="573">
        <f t="shared" ca="1" si="20"/>
        <v>4</v>
      </c>
      <c r="AG7" s="575" t="str">
        <f t="shared" ca="1" si="21"/>
        <v/>
      </c>
      <c r="AH7" s="576" t="str">
        <f t="shared" ca="1" si="22"/>
        <v/>
      </c>
      <c r="AI7" s="577">
        <f t="shared" ca="1" si="23"/>
        <v>99999</v>
      </c>
      <c r="AJ7" s="573">
        <f t="shared" ca="1" si="24"/>
        <v>1.0607</v>
      </c>
      <c r="AK7" s="578">
        <f t="shared" ca="1" si="25"/>
        <v>4</v>
      </c>
      <c r="AL7" s="576" t="str">
        <f t="shared" ca="1" si="26"/>
        <v/>
      </c>
      <c r="AM7" s="576" t="str">
        <f t="shared" ca="1" si="27"/>
        <v/>
      </c>
      <c r="AN7" s="577">
        <f t="shared" ca="1" si="28"/>
        <v>99999</v>
      </c>
      <c r="AO7" s="573">
        <f t="shared" ca="1" si="29"/>
        <v>1.0607</v>
      </c>
      <c r="AP7" s="578">
        <f t="shared" ca="1" si="30"/>
        <v>4</v>
      </c>
      <c r="AR7" s="1">
        <f ca="1">IF(Settings!$G$7,$I7,ROUND($I7,Settings!$H$7))</f>
        <v>24</v>
      </c>
      <c r="AS7" s="1">
        <f t="shared" ca="1" si="32"/>
        <v>3</v>
      </c>
    </row>
    <row r="8" spans="1:45" s="2" customFormat="1" x14ac:dyDescent="0.2">
      <c r="A8" s="239"/>
      <c r="B8" s="1">
        <v>5</v>
      </c>
      <c r="C8" s="21">
        <f t="shared" ca="1" si="1"/>
        <v>5</v>
      </c>
      <c r="D8" s="12">
        <f t="shared" ca="1" si="2"/>
        <v>5.008</v>
      </c>
      <c r="E8" s="252">
        <f t="shared" ca="1" si="3"/>
        <v>5</v>
      </c>
      <c r="F8" s="724" t="str">
        <f t="shared" si="31"/>
        <v>VFB Essenheim</v>
      </c>
      <c r="G8" s="1">
        <f t="shared" ca="1" si="4"/>
        <v>167</v>
      </c>
      <c r="H8" s="1">
        <f t="shared" ca="1" si="5"/>
        <v>191</v>
      </c>
      <c r="I8" s="12">
        <f ca="1">IF(Settings!$G$7,G8-H8,IF(H8=0,IF(G8=0,0,Settings!$F$7),G8/H8))</f>
        <v>-24</v>
      </c>
      <c r="J8" s="1">
        <f ca="1">SUMPRODUCT(($V$64:$V$135=F8)*$AE$64:$AE$135*$AA$64:$AA$135)+SUMPRODUCT(($W$64:$W$135=F8)*$AF$64:$AF$135*$AA$64:$AA$135)</f>
        <v>3</v>
      </c>
      <c r="K8" s="1">
        <f t="shared" ca="1" si="7"/>
        <v>4</v>
      </c>
      <c r="L8" s="1">
        <f t="shared" ca="1" si="8"/>
        <v>1</v>
      </c>
      <c r="M8" s="1">
        <f t="shared" ca="1" si="9"/>
        <v>1</v>
      </c>
      <c r="N8" s="1">
        <f t="shared" ca="1" si="10"/>
        <v>2</v>
      </c>
      <c r="P8" s="24"/>
      <c r="W8" s="575" t="str">
        <f t="shared" ca="1" si="11"/>
        <v/>
      </c>
      <c r="X8" s="576" t="str">
        <f t="shared" ca="1" si="12"/>
        <v/>
      </c>
      <c r="Y8" s="573">
        <f t="shared" ca="1" si="13"/>
        <v>99999</v>
      </c>
      <c r="Z8" s="573">
        <f t="shared" ca="1" si="14"/>
        <v>1.0608</v>
      </c>
      <c r="AA8" s="578">
        <f t="shared" ca="1" si="15"/>
        <v>5</v>
      </c>
      <c r="AB8" s="575" t="str">
        <f t="shared" ca="1" si="16"/>
        <v/>
      </c>
      <c r="AC8" s="576" t="str">
        <f t="shared" ca="1" si="17"/>
        <v/>
      </c>
      <c r="AD8" s="577">
        <f t="shared" ca="1" si="18"/>
        <v>99999</v>
      </c>
      <c r="AE8" s="573">
        <f t="shared" ca="1" si="19"/>
        <v>1.0608</v>
      </c>
      <c r="AF8" s="573">
        <f t="shared" ca="1" si="20"/>
        <v>5</v>
      </c>
      <c r="AG8" s="575" t="str">
        <f t="shared" ca="1" si="21"/>
        <v/>
      </c>
      <c r="AH8" s="576" t="str">
        <f t="shared" ca="1" si="22"/>
        <v/>
      </c>
      <c r="AI8" s="577">
        <f t="shared" ca="1" si="23"/>
        <v>99999</v>
      </c>
      <c r="AJ8" s="573">
        <f t="shared" ca="1" si="24"/>
        <v>1.0608</v>
      </c>
      <c r="AK8" s="578">
        <f t="shared" ca="1" si="25"/>
        <v>5</v>
      </c>
      <c r="AL8" s="576" t="str">
        <f t="shared" ca="1" si="26"/>
        <v/>
      </c>
      <c r="AM8" s="576" t="str">
        <f t="shared" ca="1" si="27"/>
        <v/>
      </c>
      <c r="AN8" s="577">
        <f t="shared" ca="1" si="28"/>
        <v>99999</v>
      </c>
      <c r="AO8" s="573">
        <f t="shared" ca="1" si="29"/>
        <v>1.0608</v>
      </c>
      <c r="AP8" s="578">
        <f t="shared" ca="1" si="30"/>
        <v>5</v>
      </c>
      <c r="AR8" s="1">
        <f ca="1">IF(Settings!$G$7,$I8,ROUND($I8,Settings!$H$7))</f>
        <v>-24</v>
      </c>
      <c r="AS8" s="1">
        <f t="shared" ca="1" si="32"/>
        <v>5</v>
      </c>
    </row>
    <row r="9" spans="1:45" s="2" customFormat="1" x14ac:dyDescent="0.2">
      <c r="A9" s="239"/>
      <c r="B9" s="1">
        <v>6</v>
      </c>
      <c r="C9" s="21">
        <f t="shared" ca="1" si="1"/>
        <v>6</v>
      </c>
      <c r="D9" s="12">
        <f t="shared" ca="1" si="2"/>
        <v>16.009</v>
      </c>
      <c r="E9" s="252">
        <f t="shared" ca="1" si="3"/>
        <v>6</v>
      </c>
      <c r="F9" s="724" t="str">
        <f t="shared" si="31"/>
        <v/>
      </c>
      <c r="G9" s="1">
        <f t="shared" ca="1" si="4"/>
        <v>0</v>
      </c>
      <c r="H9" s="1">
        <f t="shared" ca="1" si="5"/>
        <v>0</v>
      </c>
      <c r="I9" s="12">
        <f ca="1">IF(Settings!$G$7,G9-H9,IF(H9=0,IF(G9=0,0,Settings!$F$7),G9/H9))</f>
        <v>0</v>
      </c>
      <c r="J9" s="1">
        <f t="shared" ref="J9:J12" ca="1" si="33">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1.0609</v>
      </c>
      <c r="AA9" s="578">
        <f t="shared" ca="1" si="15"/>
        <v>6</v>
      </c>
      <c r="AB9" s="575" t="str">
        <f t="shared" ca="1" si="16"/>
        <v/>
      </c>
      <c r="AC9" s="576" t="str">
        <f t="shared" ca="1" si="17"/>
        <v/>
      </c>
      <c r="AD9" s="577">
        <f t="shared" ca="1" si="18"/>
        <v>99999</v>
      </c>
      <c r="AE9" s="573">
        <f t="shared" ca="1" si="19"/>
        <v>1.0609</v>
      </c>
      <c r="AF9" s="573">
        <f t="shared" ca="1" si="20"/>
        <v>6</v>
      </c>
      <c r="AG9" s="575" t="str">
        <f t="shared" ca="1" si="21"/>
        <v/>
      </c>
      <c r="AH9" s="576" t="str">
        <f t="shared" ca="1" si="22"/>
        <v/>
      </c>
      <c r="AI9" s="577">
        <f t="shared" ca="1" si="23"/>
        <v>99999</v>
      </c>
      <c r="AJ9" s="573">
        <f t="shared" ca="1" si="24"/>
        <v>1.0609</v>
      </c>
      <c r="AK9" s="578">
        <f t="shared" ca="1" si="25"/>
        <v>6</v>
      </c>
      <c r="AL9" s="576" t="str">
        <f t="shared" ca="1" si="26"/>
        <v/>
      </c>
      <c r="AM9" s="576" t="str">
        <f t="shared" ca="1" si="27"/>
        <v/>
      </c>
      <c r="AN9" s="577">
        <f t="shared" ca="1" si="28"/>
        <v>99999</v>
      </c>
      <c r="AO9" s="573">
        <f t="shared" ca="1" si="29"/>
        <v>1.0609</v>
      </c>
      <c r="AP9" s="578">
        <f t="shared" ca="1" si="30"/>
        <v>6</v>
      </c>
      <c r="AR9" s="1">
        <f ca="1">IF(Settings!$G$7,$I9,ROUND($I9,Settings!$H$7))</f>
        <v>0</v>
      </c>
      <c r="AS9" s="1">
        <f t="shared" ca="1" si="32"/>
        <v>0</v>
      </c>
    </row>
    <row r="10" spans="1:45" s="2" customFormat="1" x14ac:dyDescent="0.2">
      <c r="A10" s="239"/>
      <c r="B10" s="1">
        <v>7</v>
      </c>
      <c r="C10" s="21">
        <f t="shared" ca="1" si="1"/>
        <v>7</v>
      </c>
      <c r="D10" s="12">
        <f t="shared" ca="1" si="2"/>
        <v>16.009999999999998</v>
      </c>
      <c r="E10" s="252">
        <f t="shared" ca="1" si="3"/>
        <v>6</v>
      </c>
      <c r="F10" s="724" t="str">
        <f t="shared" si="31"/>
        <v/>
      </c>
      <c r="G10" s="1">
        <f t="shared" ca="1" si="4"/>
        <v>0</v>
      </c>
      <c r="H10" s="1">
        <f t="shared" ca="1" si="5"/>
        <v>0</v>
      </c>
      <c r="I10" s="12">
        <f ca="1">IF(Settings!$G$7,G10-H10,IF(H10=0,IF(G10=0,0,Settings!$F$7),G10/H10))</f>
        <v>0</v>
      </c>
      <c r="J10" s="1">
        <f t="shared" ca="1" si="33"/>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1.0609999999999999</v>
      </c>
      <c r="AA10" s="578">
        <f t="shared" ca="1" si="15"/>
        <v>7</v>
      </c>
      <c r="AB10" s="575" t="str">
        <f t="shared" ca="1" si="16"/>
        <v/>
      </c>
      <c r="AC10" s="576" t="str">
        <f t="shared" ca="1" si="17"/>
        <v/>
      </c>
      <c r="AD10" s="577">
        <f t="shared" ca="1" si="18"/>
        <v>99999</v>
      </c>
      <c r="AE10" s="573">
        <f t="shared" ca="1" si="19"/>
        <v>1.0609999999999999</v>
      </c>
      <c r="AF10" s="573">
        <f t="shared" ca="1" si="20"/>
        <v>7</v>
      </c>
      <c r="AG10" s="575" t="str">
        <f t="shared" ca="1" si="21"/>
        <v/>
      </c>
      <c r="AH10" s="576" t="str">
        <f t="shared" ca="1" si="22"/>
        <v/>
      </c>
      <c r="AI10" s="577">
        <f t="shared" ca="1" si="23"/>
        <v>99999</v>
      </c>
      <c r="AJ10" s="573">
        <f t="shared" ca="1" si="24"/>
        <v>1.0609999999999999</v>
      </c>
      <c r="AK10" s="578">
        <f t="shared" ca="1" si="25"/>
        <v>7</v>
      </c>
      <c r="AL10" s="576" t="str">
        <f t="shared" ca="1" si="26"/>
        <v/>
      </c>
      <c r="AM10" s="576" t="str">
        <f t="shared" ca="1" si="27"/>
        <v/>
      </c>
      <c r="AN10" s="577">
        <f t="shared" ca="1" si="28"/>
        <v>99999</v>
      </c>
      <c r="AO10" s="573">
        <f t="shared" ca="1" si="29"/>
        <v>1.0609999999999999</v>
      </c>
      <c r="AP10" s="578">
        <f t="shared" ca="1" si="30"/>
        <v>7</v>
      </c>
      <c r="AR10" s="1">
        <f ca="1">IF(Settings!$G$7,$I10,ROUND($I10,Settings!$H$7))</f>
        <v>0</v>
      </c>
      <c r="AS10" s="1">
        <f t="shared" ca="1" si="32"/>
        <v>0</v>
      </c>
    </row>
    <row r="11" spans="1:45" s="2" customFormat="1" x14ac:dyDescent="0.2">
      <c r="A11" s="239"/>
      <c r="B11" s="1">
        <v>8</v>
      </c>
      <c r="C11" s="21">
        <f t="shared" ca="1" si="1"/>
        <v>8</v>
      </c>
      <c r="D11" s="12">
        <f t="shared" ca="1" si="2"/>
        <v>16.010999999999999</v>
      </c>
      <c r="E11" s="252">
        <f t="shared" ca="1" si="3"/>
        <v>6</v>
      </c>
      <c r="F11" s="724" t="str">
        <f t="shared" si="31"/>
        <v/>
      </c>
      <c r="G11" s="1">
        <f t="shared" ca="1" si="4"/>
        <v>0</v>
      </c>
      <c r="H11" s="1">
        <f t="shared" ca="1" si="5"/>
        <v>0</v>
      </c>
      <c r="I11" s="12">
        <f ca="1">IF(Settings!$G$7,G11-H11,IF(H11=0,IF(G11=0,0,Settings!$F$7),G11/H11))</f>
        <v>0</v>
      </c>
      <c r="J11" s="1">
        <f t="shared" ca="1" si="33"/>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1.0611000000000002</v>
      </c>
      <c r="AA11" s="578">
        <f t="shared" ca="1" si="15"/>
        <v>8</v>
      </c>
      <c r="AB11" s="575" t="str">
        <f t="shared" ca="1" si="16"/>
        <v/>
      </c>
      <c r="AC11" s="576" t="str">
        <f t="shared" ca="1" si="17"/>
        <v/>
      </c>
      <c r="AD11" s="577">
        <f t="shared" ca="1" si="18"/>
        <v>99999</v>
      </c>
      <c r="AE11" s="573">
        <f t="shared" ca="1" si="19"/>
        <v>1.0611000000000002</v>
      </c>
      <c r="AF11" s="573">
        <f t="shared" ca="1" si="20"/>
        <v>8</v>
      </c>
      <c r="AG11" s="575" t="str">
        <f t="shared" ca="1" si="21"/>
        <v/>
      </c>
      <c r="AH11" s="576" t="str">
        <f t="shared" ca="1" si="22"/>
        <v/>
      </c>
      <c r="AI11" s="577">
        <f t="shared" ca="1" si="23"/>
        <v>99999</v>
      </c>
      <c r="AJ11" s="573">
        <f t="shared" ca="1" si="24"/>
        <v>1.0611000000000002</v>
      </c>
      <c r="AK11" s="578">
        <f t="shared" ca="1" si="25"/>
        <v>8</v>
      </c>
      <c r="AL11" s="576" t="str">
        <f t="shared" ca="1" si="26"/>
        <v/>
      </c>
      <c r="AM11" s="576" t="str">
        <f t="shared" ca="1" si="27"/>
        <v/>
      </c>
      <c r="AN11" s="577">
        <f t="shared" ca="1" si="28"/>
        <v>99999</v>
      </c>
      <c r="AO11" s="573">
        <f t="shared" ca="1" si="29"/>
        <v>1.0611000000000002</v>
      </c>
      <c r="AP11" s="578">
        <f t="shared" ca="1" si="30"/>
        <v>8</v>
      </c>
      <c r="AR11" s="1">
        <f ca="1">IF(Settings!$G$7,$I11,ROUND($I11,Settings!$H$7))</f>
        <v>0</v>
      </c>
      <c r="AS11" s="1">
        <f t="shared" ca="1" si="32"/>
        <v>0</v>
      </c>
    </row>
    <row r="12" spans="1:45" s="2" customFormat="1" ht="12.75" thickBot="1" x14ac:dyDescent="0.25">
      <c r="A12" s="239"/>
      <c r="B12" s="1">
        <v>9</v>
      </c>
      <c r="C12" s="22">
        <f t="shared" ca="1" si="1"/>
        <v>9</v>
      </c>
      <c r="D12" s="12">
        <f t="shared" ca="1" si="2"/>
        <v>16.012</v>
      </c>
      <c r="E12" s="252">
        <f t="shared" ca="1" si="3"/>
        <v>6</v>
      </c>
      <c r="F12" s="724" t="str">
        <f t="shared" si="31"/>
        <v/>
      </c>
      <c r="G12" s="1">
        <f t="shared" ca="1" si="4"/>
        <v>0</v>
      </c>
      <c r="H12" s="1">
        <f t="shared" ca="1" si="5"/>
        <v>0</v>
      </c>
      <c r="I12" s="12">
        <f ca="1">IF(Settings!$G$7,G12-H12,IF(H12=0,IF(G12=0,0,Settings!$F$7),G12/H12))</f>
        <v>0</v>
      </c>
      <c r="J12" s="1">
        <f t="shared" ca="1" si="33"/>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1.0612000000000001</v>
      </c>
      <c r="AA12" s="582">
        <f t="shared" ca="1" si="15"/>
        <v>9</v>
      </c>
      <c r="AB12" s="579" t="str">
        <f t="shared" ca="1" si="16"/>
        <v/>
      </c>
      <c r="AC12" s="580" t="str">
        <f t="shared" ca="1" si="17"/>
        <v/>
      </c>
      <c r="AD12" s="583">
        <f t="shared" ca="1" si="18"/>
        <v>99999</v>
      </c>
      <c r="AE12" s="581">
        <f t="shared" ca="1" si="19"/>
        <v>1.0612000000000001</v>
      </c>
      <c r="AF12" s="581">
        <f t="shared" ca="1" si="20"/>
        <v>9</v>
      </c>
      <c r="AG12" s="579" t="str">
        <f t="shared" ca="1" si="21"/>
        <v/>
      </c>
      <c r="AH12" s="580" t="str">
        <f t="shared" ca="1" si="22"/>
        <v/>
      </c>
      <c r="AI12" s="583">
        <f t="shared" ca="1" si="23"/>
        <v>99999</v>
      </c>
      <c r="AJ12" s="581">
        <f t="shared" ca="1" si="24"/>
        <v>1.0612000000000001</v>
      </c>
      <c r="AK12" s="582">
        <f t="shared" ca="1" si="25"/>
        <v>9</v>
      </c>
      <c r="AL12" s="580" t="str">
        <f t="shared" ca="1" si="26"/>
        <v/>
      </c>
      <c r="AM12" s="580" t="str">
        <f t="shared" ca="1" si="27"/>
        <v/>
      </c>
      <c r="AN12" s="583">
        <f t="shared" ca="1" si="28"/>
        <v>99999</v>
      </c>
      <c r="AO12" s="581">
        <f t="shared" ca="1" si="29"/>
        <v>1.0612000000000001</v>
      </c>
      <c r="AP12" s="582">
        <f t="shared" ca="1" si="30"/>
        <v>9</v>
      </c>
      <c r="AR12" s="1">
        <f ca="1">IF(Settings!$G$7,$I12,ROUND($I12,Settings!$H$7))</f>
        <v>0</v>
      </c>
      <c r="AS12" s="1">
        <f t="shared" ca="1" si="32"/>
        <v>0</v>
      </c>
    </row>
    <row r="13" spans="1:45" s="2" customFormat="1" ht="12.75" thickTop="1" x14ac:dyDescent="0.2">
      <c r="B13" s="12">
        <f>$F$13*($F$13-1)</f>
        <v>20</v>
      </c>
      <c r="C13" s="12"/>
      <c r="D13" s="12"/>
      <c r="E13" s="12"/>
      <c r="F13" s="12">
        <f>9-COUNTBLANK($F$4:$F$12)</f>
        <v>5</v>
      </c>
      <c r="G13" s="12"/>
      <c r="H13" s="12"/>
      <c r="I13" s="12"/>
      <c r="J13" s="12"/>
      <c r="K13" s="26">
        <f ca="1">QUOTIENT(SUM(K4:K12),2)</f>
        <v>10</v>
      </c>
      <c r="L13" s="1"/>
      <c r="M13" s="1"/>
      <c r="N13" s="1"/>
      <c r="O13" s="1"/>
      <c r="P13" s="1"/>
      <c r="Q13" s="1"/>
      <c r="R13" s="1"/>
      <c r="S13" s="1"/>
      <c r="T13" s="1"/>
      <c r="U13" s="1"/>
      <c r="V13" s="1"/>
      <c r="Y13" s="1"/>
      <c r="Z13" s="1"/>
    </row>
    <row r="14" spans="1:45" s="2" customFormat="1" x14ac:dyDescent="0.2">
      <c r="B14" s="12">
        <f>MAX($B$13,Calc2!$B$13)/2*2</f>
        <v>20</v>
      </c>
      <c r="C14" s="3"/>
      <c r="D14" s="12" t="s">
        <v>335</v>
      </c>
      <c r="E14" s="3"/>
      <c r="F14" s="12">
        <f>MAX($F$13,Calc2!$F$13)</f>
        <v>5</v>
      </c>
      <c r="O14" s="1"/>
      <c r="P14" s="1"/>
      <c r="Q14" s="1"/>
      <c r="R14" s="1"/>
      <c r="S14" s="1"/>
      <c r="T14" s="1"/>
      <c r="U14" s="1"/>
      <c r="V14" s="1"/>
      <c r="W14" s="1"/>
      <c r="Y14" s="1"/>
      <c r="Z14" s="1"/>
    </row>
    <row r="15" spans="1:45" s="2" customFormat="1" x14ac:dyDescent="0.2">
      <c r="O15" s="11"/>
      <c r="AD15" s="976" t="s">
        <v>182</v>
      </c>
      <c r="AE15" s="977"/>
      <c r="AF15" s="977"/>
      <c r="AG15" s="977"/>
      <c r="AH15" s="978"/>
      <c r="AI15" s="2" t="b">
        <v>0</v>
      </c>
      <c r="AK15" s="239"/>
    </row>
    <row r="16" spans="1:45" s="2" customFormat="1" ht="15.75" thickBot="1" x14ac:dyDescent="0.25">
      <c r="B16" s="12" t="s">
        <v>5</v>
      </c>
      <c r="C16" s="587" t="s">
        <v>97</v>
      </c>
      <c r="D16" s="587" t="s">
        <v>102</v>
      </c>
      <c r="E16" s="587" t="s">
        <v>103</v>
      </c>
      <c r="F16" s="587" t="s">
        <v>104</v>
      </c>
      <c r="G16" s="587" t="s">
        <v>105</v>
      </c>
      <c r="H16" s="587" t="s">
        <v>106</v>
      </c>
      <c r="I16" s="587" t="s">
        <v>107</v>
      </c>
      <c r="J16" s="587" t="s">
        <v>108</v>
      </c>
      <c r="K16" s="587" t="s">
        <v>109</v>
      </c>
      <c r="L16" s="10" t="s">
        <v>334</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$Q64</f>
        <v>1. FC Riedwald</v>
      </c>
      <c r="D17" s="1">
        <f t="shared" ref="D17:D25" ca="1" si="34">K4</f>
        <v>4</v>
      </c>
      <c r="E17" s="1">
        <f t="shared" ref="E17:E25" ca="1" si="35">L4</f>
        <v>1</v>
      </c>
      <c r="F17" s="1">
        <f t="shared" ref="F17:F25" ca="1" si="36">M4</f>
        <v>2</v>
      </c>
      <c r="G17" s="1">
        <f t="shared" ref="G17:G25" ca="1" si="37">N4</f>
        <v>1</v>
      </c>
      <c r="H17" s="1">
        <f t="shared" ref="H17:K25" ca="1" si="38">G4</f>
        <v>177</v>
      </c>
      <c r="I17" s="1">
        <f t="shared" ca="1" si="38"/>
        <v>176</v>
      </c>
      <c r="J17" s="12">
        <f t="shared" ca="1" si="38"/>
        <v>1</v>
      </c>
      <c r="K17" s="1">
        <f t="shared" ca="1" si="38"/>
        <v>4</v>
      </c>
      <c r="L17" s="28">
        <f t="shared" ref="L17:L25" ca="1" si="39">K17*$F$64+(J17+$H$65)*$F$65</f>
        <v>4501000</v>
      </c>
      <c r="M17" s="13">
        <f t="shared" ref="M17:M25" ca="1" si="40">IF($AI$15,COUNTIF($K$17:$K$25,K17),COUNTIF($L$17:$L$25,L17))</f>
        <v>1</v>
      </c>
      <c r="N17" s="13">
        <f t="array" aca="1" ref="N17" ca="1">IF($AI$15,SUM(($K$17:$K$25&gt;=K17)/COUNTIF($K$17:$K$25,$K$17:$K$25)),SUM(($L$17:$L$25&gt;=L17)/COUNTIF($L$17:$L$25,$L$17:$L$25)))</f>
        <v>3</v>
      </c>
      <c r="O17" s="51" t="str">
        <f t="shared" ref="O17:O25" ca="1" si="41">IF(AND(M17&gt;1,N17=1),C17,"")</f>
        <v/>
      </c>
      <c r="P17" s="52" t="str">
        <f t="shared" ref="P17:P25" ca="1" si="42">IF(AND(M17&gt;1,N17=2),C17,"")</f>
        <v/>
      </c>
      <c r="Q17" s="52" t="str">
        <f t="shared" ref="Q17:Q25" ca="1" si="43">IF(AND(M17&gt;1,N17=3),C17,"")</f>
        <v/>
      </c>
      <c r="R17" s="52" t="str">
        <f t="shared" ref="R17:R25" ca="1" si="44">IF(AND(M17&gt;1,N17=4),C17,"")</f>
        <v/>
      </c>
      <c r="S17" s="52" t="str">
        <f t="shared" ref="S17:S25" ca="1" si="45">IF(AND(M17&gt;1,N17=5),C17,"")</f>
        <v/>
      </c>
      <c r="T17" s="52" t="str">
        <f t="shared" ref="T17:T25" ca="1" si="46">IF(AND($M17&gt;1,$N17=6),$C17,"")</f>
        <v/>
      </c>
      <c r="U17" s="52" t="str">
        <f t="shared" ref="U17:U25" ca="1" si="47">IF(AND($M17&gt;1,$N17=7),$C17,"")</f>
        <v/>
      </c>
      <c r="V17" s="53" t="str">
        <f t="shared" ref="V17:V25" ca="1" si="48">IF(AND($M17&gt;1,$N17=8),$C17,"")</f>
        <v/>
      </c>
      <c r="W17" s="61">
        <f t="shared" ref="W17:W25" ca="1" si="49">AA17*$F$64+(AB17+$H$65)*$F$65</f>
        <v>500000</v>
      </c>
      <c r="X17" s="20">
        <f t="shared" ref="X17:X25" ca="1" si="50">RANK($L17,$L$17:$L$25)+RANK($W17,$W$17:$W$25)/100+(9-$Y17)/10000</f>
        <v>3.0108999999999999</v>
      </c>
      <c r="Y17" s="12">
        <f>PreliminaryRound!$AQ12</f>
        <v>0</v>
      </c>
      <c r="Z17" s="1">
        <f t="shared" ref="Z17:Z25" ca="1" si="51">RANK($W17,$W$17:$W$25)+(9-$Y17)/10</f>
        <v>1.9</v>
      </c>
      <c r="AA17" s="1">
        <f t="shared" ref="AA17:AA25" ca="1" si="52">SUM(E30:BP30)</f>
        <v>0</v>
      </c>
      <c r="AB17" s="1">
        <f t="shared" ref="AB17:AB25" ca="1" si="53">SUM(E41:BP41)</f>
        <v>0</v>
      </c>
      <c r="AC17" s="1"/>
      <c r="AD17" s="246">
        <f t="shared" ref="AD17:AD25" ca="1" si="54">RANK($K17,$K$17:$K$25)</f>
        <v>3</v>
      </c>
      <c r="AE17" s="28">
        <f t="shared" ref="AE17:AE25" ca="1" si="55">(J17+$H$65)*$F$65</f>
        <v>501000</v>
      </c>
      <c r="AF17" s="1">
        <f t="shared" ref="AF17:AF25" ca="1" si="56">RANK($AE17,$AE$17:$AE$25)</f>
        <v>3</v>
      </c>
      <c r="AG17" s="1">
        <f t="shared" ref="AG17:AG25" ca="1" si="57">RANK($W17,$W$17:$W$25)</f>
        <v>1</v>
      </c>
      <c r="AH17" s="248">
        <f t="shared" ref="AH17:AH25" ca="1" si="58">AD17+AG17/100+AF17/10000+(10-Y17)/1000000</f>
        <v>3.01031</v>
      </c>
      <c r="AI17" s="1"/>
    </row>
    <row r="18" spans="2:80" s="2" customFormat="1" x14ac:dyDescent="0.2">
      <c r="C18" s="2" t="str">
        <f t="shared" ref="C18:C25" si="59">$Q65</f>
        <v>FC Barcelona</v>
      </c>
      <c r="D18" s="1">
        <f t="shared" ca="1" si="34"/>
        <v>4</v>
      </c>
      <c r="E18" s="1">
        <f t="shared" ca="1" si="35"/>
        <v>1</v>
      </c>
      <c r="F18" s="1">
        <f t="shared" ca="1" si="36"/>
        <v>1</v>
      </c>
      <c r="G18" s="1">
        <f t="shared" ca="1" si="37"/>
        <v>2</v>
      </c>
      <c r="H18" s="1">
        <f t="shared" ca="1" si="38"/>
        <v>164</v>
      </c>
      <c r="I18" s="1">
        <f t="shared" ca="1" si="38"/>
        <v>181</v>
      </c>
      <c r="J18" s="12">
        <f t="shared" ca="1" si="38"/>
        <v>-17</v>
      </c>
      <c r="K18" s="1">
        <f t="shared" ca="1" si="38"/>
        <v>3</v>
      </c>
      <c r="L18" s="28">
        <f t="shared" ca="1" si="39"/>
        <v>3483000</v>
      </c>
      <c r="M18" s="13">
        <f t="shared" ca="1" si="40"/>
        <v>1</v>
      </c>
      <c r="N18" s="13">
        <f t="array" aca="1" ref="N18" ca="1">IF($AI$15,SUM(($K$17:$K$25&gt;=K18)/COUNTIF($K$17:$K$25,$K$17:$K$25)),SUM(($L$17:$L$25&gt;=L18)/COUNTIF($L$17:$L$25,$L$17:$L$25)))</f>
        <v>4</v>
      </c>
      <c r="O18" s="5" t="str">
        <f t="shared" ca="1" si="41"/>
        <v/>
      </c>
      <c r="P18" s="3" t="str">
        <f t="shared" ca="1" si="42"/>
        <v/>
      </c>
      <c r="Q18" s="3" t="str">
        <f t="shared" ca="1" si="43"/>
        <v/>
      </c>
      <c r="R18" s="3" t="str">
        <f t="shared" ca="1" si="44"/>
        <v/>
      </c>
      <c r="S18" s="3" t="str">
        <f t="shared" ca="1" si="45"/>
        <v/>
      </c>
      <c r="T18" s="3" t="str">
        <f t="shared" ca="1" si="46"/>
        <v/>
      </c>
      <c r="U18" s="3" t="str">
        <f t="shared" ca="1" si="47"/>
        <v/>
      </c>
      <c r="V18" s="54" t="str">
        <f t="shared" ca="1" si="48"/>
        <v/>
      </c>
      <c r="W18" s="61">
        <f t="shared" ca="1" si="49"/>
        <v>500000</v>
      </c>
      <c r="X18" s="21">
        <f t="shared" ca="1" si="50"/>
        <v>4.0108999999999995</v>
      </c>
      <c r="Y18" s="12">
        <f>PreliminaryRound!$AQ13</f>
        <v>0</v>
      </c>
      <c r="Z18" s="1">
        <f t="shared" ca="1" si="51"/>
        <v>1.9</v>
      </c>
      <c r="AA18" s="1">
        <f t="shared" ca="1" si="52"/>
        <v>0</v>
      </c>
      <c r="AB18" s="1">
        <f t="shared" ca="1" si="53"/>
        <v>0</v>
      </c>
      <c r="AC18" s="1"/>
      <c r="AD18" s="246">
        <f t="shared" ca="1" si="54"/>
        <v>4</v>
      </c>
      <c r="AE18" s="28">
        <f t="shared" ca="1" si="55"/>
        <v>483000</v>
      </c>
      <c r="AF18" s="1">
        <f t="shared" ca="1" si="56"/>
        <v>8</v>
      </c>
      <c r="AG18" s="1">
        <f t="shared" ca="1" si="57"/>
        <v>1</v>
      </c>
      <c r="AH18" s="249">
        <f t="shared" ca="1" si="58"/>
        <v>4.0108099999999993</v>
      </c>
      <c r="AI18" s="1"/>
    </row>
    <row r="19" spans="2:80" s="2" customFormat="1" x14ac:dyDescent="0.2">
      <c r="C19" s="2" t="str">
        <f t="shared" si="59"/>
        <v>Eintracht Frankfurt</v>
      </c>
      <c r="D19" s="1">
        <f t="shared" ca="1" si="34"/>
        <v>4</v>
      </c>
      <c r="E19" s="1">
        <f t="shared" ca="1" si="35"/>
        <v>1</v>
      </c>
      <c r="F19" s="1">
        <f t="shared" ca="1" si="36"/>
        <v>3</v>
      </c>
      <c r="G19" s="1">
        <f t="shared" ca="1" si="37"/>
        <v>0</v>
      </c>
      <c r="H19" s="1">
        <f t="shared" ca="1" si="38"/>
        <v>191</v>
      </c>
      <c r="I19" s="1">
        <f t="shared" ca="1" si="38"/>
        <v>175</v>
      </c>
      <c r="J19" s="12">
        <f t="shared" ca="1" si="38"/>
        <v>16</v>
      </c>
      <c r="K19" s="1">
        <f t="shared" ca="1" si="38"/>
        <v>5</v>
      </c>
      <c r="L19" s="28">
        <f t="shared" ca="1" si="39"/>
        <v>5516000</v>
      </c>
      <c r="M19" s="13">
        <f t="shared" ca="1" si="40"/>
        <v>1</v>
      </c>
      <c r="N19" s="13">
        <f t="array" aca="1" ref="N19" ca="1">IF($AI$15,SUM(($K$17:$K$25&gt;=K19)/COUNTIF($K$17:$K$25,$K$17:$K$25)),SUM(($L$17:$L$25&gt;=L19)/COUNTIF($L$17:$L$25,$L$17:$L$25)))</f>
        <v>2</v>
      </c>
      <c r="O19" s="5" t="str">
        <f t="shared" ca="1" si="41"/>
        <v/>
      </c>
      <c r="P19" s="3" t="str">
        <f t="shared" ca="1" si="42"/>
        <v/>
      </c>
      <c r="Q19" s="3" t="str">
        <f t="shared" ca="1" si="43"/>
        <v/>
      </c>
      <c r="R19" s="3" t="str">
        <f t="shared" ca="1" si="44"/>
        <v/>
      </c>
      <c r="S19" s="3" t="str">
        <f t="shared" ca="1" si="45"/>
        <v/>
      </c>
      <c r="T19" s="3" t="str">
        <f t="shared" ca="1" si="46"/>
        <v/>
      </c>
      <c r="U19" s="3" t="str">
        <f t="shared" ca="1" si="47"/>
        <v/>
      </c>
      <c r="V19" s="54" t="str">
        <f t="shared" ca="1" si="48"/>
        <v/>
      </c>
      <c r="W19" s="61">
        <f t="shared" ca="1" si="49"/>
        <v>500000</v>
      </c>
      <c r="X19" s="21">
        <f t="shared" ca="1" si="50"/>
        <v>2.0108999999999999</v>
      </c>
      <c r="Y19" s="12">
        <f>PreliminaryRound!$AQ14</f>
        <v>0</v>
      </c>
      <c r="Z19" s="1">
        <f t="shared" ca="1" si="51"/>
        <v>1.9</v>
      </c>
      <c r="AA19" s="1">
        <f t="shared" ca="1" si="52"/>
        <v>0</v>
      </c>
      <c r="AB19" s="1">
        <f t="shared" ca="1" si="53"/>
        <v>0</v>
      </c>
      <c r="AC19" s="1"/>
      <c r="AD19" s="246">
        <f t="shared" ca="1" si="54"/>
        <v>1</v>
      </c>
      <c r="AE19" s="28">
        <f t="shared" ca="1" si="55"/>
        <v>516000</v>
      </c>
      <c r="AF19" s="1">
        <f t="shared" ca="1" si="56"/>
        <v>2</v>
      </c>
      <c r="AG19" s="1">
        <f t="shared" ca="1" si="57"/>
        <v>1</v>
      </c>
      <c r="AH19" s="249">
        <f t="shared" ca="1" si="58"/>
        <v>1.0102100000000001</v>
      </c>
      <c r="AI19" s="1"/>
    </row>
    <row r="20" spans="2:80" s="2" customFormat="1" x14ac:dyDescent="0.2">
      <c r="C20" s="2" t="str">
        <f t="shared" si="59"/>
        <v>Maibach 1822 eV</v>
      </c>
      <c r="D20" s="1">
        <f t="shared" ca="1" si="34"/>
        <v>4</v>
      </c>
      <c r="E20" s="1">
        <f t="shared" ca="1" si="35"/>
        <v>2</v>
      </c>
      <c r="F20" s="1">
        <f t="shared" ca="1" si="36"/>
        <v>1</v>
      </c>
      <c r="G20" s="1">
        <f t="shared" ca="1" si="37"/>
        <v>1</v>
      </c>
      <c r="H20" s="1">
        <f t="shared" ca="1" si="38"/>
        <v>183</v>
      </c>
      <c r="I20" s="1">
        <f t="shared" ca="1" si="38"/>
        <v>159</v>
      </c>
      <c r="J20" s="12">
        <f t="shared" ca="1" si="38"/>
        <v>24</v>
      </c>
      <c r="K20" s="1">
        <f t="shared" ca="1" si="38"/>
        <v>5</v>
      </c>
      <c r="L20" s="28">
        <f t="shared" ca="1" si="39"/>
        <v>5524000</v>
      </c>
      <c r="M20" s="13">
        <f t="shared" ca="1" si="40"/>
        <v>1</v>
      </c>
      <c r="N20" s="13">
        <f t="array" aca="1" ref="N20" ca="1">IF($AI$15,SUM(($K$17:$K$25&gt;=K20)/COUNTIF($K$17:$K$25,$K$17:$K$25)),SUM(($L$17:$L$25&gt;=L20)/COUNTIF($L$17:$L$25,$L$17:$L$25)))</f>
        <v>1</v>
      </c>
      <c r="O20" s="5" t="str">
        <f t="shared" ca="1" si="41"/>
        <v/>
      </c>
      <c r="P20" s="3" t="str">
        <f t="shared" ca="1" si="42"/>
        <v/>
      </c>
      <c r="Q20" s="3" t="str">
        <f t="shared" ca="1" si="43"/>
        <v/>
      </c>
      <c r="R20" s="3" t="str">
        <f t="shared" ca="1" si="44"/>
        <v/>
      </c>
      <c r="S20" s="3" t="str">
        <f t="shared" ca="1" si="45"/>
        <v/>
      </c>
      <c r="T20" s="3" t="str">
        <f t="shared" ca="1" si="46"/>
        <v/>
      </c>
      <c r="U20" s="3" t="str">
        <f t="shared" ca="1" si="47"/>
        <v/>
      </c>
      <c r="V20" s="54" t="str">
        <f t="shared" ca="1" si="48"/>
        <v/>
      </c>
      <c r="W20" s="61">
        <f t="shared" ca="1" si="49"/>
        <v>500000</v>
      </c>
      <c r="X20" s="21">
        <f t="shared" ca="1" si="50"/>
        <v>1.0108999999999999</v>
      </c>
      <c r="Y20" s="12">
        <f>PreliminaryRound!$AQ15</f>
        <v>0</v>
      </c>
      <c r="Z20" s="1">
        <f t="shared" ca="1" si="51"/>
        <v>1.9</v>
      </c>
      <c r="AA20" s="1">
        <f t="shared" ca="1" si="52"/>
        <v>0</v>
      </c>
      <c r="AB20" s="1">
        <f t="shared" ca="1" si="53"/>
        <v>0</v>
      </c>
      <c r="AC20" s="1"/>
      <c r="AD20" s="246">
        <f t="shared" ca="1" si="54"/>
        <v>1</v>
      </c>
      <c r="AE20" s="28">
        <f t="shared" ca="1" si="55"/>
        <v>524000</v>
      </c>
      <c r="AF20" s="1">
        <f t="shared" ca="1" si="56"/>
        <v>1</v>
      </c>
      <c r="AG20" s="1">
        <f t="shared" ca="1" si="57"/>
        <v>1</v>
      </c>
      <c r="AH20" s="249">
        <f t="shared" ca="1" si="58"/>
        <v>1.0101100000000001</v>
      </c>
      <c r="AI20" s="1"/>
    </row>
    <row r="21" spans="2:80" s="2" customFormat="1" x14ac:dyDescent="0.2">
      <c r="C21" s="2" t="str">
        <f t="shared" si="59"/>
        <v>VFB Essenheim</v>
      </c>
      <c r="D21" s="1">
        <f t="shared" ca="1" si="34"/>
        <v>4</v>
      </c>
      <c r="E21" s="1">
        <f t="shared" ca="1" si="35"/>
        <v>1</v>
      </c>
      <c r="F21" s="1">
        <f t="shared" ca="1" si="36"/>
        <v>1</v>
      </c>
      <c r="G21" s="1">
        <f t="shared" ca="1" si="37"/>
        <v>2</v>
      </c>
      <c r="H21" s="1">
        <f t="shared" ca="1" si="38"/>
        <v>167</v>
      </c>
      <c r="I21" s="1">
        <f t="shared" ca="1" si="38"/>
        <v>191</v>
      </c>
      <c r="J21" s="12">
        <f t="shared" ca="1" si="38"/>
        <v>-24</v>
      </c>
      <c r="K21" s="1">
        <f t="shared" ca="1" si="38"/>
        <v>3</v>
      </c>
      <c r="L21" s="28">
        <f t="shared" ca="1" si="39"/>
        <v>3476000</v>
      </c>
      <c r="M21" s="13">
        <f t="shared" ca="1" si="40"/>
        <v>1</v>
      </c>
      <c r="N21" s="13">
        <f t="array" aca="1" ref="N21" ca="1">IF($AI$15,SUM(($K$17:$K$25&gt;=K21)/COUNTIF($K$17:$K$25,$K$17:$K$25)),SUM(($L$17:$L$25&gt;=L21)/COUNTIF($L$17:$L$25,$L$17:$L$25)))</f>
        <v>5</v>
      </c>
      <c r="O21" s="5" t="str">
        <f t="shared" ca="1" si="41"/>
        <v/>
      </c>
      <c r="P21" s="3" t="str">
        <f t="shared" ca="1" si="42"/>
        <v/>
      </c>
      <c r="Q21" s="3" t="str">
        <f t="shared" ca="1" si="43"/>
        <v/>
      </c>
      <c r="R21" s="3" t="str">
        <f t="shared" ca="1" si="44"/>
        <v/>
      </c>
      <c r="S21" s="3" t="str">
        <f t="shared" ca="1" si="45"/>
        <v/>
      </c>
      <c r="T21" s="3" t="str">
        <f t="shared" ca="1" si="46"/>
        <v/>
      </c>
      <c r="U21" s="3" t="str">
        <f t="shared" ca="1" si="47"/>
        <v/>
      </c>
      <c r="V21" s="54" t="str">
        <f t="shared" ca="1" si="48"/>
        <v/>
      </c>
      <c r="W21" s="61">
        <f t="shared" ca="1" si="49"/>
        <v>500000</v>
      </c>
      <c r="X21" s="21">
        <f t="shared" ca="1" si="50"/>
        <v>5.0108999999999995</v>
      </c>
      <c r="Y21" s="12">
        <f>PreliminaryRound!$AQ16</f>
        <v>0</v>
      </c>
      <c r="Z21" s="1">
        <f t="shared" ca="1" si="51"/>
        <v>1.9</v>
      </c>
      <c r="AA21" s="1">
        <f t="shared" ca="1" si="52"/>
        <v>0</v>
      </c>
      <c r="AB21" s="1">
        <f t="shared" ca="1" si="53"/>
        <v>0</v>
      </c>
      <c r="AC21" s="1"/>
      <c r="AD21" s="246">
        <f t="shared" ca="1" si="54"/>
        <v>4</v>
      </c>
      <c r="AE21" s="28">
        <f t="shared" ca="1" si="55"/>
        <v>476000</v>
      </c>
      <c r="AF21" s="1">
        <f t="shared" ca="1" si="56"/>
        <v>9</v>
      </c>
      <c r="AG21" s="1">
        <f t="shared" ca="1" si="57"/>
        <v>1</v>
      </c>
      <c r="AH21" s="249">
        <f t="shared" ca="1" si="58"/>
        <v>4.0109099999999991</v>
      </c>
      <c r="AI21" s="1"/>
    </row>
    <row r="22" spans="2:80" s="2" customFormat="1" x14ac:dyDescent="0.2">
      <c r="C22" s="2" t="str">
        <f t="shared" si="59"/>
        <v/>
      </c>
      <c r="D22" s="1">
        <f t="shared" ca="1" si="34"/>
        <v>0</v>
      </c>
      <c r="E22" s="1">
        <f t="shared" ca="1" si="35"/>
        <v>0</v>
      </c>
      <c r="F22" s="1">
        <f t="shared" ca="1" si="36"/>
        <v>0</v>
      </c>
      <c r="G22" s="1">
        <f t="shared" ca="1" si="37"/>
        <v>0</v>
      </c>
      <c r="H22" s="1">
        <f t="shared" ca="1" si="38"/>
        <v>0</v>
      </c>
      <c r="I22" s="1">
        <f t="shared" ca="1" si="38"/>
        <v>0</v>
      </c>
      <c r="J22" s="12">
        <f t="shared" ca="1" si="38"/>
        <v>0</v>
      </c>
      <c r="K22" s="1">
        <f t="shared" ca="1" si="38"/>
        <v>0</v>
      </c>
      <c r="L22" s="28">
        <f t="shared" ca="1" si="39"/>
        <v>500000</v>
      </c>
      <c r="M22" s="13">
        <f t="shared" ca="1" si="40"/>
        <v>4</v>
      </c>
      <c r="N22" s="13">
        <f t="array" aca="1" ref="N22" ca="1">IF($AI$15,SUM(($K$17:$K$25&gt;=K22)/COUNTIF($K$17:$K$25,$K$17:$K$25)),SUM(($L$17:$L$25&gt;=L22)/COUNTIF($L$17:$L$25,$L$17:$L$25)))</f>
        <v>6</v>
      </c>
      <c r="O22" s="5" t="str">
        <f t="shared" ca="1" si="41"/>
        <v/>
      </c>
      <c r="P22" s="3" t="str">
        <f t="shared" ca="1" si="42"/>
        <v/>
      </c>
      <c r="Q22" s="3" t="str">
        <f t="shared" ca="1" si="43"/>
        <v/>
      </c>
      <c r="R22" s="3" t="str">
        <f t="shared" ca="1" si="44"/>
        <v/>
      </c>
      <c r="S22" s="3" t="str">
        <f t="shared" ca="1" si="45"/>
        <v/>
      </c>
      <c r="T22" s="3" t="str">
        <f t="shared" ca="1" si="46"/>
        <v/>
      </c>
      <c r="U22" s="3" t="str">
        <f t="shared" ca="1" si="47"/>
        <v/>
      </c>
      <c r="V22" s="54" t="str">
        <f t="shared" ca="1" si="48"/>
        <v/>
      </c>
      <c r="W22" s="61">
        <f t="shared" ca="1" si="49"/>
        <v>500000</v>
      </c>
      <c r="X22" s="21">
        <f t="shared" ca="1" si="50"/>
        <v>6.0108999999999995</v>
      </c>
      <c r="Y22" s="12">
        <f>PreliminaryRound!$AQ17</f>
        <v>0</v>
      </c>
      <c r="Z22" s="1">
        <f t="shared" ca="1" si="51"/>
        <v>1.9</v>
      </c>
      <c r="AA22" s="1">
        <f t="shared" ca="1" si="52"/>
        <v>0</v>
      </c>
      <c r="AB22" s="1">
        <f t="shared" ca="1" si="53"/>
        <v>0</v>
      </c>
      <c r="AC22" s="1"/>
      <c r="AD22" s="246">
        <f t="shared" ca="1" si="54"/>
        <v>6</v>
      </c>
      <c r="AE22" s="28">
        <f t="shared" ca="1" si="55"/>
        <v>500000</v>
      </c>
      <c r="AF22" s="1">
        <f t="shared" ca="1" si="56"/>
        <v>4</v>
      </c>
      <c r="AG22" s="1">
        <f t="shared" ca="1" si="57"/>
        <v>1</v>
      </c>
      <c r="AH22" s="249">
        <f t="shared" ca="1" si="58"/>
        <v>6.0104099999999994</v>
      </c>
      <c r="AI22" s="1"/>
    </row>
    <row r="23" spans="2:80" s="2" customFormat="1" x14ac:dyDescent="0.2">
      <c r="C23" s="2" t="str">
        <f t="shared" si="59"/>
        <v/>
      </c>
      <c r="D23" s="1">
        <f t="shared" ca="1" si="34"/>
        <v>0</v>
      </c>
      <c r="E23" s="1">
        <f t="shared" ca="1" si="35"/>
        <v>0</v>
      </c>
      <c r="F23" s="1">
        <f t="shared" ca="1" si="36"/>
        <v>0</v>
      </c>
      <c r="G23" s="1">
        <f t="shared" ca="1" si="37"/>
        <v>0</v>
      </c>
      <c r="H23" s="1">
        <f t="shared" ca="1" si="38"/>
        <v>0</v>
      </c>
      <c r="I23" s="1">
        <f t="shared" ca="1" si="38"/>
        <v>0</v>
      </c>
      <c r="J23" s="12">
        <f t="shared" ca="1" si="38"/>
        <v>0</v>
      </c>
      <c r="K23" s="1">
        <f t="shared" ca="1" si="38"/>
        <v>0</v>
      </c>
      <c r="L23" s="28">
        <f t="shared" ca="1" si="39"/>
        <v>500000</v>
      </c>
      <c r="M23" s="13">
        <f t="shared" ca="1" si="40"/>
        <v>4</v>
      </c>
      <c r="N23" s="13">
        <f t="array" aca="1" ref="N23" ca="1">IF($AI$15,SUM(($K$17:$K$25&gt;=K23)/COUNTIF($K$17:$K$25,$K$17:$K$25)),SUM(($L$17:$L$25&gt;=L23)/COUNTIF($L$17:$L$25,$L$17:$L$25)))</f>
        <v>6</v>
      </c>
      <c r="O23" s="5" t="str">
        <f t="shared" ca="1" si="41"/>
        <v/>
      </c>
      <c r="P23" s="3" t="str">
        <f t="shared" ca="1" si="42"/>
        <v/>
      </c>
      <c r="Q23" s="3" t="str">
        <f t="shared" ca="1" si="43"/>
        <v/>
      </c>
      <c r="R23" s="3" t="str">
        <f t="shared" ca="1" si="44"/>
        <v/>
      </c>
      <c r="S23" s="3" t="str">
        <f t="shared" ca="1" si="45"/>
        <v/>
      </c>
      <c r="T23" s="3" t="str">
        <f t="shared" ca="1" si="46"/>
        <v/>
      </c>
      <c r="U23" s="3" t="str">
        <f t="shared" ca="1" si="47"/>
        <v/>
      </c>
      <c r="V23" s="54" t="str">
        <f t="shared" ca="1" si="48"/>
        <v/>
      </c>
      <c r="W23" s="61">
        <f t="shared" ca="1" si="49"/>
        <v>500000</v>
      </c>
      <c r="X23" s="21">
        <f t="shared" ca="1" si="50"/>
        <v>6.0108999999999995</v>
      </c>
      <c r="Y23" s="12">
        <v>0</v>
      </c>
      <c r="Z23" s="1">
        <f t="shared" ca="1" si="51"/>
        <v>1.9</v>
      </c>
      <c r="AA23" s="1">
        <f t="shared" ca="1" si="52"/>
        <v>0</v>
      </c>
      <c r="AB23" s="1">
        <f t="shared" ca="1" si="53"/>
        <v>0</v>
      </c>
      <c r="AC23" s="1"/>
      <c r="AD23" s="246">
        <f t="shared" ca="1" si="54"/>
        <v>6</v>
      </c>
      <c r="AE23" s="28">
        <f t="shared" ca="1" si="55"/>
        <v>500000</v>
      </c>
      <c r="AF23" s="1">
        <f t="shared" ca="1" si="56"/>
        <v>4</v>
      </c>
      <c r="AG23" s="1">
        <f t="shared" ca="1" si="57"/>
        <v>1</v>
      </c>
      <c r="AH23" s="249">
        <f t="shared" ca="1" si="58"/>
        <v>6.0104099999999994</v>
      </c>
      <c r="AI23" s="1"/>
    </row>
    <row r="24" spans="2:80" s="2" customFormat="1" x14ac:dyDescent="0.2">
      <c r="C24" s="2" t="str">
        <f t="shared" si="59"/>
        <v/>
      </c>
      <c r="D24" s="1">
        <f t="shared" ca="1" si="34"/>
        <v>0</v>
      </c>
      <c r="E24" s="1">
        <f t="shared" ca="1" si="35"/>
        <v>0</v>
      </c>
      <c r="F24" s="1">
        <f t="shared" ca="1" si="36"/>
        <v>0</v>
      </c>
      <c r="G24" s="1">
        <f t="shared" ca="1" si="37"/>
        <v>0</v>
      </c>
      <c r="H24" s="1">
        <f t="shared" ca="1" si="38"/>
        <v>0</v>
      </c>
      <c r="I24" s="1">
        <f t="shared" ca="1" si="38"/>
        <v>0</v>
      </c>
      <c r="J24" s="12">
        <f t="shared" ca="1" si="38"/>
        <v>0</v>
      </c>
      <c r="K24" s="1">
        <f t="shared" ca="1" si="38"/>
        <v>0</v>
      </c>
      <c r="L24" s="28">
        <f t="shared" ca="1" si="39"/>
        <v>500000</v>
      </c>
      <c r="M24" s="13">
        <f t="shared" ca="1" si="40"/>
        <v>4</v>
      </c>
      <c r="N24" s="13">
        <f t="array" aca="1" ref="N24" ca="1">IF($AI$15,SUM(($K$17:$K$25&gt;=K24)/COUNTIF($K$17:$K$25,$K$17:$K$25)),SUM(($L$17:$L$25&gt;=L24)/COUNTIF($L$17:$L$25,$L$17:$L$25)))</f>
        <v>6</v>
      </c>
      <c r="O24" s="5" t="str">
        <f t="shared" ca="1" si="41"/>
        <v/>
      </c>
      <c r="P24" s="3" t="str">
        <f t="shared" ca="1" si="42"/>
        <v/>
      </c>
      <c r="Q24" s="3" t="str">
        <f t="shared" ca="1" si="43"/>
        <v/>
      </c>
      <c r="R24" s="3" t="str">
        <f t="shared" ca="1" si="44"/>
        <v/>
      </c>
      <c r="S24" s="3" t="str">
        <f t="shared" ca="1" si="45"/>
        <v/>
      </c>
      <c r="T24" s="3" t="str">
        <f t="shared" ca="1" si="46"/>
        <v/>
      </c>
      <c r="U24" s="3" t="str">
        <f t="shared" ca="1" si="47"/>
        <v/>
      </c>
      <c r="V24" s="54" t="str">
        <f t="shared" ca="1" si="48"/>
        <v/>
      </c>
      <c r="W24" s="61">
        <f t="shared" ca="1" si="49"/>
        <v>500000</v>
      </c>
      <c r="X24" s="21">
        <f t="shared" ca="1" si="50"/>
        <v>6.0108999999999995</v>
      </c>
      <c r="Y24" s="12">
        <v>0</v>
      </c>
      <c r="Z24" s="1">
        <f t="shared" ca="1" si="51"/>
        <v>1.9</v>
      </c>
      <c r="AA24" s="1">
        <f t="shared" ca="1" si="52"/>
        <v>0</v>
      </c>
      <c r="AB24" s="1">
        <f t="shared" ca="1" si="53"/>
        <v>0</v>
      </c>
      <c r="AC24" s="1"/>
      <c r="AD24" s="246">
        <f t="shared" ca="1" si="54"/>
        <v>6</v>
      </c>
      <c r="AE24" s="28">
        <f t="shared" ca="1" si="55"/>
        <v>500000</v>
      </c>
      <c r="AF24" s="1">
        <f t="shared" ca="1" si="56"/>
        <v>4</v>
      </c>
      <c r="AG24" s="1">
        <f t="shared" ca="1" si="57"/>
        <v>1</v>
      </c>
      <c r="AH24" s="249">
        <f t="shared" ca="1" si="58"/>
        <v>6.0104099999999994</v>
      </c>
      <c r="AI24" s="1"/>
    </row>
    <row r="25" spans="2:80" s="2" customFormat="1" ht="12.75" thickBot="1" x14ac:dyDescent="0.25">
      <c r="C25" s="2" t="str">
        <f t="shared" si="59"/>
        <v/>
      </c>
      <c r="D25" s="1">
        <f t="shared" ca="1" si="34"/>
        <v>0</v>
      </c>
      <c r="E25" s="1">
        <f t="shared" ca="1" si="35"/>
        <v>0</v>
      </c>
      <c r="F25" s="1">
        <f t="shared" ca="1" si="36"/>
        <v>0</v>
      </c>
      <c r="G25" s="1">
        <f t="shared" ca="1" si="37"/>
        <v>0</v>
      </c>
      <c r="H25" s="1">
        <f t="shared" ca="1" si="38"/>
        <v>0</v>
      </c>
      <c r="I25" s="1">
        <f t="shared" ca="1" si="38"/>
        <v>0</v>
      </c>
      <c r="J25" s="12">
        <f t="shared" ca="1" si="38"/>
        <v>0</v>
      </c>
      <c r="K25" s="1">
        <f t="shared" ca="1" si="38"/>
        <v>0</v>
      </c>
      <c r="L25" s="28">
        <f t="shared" ca="1" si="39"/>
        <v>500000</v>
      </c>
      <c r="M25" s="13">
        <f t="shared" ca="1" si="40"/>
        <v>4</v>
      </c>
      <c r="N25" s="13">
        <f t="array" aca="1" ref="N25" ca="1">IF($AI$15,SUM(($K$17:$K$25&gt;=K25)/COUNTIF($K$17:$K$25,$K$17:$K$25)),SUM(($L$17:$L$25&gt;=L25)/COUNTIF($L$17:$L$25,$L$17:$L$25)))</f>
        <v>6</v>
      </c>
      <c r="O25" s="55" t="str">
        <f t="shared" ca="1" si="41"/>
        <v/>
      </c>
      <c r="P25" s="56" t="str">
        <f t="shared" ca="1" si="42"/>
        <v/>
      </c>
      <c r="Q25" s="56" t="str">
        <f t="shared" ca="1" si="43"/>
        <v/>
      </c>
      <c r="R25" s="56" t="str">
        <f t="shared" ca="1" si="44"/>
        <v/>
      </c>
      <c r="S25" s="56" t="str">
        <f t="shared" ca="1" si="45"/>
        <v/>
      </c>
      <c r="T25" s="56" t="str">
        <f t="shared" ca="1" si="46"/>
        <v/>
      </c>
      <c r="U25" s="56" t="str">
        <f t="shared" ca="1" si="47"/>
        <v/>
      </c>
      <c r="V25" s="57" t="str">
        <f t="shared" ca="1" si="48"/>
        <v/>
      </c>
      <c r="W25" s="61">
        <f t="shared" ca="1" si="49"/>
        <v>500000</v>
      </c>
      <c r="X25" s="22">
        <f t="shared" ca="1" si="50"/>
        <v>6.0108999999999995</v>
      </c>
      <c r="Y25" s="12">
        <v>0</v>
      </c>
      <c r="Z25" s="1">
        <f t="shared" ca="1" si="51"/>
        <v>1.9</v>
      </c>
      <c r="AA25" s="1">
        <f t="shared" ca="1" si="52"/>
        <v>0</v>
      </c>
      <c r="AB25" s="1">
        <f t="shared" ca="1" si="53"/>
        <v>0</v>
      </c>
      <c r="AC25" s="1"/>
      <c r="AD25" s="246">
        <f t="shared" ca="1" si="54"/>
        <v>6</v>
      </c>
      <c r="AE25" s="28">
        <f t="shared" ca="1" si="55"/>
        <v>500000</v>
      </c>
      <c r="AF25" s="1">
        <f t="shared" ca="1" si="56"/>
        <v>4</v>
      </c>
      <c r="AG25" s="1">
        <f t="shared" ca="1" si="57"/>
        <v>1</v>
      </c>
      <c r="AH25" s="250">
        <f t="shared" ca="1" si="58"/>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2">
        <v>1</v>
      </c>
      <c r="F29" s="969"/>
      <c r="G29" s="969"/>
      <c r="H29" s="969"/>
      <c r="I29" s="969"/>
      <c r="J29" s="969"/>
      <c r="K29" s="969"/>
      <c r="L29" s="971"/>
      <c r="M29" s="968">
        <v>2</v>
      </c>
      <c r="N29" s="969"/>
      <c r="O29" s="969"/>
      <c r="P29" s="969"/>
      <c r="Q29" s="969"/>
      <c r="R29" s="969"/>
      <c r="S29" s="969"/>
      <c r="T29" s="971"/>
      <c r="U29" s="968">
        <v>3</v>
      </c>
      <c r="V29" s="969"/>
      <c r="W29" s="969"/>
      <c r="X29" s="969"/>
      <c r="Y29" s="969"/>
      <c r="Z29" s="969"/>
      <c r="AA29" s="969"/>
      <c r="AB29" s="971"/>
      <c r="AC29" s="968">
        <v>4</v>
      </c>
      <c r="AD29" s="969"/>
      <c r="AE29" s="969"/>
      <c r="AF29" s="969"/>
      <c r="AG29" s="969"/>
      <c r="AH29" s="969"/>
      <c r="AI29" s="969"/>
      <c r="AJ29" s="971"/>
      <c r="AK29" s="968">
        <v>5</v>
      </c>
      <c r="AL29" s="969"/>
      <c r="AM29" s="969"/>
      <c r="AN29" s="969"/>
      <c r="AO29" s="969"/>
      <c r="AP29" s="969"/>
      <c r="AQ29" s="969"/>
      <c r="AR29" s="971"/>
      <c r="AS29" s="968">
        <v>6</v>
      </c>
      <c r="AT29" s="969"/>
      <c r="AU29" s="969"/>
      <c r="AV29" s="969"/>
      <c r="AW29" s="969"/>
      <c r="AX29" s="969"/>
      <c r="AY29" s="969"/>
      <c r="AZ29" s="971"/>
      <c r="BA29" s="968">
        <v>7</v>
      </c>
      <c r="BB29" s="969"/>
      <c r="BC29" s="969"/>
      <c r="BD29" s="969"/>
      <c r="BE29" s="969"/>
      <c r="BF29" s="969"/>
      <c r="BG29" s="969"/>
      <c r="BH29" s="971"/>
      <c r="BI29" s="968">
        <v>8</v>
      </c>
      <c r="BJ29" s="969"/>
      <c r="BK29" s="969"/>
      <c r="BL29" s="969"/>
      <c r="BM29" s="969"/>
      <c r="BN29" s="969"/>
      <c r="BO29" s="969"/>
      <c r="BP29" s="970"/>
      <c r="BQ29" s="12"/>
      <c r="BR29" s="4"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0"/>
    </row>
    <row r="30" spans="2:80" s="2" customFormat="1" x14ac:dyDescent="0.2">
      <c r="C30" s="2" t="str">
        <f>$Q64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60">F4</f>
        <v>1. FC Riedwald</v>
      </c>
      <c r="BS30" s="6"/>
      <c r="BT30" s="7">
        <f t="shared" ref="BT30:CA30" ca="1" si="61">SUMIFS($X$64:$X$135,$V$64:$V$135,$BR30,$W$64:$W$135,BT$29)+SUMIFS($Y$64:$Y$135,$W$64:$W$135,$BR30,$V$64:$V$135,BT$29)+SUMIFS($AG$64:$AG$135,$V$64:$V$135,$BR30,$W$64:$W$135,BT$29)+SUMIFS($AH$64:$AH$135,$W$64:$W$135,$BR30,$V$64:$V$135,BT$29)</f>
        <v>50</v>
      </c>
      <c r="BU30" s="7">
        <f t="shared" ca="1" si="61"/>
        <v>42</v>
      </c>
      <c r="BV30" s="7">
        <f t="shared" ca="1" si="61"/>
        <v>41</v>
      </c>
      <c r="BW30" s="7">
        <f t="shared" ca="1" si="61"/>
        <v>44</v>
      </c>
      <c r="BX30" s="7">
        <f t="shared" ca="1" si="61"/>
        <v>0</v>
      </c>
      <c r="BY30" s="7">
        <f t="shared" ca="1" si="61"/>
        <v>0</v>
      </c>
      <c r="BZ30" s="7">
        <f t="shared" ca="1" si="61"/>
        <v>0</v>
      </c>
      <c r="CA30" s="7">
        <f t="shared" ca="1" si="61"/>
        <v>0</v>
      </c>
      <c r="CB30" s="3"/>
    </row>
    <row r="31" spans="2:80" s="2" customFormat="1" x14ac:dyDescent="0.2">
      <c r="C31" s="2" t="str">
        <f t="shared" ref="C31:C38" si="62">$Q65</f>
        <v>FC Barcelona</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60"/>
        <v>FC Barcelona</v>
      </c>
      <c r="BS31" s="8">
        <f t="shared" ref="BS31:BS38" ca="1" si="63">SUMIFS($X$64:$X$135,$V$64:$V$135,$BR31,$W$64:$W$135,BS$29)+SUMIFS($Y$64:$Y$135,$W$64:$W$135,$BR31,$V$64:$V$135,BS$29)+SUMIFS($AG$64:$AG$135,$V$64:$V$135,$BR31,$W$64:$W$135,BS$29)+SUMIFS($AH$64:$AH$135,$W$64:$W$135,$BR31,$V$64:$V$135,BS$29)</f>
        <v>37</v>
      </c>
      <c r="BT31" s="6"/>
      <c r="BU31" s="7">
        <f t="shared" ref="BU31:CA31" ca="1" si="64">SUMIFS($X$64:$X$135,$V$64:$V$135,$BR31,$W$64:$W$135,BU$29)+SUMIFS($Y$64:$Y$135,$W$64:$W$135,$BR31,$V$64:$V$135,BU$29)+SUMIFS($AG$64:$AG$135,$V$64:$V$135,$BR31,$W$64:$W$135,BU$29)+SUMIFS($AH$64:$AH$135,$W$64:$W$135,$BR31,$V$64:$V$135,BU$29)</f>
        <v>48</v>
      </c>
      <c r="BV31" s="7">
        <f t="shared" ca="1" si="64"/>
        <v>29</v>
      </c>
      <c r="BW31" s="7">
        <f t="shared" ca="1" si="64"/>
        <v>50</v>
      </c>
      <c r="BX31" s="7">
        <f t="shared" ca="1" si="64"/>
        <v>0</v>
      </c>
      <c r="BY31" s="7">
        <f t="shared" ca="1" si="64"/>
        <v>0</v>
      </c>
      <c r="BZ31" s="7">
        <f t="shared" ca="1" si="64"/>
        <v>0</v>
      </c>
      <c r="CA31" s="7">
        <f t="shared" ca="1" si="64"/>
        <v>0</v>
      </c>
      <c r="CB31" s="3"/>
    </row>
    <row r="32" spans="2:80" s="2" customFormat="1" x14ac:dyDescent="0.2">
      <c r="C32" s="2" t="str">
        <f t="shared" si="62"/>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60"/>
        <v>Eintracht Frankfurt</v>
      </c>
      <c r="BS32" s="8">
        <f t="shared" ca="1" si="63"/>
        <v>46</v>
      </c>
      <c r="BT32" s="8">
        <f t="shared" ref="BT32:BT38" ca="1" si="65">SUMIFS($X$64:$X$135,$V$64:$V$135,$BR32,$W$64:$W$135,BT$29)+SUMIFS($Y$64:$Y$135,$W$64:$W$135,$BR32,$V$64:$V$135,BT$29)+SUMIFS($AG$64:$AG$135,$V$64:$V$135,$BR32,$W$64:$W$135,BT$29)+SUMIFS($AH$64:$AH$135,$W$64:$W$135,$BR32,$V$64:$V$135,BT$29)</f>
        <v>48</v>
      </c>
      <c r="BU32" s="6"/>
      <c r="BV32" s="7">
        <f t="shared" ref="BV32:CA32" ca="1" si="66">SUMIFS($X$64:$X$135,$V$64:$V$135,$BR32,$W$64:$W$135,BV$29)+SUMIFS($Y$64:$Y$135,$W$64:$W$135,$BR32,$V$64:$V$135,BV$29)+SUMIFS($AG$64:$AG$135,$V$64:$V$135,$BR32,$W$64:$W$135,BV$29)+SUMIFS($AH$64:$AH$135,$W$64:$W$135,$BR32,$V$64:$V$135,BV$29)</f>
        <v>50</v>
      </c>
      <c r="BW32" s="7">
        <f t="shared" ca="1" si="66"/>
        <v>47</v>
      </c>
      <c r="BX32" s="7">
        <f t="shared" ca="1" si="66"/>
        <v>0</v>
      </c>
      <c r="BY32" s="7">
        <f t="shared" ca="1" si="66"/>
        <v>0</v>
      </c>
      <c r="BZ32" s="7">
        <f t="shared" ca="1" si="66"/>
        <v>0</v>
      </c>
      <c r="CA32" s="7">
        <f t="shared" ca="1" si="66"/>
        <v>0</v>
      </c>
      <c r="CB32" s="3"/>
    </row>
    <row r="33" spans="2:80" s="2" customFormat="1" x14ac:dyDescent="0.2">
      <c r="C33" s="2" t="str">
        <f t="shared" si="62"/>
        <v>Maibach 1822 eV</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60"/>
        <v>Maibach 1822 eV</v>
      </c>
      <c r="BS33" s="8">
        <f t="shared" ca="1" si="63"/>
        <v>43</v>
      </c>
      <c r="BT33" s="8">
        <f t="shared" ca="1" si="65"/>
        <v>50</v>
      </c>
      <c r="BU33" s="8">
        <f t="shared" ref="BU33:BU38" ca="1" si="67">SUMIFS($X$64:$X$135,$V$64:$V$135,$BR33,$W$64:$W$135,BU$29)+SUMIFS($Y$64:$Y$135,$W$64:$W$135,$BR33,$V$64:$V$135,BU$29)+SUMIFS($AG$64:$AG$135,$V$64:$V$135,$BR33,$W$64:$W$135,BU$29)+SUMIFS($AH$64:$AH$135,$W$64:$W$135,$BR33,$V$64:$V$135,BU$29)</f>
        <v>40</v>
      </c>
      <c r="BV33" s="6"/>
      <c r="BW33" s="7">
        <f ca="1">SUMIFS($X$64:$X$135,$V$64:$V$135,$BR33,$W$64:$W$135,BW$29)+SUMIFS($Y$64:$Y$135,$W$64:$W$135,$BR33,$V$64:$V$135,BW$29)+SUMIFS($AG$64:$AG$135,$V$64:$V$135,$BR33,$W$64:$W$135,BW$29)+SUMIFS($AH$64:$AH$135,$W$64:$W$135,$BR33,$V$64:$V$135,BW$29)</f>
        <v>50</v>
      </c>
      <c r="BX33" s="7">
        <f ca="1">SUMIFS($X$64:$X$135,$V$64:$V$135,$BR33,$W$64:$W$135,BX$29)+SUMIFS($Y$64:$Y$135,$W$64:$W$135,$BR33,$V$64:$V$135,BX$29)+SUMIFS($AG$64:$AG$135,$V$64:$V$135,$BR33,$W$64:$W$135,BX$29)+SUMIFS($AH$64:$AH$135,$W$64:$W$135,$BR33,$V$64:$V$135,BX$29)</f>
        <v>0</v>
      </c>
      <c r="BY33" s="7">
        <f ca="1">SUMIFS($X$64:$X$135,$V$64:$V$135,$BR33,$W$64:$W$135,BY$29)+SUMIFS($Y$64:$Y$135,$W$64:$W$135,$BR33,$V$64:$V$135,BY$29)+SUMIFS($AG$64:$AG$135,$V$64:$V$135,$BR33,$W$64:$W$135,BY$29)+SUMIFS($AH$64:$AH$135,$W$64:$W$135,$BR33,$V$64:$V$135,BY$29)</f>
        <v>0</v>
      </c>
      <c r="BZ33" s="7">
        <f ca="1">SUMIFS($X$64:$X$135,$V$64:$V$135,$BR33,$W$64:$W$135,BZ$29)+SUMIFS($Y$64:$Y$135,$W$64:$W$135,$BR33,$V$64:$V$135,BZ$29)+SUMIFS($AG$64:$AG$135,$V$64:$V$135,$BR33,$W$64:$W$135,BZ$29)+SUMIFS($AH$64:$AH$135,$W$64:$W$135,$BR33,$V$64:$V$135,BZ$29)</f>
        <v>0</v>
      </c>
      <c r="CA33" s="7">
        <f ca="1">SUMIFS($X$64:$X$135,$V$64:$V$135,$BR33,$W$64:$W$135,CA$29)+SUMIFS($Y$64:$Y$135,$W$64:$W$135,$BR33,$V$64:$V$135,CA$29)+SUMIFS($AG$64:$AG$135,$V$64:$V$135,$BR33,$W$64:$W$135,CA$29)+SUMIFS($AH$64:$AH$135,$W$64:$W$135,$BR33,$V$64:$V$135,CA$29)</f>
        <v>0</v>
      </c>
      <c r="CB33" s="3"/>
    </row>
    <row r="34" spans="2:80" s="2" customFormat="1" x14ac:dyDescent="0.2">
      <c r="C34" s="2" t="str">
        <f t="shared" si="62"/>
        <v>VFB Essenheim</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60"/>
        <v>VFB Essenheim</v>
      </c>
      <c r="BS34" s="8">
        <f t="shared" ca="1" si="63"/>
        <v>50</v>
      </c>
      <c r="BT34" s="8">
        <f t="shared" ca="1" si="65"/>
        <v>33</v>
      </c>
      <c r="BU34" s="8">
        <f t="shared" ca="1" si="67"/>
        <v>45</v>
      </c>
      <c r="BV34" s="8">
        <f ca="1">SUMIFS($X$64:$X$135,$V$64:$V$135,$BR34,$W$64:$W$135,BV$29)+SUMIFS($Y$64:$Y$135,$W$64:$W$135,$BR34,$V$64:$V$135,BV$29)+SUMIFS($AG$64:$AG$135,$V$64:$V$135,$BR34,$W$64:$W$135,BV$29)+SUMIFS($AH$64:$AH$135,$W$64:$W$135,$BR34,$V$64:$V$135,BV$29)</f>
        <v>39</v>
      </c>
      <c r="BW34" s="6"/>
      <c r="BX34" s="7">
        <f ca="1">SUMIFS($X$64:$X$135,$V$64:$V$135,$BR34,$W$64:$W$135,BX$29)+SUMIFS($Y$64:$Y$135,$W$64:$W$135,$BR34,$V$64:$V$135,BX$29)+SUMIFS($AG$64:$AG$135,$V$64:$V$135,$BR34,$W$64:$W$135,BX$29)+SUMIFS($AH$64:$AH$135,$W$64:$W$135,$BR34,$V$64:$V$135,BX$29)</f>
        <v>0</v>
      </c>
      <c r="BY34" s="7">
        <f ca="1">SUMIFS($X$64:$X$135,$V$64:$V$135,$BR34,$W$64:$W$135,BY$29)+SUMIFS($Y$64:$Y$135,$W$64:$W$135,$BR34,$V$64:$V$135,BY$29)+SUMIFS($AG$64:$AG$135,$V$64:$V$135,$BR34,$W$64:$W$135,BY$29)+SUMIFS($AH$64:$AH$135,$W$64:$W$135,$BR34,$V$64:$V$135,BY$29)</f>
        <v>0</v>
      </c>
      <c r="BZ34" s="7">
        <f ca="1">SUMIFS($X$64:$X$135,$V$64:$V$135,$BR34,$W$64:$W$135,BZ$29)+SUMIFS($Y$64:$Y$135,$W$64:$W$135,$BR34,$V$64:$V$135,BZ$29)+SUMIFS($AG$64:$AG$135,$V$64:$V$135,$BR34,$W$64:$W$135,BZ$29)+SUMIFS($AH$64:$AH$135,$W$64:$W$135,$BR34,$V$64:$V$135,BZ$29)</f>
        <v>0</v>
      </c>
      <c r="CA34" s="7">
        <f ca="1">SUMIFS($X$64:$X$135,$V$64:$V$135,$BR34,$W$64:$W$135,CA$29)+SUMIFS($Y$64:$Y$135,$W$64:$W$135,$BR34,$V$64:$V$135,CA$29)+SUMIFS($AG$64:$AG$135,$V$64:$V$135,$BR34,$W$64:$W$135,CA$29)+SUMIFS($AH$64:$AH$135,$W$64:$W$135,$BR34,$V$64:$V$135,CA$29)</f>
        <v>0</v>
      </c>
      <c r="CB34" s="3"/>
    </row>
    <row r="35" spans="2:80" s="2" customFormat="1" x14ac:dyDescent="0.2">
      <c r="C35" s="2" t="str">
        <f t="shared" si="62"/>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60"/>
        <v/>
      </c>
      <c r="BS35" s="8">
        <f t="shared" ca="1" si="63"/>
        <v>0</v>
      </c>
      <c r="BT35" s="8">
        <f t="shared" ca="1" si="65"/>
        <v>0</v>
      </c>
      <c r="BU35" s="8">
        <f t="shared" ca="1" si="67"/>
        <v>0</v>
      </c>
      <c r="BV35" s="8">
        <f ca="1">SUMIFS($X$64:$X$135,$V$64:$V$135,$BR35,$W$64:$W$135,BV$29)+SUMIFS($Y$64:$Y$135,$W$64:$W$135,$BR35,$V$64:$V$135,BV$29)+SUMIFS($AG$64:$AG$135,$V$64:$V$135,$BR35,$W$64:$W$135,BV$29)+SUMIFS($AH$64:$AH$135,$W$64:$W$135,$BR35,$V$64:$V$135,BV$29)</f>
        <v>0</v>
      </c>
      <c r="BW35" s="8">
        <f ca="1">SUMIFS($X$64:$X$135,$V$64:$V$135,$BR35,$W$64:$W$135,BW$29)+SUMIFS($Y$64:$Y$135,$W$64:$W$135,$BR35,$V$64:$V$135,BW$29)+SUMIFS($AG$64:$AG$135,$V$64:$V$135,$BR35,$W$64:$W$135,BW$29)+SUMIFS($AH$64:$AH$135,$W$64:$W$135,$BR35,$V$64:$V$135,BW$29)</f>
        <v>0</v>
      </c>
      <c r="BX35" s="6"/>
      <c r="BY35" s="7">
        <f ca="1">SUMIFS($X$64:$X$135,$V$64:$V$135,$BR35,$W$64:$W$135,BY$29)+SUMIFS($Y$64:$Y$135,$W$64:$W$135,$BR35,$V$64:$V$135,BY$29)+SUMIFS($AG$64:$AG$135,$V$64:$V$135,$BR35,$W$64:$W$135,BY$29)+SUMIFS($AH$64:$AH$135,$W$64:$W$135,$BR35,$V$64:$V$135,BY$29)</f>
        <v>0</v>
      </c>
      <c r="BZ35" s="7">
        <f ca="1">SUMIFS($X$64:$X$135,$V$64:$V$135,$BR35,$W$64:$W$135,BZ$29)+SUMIFS($Y$64:$Y$135,$W$64:$W$135,$BR35,$V$64:$V$135,BZ$29)+SUMIFS($AG$64:$AG$135,$V$64:$V$135,$BR35,$W$64:$W$135,BZ$29)+SUMIFS($AH$64:$AH$135,$W$64:$W$135,$BR35,$V$64:$V$135,BZ$29)</f>
        <v>0</v>
      </c>
      <c r="CA35" s="7">
        <f ca="1">SUMIFS($X$64:$X$135,$V$64:$V$135,$BR35,$W$64:$W$135,CA$29)+SUMIFS($Y$64:$Y$135,$W$64:$W$135,$BR35,$V$64:$V$135,CA$29)+SUMIFS($AG$64:$AG$135,$V$64:$V$135,$BR35,$W$64:$W$135,CA$29)+SUMIFS($AH$64:$AH$135,$W$64:$W$135,$BR35,$V$64:$V$135,CA$29)</f>
        <v>0</v>
      </c>
      <c r="CB35" s="3"/>
    </row>
    <row r="36" spans="2:80" s="2" customFormat="1" x14ac:dyDescent="0.2">
      <c r="C36" s="2" t="str">
        <f t="shared" si="62"/>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60"/>
        <v/>
      </c>
      <c r="BS36" s="8">
        <f t="shared" ca="1" si="63"/>
        <v>0</v>
      </c>
      <c r="BT36" s="8">
        <f t="shared" ca="1" si="65"/>
        <v>0</v>
      </c>
      <c r="BU36" s="8">
        <f t="shared" ca="1" si="67"/>
        <v>0</v>
      </c>
      <c r="BV36" s="8">
        <f ca="1">SUMIFS($X$64:$X$135,$V$64:$V$135,$BR36,$W$64:$W$135,BV$29)+SUMIFS($Y$64:$Y$135,$W$64:$W$135,$BR36,$V$64:$V$135,BV$29)+SUMIFS($AG$64:$AG$135,$V$64:$V$135,$BR36,$W$64:$W$135,BV$29)+SUMIFS($AH$64:$AH$135,$W$64:$W$135,$BR36,$V$64:$V$135,BV$29)</f>
        <v>0</v>
      </c>
      <c r="BW36" s="8">
        <f ca="1">SUMIFS($X$64:$X$135,$V$64:$V$135,$BR36,$W$64:$W$135,BW$29)+SUMIFS($Y$64:$Y$135,$W$64:$W$135,$BR36,$V$64:$V$135,BW$29)+SUMIFS($AG$64:$AG$135,$V$64:$V$135,$BR36,$W$64:$W$135,BW$29)+SUMIFS($AH$64:$AH$135,$W$64:$W$135,$BR36,$V$64:$V$135,BW$29)</f>
        <v>0</v>
      </c>
      <c r="BX36" s="8">
        <f ca="1">SUMIFS($X$64:$X$135,$V$64:$V$135,$BR36,$W$64:$W$135,BX$29)+SUMIFS($Y$64:$Y$135,$W$64:$W$135,$BR36,$V$64:$V$135,BX$29)+SUMIFS($AG$64:$AG$135,$V$64:$V$135,$BR36,$W$64:$W$135,BX$29)+SUMIFS($AH$64:$AH$135,$W$64:$W$135,$BR36,$V$64:$V$135,BX$29)</f>
        <v>0</v>
      </c>
      <c r="BY36" s="6"/>
      <c r="BZ36" s="7">
        <f ca="1">SUMIFS($X$64:$X$135,$V$64:$V$135,$BR36,$W$64:$W$135,BZ$29)+SUMIFS($Y$64:$Y$135,$W$64:$W$135,$BR36,$V$64:$V$135,BZ$29)+SUMIFS($AG$64:$AG$135,$V$64:$V$135,$BR36,$W$64:$W$135,BZ$29)+SUMIFS($AH$64:$AH$135,$W$64:$W$135,$BR36,$V$64:$V$135,BZ$29)</f>
        <v>0</v>
      </c>
      <c r="CA36" s="7">
        <f ca="1">SUMIFS($X$64:$X$135,$V$64:$V$135,$BR36,$W$64:$W$135,CA$29)+SUMIFS($Y$64:$Y$135,$W$64:$W$135,$BR36,$V$64:$V$135,CA$29)+SUMIFS($AG$64:$AG$135,$V$64:$V$135,$BR36,$W$64:$W$135,CA$29)+SUMIFS($AH$64:$AH$135,$W$64:$W$135,$BR36,$V$64:$V$135,CA$29)</f>
        <v>0</v>
      </c>
      <c r="CB36" s="3"/>
    </row>
    <row r="37" spans="2:80" s="2" customFormat="1" x14ac:dyDescent="0.2">
      <c r="C37" s="2" t="str">
        <f t="shared" si="62"/>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60"/>
        <v/>
      </c>
      <c r="BS37" s="8">
        <f t="shared" ca="1" si="63"/>
        <v>0</v>
      </c>
      <c r="BT37" s="8">
        <f t="shared" ca="1" si="65"/>
        <v>0</v>
      </c>
      <c r="BU37" s="8">
        <f t="shared" ca="1" si="67"/>
        <v>0</v>
      </c>
      <c r="BV37" s="8">
        <f ca="1">SUMIFS($X$64:$X$135,$V$64:$V$135,$BR37,$W$64:$W$135,BV$29)+SUMIFS($Y$64:$Y$135,$W$64:$W$135,$BR37,$V$64:$V$135,BV$29)+SUMIFS($AG$64:$AG$135,$V$64:$V$135,$BR37,$W$64:$W$135,BV$29)+SUMIFS($AH$64:$AH$135,$W$64:$W$135,$BR37,$V$64:$V$135,BV$29)</f>
        <v>0</v>
      </c>
      <c r="BW37" s="8">
        <f ca="1">SUMIFS($X$64:$X$135,$V$64:$V$135,$BR37,$W$64:$W$135,BW$29)+SUMIFS($Y$64:$Y$135,$W$64:$W$135,$BR37,$V$64:$V$135,BW$29)+SUMIFS($AG$64:$AG$135,$V$64:$V$135,$BR37,$W$64:$W$135,BW$29)+SUMIFS($AH$64:$AH$135,$W$64:$W$135,$BR37,$V$64:$V$135,BW$29)</f>
        <v>0</v>
      </c>
      <c r="BX37" s="8">
        <f ca="1">SUMIFS($X$64:$X$135,$V$64:$V$135,$BR37,$W$64:$W$135,BX$29)+SUMIFS($Y$64:$Y$135,$W$64:$W$135,$BR37,$V$64:$V$135,BX$29)+SUMIFS($AG$64:$AG$135,$V$64:$V$135,$BR37,$W$64:$W$135,BX$29)+SUMIFS($AH$64:$AH$135,$W$64:$W$135,$BR37,$V$64:$V$135,BX$29)</f>
        <v>0</v>
      </c>
      <c r="BY37" s="8">
        <f ca="1">SUMIFS($X$64:$X$135,$V$64:$V$135,$BR37,$W$64:$W$135,BY$29)+SUMIFS($Y$64:$Y$135,$W$64:$W$135,$BR37,$V$64:$V$135,BY$29)+SUMIFS($AG$64:$AG$135,$V$64:$V$135,$BR37,$W$64:$W$135,BY$29)+SUMIFS($AH$64:$AH$135,$W$64:$W$135,$BR37,$V$64:$V$135,BY$29)</f>
        <v>0</v>
      </c>
      <c r="BZ37" s="6"/>
      <c r="CA37" s="7">
        <f ca="1">SUMIFS($X$64:$X$135,$V$64:$V$135,$BR37,$W$64:$W$135,CA$29)+SUMIFS($Y$64:$Y$135,$W$64:$W$135,$BR37,$V$64:$V$135,CA$29)+SUMIFS($AG$64:$AG$135,$V$64:$V$135,$BR37,$W$64:$W$135,CA$29)+SUMIFS($AH$64:$AH$135,$W$64:$W$135,$BR37,$V$64:$V$135,CA$29)</f>
        <v>0</v>
      </c>
      <c r="CB37" s="3"/>
    </row>
    <row r="38" spans="2:80" s="2" customFormat="1" x14ac:dyDescent="0.2">
      <c r="C38" s="2" t="str">
        <f t="shared" si="62"/>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60"/>
        <v/>
      </c>
      <c r="BS38" s="8">
        <f t="shared" ca="1" si="63"/>
        <v>0</v>
      </c>
      <c r="BT38" s="8">
        <f t="shared" ca="1" si="65"/>
        <v>0</v>
      </c>
      <c r="BU38" s="8">
        <f t="shared" ca="1" si="67"/>
        <v>0</v>
      </c>
      <c r="BV38" s="8">
        <f ca="1">SUMIFS($X$64:$X$135,$V$64:$V$135,$BR38,$W$64:$W$135,BV$29)+SUMIFS($Y$64:$Y$135,$W$64:$W$135,$BR38,$V$64:$V$135,BV$29)+SUMIFS($AG$64:$AG$135,$V$64:$V$135,$BR38,$W$64:$W$135,BV$29)+SUMIFS($AH$64:$AH$135,$W$64:$W$135,$BR38,$V$64:$V$135,BV$29)</f>
        <v>0</v>
      </c>
      <c r="BW38" s="8">
        <f ca="1">SUMIFS($X$64:$X$135,$V$64:$V$135,$BR38,$W$64:$W$135,BW$29)+SUMIFS($Y$64:$Y$135,$W$64:$W$135,$BR38,$V$64:$V$135,BW$29)+SUMIFS($AG$64:$AG$135,$V$64:$V$135,$BR38,$W$64:$W$135,BW$29)+SUMIFS($AH$64:$AH$135,$W$64:$W$135,$BR38,$V$64:$V$135,BW$29)</f>
        <v>0</v>
      </c>
      <c r="BX38" s="8">
        <f ca="1">SUMIFS($X$64:$X$135,$V$64:$V$135,$BR38,$W$64:$W$135,BX$29)+SUMIFS($Y$64:$Y$135,$W$64:$W$135,$BR38,$V$64:$V$135,BX$29)+SUMIFS($AG$64:$AG$135,$V$64:$V$135,$BR38,$W$64:$W$135,BX$29)+SUMIFS($AH$64:$AH$135,$W$64:$W$135,$BR38,$V$64:$V$135,BX$29)</f>
        <v>0</v>
      </c>
      <c r="BY38" s="8">
        <f ca="1">SUMIFS($X$64:$X$135,$V$64:$V$135,$BR38,$W$64:$W$135,BY$29)+SUMIFS($Y$64:$Y$135,$W$64:$W$135,$BR38,$V$64:$V$135,BY$29)+SUMIFS($AG$64:$AG$135,$V$64:$V$135,$BR38,$W$64:$W$135,BY$29)+SUMIFS($AH$64:$AH$135,$W$64:$W$135,$BR38,$V$64:$V$135,BY$29)</f>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8">F4</f>
        <v>1. FC Riedwald</v>
      </c>
      <c r="BS41" s="6"/>
      <c r="BT41" s="7">
        <f ca="1">BT30-BS31</f>
        <v>13</v>
      </c>
      <c r="BU41" s="7">
        <f ca="1">BU30-BS32</f>
        <v>-4</v>
      </c>
      <c r="BV41" s="7">
        <f ca="1">BV30-BS33</f>
        <v>-2</v>
      </c>
      <c r="BW41" s="7">
        <f ca="1">BW30-BS34</f>
        <v>-6</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8"/>
        <v>FC Barcelona</v>
      </c>
      <c r="BS42" s="8">
        <f ca="1">IF(BT41="","",-1*BT41)</f>
        <v>-13</v>
      </c>
      <c r="BT42" s="6"/>
      <c r="BU42" s="7">
        <f ca="1">BU31-BT32</f>
        <v>0</v>
      </c>
      <c r="BV42" s="7">
        <f ca="1">BV31-BT33</f>
        <v>-21</v>
      </c>
      <c r="BW42" s="7">
        <f ca="1">BW31-BT34</f>
        <v>17</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8"/>
        <v>Eintracht Frankfurt</v>
      </c>
      <c r="BS43" s="8">
        <f ca="1">IF(BU41="","",-1*BU41)</f>
        <v>4</v>
      </c>
      <c r="BT43" s="8">
        <f ca="1">IF(BU42="","",-1*BU42)</f>
        <v>0</v>
      </c>
      <c r="BU43" s="6"/>
      <c r="BV43" s="7">
        <f ca="1">BV32-BU33</f>
        <v>10</v>
      </c>
      <c r="BW43" s="7">
        <f ca="1">BW32-BU34</f>
        <v>2</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8"/>
        <v>Maibach 1822 eV</v>
      </c>
      <c r="BS44" s="8">
        <f ca="1">IF(BV41="","",-1*BV41)</f>
        <v>2</v>
      </c>
      <c r="BT44" s="8">
        <f ca="1">IF(BV42="","",-1*BV42)</f>
        <v>21</v>
      </c>
      <c r="BU44" s="8">
        <f ca="1">IF(BV43="","",-1*BV43)</f>
        <v>-10</v>
      </c>
      <c r="BV44" s="6"/>
      <c r="BW44" s="7">
        <f ca="1">BW33-BV34</f>
        <v>11</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8"/>
        <v>VFB Essenheim</v>
      </c>
      <c r="BS45" s="8">
        <f ca="1">IF(BW41="","",-1*BW41)</f>
        <v>6</v>
      </c>
      <c r="BT45" s="8">
        <f ca="1">IF(BW42="","",-1*BW42)</f>
        <v>-17</v>
      </c>
      <c r="BU45" s="8">
        <f ca="1">IF(BW43="","",-1*BW43)</f>
        <v>-2</v>
      </c>
      <c r="BV45" s="8">
        <f ca="1">IF(BW44="","",-1*BW44)</f>
        <v>-11</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8"/>
        <v/>
      </c>
      <c r="BS49" s="8">
        <f ca="1">IF(CA41="","",-1*CA41)</f>
        <v>0</v>
      </c>
      <c r="BT49" s="8">
        <f ca="1">IF(CA42="","",-1*CA42)</f>
        <v>0</v>
      </c>
      <c r="BU49" s="8">
        <f ca="1">IF(CA43="","",-1*CA43)</f>
        <v>0</v>
      </c>
      <c r="BV49" s="8">
        <f ca="1">IF(CA44="","",-1*CA44)</f>
        <v>0</v>
      </c>
      <c r="BW49" s="8">
        <f ca="1">IF(CA45="","",-1*CA45)</f>
        <v>0</v>
      </c>
      <c r="BX49" s="8">
        <f ca="1">IF(CA46="","",-1*CA46)</f>
        <v>0</v>
      </c>
      <c r="BY49" s="8">
        <f ca="1">IF(CA47="","",-1*CA47)</f>
        <v>0</v>
      </c>
      <c r="BZ49" s="8">
        <f ca="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9">F4</f>
        <v>1. FC Riedwald</v>
      </c>
      <c r="BS52" s="6"/>
      <c r="BT52" s="7">
        <f t="shared" ref="BT52:CA52" ca="1" si="70">SUMIFS($AE$64:$AE$135,$V$64:$V$135,$BR52,$W$64:$W$135,BT$51)+SUMIFS($AF$64:$AF$135,$W$64:$W$135,$BR52,$V$64:$V$135,BT$51)</f>
        <v>2</v>
      </c>
      <c r="BU52" s="7">
        <f t="shared" ca="1" si="70"/>
        <v>1</v>
      </c>
      <c r="BV52" s="7">
        <f t="shared" ca="1" si="70"/>
        <v>1</v>
      </c>
      <c r="BW52" s="7">
        <f t="shared" ca="1" si="70"/>
        <v>0</v>
      </c>
      <c r="BX52" s="7">
        <f t="shared" ca="1" si="70"/>
        <v>0</v>
      </c>
      <c r="BY52" s="7">
        <f t="shared" ca="1" si="70"/>
        <v>0</v>
      </c>
      <c r="BZ52" s="7">
        <f t="shared" ca="1" si="70"/>
        <v>0</v>
      </c>
      <c r="CA52" s="7">
        <f t="shared" ca="1" si="70"/>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9"/>
        <v>FC Barcelona</v>
      </c>
      <c r="BS53" s="8">
        <f t="shared" ref="BS53:BS60" ca="1" si="71">SUMIFS($AE$64:$AE$135,$V$64:$V$135,$BR53,$W$64:$W$135,BS$51)+SUMIFS($AF$64:$AF$135,$W$64:$W$135,$BR53,$V$64:$V$135,BS$51)</f>
        <v>0</v>
      </c>
      <c r="BT53" s="6"/>
      <c r="BU53" s="7">
        <f t="shared" ref="BU53:CA53" ca="1" si="72">SUMIFS($AE$64:$AE$135,$V$64:$V$135,$BR53,$W$64:$W$135,BU$51)+SUMIFS($AF$64:$AF$135,$W$64:$W$135,$BR53,$V$64:$V$135,BU$51)</f>
        <v>1</v>
      </c>
      <c r="BV53" s="7">
        <f t="shared" ca="1" si="72"/>
        <v>0</v>
      </c>
      <c r="BW53" s="7">
        <f t="shared" ca="1" si="72"/>
        <v>2</v>
      </c>
      <c r="BX53" s="7">
        <f t="shared" ca="1" si="72"/>
        <v>0</v>
      </c>
      <c r="BY53" s="7">
        <f t="shared" ca="1" si="72"/>
        <v>0</v>
      </c>
      <c r="BZ53" s="7">
        <f t="shared" ca="1" si="72"/>
        <v>0</v>
      </c>
      <c r="CA53" s="7">
        <f t="shared" ca="1" si="72"/>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9"/>
        <v>Eintracht Frankfurt</v>
      </c>
      <c r="BS54" s="8">
        <f t="shared" ca="1" si="71"/>
        <v>1</v>
      </c>
      <c r="BT54" s="8">
        <f t="shared" ref="BT54:BT60" ca="1" si="73">SUMIFS($AE$64:$AE$135,$V$64:$V$135,$BR54,$W$64:$W$135,BT$51)+SUMIFS($AF$64:$AF$135,$W$64:$W$135,$BR54,$V$64:$V$135,BT$51)</f>
        <v>1</v>
      </c>
      <c r="BU54" s="6"/>
      <c r="BV54" s="7">
        <f t="shared" ref="BV54:CA54" ca="1" si="74">SUMIFS($AE$64:$AE$135,$V$64:$V$135,$BR54,$W$64:$W$135,BV$51)+SUMIFS($AF$64:$AF$135,$W$64:$W$135,$BR54,$V$64:$V$135,BV$51)</f>
        <v>2</v>
      </c>
      <c r="BW54" s="7">
        <f t="shared" ca="1" si="74"/>
        <v>1</v>
      </c>
      <c r="BX54" s="7">
        <f t="shared" ca="1" si="74"/>
        <v>0</v>
      </c>
      <c r="BY54" s="7">
        <f t="shared" ca="1" si="74"/>
        <v>0</v>
      </c>
      <c r="BZ54" s="7">
        <f t="shared" ca="1" si="74"/>
        <v>0</v>
      </c>
      <c r="CA54" s="7">
        <f t="shared" ca="1" si="74"/>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9"/>
        <v>Maibach 1822 eV</v>
      </c>
      <c r="BS55" s="8">
        <f t="shared" ca="1" si="71"/>
        <v>1</v>
      </c>
      <c r="BT55" s="8">
        <f t="shared" ca="1" si="73"/>
        <v>2</v>
      </c>
      <c r="BU55" s="8">
        <f t="shared" ref="BU55:BU60" ca="1" si="75">SUMIFS($AE$64:$AE$135,$V$64:$V$135,$BR55,$W$64:$W$135,BU$51)+SUMIFS($AF$64:$AF$135,$W$64:$W$135,$BR55,$V$64:$V$135,BU$51)</f>
        <v>0</v>
      </c>
      <c r="BV55" s="6"/>
      <c r="BW55" s="7">
        <f ca="1">SUMIFS($AE$64:$AE$135,$V$64:$V$135,$BR55,$W$64:$W$135,BW$51)+SUMIFS($AF$64:$AF$135,$W$64:$W$135,$BR55,$V$64:$V$135,BW$51)</f>
        <v>2</v>
      </c>
      <c r="BX55" s="7">
        <f ca="1">SUMIFS($AE$64:$AE$135,$V$64:$V$135,$BR55,$W$64:$W$135,BX$51)+SUMIFS($AF$64:$AF$135,$W$64:$W$135,$BR55,$V$64:$V$135,BX$51)</f>
        <v>0</v>
      </c>
      <c r="BY55" s="7">
        <f ca="1">SUMIFS($AE$64:$AE$135,$V$64:$V$135,$BR55,$W$64:$W$135,BY$51)+SUMIFS($AF$64:$AF$135,$W$64:$W$135,$BR55,$V$64:$V$135,BY$51)</f>
        <v>0</v>
      </c>
      <c r="BZ55" s="7">
        <f ca="1">SUMIFS($AE$64:$AE$135,$V$64:$V$135,$BR55,$W$64:$W$135,BZ$51)+SUMIFS($AF$64:$AF$135,$W$64:$W$135,$BR55,$V$64:$V$135,BZ$51)</f>
        <v>0</v>
      </c>
      <c r="CA55" s="7">
        <f ca="1">SUMIFS($AE$64:$AE$135,$V$64:$V$135,$BR55,$W$64:$W$135,CA$51)+SUMIFS($AF$64:$AF$135,$W$64:$W$135,$BR55,$V$64:$V$135,CA$51)</f>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9"/>
        <v>VFB Essenheim</v>
      </c>
      <c r="BS56" s="8">
        <f t="shared" ca="1" si="71"/>
        <v>2</v>
      </c>
      <c r="BT56" s="8">
        <f t="shared" ca="1" si="73"/>
        <v>0</v>
      </c>
      <c r="BU56" s="8">
        <f t="shared" ca="1" si="75"/>
        <v>1</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ca="1">SUMIFS($AE$64:$AE$135,$V$64:$V$135,$BR56,$W$64:$W$135,BZ$51)+SUMIFS($AF$64:$AF$135,$W$64:$W$135,$BR56,$V$64:$V$135,BZ$51)</f>
        <v>0</v>
      </c>
      <c r="CA56" s="7">
        <f ca="1">SUMIFS($AE$64:$AE$135,$V$64:$V$135,$BR56,$W$64:$W$135,CA$51)+SUMIFS($AF$64:$AF$135,$W$64:$W$135,$BR56,$V$64:$V$135,CA$51)</f>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9"/>
        <v/>
      </c>
      <c r="BS57" s="8">
        <f t="shared" ca="1" si="71"/>
        <v>0</v>
      </c>
      <c r="BT57" s="8">
        <f t="shared" ca="1" si="73"/>
        <v>0</v>
      </c>
      <c r="BU57" s="8">
        <f t="shared" ca="1" si="75"/>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ca="1">SUMIFS($AE$64:$AE$135,$V$64:$V$135,$BR57,$W$64:$W$135,BZ$51)+SUMIFS($AF$64:$AF$135,$W$64:$W$135,$BR57,$V$64:$V$135,BZ$51)</f>
        <v>0</v>
      </c>
      <c r="CA57" s="7">
        <f ca="1">SUMIFS($AE$64:$AE$135,$V$64:$V$135,$BR57,$W$64:$W$135,CA$51)+SUMIFS($AF$64:$AF$135,$W$64:$W$135,$BR57,$V$64:$V$135,CA$51)</f>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9"/>
        <v/>
      </c>
      <c r="BS58" s="8">
        <f t="shared" ca="1" si="71"/>
        <v>0</v>
      </c>
      <c r="BT58" s="8">
        <f t="shared" ca="1" si="73"/>
        <v>0</v>
      </c>
      <c r="BU58" s="8">
        <f t="shared" ca="1" si="75"/>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ca="1">SUMIFS($AE$64:$AE$135,$V$64:$V$135,$BR58,$W$64:$W$135,BZ$51)+SUMIFS($AF$64:$AF$135,$W$64:$W$135,$BR58,$V$64:$V$135,BZ$51)</f>
        <v>0</v>
      </c>
      <c r="CA58" s="7">
        <f ca="1">SUMIFS($AE$64:$AE$135,$V$64:$V$135,$BR58,$W$64:$W$135,CA$51)+SUMIFS($AF$64:$AF$135,$W$64:$W$135,$BR58,$V$64:$V$135,CA$51)</f>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9"/>
        <v/>
      </c>
      <c r="BS59" s="8">
        <f t="shared" ca="1" si="71"/>
        <v>0</v>
      </c>
      <c r="BT59" s="8">
        <f t="shared" ca="1" si="73"/>
        <v>0</v>
      </c>
      <c r="BU59" s="8">
        <f t="shared" ca="1" si="75"/>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9"/>
        <v/>
      </c>
      <c r="BS60" s="8">
        <f t="shared" ca="1" si="71"/>
        <v>0</v>
      </c>
      <c r="BT60" s="8">
        <f t="shared" ca="1" si="73"/>
        <v>0</v>
      </c>
      <c r="BU60" s="8">
        <f t="shared" ca="1" si="75"/>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9" t="s">
        <v>323</v>
      </c>
      <c r="Y63" s="979"/>
      <c r="Z63" s="161" t="s">
        <v>155</v>
      </c>
      <c r="AA63" s="161" t="s">
        <v>15</v>
      </c>
      <c r="AB63" s="161" t="s">
        <v>153</v>
      </c>
      <c r="AC63" s="162" t="s">
        <v>156</v>
      </c>
      <c r="AD63" s="161" t="s">
        <v>154</v>
      </c>
      <c r="AE63" s="973" t="s">
        <v>331</v>
      </c>
      <c r="AF63" s="973"/>
      <c r="AG63" s="980" t="s">
        <v>325</v>
      </c>
      <c r="AH63" s="980"/>
      <c r="AI63" s="25" t="s">
        <v>332</v>
      </c>
      <c r="AJ63" s="3"/>
      <c r="AK63" s="3"/>
      <c r="AL63" s="3"/>
      <c r="AM63" s="3"/>
      <c r="AN63" s="3"/>
      <c r="AO63" s="3"/>
      <c r="AP63" s="3"/>
      <c r="AQ63" s="3"/>
      <c r="AR63" s="3"/>
    </row>
    <row r="64" spans="5:80" s="2" customFormat="1" ht="14.25" thickTop="1" thickBot="1" x14ac:dyDescent="0.25">
      <c r="F64" s="190">
        <v>1000000</v>
      </c>
      <c r="G64" s="191" t="s">
        <v>109</v>
      </c>
      <c r="P64" s="43" t="s">
        <v>6</v>
      </c>
      <c r="Q64" s="58" t="str">
        <f>IF(Planning!$C$7="","",Planning!$C$7)</f>
        <v>1. FC Riedwald</v>
      </c>
      <c r="U64" s="63" t="s">
        <v>6</v>
      </c>
      <c r="V64" s="38" t="str">
        <f ca="1">Planning!$L6</f>
        <v>VFB Essenheim</v>
      </c>
      <c r="W64" s="31" t="str">
        <f ca="1">Planning!$N6</f>
        <v>FC Barcelona</v>
      </c>
      <c r="X64" s="31">
        <f ca="1">IF($AA64=1,PreliminaryRound!$I12,"")</f>
        <v>13</v>
      </c>
      <c r="Y64" s="32">
        <f ca="1">IF($AA64=1,PreliminaryRound!$K12,"")</f>
        <v>25</v>
      </c>
      <c r="Z64" s="30" t="str">
        <f t="shared" ref="Z64:Z93" ca="1" si="76">V64&amp;W64</f>
        <v>VFB EssenheimFC Barcelona</v>
      </c>
      <c r="AA64" s="31">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IF(AA64&gt;0,(X64+AG64)&amp;Language!$E$80&amp;(Y64+AH64),"")</f>
        <v>33-50</v>
      </c>
      <c r="AD64" s="140"/>
      <c r="AE64" s="145">
        <f ca="1">IF($AA64=0,0,IF($X64&gt;$Y64,1,0)+IF($AG64&gt;$AH64,1,0))</f>
        <v>0</v>
      </c>
      <c r="AF64" s="140">
        <f ca="1">IF($AA64=0,0,IF($X64&lt;$Y64,1,0)+IF($AG64&lt;$AH64,1,0))</f>
        <v>2</v>
      </c>
      <c r="AG64" s="145">
        <f ca="1">IF($AA64=1,PreliminaryRound!$L12,"")</f>
        <v>20</v>
      </c>
      <c r="AH64" s="139">
        <f ca="1">IF($AA64=1,PreliminaryRound!$N12,"")</f>
        <v>25</v>
      </c>
      <c r="AI64" s="590" t="str">
        <f ca="1">IF(AA64&gt;0,AE64&amp;Language!$E$80&amp;AF64,"")</f>
        <v>0-2</v>
      </c>
      <c r="AJ64" s="3"/>
      <c r="AK64" s="3"/>
      <c r="AL64" s="3"/>
      <c r="AM64" s="3"/>
      <c r="AN64" s="3"/>
      <c r="AO64" s="3"/>
      <c r="AP64" s="3"/>
      <c r="AQ64" s="3"/>
      <c r="AR64" s="3"/>
    </row>
    <row r="65" spans="2:43" s="2" customFormat="1" ht="13.5" thickBot="1" x14ac:dyDescent="0.25">
      <c r="F65" s="192">
        <v>1000</v>
      </c>
      <c r="G65" s="193" t="s">
        <v>108</v>
      </c>
      <c r="H65" s="197">
        <v>500</v>
      </c>
      <c r="I65" s="196" t="s">
        <v>301</v>
      </c>
      <c r="P65" s="44" t="s">
        <v>7</v>
      </c>
      <c r="Q65" s="59" t="str">
        <f>IF(Planning!$C$9="","",Planning!$C$9)</f>
        <v>FC Barcelona</v>
      </c>
      <c r="U65" s="64" t="s">
        <v>7</v>
      </c>
      <c r="V65" s="39" t="str">
        <f ca="1">Planning!$L7</f>
        <v>FC Grönlingen</v>
      </c>
      <c r="W65" s="12" t="str">
        <f ca="1">Planning!$N7</f>
        <v>Inter Mailand</v>
      </c>
      <c r="X65" s="12">
        <f ca="1">IF($AA65=1,PreliminaryRound!$I13,"")</f>
        <v>25</v>
      </c>
      <c r="Y65" s="34">
        <f ca="1">IF($AA65=1,PreliminaryRound!$K13,"")</f>
        <v>20</v>
      </c>
      <c r="Z65" s="33" t="str">
        <f t="shared" ca="1" si="76"/>
        <v>FC GrönlingenInter Mailand</v>
      </c>
      <c r="AA65" s="12">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2" t="str">
        <f ca="1">IF(AA65&gt;0,(X65+AG65)&amp;Language!$E$80&amp;(Y65+AH65),"")</f>
        <v>48-45</v>
      </c>
      <c r="AD65" s="141"/>
      <c r="AE65" s="146">
        <f t="shared" ref="AE65:AE93" ca="1" si="77">IF($AA65=0,0,IF($X65&gt;$Y65,1,0)+IF($AG65&gt;$AH65,1,0))</f>
        <v>1</v>
      </c>
      <c r="AF65" s="141">
        <f t="shared" ref="AF65:AF93" ca="1" si="78">IF($AA65=0,0,IF($X65&lt;$Y65,1,0)+IF($AG65&lt;$AH65,1,0))</f>
        <v>1</v>
      </c>
      <c r="AG65" s="146">
        <f ca="1">IF($AA65=1,PreliminaryRound!$L13,"")</f>
        <v>23</v>
      </c>
      <c r="AH65" s="12">
        <f ca="1">IF($AA65=1,PreliminaryRound!$N13,"")</f>
        <v>25</v>
      </c>
      <c r="AI65" s="591" t="str">
        <f ca="1">IF(AA65&gt;0,AE65&amp;Language!$E$80&amp;AF65,"")</f>
        <v>1-1</v>
      </c>
      <c r="AJ65" s="12"/>
      <c r="AK65" s="12"/>
      <c r="AL65" s="12"/>
      <c r="AM65" s="12"/>
      <c r="AN65" s="12"/>
      <c r="AO65" s="12"/>
      <c r="AP65" s="12"/>
      <c r="AQ65" s="12"/>
    </row>
    <row r="66" spans="2:43" s="2" customFormat="1" ht="13.5" thickBot="1" x14ac:dyDescent="0.25">
      <c r="F66" s="194">
        <v>1</v>
      </c>
      <c r="G66" s="195" t="s">
        <v>106</v>
      </c>
      <c r="P66" s="44" t="s">
        <v>8</v>
      </c>
      <c r="Q66" s="59" t="str">
        <f>IF(Planning!$C$11="","",Planning!$C$11)</f>
        <v>Eintracht Frankfurt</v>
      </c>
      <c r="U66" s="64" t="s">
        <v>8</v>
      </c>
      <c r="V66" s="39" t="str">
        <f ca="1">Planning!$L8</f>
        <v>Eintracht Frankfurt</v>
      </c>
      <c r="W66" s="12" t="str">
        <f ca="1">Planning!$N8</f>
        <v>Maibach 1822 eV</v>
      </c>
      <c r="X66" s="12">
        <f ca="1">IF($AA66=1,PreliminaryRound!$I14,"")</f>
        <v>25</v>
      </c>
      <c r="Y66" s="34">
        <f ca="1">IF($AA66=1,PreliminaryRound!$K14,"")</f>
        <v>21</v>
      </c>
      <c r="Z66" s="33" t="str">
        <f t="shared" ca="1" si="76"/>
        <v>Eintracht FrankfurtMaibach 1822 eV</v>
      </c>
      <c r="AA66" s="12">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2" t="str">
        <f ca="1">IF(AA66&gt;0,(X66+AG66)&amp;Language!$E$80&amp;(Y66+AH66),"")</f>
        <v>50-40</v>
      </c>
      <c r="AD66" s="141"/>
      <c r="AE66" s="146">
        <f t="shared" ca="1" si="77"/>
        <v>2</v>
      </c>
      <c r="AF66" s="141">
        <f t="shared" ca="1" si="78"/>
        <v>0</v>
      </c>
      <c r="AG66" s="146">
        <f ca="1">IF($AA66=1,PreliminaryRound!$L14,"")</f>
        <v>25</v>
      </c>
      <c r="AH66" s="12">
        <f ca="1">IF($AA66=1,PreliminaryRound!$N14,"")</f>
        <v>19</v>
      </c>
      <c r="AI66" s="591" t="str">
        <f ca="1">IF(AA66&gt;0,AE66&amp;Language!$E$80&amp;AF66,"")</f>
        <v>2-0</v>
      </c>
      <c r="AJ66" s="3"/>
      <c r="AK66" s="12"/>
      <c r="AL66" s="12"/>
      <c r="AM66" s="12"/>
      <c r="AN66" s="12"/>
      <c r="AO66" s="12"/>
      <c r="AP66" s="12"/>
      <c r="AQ66" s="12"/>
    </row>
    <row r="67" spans="2:43" s="2" customFormat="1" x14ac:dyDescent="0.2">
      <c r="P67" s="44" t="s">
        <v>9</v>
      </c>
      <c r="Q67" s="59" t="str">
        <f>IF(Planning!$C$13="","",Planning!$C$13)</f>
        <v>Maibach 1822 eV</v>
      </c>
      <c r="U67" s="64" t="s">
        <v>9</v>
      </c>
      <c r="V67" s="39" t="str">
        <f ca="1">Planning!$L9</f>
        <v>SSV Wildbach</v>
      </c>
      <c r="W67" s="12" t="str">
        <f ca="1">Planning!$N9</f>
        <v>Manchester City</v>
      </c>
      <c r="X67" s="12">
        <f ca="1">IF($AA67=1,PreliminaryRound!$I15,"")</f>
        <v>25</v>
      </c>
      <c r="Y67" s="34">
        <f ca="1">IF($AA67=1,PreliminaryRound!$K15,"")</f>
        <v>22</v>
      </c>
      <c r="Z67" s="33" t="str">
        <f t="shared" ca="1" si="76"/>
        <v>SSV WildbachManchester City</v>
      </c>
      <c r="AA67" s="12">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2" t="str">
        <f ca="1">IF(AA67&gt;0,(X67+AG67)&amp;Language!$E$80&amp;(Y67+AH67),"")</f>
        <v>50-42</v>
      </c>
      <c r="AD67" s="141"/>
      <c r="AE67" s="146">
        <f t="shared" ca="1" si="77"/>
        <v>2</v>
      </c>
      <c r="AF67" s="141">
        <f t="shared" ca="1" si="78"/>
        <v>0</v>
      </c>
      <c r="AG67" s="146">
        <f ca="1">IF($AA67=1,PreliminaryRound!$L15,"")</f>
        <v>25</v>
      </c>
      <c r="AH67" s="12">
        <f ca="1">IF($AA67=1,PreliminaryRound!$N15,"")</f>
        <v>20</v>
      </c>
      <c r="AI67" s="591" t="str">
        <f ca="1">IF(AA67&gt;0,AE67&amp;Language!$E$80&amp;AF67,"")</f>
        <v>2-0</v>
      </c>
      <c r="AJ67" s="12"/>
      <c r="AK67" s="3"/>
      <c r="AL67" s="12"/>
      <c r="AM67" s="12"/>
      <c r="AN67" s="12"/>
      <c r="AO67" s="12"/>
      <c r="AP67" s="12"/>
      <c r="AQ67" s="12"/>
    </row>
    <row r="68" spans="2:43" s="2" customFormat="1" x14ac:dyDescent="0.2">
      <c r="P68" s="44" t="s">
        <v>10</v>
      </c>
      <c r="Q68" s="59" t="str">
        <f>IF(Planning!$C$15="","",Planning!$C$15)</f>
        <v>VFB Essenheim</v>
      </c>
      <c r="U68" s="64" t="s">
        <v>10</v>
      </c>
      <c r="V68" s="39" t="str">
        <f ca="1">Planning!$L10</f>
        <v>VFB Essenheim</v>
      </c>
      <c r="W68" s="12" t="str">
        <f ca="1">Planning!$N10</f>
        <v>1. FC Riedwald</v>
      </c>
      <c r="X68" s="12">
        <f ca="1">IF($AA68=1,PreliminaryRound!$I16,"")</f>
        <v>25</v>
      </c>
      <c r="Y68" s="34">
        <f ca="1">IF($AA68=1,PreliminaryRound!$K16,"")</f>
        <v>23</v>
      </c>
      <c r="Z68" s="33" t="str">
        <f t="shared" ca="1" si="76"/>
        <v>VFB Essenheim1. FC Riedwald</v>
      </c>
      <c r="AA68" s="12">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2" t="str">
        <f ca="1">IF(AA68&gt;0,(X68+AG68)&amp;Language!$E$80&amp;(Y68+AH68),"")</f>
        <v>50-44</v>
      </c>
      <c r="AD68" s="141"/>
      <c r="AE68" s="146">
        <f t="shared" ca="1" si="77"/>
        <v>2</v>
      </c>
      <c r="AF68" s="141">
        <f t="shared" ca="1" si="78"/>
        <v>0</v>
      </c>
      <c r="AG68" s="146">
        <f ca="1">IF($AA68=1,PreliminaryRound!$L16,"")</f>
        <v>25</v>
      </c>
      <c r="AH68" s="12">
        <f ca="1">IF($AA68=1,PreliminaryRound!$N16,"")</f>
        <v>21</v>
      </c>
      <c r="AI68" s="591" t="str">
        <f ca="1">IF(AA68&gt;0,AE68&amp;Language!$E$80&amp;AF68,"")</f>
        <v>2-0</v>
      </c>
      <c r="AJ68" s="12"/>
      <c r="AK68" s="12"/>
      <c r="AL68" s="3"/>
      <c r="AM68" s="12"/>
      <c r="AN68" s="12"/>
      <c r="AO68" s="12"/>
      <c r="AP68" s="12"/>
      <c r="AQ68" s="12"/>
    </row>
    <row r="69" spans="2:43" s="2" customFormat="1" x14ac:dyDescent="0.2">
      <c r="P69" s="44" t="s">
        <v>11</v>
      </c>
      <c r="Q69" s="59" t="str">
        <f>IF(Planning!$C$17="","",Planning!$C$17)</f>
        <v/>
      </c>
      <c r="U69" s="64" t="s">
        <v>11</v>
      </c>
      <c r="V69" s="39" t="str">
        <f ca="1">Planning!$L11</f>
        <v>FC Grönlingen</v>
      </c>
      <c r="W69" s="12" t="str">
        <f ca="1">Planning!$N11</f>
        <v>Mainz 05</v>
      </c>
      <c r="X69" s="12">
        <f ca="1">IF($AA69=1,PreliminaryRound!$I17,"")</f>
        <v>25</v>
      </c>
      <c r="Y69" s="34">
        <f ca="1">IF($AA69=1,PreliminaryRound!$K17,"")</f>
        <v>17</v>
      </c>
      <c r="Z69" s="33" t="str">
        <f t="shared" ca="1" si="76"/>
        <v>FC GrönlingenMainz 05</v>
      </c>
      <c r="AA69" s="12">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2" t="str">
        <f ca="1">IF(AA69&gt;0,(X69+AG69)&amp;Language!$E$80&amp;(Y69+AH69),"")</f>
        <v>50-39</v>
      </c>
      <c r="AD69" s="141"/>
      <c r="AE69" s="146">
        <f t="shared" ca="1" si="77"/>
        <v>2</v>
      </c>
      <c r="AF69" s="141">
        <f t="shared" ca="1" si="78"/>
        <v>0</v>
      </c>
      <c r="AG69" s="146">
        <f ca="1">IF($AA69=1,PreliminaryRound!$L17,"")</f>
        <v>25</v>
      </c>
      <c r="AH69" s="12">
        <f ca="1">IF($AA69=1,PreliminaryRound!$N17,"")</f>
        <v>22</v>
      </c>
      <c r="AI69" s="591" t="str">
        <f ca="1">IF(AA69&gt;0,AE69&amp;Language!$E$80&amp;AF69,"")</f>
        <v>2-0</v>
      </c>
      <c r="AJ69" s="12"/>
      <c r="AK69" s="12"/>
      <c r="AL69" s="12"/>
      <c r="AM69" s="3"/>
      <c r="AN69" s="12"/>
      <c r="AO69" s="12"/>
      <c r="AP69" s="12"/>
      <c r="AQ69" s="12"/>
    </row>
    <row r="70" spans="2:43" s="2" customFormat="1" x14ac:dyDescent="0.2">
      <c r="P70" s="44"/>
      <c r="Q70" s="59" t="str">
        <f>""</f>
        <v/>
      </c>
      <c r="U70" s="64" t="s">
        <v>16</v>
      </c>
      <c r="V70" s="39" t="str">
        <f ca="1">Planning!$L12</f>
        <v>FC Barcelona</v>
      </c>
      <c r="W70" s="12" t="str">
        <f ca="1">Planning!$N12</f>
        <v>Eintracht Frankfurt</v>
      </c>
      <c r="X70" s="12">
        <f ca="1">IF($AA70=1,PreliminaryRound!$I18,"")</f>
        <v>23</v>
      </c>
      <c r="Y70" s="34">
        <f ca="1">IF($AA70=1,PreliminaryRound!$K18,"")</f>
        <v>25</v>
      </c>
      <c r="Z70" s="33" t="str">
        <f t="shared" ca="1" si="76"/>
        <v>FC BarcelonaEintracht Frankfurt</v>
      </c>
      <c r="AA70" s="12">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2" t="str">
        <f ca="1">IF(AA70&gt;0,(X70+AG70)&amp;Language!$E$80&amp;(Y70+AH70),"")</f>
        <v>48-48</v>
      </c>
      <c r="AD70" s="141"/>
      <c r="AE70" s="146">
        <f t="shared" ca="1" si="77"/>
        <v>1</v>
      </c>
      <c r="AF70" s="141">
        <f t="shared" ca="1" si="78"/>
        <v>1</v>
      </c>
      <c r="AG70" s="146">
        <f ca="1">IF($AA70=1,PreliminaryRound!$L18,"")</f>
        <v>25</v>
      </c>
      <c r="AH70" s="12">
        <f ca="1">IF($AA70=1,PreliminaryRound!$N18,"")</f>
        <v>23</v>
      </c>
      <c r="AI70" s="591" t="str">
        <f ca="1">IF(AA70&gt;0,AE70&amp;Language!$E$80&amp;AF70,"")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Planning!$L13</f>
        <v>Inter Mailand</v>
      </c>
      <c r="W71" s="12" t="str">
        <f ca="1">Planning!$N13</f>
        <v>SSV Wildbach</v>
      </c>
      <c r="X71" s="12">
        <f ca="1">IF($AA71=1,PreliminaryRound!$I19,"")</f>
        <v>19</v>
      </c>
      <c r="Y71" s="34">
        <f ca="1">IF($AA71=1,PreliminaryRound!$K19,"")</f>
        <v>25</v>
      </c>
      <c r="Z71" s="33" t="str">
        <f t="shared" ca="1" si="76"/>
        <v>Inter MailandSSV Wildbach</v>
      </c>
      <c r="AA71" s="12">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2" t="str">
        <f ca="1">IF(AA71&gt;0,(X71+AG71)&amp;Language!$E$80&amp;(Y71+AH71),"")</f>
        <v>44-37</v>
      </c>
      <c r="AD71" s="141"/>
      <c r="AE71" s="146">
        <f t="shared" ca="1" si="77"/>
        <v>1</v>
      </c>
      <c r="AF71" s="141">
        <f t="shared" ca="1" si="78"/>
        <v>1</v>
      </c>
      <c r="AG71" s="146">
        <f ca="1">IF($AA71=1,PreliminaryRound!$L19,"")</f>
        <v>25</v>
      </c>
      <c r="AH71" s="12">
        <f ca="1">IF($AA71=1,PreliminaryRound!$N19,"")</f>
        <v>12</v>
      </c>
      <c r="AI71" s="591" t="str">
        <f ca="1">IF(AA71&gt;0,AE71&amp;Language!$E$80&amp;AF71,"")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Planning!$L14</f>
        <v>1. FC Riedwald</v>
      </c>
      <c r="W72" s="12" t="str">
        <f ca="1">Planning!$N14</f>
        <v>Maibach 1822 eV</v>
      </c>
      <c r="X72" s="12">
        <f ca="1">IF($AA72=1,PreliminaryRound!$I20,"")</f>
        <v>16</v>
      </c>
      <c r="Y72" s="34">
        <f ca="1">IF($AA72=1,PreliminaryRound!$K20,"")</f>
        <v>25</v>
      </c>
      <c r="Z72" s="33" t="str">
        <f t="shared" ca="1" si="76"/>
        <v>1. FC RiedwaldMaibach 1822 eV</v>
      </c>
      <c r="AA72" s="12">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2" t="str">
        <f ca="1">IF(AA72&gt;0,(X72+AG72)&amp;Language!$E$80&amp;(Y72+AH72),"")</f>
        <v>41-43</v>
      </c>
      <c r="AD72" s="141"/>
      <c r="AE72" s="146">
        <f t="shared" ca="1" si="77"/>
        <v>1</v>
      </c>
      <c r="AF72" s="141">
        <f t="shared" ca="1" si="78"/>
        <v>1</v>
      </c>
      <c r="AG72" s="146">
        <f ca="1">IF($AA72=1,PreliminaryRound!$L20,"")</f>
        <v>25</v>
      </c>
      <c r="AH72" s="12">
        <f ca="1">IF($AA72=1,PreliminaryRound!$N20,"")</f>
        <v>18</v>
      </c>
      <c r="AI72" s="591" t="str">
        <f ca="1">IF(AA72&gt;0,AE72&amp;Language!$E$80&amp;AF72,"")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Planning!$L15</f>
        <v>Mainz 05</v>
      </c>
      <c r="W73" s="12" t="str">
        <f ca="1">Planning!$N15</f>
        <v>Manchester City</v>
      </c>
      <c r="X73" s="12">
        <f ca="1">IF($AA73=1,PreliminaryRound!$I21,"")</f>
        <v>14</v>
      </c>
      <c r="Y73" s="34">
        <f ca="1">IF($AA73=1,PreliminaryRound!$K21,"")</f>
        <v>25</v>
      </c>
      <c r="Z73" s="33" t="str">
        <f t="shared" ca="1" si="76"/>
        <v>Mainz 05Manchester City</v>
      </c>
      <c r="AA73" s="12">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2" t="str">
        <f ca="1">IF(AA73&gt;0,(X73+AG73)&amp;Language!$E$80&amp;(Y73+AH73),"")</f>
        <v>39-44</v>
      </c>
      <c r="AD73" s="141"/>
      <c r="AE73" s="146">
        <f t="shared" ca="1" si="77"/>
        <v>1</v>
      </c>
      <c r="AF73" s="141">
        <f t="shared" ca="1" si="78"/>
        <v>1</v>
      </c>
      <c r="AG73" s="146">
        <f ca="1">IF($AA73=1,PreliminaryRound!$L21,"")</f>
        <v>25</v>
      </c>
      <c r="AH73" s="12">
        <f ca="1">IF($AA73=1,PreliminaryRound!$N21,"")</f>
        <v>19</v>
      </c>
      <c r="AI73" s="591" t="str">
        <f ca="1">IF(AA73&gt;0,AE73&amp;Language!$E$80&amp;AF73,"")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Planning!$L16</f>
        <v>Eintracht Frankfurt</v>
      </c>
      <c r="W74" s="12" t="str">
        <f ca="1">Planning!$N16</f>
        <v>VFB Essenheim</v>
      </c>
      <c r="X74" s="12">
        <f ca="1">IF($AA74=1,PreliminaryRound!$I22,"")</f>
        <v>22</v>
      </c>
      <c r="Y74" s="34">
        <f ca="1">IF($AA74=1,PreliminaryRound!$K22,"")</f>
        <v>25</v>
      </c>
      <c r="Z74" s="33" t="str">
        <f t="shared" ca="1" si="76"/>
        <v>Eintracht FrankfurtVFB Essenheim</v>
      </c>
      <c r="AA74" s="12">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2" t="str">
        <f ca="1">IF(AA74&gt;0,(X74+AG74)&amp;Language!$E$80&amp;(Y74+AH74),"")</f>
        <v>47-45</v>
      </c>
      <c r="AD74" s="141"/>
      <c r="AE74" s="146">
        <f t="shared" ca="1" si="77"/>
        <v>1</v>
      </c>
      <c r="AF74" s="141">
        <f t="shared" ca="1" si="78"/>
        <v>1</v>
      </c>
      <c r="AG74" s="146">
        <f ca="1">IF($AA74=1,PreliminaryRound!$L22,"")</f>
        <v>25</v>
      </c>
      <c r="AH74" s="12">
        <f ca="1">IF($AA74=1,PreliminaryRound!$N22,"")</f>
        <v>20</v>
      </c>
      <c r="AI74" s="591" t="str">
        <f ca="1">IF(AA74&gt;0,AE74&amp;Language!$E$80&amp;AF74,"")</f>
        <v>1-1</v>
      </c>
    </row>
    <row r="75" spans="2:43" s="2" customFormat="1" x14ac:dyDescent="0.2">
      <c r="B75" s="3"/>
      <c r="C75" s="3"/>
      <c r="D75" s="3"/>
      <c r="E75" s="3"/>
      <c r="F75" s="12"/>
      <c r="G75" s="12"/>
      <c r="H75" s="12"/>
      <c r="I75" s="12"/>
      <c r="J75" s="12"/>
      <c r="K75" s="12"/>
      <c r="L75" s="12"/>
      <c r="M75" s="12"/>
      <c r="U75" s="64" t="s">
        <v>26</v>
      </c>
      <c r="V75" s="39" t="str">
        <f ca="1">Planning!$L17</f>
        <v>SSV Wildbach</v>
      </c>
      <c r="W75" s="12" t="str">
        <f ca="1">Planning!$N17</f>
        <v>FC Grönlingen</v>
      </c>
      <c r="X75" s="12">
        <f ca="1">IF($AA75=1,PreliminaryRound!$I23,"")</f>
        <v>19</v>
      </c>
      <c r="Y75" s="34">
        <f ca="1">IF($AA75=1,PreliminaryRound!$K23,"")</f>
        <v>25</v>
      </c>
      <c r="Z75" s="33" t="str">
        <f t="shared" ca="1" si="76"/>
        <v>SSV WildbachFC Grönlingen</v>
      </c>
      <c r="AA75" s="12">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2" t="str">
        <f ca="1">IF(AA75&gt;0,(X75+AG75)&amp;Language!$E$80&amp;(Y75+AH75),"")</f>
        <v>44-44</v>
      </c>
      <c r="AD75" s="141"/>
      <c r="AE75" s="146">
        <f t="shared" ca="1" si="77"/>
        <v>1</v>
      </c>
      <c r="AF75" s="141">
        <f t="shared" ca="1" si="78"/>
        <v>1</v>
      </c>
      <c r="AG75" s="146">
        <f ca="1">IF($AA75=1,PreliminaryRound!$L23,"")</f>
        <v>25</v>
      </c>
      <c r="AH75" s="12">
        <f ca="1">IF($AA75=1,PreliminaryRound!$N23,"")</f>
        <v>19</v>
      </c>
      <c r="AI75" s="591" t="str">
        <f ca="1">IF(AA75&gt;0,AE75&amp;Language!$E$80&amp;AF75,"")</f>
        <v>1-1</v>
      </c>
    </row>
    <row r="76" spans="2:43" s="2" customFormat="1" x14ac:dyDescent="0.2">
      <c r="B76" s="3"/>
      <c r="C76" s="3"/>
      <c r="D76" s="3"/>
      <c r="E76" s="3"/>
      <c r="F76" s="12"/>
      <c r="G76" s="12"/>
      <c r="H76" s="12"/>
      <c r="I76" s="12"/>
      <c r="J76" s="12"/>
      <c r="K76" s="12"/>
      <c r="L76" s="12"/>
      <c r="M76" s="12"/>
      <c r="U76" s="64" t="s">
        <v>27</v>
      </c>
      <c r="V76" s="39" t="str">
        <f ca="1">Planning!$L18</f>
        <v>FC Barcelona</v>
      </c>
      <c r="W76" s="12" t="str">
        <f ca="1">Planning!$N18</f>
        <v>Maibach 1822 eV</v>
      </c>
      <c r="X76" s="12">
        <f ca="1">IF($AA76=1,PreliminaryRound!$I24,"")</f>
        <v>17</v>
      </c>
      <c r="Y76" s="34">
        <f ca="1">IF($AA76=1,PreliminaryRound!$K24,"")</f>
        <v>25</v>
      </c>
      <c r="Z76" s="33" t="str">
        <f t="shared" ca="1" si="76"/>
        <v>FC BarcelonaMaibach 1822 eV</v>
      </c>
      <c r="AA76" s="12">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2" t="str">
        <f ca="1">IF(AA76&gt;0,(X76+AG76)&amp;Language!$E$80&amp;(Y76+AH76),"")</f>
        <v>29-50</v>
      </c>
      <c r="AD76" s="141"/>
      <c r="AE76" s="146">
        <f t="shared" ca="1" si="77"/>
        <v>0</v>
      </c>
      <c r="AF76" s="141">
        <f t="shared" ca="1" si="78"/>
        <v>2</v>
      </c>
      <c r="AG76" s="146">
        <f ca="1">IF($AA76=1,PreliminaryRound!$L24,"")</f>
        <v>12</v>
      </c>
      <c r="AH76" s="12">
        <f ca="1">IF($AA76=1,PreliminaryRound!$N24,"")</f>
        <v>25</v>
      </c>
      <c r="AI76" s="591" t="str">
        <f ca="1">IF(AA76&gt;0,AE76&amp;Language!$E$80&amp;AF76,"")</f>
        <v>0-2</v>
      </c>
    </row>
    <row r="77" spans="2:43" s="2" customFormat="1" x14ac:dyDescent="0.2">
      <c r="B77" s="3"/>
      <c r="C77" s="3"/>
      <c r="D77" s="3"/>
      <c r="E77" s="3"/>
      <c r="F77" s="12"/>
      <c r="G77" s="12"/>
      <c r="H77" s="12"/>
      <c r="I77" s="12"/>
      <c r="J77" s="12"/>
      <c r="K77" s="12"/>
      <c r="L77" s="12"/>
      <c r="M77" s="12"/>
      <c r="U77" s="64" t="s">
        <v>28</v>
      </c>
      <c r="V77" s="39" t="str">
        <f ca="1">Planning!$L19</f>
        <v>Inter Mailand</v>
      </c>
      <c r="W77" s="12" t="str">
        <f ca="1">Planning!$N19</f>
        <v>Manchester City</v>
      </c>
      <c r="X77" s="12">
        <f ca="1">IF($AA77=1,PreliminaryRound!$I25,"")</f>
        <v>14</v>
      </c>
      <c r="Y77" s="34">
        <f ca="1">IF($AA77=1,PreliminaryRound!$K25,"")</f>
        <v>25</v>
      </c>
      <c r="Z77" s="33" t="str">
        <f t="shared" ca="1" si="76"/>
        <v>Inter MailandManchester City</v>
      </c>
      <c r="AA77" s="12">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2" t="str">
        <f ca="1">IF(AA77&gt;0,(X77+AG77)&amp;Language!$E$80&amp;(Y77+AH77),"")</f>
        <v>39-48</v>
      </c>
      <c r="AD77" s="141"/>
      <c r="AE77" s="146">
        <f t="shared" ca="1" si="77"/>
        <v>1</v>
      </c>
      <c r="AF77" s="141">
        <f t="shared" ca="1" si="78"/>
        <v>1</v>
      </c>
      <c r="AG77" s="146">
        <f ca="1">IF($AA77=1,PreliminaryRound!$L25,"")</f>
        <v>25</v>
      </c>
      <c r="AH77" s="12">
        <f ca="1">IF($AA77=1,PreliminaryRound!$N25,"")</f>
        <v>23</v>
      </c>
      <c r="AI77" s="591" t="str">
        <f ca="1">IF(AA77&gt;0,AE77&amp;Language!$E$80&amp;AF77,"")</f>
        <v>1-1</v>
      </c>
    </row>
    <row r="78" spans="2:43" s="2" customFormat="1" x14ac:dyDescent="0.2">
      <c r="B78" s="3"/>
      <c r="C78" s="3"/>
      <c r="D78" s="3"/>
      <c r="E78" s="3"/>
      <c r="F78" s="12"/>
      <c r="G78" s="12"/>
      <c r="H78" s="725"/>
      <c r="I78" s="12"/>
      <c r="J78" s="12"/>
      <c r="K78" s="12"/>
      <c r="L78" s="12"/>
      <c r="M78" s="12"/>
      <c r="U78" s="64" t="s">
        <v>29</v>
      </c>
      <c r="V78" s="39" t="str">
        <f ca="1">Planning!$L20</f>
        <v>Eintracht Frankfurt</v>
      </c>
      <c r="W78" s="12" t="str">
        <f ca="1">Planning!$N20</f>
        <v>1. FC Riedwald</v>
      </c>
      <c r="X78" s="12">
        <f ca="1">IF($AA78=1,PreliminaryRound!$I26,"")</f>
        <v>21</v>
      </c>
      <c r="Y78" s="34">
        <f ca="1">IF($AA78=1,PreliminaryRound!$K26,"")</f>
        <v>25</v>
      </c>
      <c r="Z78" s="33" t="str">
        <f t="shared" ca="1" si="76"/>
        <v>Eintracht Frankfurt1. FC Riedwald</v>
      </c>
      <c r="AA78" s="12">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2" t="str">
        <f ca="1">IF(AA78&gt;0,(X78+AG78)&amp;Language!$E$80&amp;(Y78+AH78),"")</f>
        <v>46-42</v>
      </c>
      <c r="AD78" s="141"/>
      <c r="AE78" s="146">
        <f t="shared" ca="1" si="77"/>
        <v>1</v>
      </c>
      <c r="AF78" s="141">
        <f t="shared" ca="1" si="78"/>
        <v>1</v>
      </c>
      <c r="AG78" s="146">
        <f ca="1">IF($AA78=1,PreliminaryRound!$L26,"")</f>
        <v>25</v>
      </c>
      <c r="AH78" s="12">
        <f ca="1">IF($AA78=1,PreliminaryRound!$N26,"")</f>
        <v>17</v>
      </c>
      <c r="AI78" s="591" t="str">
        <f ca="1">IF(AA78&gt;0,AE78&amp;Language!$E$80&amp;AF78,"")</f>
        <v>1-1</v>
      </c>
    </row>
    <row r="79" spans="2:43" s="2" customFormat="1" x14ac:dyDescent="0.2">
      <c r="B79" s="3"/>
      <c r="C79" s="3"/>
      <c r="D79" s="3"/>
      <c r="E79" s="3"/>
      <c r="F79" s="12"/>
      <c r="G79" s="12"/>
      <c r="H79" s="725"/>
      <c r="I79" s="12"/>
      <c r="J79" s="12"/>
      <c r="K79" s="12"/>
      <c r="L79" s="12"/>
      <c r="M79" s="12"/>
      <c r="U79" s="64" t="s">
        <v>30</v>
      </c>
      <c r="V79" s="39" t="str">
        <f ca="1">Planning!$L21</f>
        <v>SSV Wildbach</v>
      </c>
      <c r="W79" s="12" t="str">
        <f ca="1">Planning!$N21</f>
        <v>Mainz 05</v>
      </c>
      <c r="X79" s="12">
        <f ca="1">IF($AA79=1,PreliminaryRound!$I27,"")</f>
        <v>20</v>
      </c>
      <c r="Y79" s="34">
        <f ca="1">IF($AA79=1,PreliminaryRound!$K27,"")</f>
        <v>25</v>
      </c>
      <c r="Z79" s="33" t="str">
        <f t="shared" ca="1" si="76"/>
        <v>SSV WildbachMainz 05</v>
      </c>
      <c r="AA79" s="12">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2" t="str">
        <f ca="1">IF(AA79&gt;0,(X79+AG79)&amp;Language!$E$80&amp;(Y79+AH79),"")</f>
        <v>38-50</v>
      </c>
      <c r="AD79" s="141"/>
      <c r="AE79" s="146">
        <f t="shared" ca="1" si="77"/>
        <v>0</v>
      </c>
      <c r="AF79" s="141">
        <f t="shared" ca="1" si="78"/>
        <v>2</v>
      </c>
      <c r="AG79" s="146">
        <f ca="1">IF($AA79=1,PreliminaryRound!$L27,"")</f>
        <v>18</v>
      </c>
      <c r="AH79" s="12">
        <f ca="1">IF($AA79=1,PreliminaryRound!$N27,"")</f>
        <v>25</v>
      </c>
      <c r="AI79" s="591" t="str">
        <f ca="1">IF(AA79&gt;0,AE79&amp;Language!$E$80&amp;AF79,"")</f>
        <v>0-2</v>
      </c>
    </row>
    <row r="80" spans="2:43" s="2" customFormat="1" x14ac:dyDescent="0.2">
      <c r="B80" s="3"/>
      <c r="C80" s="3"/>
      <c r="D80" s="3"/>
      <c r="E80" s="3"/>
      <c r="F80" s="12"/>
      <c r="G80" s="12"/>
      <c r="H80" s="725"/>
      <c r="I80" s="12"/>
      <c r="J80" s="12"/>
      <c r="K80" s="12"/>
      <c r="L80" s="12"/>
      <c r="M80" s="12"/>
      <c r="U80" s="64" t="s">
        <v>31</v>
      </c>
      <c r="V80" s="39" t="str">
        <f ca="1">Planning!$L22</f>
        <v>Maibach 1822 eV</v>
      </c>
      <c r="W80" s="12" t="str">
        <f ca="1">Planning!$N22</f>
        <v>VFB Essenheim</v>
      </c>
      <c r="X80" s="12">
        <f ca="1">IF($AA80=1,PreliminaryRound!$I28,"")</f>
        <v>25</v>
      </c>
      <c r="Y80" s="34">
        <f ca="1">IF($AA80=1,PreliminaryRound!$K28,"")</f>
        <v>20</v>
      </c>
      <c r="Z80" s="33" t="str">
        <f t="shared" ca="1" si="76"/>
        <v>Maibach 1822 eVVFB Essenheim</v>
      </c>
      <c r="AA80" s="12">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2" t="str">
        <f ca="1">IF(AA80&gt;0,(X80+AG80)&amp;Language!$E$80&amp;(Y80+AH80),"")</f>
        <v>50-39</v>
      </c>
      <c r="AD80" s="141"/>
      <c r="AE80" s="146">
        <f t="shared" ca="1" si="77"/>
        <v>2</v>
      </c>
      <c r="AF80" s="141">
        <f t="shared" ca="1" si="78"/>
        <v>0</v>
      </c>
      <c r="AG80" s="146">
        <f ca="1">IF($AA80=1,PreliminaryRound!$L28,"")</f>
        <v>25</v>
      </c>
      <c r="AH80" s="12">
        <f ca="1">IF($AA80=1,PreliminaryRound!$N28,"")</f>
        <v>19</v>
      </c>
      <c r="AI80" s="591" t="str">
        <f ca="1">IF(AA80&gt;0,AE80&amp;Language!$E$80&amp;AF80,"")</f>
        <v>2-0</v>
      </c>
    </row>
    <row r="81" spans="2:35" s="2" customFormat="1" x14ac:dyDescent="0.2">
      <c r="B81" s="3"/>
      <c r="C81" s="3"/>
      <c r="D81" s="3"/>
      <c r="E81" s="3"/>
      <c r="F81" s="12"/>
      <c r="G81" s="12"/>
      <c r="H81" s="725"/>
      <c r="I81" s="12"/>
      <c r="J81" s="12"/>
      <c r="K81" s="12"/>
      <c r="L81" s="12"/>
      <c r="M81" s="12"/>
      <c r="U81" s="64" t="s">
        <v>32</v>
      </c>
      <c r="V81" s="39" t="str">
        <f ca="1">Planning!$L23</f>
        <v>Manchester City</v>
      </c>
      <c r="W81" s="12" t="str">
        <f ca="1">Planning!$N23</f>
        <v>FC Grönlingen</v>
      </c>
      <c r="X81" s="12">
        <f ca="1">IF($AA81=1,PreliminaryRound!$I29,"")</f>
        <v>25</v>
      </c>
      <c r="Y81" s="34">
        <f ca="1">IF($AA81=1,PreliminaryRound!$K29,"")</f>
        <v>12</v>
      </c>
      <c r="Z81" s="33" t="str">
        <f t="shared" ca="1" si="76"/>
        <v>Manchester CityFC Grönlingen</v>
      </c>
      <c r="AA81" s="12">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2" t="str">
        <f ca="1">IF(AA81&gt;0,(X81+AG81)&amp;Language!$E$80&amp;(Y81+AH81),"")</f>
        <v>50-32</v>
      </c>
      <c r="AD81" s="141"/>
      <c r="AE81" s="146">
        <f t="shared" ca="1" si="77"/>
        <v>2</v>
      </c>
      <c r="AF81" s="141">
        <f t="shared" ca="1" si="78"/>
        <v>0</v>
      </c>
      <c r="AG81" s="146">
        <f ca="1">IF($AA81=1,PreliminaryRound!$L29,"")</f>
        <v>25</v>
      </c>
      <c r="AH81" s="12">
        <f ca="1">IF($AA81=1,PreliminaryRound!$N29,"")</f>
        <v>20</v>
      </c>
      <c r="AI81" s="591" t="str">
        <f ca="1">IF(AA81&gt;0,AE81&amp;Language!$E$80&amp;AF81,"")</f>
        <v>2-0</v>
      </c>
    </row>
    <row r="82" spans="2:35" s="2" customFormat="1" x14ac:dyDescent="0.2">
      <c r="B82" s="3"/>
      <c r="C82" s="3"/>
      <c r="D82" s="3"/>
      <c r="E82" s="3"/>
      <c r="F82" s="12"/>
      <c r="G82" s="12"/>
      <c r="H82" s="725"/>
      <c r="I82" s="12"/>
      <c r="J82" s="12"/>
      <c r="K82" s="12"/>
      <c r="L82" s="12"/>
      <c r="M82" s="12"/>
      <c r="U82" s="64" t="s">
        <v>33</v>
      </c>
      <c r="V82" s="39" t="str">
        <f ca="1">Planning!$L24</f>
        <v>1. FC Riedwald</v>
      </c>
      <c r="W82" s="12" t="str">
        <f ca="1">Planning!$N24</f>
        <v>FC Barcelona</v>
      </c>
      <c r="X82" s="12">
        <f ca="1">IF($AA82=1,PreliminaryRound!$I30,"")</f>
        <v>25</v>
      </c>
      <c r="Y82" s="34">
        <f ca="1">IF($AA82=1,PreliminaryRound!$K30,"")</f>
        <v>16</v>
      </c>
      <c r="Z82" s="33" t="str">
        <f t="shared" ca="1" si="76"/>
        <v>1. FC RiedwaldFC Barcelona</v>
      </c>
      <c r="AA82" s="12">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2" t="str">
        <f ca="1">IF(AA82&gt;0,(X82+AG82)&amp;Language!$E$80&amp;(Y82+AH82),"")</f>
        <v>50-37</v>
      </c>
      <c r="AD82" s="141"/>
      <c r="AE82" s="146">
        <f t="shared" ca="1" si="77"/>
        <v>2</v>
      </c>
      <c r="AF82" s="141">
        <f t="shared" ca="1" si="78"/>
        <v>0</v>
      </c>
      <c r="AG82" s="146">
        <f ca="1">IF($AA82=1,PreliminaryRound!$L30,"")</f>
        <v>25</v>
      </c>
      <c r="AH82" s="12">
        <f ca="1">IF($AA82=1,PreliminaryRound!$N30,"")</f>
        <v>21</v>
      </c>
      <c r="AI82" s="591" t="str">
        <f ca="1">IF(AA82&gt;0,AE82&amp;Language!$E$80&amp;AF82,"")</f>
        <v>2-0</v>
      </c>
    </row>
    <row r="83" spans="2:35" s="2" customFormat="1" x14ac:dyDescent="0.2">
      <c r="B83" s="3"/>
      <c r="C83" s="3"/>
      <c r="D83" s="3"/>
      <c r="E83" s="3"/>
      <c r="F83" s="12"/>
      <c r="G83" s="12"/>
      <c r="H83" s="725"/>
      <c r="I83" s="12"/>
      <c r="J83" s="12"/>
      <c r="K83" s="12"/>
      <c r="L83" s="12"/>
      <c r="M83" s="12"/>
      <c r="U83" s="64" t="s">
        <v>34</v>
      </c>
      <c r="V83" s="39" t="str">
        <f ca="1">Planning!$L25</f>
        <v>Mainz 05</v>
      </c>
      <c r="W83" s="12" t="str">
        <f ca="1">Planning!$N25</f>
        <v>Inter Mailand</v>
      </c>
      <c r="X83" s="12">
        <f ca="1">IF($AA83=1,PreliminaryRound!$I31,"")</f>
        <v>25</v>
      </c>
      <c r="Y83" s="34">
        <f ca="1">IF($AA83=1,PreliminaryRound!$K31,"")</f>
        <v>2</v>
      </c>
      <c r="Z83" s="33" t="str">
        <f t="shared" ca="1" si="76"/>
        <v>Mainz 05Inter Mailand</v>
      </c>
      <c r="AA83" s="12">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2" t="str">
        <f ca="1">IF(AA83&gt;0,(X83+AG83)&amp;Language!$E$80&amp;(Y83+AH83),"")</f>
        <v>50-24</v>
      </c>
      <c r="AD83" s="141"/>
      <c r="AE83" s="146">
        <f t="shared" ca="1" si="77"/>
        <v>2</v>
      </c>
      <c r="AF83" s="141">
        <f t="shared" ca="1" si="78"/>
        <v>0</v>
      </c>
      <c r="AG83" s="146">
        <f ca="1">IF($AA83=1,PreliminaryRound!$L31,"")</f>
        <v>25</v>
      </c>
      <c r="AH83" s="12">
        <f ca="1">IF($AA83=1,PreliminaryRound!$N31,"")</f>
        <v>22</v>
      </c>
      <c r="AI83" s="591" t="str">
        <f ca="1">IF(AA83&gt;0,AE83&amp;Language!$E$80&amp;AF83,"")</f>
        <v>2-0</v>
      </c>
    </row>
    <row r="84" spans="2:35" s="2" customFormat="1" x14ac:dyDescent="0.2">
      <c r="B84" s="3"/>
      <c r="C84" s="3"/>
      <c r="D84" s="3"/>
      <c r="E84" s="3"/>
      <c r="F84" s="12"/>
      <c r="G84" s="12"/>
      <c r="H84" s="725"/>
      <c r="I84" s="12"/>
      <c r="J84" s="12"/>
      <c r="K84" s="12"/>
      <c r="L84" s="12"/>
      <c r="M84" s="12"/>
      <c r="U84" s="64" t="s">
        <v>35</v>
      </c>
      <c r="V84" s="39" t="str">
        <f ca="1">Planning!$L26</f>
        <v/>
      </c>
      <c r="W84" s="12" t="str">
        <f ca="1">Planning!$N26</f>
        <v/>
      </c>
      <c r="X84" s="12" t="str">
        <f ca="1">IF($AA84=1,PreliminaryRound!$I32,"")</f>
        <v/>
      </c>
      <c r="Y84" s="34" t="str">
        <f ca="1">IF($AA84=1,PreliminaryRound!$K32,"")</f>
        <v/>
      </c>
      <c r="Z84" s="33" t="str">
        <f t="shared" ca="1" si="76"/>
        <v/>
      </c>
      <c r="AA84" s="12">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0</v>
      </c>
      <c r="AB84" s="12" t="str">
        <f ca="1">IF(AA84&gt;0,(X84+AG84)&amp;Language!$E$80&amp;(Y84+AH84),"")</f>
        <v/>
      </c>
      <c r="AD84" s="141"/>
      <c r="AE84" s="146">
        <f t="shared" ca="1" si="77"/>
        <v>0</v>
      </c>
      <c r="AF84" s="141">
        <f t="shared" ca="1" si="78"/>
        <v>0</v>
      </c>
      <c r="AG84" s="146" t="str">
        <f ca="1">IF($AA84=1,PreliminaryRound!$L32,"")</f>
        <v/>
      </c>
      <c r="AH84" s="12" t="str">
        <f ca="1">IF($AA84=1,PreliminaryRound!$N32,"")</f>
        <v/>
      </c>
      <c r="AI84" s="591" t="str">
        <f ca="1">IF(AA84&gt;0,AE84&amp;Language!$E$80&amp;AF84,"")</f>
        <v/>
      </c>
    </row>
    <row r="85" spans="2:35" s="2" customFormat="1" x14ac:dyDescent="0.2">
      <c r="B85" s="3"/>
      <c r="C85" s="3"/>
      <c r="D85" s="3"/>
      <c r="E85" s="3"/>
      <c r="F85" s="12"/>
      <c r="G85" s="12"/>
      <c r="H85" s="12"/>
      <c r="I85" s="12"/>
      <c r="J85" s="12"/>
      <c r="K85" s="12"/>
      <c r="L85" s="12"/>
      <c r="M85" s="12"/>
      <c r="U85" s="64" t="s">
        <v>36</v>
      </c>
      <c r="V85" s="39" t="str">
        <f ca="1">Planning!$L27</f>
        <v/>
      </c>
      <c r="W85" s="12" t="str">
        <f ca="1">Planning!$N27</f>
        <v/>
      </c>
      <c r="X85" s="12" t="str">
        <f ca="1">IF($AA85=1,PreliminaryRound!$I33,"")</f>
        <v/>
      </c>
      <c r="Y85" s="34" t="str">
        <f ca="1">IF($AA85=1,PreliminaryRound!$K33,"")</f>
        <v/>
      </c>
      <c r="Z85" s="33" t="str">
        <f t="shared" ca="1" si="76"/>
        <v/>
      </c>
      <c r="AA85" s="12">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0</v>
      </c>
      <c r="AB85" s="12" t="str">
        <f ca="1">IF(AA85&gt;0,(X85+AG85)&amp;Language!$E$80&amp;(Y85+AH85),"")</f>
        <v/>
      </c>
      <c r="AD85" s="141"/>
      <c r="AE85" s="146">
        <f t="shared" ca="1" si="77"/>
        <v>0</v>
      </c>
      <c r="AF85" s="141">
        <f t="shared" ca="1" si="78"/>
        <v>0</v>
      </c>
      <c r="AG85" s="146" t="str">
        <f ca="1">IF($AA85=1,PreliminaryRound!$L33,"")</f>
        <v/>
      </c>
      <c r="AH85" s="12" t="str">
        <f ca="1">IF($AA85=1,PreliminaryRound!$N33,"")</f>
        <v/>
      </c>
      <c r="AI85" s="591" t="str">
        <f ca="1">IF(AA85&gt;0,AE85&amp;Language!$E$80&amp;AF85,"")</f>
        <v/>
      </c>
    </row>
    <row r="86" spans="2:35" s="2" customFormat="1" x14ac:dyDescent="0.2">
      <c r="B86" s="3"/>
      <c r="C86" s="3"/>
      <c r="D86" s="3"/>
      <c r="E86" s="3"/>
      <c r="F86" s="12"/>
      <c r="G86" s="12"/>
      <c r="H86" s="12"/>
      <c r="I86" s="12"/>
      <c r="J86" s="12"/>
      <c r="K86" s="12"/>
      <c r="L86" s="12"/>
      <c r="M86" s="12"/>
      <c r="Q86" s="239"/>
      <c r="U86" s="64" t="s">
        <v>37</v>
      </c>
      <c r="V86" s="39" t="str">
        <f ca="1">Planning!$L28</f>
        <v/>
      </c>
      <c r="W86" s="12" t="str">
        <f ca="1">Planning!$N28</f>
        <v/>
      </c>
      <c r="X86" s="12" t="str">
        <f ca="1">IF($AA86=1,PreliminaryRound!$I34,"")</f>
        <v/>
      </c>
      <c r="Y86" s="34" t="str">
        <f ca="1">IF($AA86=1,PreliminaryRound!$K34,"")</f>
        <v/>
      </c>
      <c r="Z86" s="33" t="str">
        <f t="shared" ca="1" si="76"/>
        <v/>
      </c>
      <c r="AA86" s="12">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0</v>
      </c>
      <c r="AB86" s="12" t="str">
        <f ca="1">IF(AA86&gt;0,(X86+AG86)&amp;Language!$E$80&amp;(Y86+AH86),"")</f>
        <v/>
      </c>
      <c r="AD86" s="141"/>
      <c r="AE86" s="146">
        <f t="shared" ca="1" si="77"/>
        <v>0</v>
      </c>
      <c r="AF86" s="141">
        <f t="shared" ca="1" si="78"/>
        <v>0</v>
      </c>
      <c r="AG86" s="146" t="str">
        <f ca="1">IF($AA86=1,PreliminaryRound!$L34,"")</f>
        <v/>
      </c>
      <c r="AH86" s="12" t="str">
        <f ca="1">IF($AA86=1,PreliminaryRound!$N34,"")</f>
        <v/>
      </c>
      <c r="AI86" s="591" t="str">
        <f ca="1">IF(AA86&gt;0,AE86&amp;Language!$E$80&amp;AF86,"")</f>
        <v/>
      </c>
    </row>
    <row r="87" spans="2:35" s="2" customFormat="1" x14ac:dyDescent="0.2">
      <c r="B87" s="3"/>
      <c r="C87" s="3"/>
      <c r="D87" s="3"/>
      <c r="E87" s="3"/>
      <c r="F87" s="12"/>
      <c r="G87" s="12"/>
      <c r="H87" s="12"/>
      <c r="I87" s="12"/>
      <c r="J87" s="12"/>
      <c r="K87" s="12"/>
      <c r="L87" s="12"/>
      <c r="M87" s="12"/>
      <c r="U87" s="64" t="s">
        <v>38</v>
      </c>
      <c r="V87" s="39" t="str">
        <f ca="1">Planning!$L29</f>
        <v/>
      </c>
      <c r="W87" s="12" t="str">
        <f ca="1">Planning!$N29</f>
        <v/>
      </c>
      <c r="X87" s="12" t="str">
        <f ca="1">IF($AA87=1,PreliminaryRound!$I35,"")</f>
        <v/>
      </c>
      <c r="Y87" s="34" t="str">
        <f ca="1">IF($AA87=1,PreliminaryRound!$K35,"")</f>
        <v/>
      </c>
      <c r="Z87" s="33" t="str">
        <f t="shared" ca="1" si="76"/>
        <v/>
      </c>
      <c r="AA87" s="12">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0</v>
      </c>
      <c r="AB87" s="12" t="str">
        <f ca="1">IF(AA87&gt;0,(X87+AG87)&amp;Language!$E$80&amp;(Y87+AH87),"")</f>
        <v/>
      </c>
      <c r="AD87" s="141"/>
      <c r="AE87" s="146">
        <f t="shared" ca="1" si="77"/>
        <v>0</v>
      </c>
      <c r="AF87" s="141">
        <f t="shared" ca="1" si="78"/>
        <v>0</v>
      </c>
      <c r="AG87" s="146" t="str">
        <f ca="1">IF($AA87=1,PreliminaryRound!$L35,"")</f>
        <v/>
      </c>
      <c r="AH87" s="12" t="str">
        <f ca="1">IF($AA87=1,PreliminaryRound!$N35,"")</f>
        <v/>
      </c>
      <c r="AI87" s="591" t="str">
        <f ca="1">IF(AA87&gt;0,AE87&amp;Language!$E$80&amp;AF87,"")</f>
        <v/>
      </c>
    </row>
    <row r="88" spans="2:35" s="2" customFormat="1" x14ac:dyDescent="0.2">
      <c r="B88" s="3"/>
      <c r="C88" s="3"/>
      <c r="D88" s="3"/>
      <c r="E88" s="3"/>
      <c r="F88" s="12"/>
      <c r="G88" s="12"/>
      <c r="H88" s="12"/>
      <c r="I88" s="12"/>
      <c r="J88" s="12"/>
      <c r="K88" s="12"/>
      <c r="L88" s="12"/>
      <c r="M88" s="12"/>
      <c r="U88" s="64" t="s">
        <v>39</v>
      </c>
      <c r="V88" s="39" t="str">
        <f ca="1">Planning!$L30</f>
        <v/>
      </c>
      <c r="W88" s="12" t="str">
        <f ca="1">Planning!$N30</f>
        <v/>
      </c>
      <c r="X88" s="12" t="str">
        <f ca="1">IF($AA88=1,PreliminaryRound!$I36,"")</f>
        <v/>
      </c>
      <c r="Y88" s="34" t="str">
        <f ca="1">IF($AA88=1,PreliminaryRound!$K36,"")</f>
        <v/>
      </c>
      <c r="Z88" s="33" t="str">
        <f t="shared" ca="1" si="76"/>
        <v/>
      </c>
      <c r="AA88" s="12">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0</v>
      </c>
      <c r="AB88" s="12" t="str">
        <f ca="1">IF(AA88&gt;0,(X88+AG88)&amp;Language!$E$80&amp;(Y88+AH88),"")</f>
        <v/>
      </c>
      <c r="AD88" s="141"/>
      <c r="AE88" s="146">
        <f t="shared" ca="1" si="77"/>
        <v>0</v>
      </c>
      <c r="AF88" s="141">
        <f t="shared" ca="1" si="78"/>
        <v>0</v>
      </c>
      <c r="AG88" s="146" t="str">
        <f ca="1">IF($AA88=1,PreliminaryRound!$L36,"")</f>
        <v/>
      </c>
      <c r="AH88" s="12" t="str">
        <f ca="1">IF($AA88=1,PreliminaryRound!$N36,"")</f>
        <v/>
      </c>
      <c r="AI88" s="591" t="str">
        <f ca="1">IF(AA88&gt;0,AE88&amp;Language!$E$80&amp;AF88,"")</f>
        <v/>
      </c>
    </row>
    <row r="89" spans="2:35" s="2" customFormat="1" x14ac:dyDescent="0.2">
      <c r="B89" s="3"/>
      <c r="C89" s="3"/>
      <c r="D89" s="3"/>
      <c r="E89" s="3"/>
      <c r="F89" s="12"/>
      <c r="G89" s="12"/>
      <c r="H89" s="12"/>
      <c r="I89" s="12"/>
      <c r="J89" s="12"/>
      <c r="K89" s="12"/>
      <c r="L89" s="12"/>
      <c r="M89" s="12"/>
      <c r="U89" s="64" t="s">
        <v>40</v>
      </c>
      <c r="V89" s="39" t="str">
        <f ca="1">Planning!$L31</f>
        <v/>
      </c>
      <c r="W89" s="12" t="str">
        <f ca="1">Planning!$N31</f>
        <v/>
      </c>
      <c r="X89" s="12" t="str">
        <f ca="1">IF($AA89=1,PreliminaryRound!$I37,"")</f>
        <v/>
      </c>
      <c r="Y89" s="34" t="str">
        <f ca="1">IF($AA89=1,PreliminaryRound!$K37,"")</f>
        <v/>
      </c>
      <c r="Z89" s="33" t="str">
        <f t="shared" ca="1" si="76"/>
        <v/>
      </c>
      <c r="AA89" s="12">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0</v>
      </c>
      <c r="AB89" s="12" t="str">
        <f ca="1">IF(AA89&gt;0,(X89+AG89)&amp;Language!$E$80&amp;(Y89+AH89),"")</f>
        <v/>
      </c>
      <c r="AD89" s="141"/>
      <c r="AE89" s="146">
        <f t="shared" ca="1" si="77"/>
        <v>0</v>
      </c>
      <c r="AF89" s="141">
        <f t="shared" ca="1" si="78"/>
        <v>0</v>
      </c>
      <c r="AG89" s="146" t="str">
        <f ca="1">IF($AA89=1,PreliminaryRound!$L37,"")</f>
        <v/>
      </c>
      <c r="AH89" s="12" t="str">
        <f ca="1">IF($AA89=1,PreliminaryRound!$N37,"")</f>
        <v/>
      </c>
      <c r="AI89" s="591" t="str">
        <f ca="1">IF(AA89&gt;0,AE89&amp;Language!$E$80&amp;AF89,"")</f>
        <v/>
      </c>
    </row>
    <row r="90" spans="2:35" s="2" customFormat="1" x14ac:dyDescent="0.2">
      <c r="B90" s="3"/>
      <c r="C90" s="3"/>
      <c r="D90" s="3"/>
      <c r="E90" s="3"/>
      <c r="F90" s="12"/>
      <c r="G90" s="12"/>
      <c r="H90" s="12"/>
      <c r="I90" s="12"/>
      <c r="J90" s="12"/>
      <c r="K90" s="12"/>
      <c r="L90" s="12"/>
      <c r="M90" s="12"/>
      <c r="U90" s="64" t="s">
        <v>41</v>
      </c>
      <c r="V90" s="39" t="str">
        <f ca="1">Planning!$L32</f>
        <v/>
      </c>
      <c r="W90" s="12" t="str">
        <f ca="1">Planning!$N32</f>
        <v/>
      </c>
      <c r="X90" s="12" t="str">
        <f ca="1">IF($AA90=1,PreliminaryRound!$I38,"")</f>
        <v/>
      </c>
      <c r="Y90" s="34" t="str">
        <f ca="1">IF($AA90=1,PreliminaryRound!$K38,"")</f>
        <v/>
      </c>
      <c r="Z90" s="33" t="str">
        <f t="shared" ca="1" si="76"/>
        <v/>
      </c>
      <c r="AA90" s="12">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0</v>
      </c>
      <c r="AB90" s="12" t="str">
        <f ca="1">IF(AA90&gt;0,(X90+AG90)&amp;Language!$E$80&amp;(Y90+AH90),"")</f>
        <v/>
      </c>
      <c r="AD90" s="141"/>
      <c r="AE90" s="146">
        <f t="shared" ca="1" si="77"/>
        <v>0</v>
      </c>
      <c r="AF90" s="141">
        <f t="shared" ca="1" si="78"/>
        <v>0</v>
      </c>
      <c r="AG90" s="146" t="str">
        <f ca="1">IF($AA90=1,PreliminaryRound!$L38,"")</f>
        <v/>
      </c>
      <c r="AH90" s="12" t="str">
        <f ca="1">IF($AA90=1,PreliminaryRound!$N38,"")</f>
        <v/>
      </c>
      <c r="AI90" s="591" t="str">
        <f ca="1">IF(AA90&gt;0,AE90&amp;Language!$E$80&amp;AF90,"")</f>
        <v/>
      </c>
    </row>
    <row r="91" spans="2:35" s="2" customFormat="1" x14ac:dyDescent="0.2">
      <c r="B91" s="3"/>
      <c r="C91" s="3"/>
      <c r="D91" s="3"/>
      <c r="E91" s="3"/>
      <c r="F91" s="12"/>
      <c r="G91" s="12"/>
      <c r="H91" s="12"/>
      <c r="I91" s="12"/>
      <c r="J91" s="12"/>
      <c r="K91" s="12"/>
      <c r="L91" s="12"/>
      <c r="M91" s="12"/>
      <c r="U91" s="64" t="s">
        <v>42</v>
      </c>
      <c r="V91" s="39" t="str">
        <f ca="1">Planning!$L33</f>
        <v/>
      </c>
      <c r="W91" s="12" t="str">
        <f ca="1">Planning!$N33</f>
        <v/>
      </c>
      <c r="X91" s="12" t="str">
        <f ca="1">IF($AA91=1,PreliminaryRound!$I39,"")</f>
        <v/>
      </c>
      <c r="Y91" s="34" t="str">
        <f ca="1">IF($AA91=1,PreliminaryRound!$K39,"")</f>
        <v/>
      </c>
      <c r="Z91" s="33" t="str">
        <f t="shared" ca="1" si="76"/>
        <v/>
      </c>
      <c r="AA91" s="12">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0</v>
      </c>
      <c r="AB91" s="12" t="str">
        <f ca="1">IF(AA91&gt;0,(X91+AG91)&amp;Language!$E$80&amp;(Y91+AH91),"")</f>
        <v/>
      </c>
      <c r="AD91" s="141"/>
      <c r="AE91" s="146">
        <f t="shared" ca="1" si="77"/>
        <v>0</v>
      </c>
      <c r="AF91" s="141">
        <f t="shared" ca="1" si="78"/>
        <v>0</v>
      </c>
      <c r="AG91" s="146" t="str">
        <f ca="1">IF($AA91=1,PreliminaryRound!$L39,"")</f>
        <v/>
      </c>
      <c r="AH91" s="12" t="str">
        <f ca="1">IF($AA91=1,PreliminaryRound!$N39,"")</f>
        <v/>
      </c>
      <c r="AI91" s="591" t="str">
        <f ca="1">IF(AA91&gt;0,AE91&amp;Language!$E$80&amp;AF91,"")</f>
        <v/>
      </c>
    </row>
    <row r="92" spans="2:35" s="2" customFormat="1" x14ac:dyDescent="0.2">
      <c r="B92" s="3"/>
      <c r="C92" s="3"/>
      <c r="D92" s="3"/>
      <c r="E92" s="3"/>
      <c r="F92" s="12"/>
      <c r="G92" s="12"/>
      <c r="H92" s="12"/>
      <c r="I92" s="12"/>
      <c r="J92" s="12"/>
      <c r="K92" s="12"/>
      <c r="L92" s="12"/>
      <c r="M92" s="12"/>
      <c r="U92" s="64" t="s">
        <v>43</v>
      </c>
      <c r="V92" s="39" t="str">
        <f ca="1">Planning!$L34</f>
        <v/>
      </c>
      <c r="W92" s="12" t="str">
        <f ca="1">Planning!$N34</f>
        <v/>
      </c>
      <c r="X92" s="12" t="str">
        <f ca="1">IF($AA92=1,PreliminaryRound!$I40,"")</f>
        <v/>
      </c>
      <c r="Y92" s="34" t="str">
        <f ca="1">IF($AA92=1,PreliminaryRound!$K40,"")</f>
        <v/>
      </c>
      <c r="Z92" s="33" t="str">
        <f t="shared" ca="1" si="76"/>
        <v/>
      </c>
      <c r="AA92" s="12">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0</v>
      </c>
      <c r="AB92" s="12" t="str">
        <f ca="1">IF(AA92&gt;0,(X92+AG92)&amp;Language!$E$80&amp;(Y92+AH92),"")</f>
        <v/>
      </c>
      <c r="AD92" s="141"/>
      <c r="AE92" s="146">
        <f t="shared" ca="1" si="77"/>
        <v>0</v>
      </c>
      <c r="AF92" s="141">
        <f t="shared" ca="1" si="78"/>
        <v>0</v>
      </c>
      <c r="AG92" s="146" t="str">
        <f ca="1">IF($AA92=1,PreliminaryRound!$L40,"")</f>
        <v/>
      </c>
      <c r="AH92" s="12" t="str">
        <f ca="1">IF($AA92=1,PreliminaryRound!$N40,"")</f>
        <v/>
      </c>
      <c r="AI92" s="591" t="str">
        <f ca="1">IF(AA92&gt;0,AE92&amp;Language!$E$80&amp;AF92,"")</f>
        <v/>
      </c>
    </row>
    <row r="93" spans="2:35" s="2" customFormat="1" ht="12.75" thickBot="1" x14ac:dyDescent="0.25">
      <c r="B93" s="3"/>
      <c r="C93" s="3"/>
      <c r="D93" s="3"/>
      <c r="E93" s="3"/>
      <c r="F93" s="12"/>
      <c r="G93" s="12"/>
      <c r="H93" s="12"/>
      <c r="I93" s="12"/>
      <c r="J93" s="12"/>
      <c r="K93" s="12"/>
      <c r="L93" s="12"/>
      <c r="M93" s="12"/>
      <c r="U93" s="64" t="s">
        <v>44</v>
      </c>
      <c r="V93" s="39" t="str">
        <f ca="1">Planning!$L35</f>
        <v/>
      </c>
      <c r="W93" s="12" t="str">
        <f ca="1">Planning!$N35</f>
        <v/>
      </c>
      <c r="X93" s="12" t="str">
        <f ca="1">IF($AA93=1,PreliminaryRound!$I41,"")</f>
        <v/>
      </c>
      <c r="Y93" s="34" t="str">
        <f ca="1">IF($AA93=1,PreliminaryRound!$K41,"")</f>
        <v/>
      </c>
      <c r="Z93" s="33" t="str">
        <f t="shared" ca="1" si="76"/>
        <v/>
      </c>
      <c r="AA93" s="12">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0</v>
      </c>
      <c r="AB93" s="12" t="str">
        <f ca="1">IF(AA93&gt;0,(X93+AG93)&amp;Language!$E$80&amp;(Y93+AH93),"")</f>
        <v/>
      </c>
      <c r="AD93" s="141"/>
      <c r="AE93" s="146">
        <f t="shared" ca="1" si="77"/>
        <v>0</v>
      </c>
      <c r="AF93" s="141">
        <f t="shared" ca="1" si="78"/>
        <v>0</v>
      </c>
      <c r="AG93" s="316" t="str">
        <f ca="1">IF($AA93=1,PreliminaryRound!$L41,"")</f>
        <v/>
      </c>
      <c r="AH93" s="312" t="str">
        <f ca="1">IF($AA93=1,PreliminaryRound!$N41,"")</f>
        <v/>
      </c>
      <c r="AI93" s="592" t="str">
        <f ca="1">IF(AA93&gt;0,AE93&amp;Language!$E$80&amp;AF93,"")</f>
        <v/>
      </c>
    </row>
    <row r="94" spans="2:35" s="2" customFormat="1" ht="12.75" thickTop="1" x14ac:dyDescent="0.2">
      <c r="B94" s="3"/>
      <c r="C94" s="3"/>
      <c r="D94" s="3"/>
      <c r="E94" s="3"/>
      <c r="F94" s="12"/>
      <c r="G94" s="12"/>
      <c r="H94" s="12"/>
      <c r="I94" s="12"/>
      <c r="J94" s="12"/>
      <c r="K94" s="12"/>
      <c r="L94" s="12"/>
      <c r="M94" s="12"/>
      <c r="U94" s="317" t="s">
        <v>45</v>
      </c>
      <c r="V94" s="318" t="str">
        <f>""</f>
        <v/>
      </c>
      <c r="W94" s="319" t="str">
        <f>""</f>
        <v/>
      </c>
      <c r="X94" s="319" t="str">
        <f>""</f>
        <v/>
      </c>
      <c r="Y94" s="320" t="str">
        <f>""</f>
        <v/>
      </c>
      <c r="Z94" s="321" t="str">
        <f>""</f>
        <v/>
      </c>
      <c r="AA94" s="319">
        <v>0</v>
      </c>
      <c r="AB94" s="319" t="str">
        <f>""</f>
        <v/>
      </c>
      <c r="AC94" s="322"/>
      <c r="AD94" s="323"/>
      <c r="AE94" s="324"/>
      <c r="AF94" s="323"/>
      <c r="AG94" s="588" t="str">
        <f>""</f>
        <v/>
      </c>
      <c r="AH94" s="3" t="str">
        <f>""</f>
        <v/>
      </c>
      <c r="AI94" s="593"/>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t="shared" ref="Z136:Z165" ca="1" si="79">W64&amp;V64</f>
        <v>FC BarcelonaVFB Essenheim</v>
      </c>
      <c r="AA136" s="31">
        <f t="shared" ref="AA136:AA165" ca="1" si="80">AA64</f>
        <v>1</v>
      </c>
      <c r="AB136" s="12" t="str">
        <f ca="1">IF(AA136&gt;0,(Y64+AH64)&amp;Language!$E$80&amp;(X64+AG64),"")</f>
        <v>50-33</v>
      </c>
      <c r="AD136" s="141"/>
      <c r="AE136" s="596"/>
      <c r="AF136" s="597"/>
      <c r="AG136" s="597"/>
      <c r="AH136" s="597"/>
      <c r="AI136" s="140" t="str">
        <f ca="1">IF(AA64&gt;0,AF64&amp;Language!$E$80&amp;AE64,"")</f>
        <v>2-0</v>
      </c>
    </row>
    <row r="137" spans="2:35" x14ac:dyDescent="0.2">
      <c r="Y137" s="64" t="s">
        <v>7</v>
      </c>
      <c r="Z137" s="33" t="str">
        <f t="shared" ca="1" si="79"/>
        <v>Inter MailandFC Grönlingen</v>
      </c>
      <c r="AA137" s="12">
        <f t="shared" ca="1" si="80"/>
        <v>1</v>
      </c>
      <c r="AB137" s="12" t="str">
        <f ca="1">IF(AA137&gt;0,(Y65+AH65)&amp;Language!$E$80&amp;(X65+AG65),"")</f>
        <v>45-48</v>
      </c>
      <c r="AC137" s="2"/>
      <c r="AD137" s="141"/>
      <c r="AE137" s="598"/>
      <c r="AF137" s="599"/>
      <c r="AG137" s="599"/>
      <c r="AH137" s="599"/>
      <c r="AI137" s="607" t="str">
        <f ca="1">IF(AA65&gt;0,AF65&amp;Language!$E$80&amp;AE65,"")</f>
        <v>1-1</v>
      </c>
    </row>
    <row r="138" spans="2:35" x14ac:dyDescent="0.2">
      <c r="Y138" s="64" t="s">
        <v>8</v>
      </c>
      <c r="Z138" s="33" t="str">
        <f t="shared" ca="1" si="79"/>
        <v>Maibach 1822 eVEintracht Frankfurt</v>
      </c>
      <c r="AA138" s="12">
        <f t="shared" ca="1" si="80"/>
        <v>1</v>
      </c>
      <c r="AB138" s="12" t="str">
        <f ca="1">IF(AA138&gt;0,(Y66+AH66)&amp;Language!$E$80&amp;(X66+AG66),"")</f>
        <v>40-50</v>
      </c>
      <c r="AC138" s="2"/>
      <c r="AD138" s="141"/>
      <c r="AE138" s="598"/>
      <c r="AF138" s="599"/>
      <c r="AG138" s="599"/>
      <c r="AH138" s="599"/>
      <c r="AI138" s="607" t="str">
        <f ca="1">IF(AA66&gt;0,AF66&amp;Language!$E$80&amp;AE66,"")</f>
        <v>0-2</v>
      </c>
    </row>
    <row r="139" spans="2:35" x14ac:dyDescent="0.2">
      <c r="Y139" s="64" t="s">
        <v>9</v>
      </c>
      <c r="Z139" s="33" t="str">
        <f t="shared" ca="1" si="79"/>
        <v>Manchester CitySSV Wildbach</v>
      </c>
      <c r="AA139" s="12">
        <f t="shared" ca="1" si="80"/>
        <v>1</v>
      </c>
      <c r="AB139" s="12" t="str">
        <f ca="1">IF(AA139&gt;0,(Y67+AH67)&amp;Language!$E$80&amp;(X67+AG67),"")</f>
        <v>42-50</v>
      </c>
      <c r="AC139" s="2"/>
      <c r="AD139" s="141"/>
      <c r="AE139" s="598"/>
      <c r="AF139" s="599"/>
      <c r="AG139" s="599"/>
      <c r="AH139" s="599"/>
      <c r="AI139" s="607" t="str">
        <f ca="1">IF(AA67&gt;0,AF67&amp;Language!$E$80&amp;AE67,"")</f>
        <v>0-2</v>
      </c>
    </row>
    <row r="140" spans="2:35" x14ac:dyDescent="0.2">
      <c r="Y140" s="64" t="s">
        <v>10</v>
      </c>
      <c r="Z140" s="33" t="str">
        <f t="shared" ca="1" si="79"/>
        <v>1. FC RiedwaldVFB Essenheim</v>
      </c>
      <c r="AA140" s="12">
        <f t="shared" ca="1" si="80"/>
        <v>1</v>
      </c>
      <c r="AB140" s="12" t="str">
        <f ca="1">IF(AA140&gt;0,(Y68+AH68)&amp;Language!$E$80&amp;(X68+AG68),"")</f>
        <v>44-50</v>
      </c>
      <c r="AC140" s="2"/>
      <c r="AD140" s="141"/>
      <c r="AE140" s="598"/>
      <c r="AF140" s="599"/>
      <c r="AG140" s="599"/>
      <c r="AH140" s="599"/>
      <c r="AI140" s="607" t="str">
        <f ca="1">IF(AA68&gt;0,AF68&amp;Language!$E$80&amp;AE68,"")</f>
        <v>0-2</v>
      </c>
    </row>
    <row r="141" spans="2:35" x14ac:dyDescent="0.2">
      <c r="Y141" s="64" t="s">
        <v>11</v>
      </c>
      <c r="Z141" s="33" t="str">
        <f t="shared" ca="1" si="79"/>
        <v>Mainz 05FC Grönlingen</v>
      </c>
      <c r="AA141" s="12">
        <f t="shared" ca="1" si="80"/>
        <v>1</v>
      </c>
      <c r="AB141" s="12" t="str">
        <f ca="1">IF(AA141&gt;0,(Y69+AH69)&amp;Language!$E$80&amp;(X69+AG69),"")</f>
        <v>39-50</v>
      </c>
      <c r="AC141" s="2"/>
      <c r="AD141" s="141"/>
      <c r="AE141" s="598"/>
      <c r="AF141" s="599"/>
      <c r="AG141" s="599"/>
      <c r="AH141" s="599"/>
      <c r="AI141" s="607" t="str">
        <f ca="1">IF(AA69&gt;0,AF69&amp;Language!$E$80&amp;AE69,"")</f>
        <v>0-2</v>
      </c>
    </row>
    <row r="142" spans="2:35" x14ac:dyDescent="0.2">
      <c r="Y142" s="64" t="s">
        <v>16</v>
      </c>
      <c r="Z142" s="33" t="str">
        <f t="shared" ca="1" si="79"/>
        <v>Eintracht FrankfurtFC Barcelona</v>
      </c>
      <c r="AA142" s="12">
        <f t="shared" ca="1" si="80"/>
        <v>1</v>
      </c>
      <c r="AB142" s="12" t="str">
        <f ca="1">IF(AA142&gt;0,(Y70+AH70)&amp;Language!$E$80&amp;(X70+AG70),"")</f>
        <v>48-48</v>
      </c>
      <c r="AC142" s="2"/>
      <c r="AD142" s="141"/>
      <c r="AE142" s="598"/>
      <c r="AF142" s="599"/>
      <c r="AG142" s="599"/>
      <c r="AH142" s="599"/>
      <c r="AI142" s="607" t="str">
        <f ca="1">IF(AA70&gt;0,AF70&amp;Language!$E$80&amp;AE70,"")</f>
        <v>1-1</v>
      </c>
    </row>
    <row r="143" spans="2:35" x14ac:dyDescent="0.2">
      <c r="Y143" s="64" t="s">
        <v>17</v>
      </c>
      <c r="Z143" s="33" t="str">
        <f t="shared" ca="1" si="79"/>
        <v>SSV WildbachInter Mailand</v>
      </c>
      <c r="AA143" s="12">
        <f t="shared" ca="1" si="80"/>
        <v>1</v>
      </c>
      <c r="AB143" s="12" t="str">
        <f ca="1">IF(AA143&gt;0,(Y71+AH71)&amp;Language!$E$80&amp;(X71+AG71),"")</f>
        <v>37-44</v>
      </c>
      <c r="AC143" s="2"/>
      <c r="AD143" s="141"/>
      <c r="AE143" s="598"/>
      <c r="AF143" s="599"/>
      <c r="AG143" s="599"/>
      <c r="AH143" s="599"/>
      <c r="AI143" s="607" t="str">
        <f ca="1">IF(AA71&gt;0,AF71&amp;Language!$E$80&amp;AE71,"")</f>
        <v>1-1</v>
      </c>
    </row>
    <row r="144" spans="2:35" x14ac:dyDescent="0.2">
      <c r="Y144" s="64" t="s">
        <v>18</v>
      </c>
      <c r="Z144" s="33" t="str">
        <f t="shared" ca="1" si="79"/>
        <v>Maibach 1822 eV1. FC Riedwald</v>
      </c>
      <c r="AA144" s="12">
        <f t="shared" ca="1" si="80"/>
        <v>1</v>
      </c>
      <c r="AB144" s="12" t="str">
        <f ca="1">IF(AA144&gt;0,(Y72+AH72)&amp;Language!$E$80&amp;(X72+AG72),"")</f>
        <v>43-41</v>
      </c>
      <c r="AC144" s="2"/>
      <c r="AD144" s="141"/>
      <c r="AE144" s="598"/>
      <c r="AF144" s="599"/>
      <c r="AG144" s="599"/>
      <c r="AH144" s="599"/>
      <c r="AI144" s="607" t="str">
        <f ca="1">IF(AA72&gt;0,AF72&amp;Language!$E$80&amp;AE72,"")</f>
        <v>1-1</v>
      </c>
    </row>
    <row r="145" spans="25:35" x14ac:dyDescent="0.2">
      <c r="Y145" s="64" t="s">
        <v>24</v>
      </c>
      <c r="Z145" s="33" t="str">
        <f t="shared" ca="1" si="79"/>
        <v>Manchester CityMainz 05</v>
      </c>
      <c r="AA145" s="12">
        <f t="shared" ca="1" si="80"/>
        <v>1</v>
      </c>
      <c r="AB145" s="12" t="str">
        <f ca="1">IF(AA145&gt;0,(Y73+AH73)&amp;Language!$E$80&amp;(X73+AG73),"")</f>
        <v>44-39</v>
      </c>
      <c r="AC145" s="2"/>
      <c r="AD145" s="141"/>
      <c r="AE145" s="598"/>
      <c r="AF145" s="599"/>
      <c r="AG145" s="599"/>
      <c r="AH145" s="599"/>
      <c r="AI145" s="607" t="str">
        <f ca="1">IF(AA73&gt;0,AF73&amp;Language!$E$80&amp;AE73,"")</f>
        <v>1-1</v>
      </c>
    </row>
    <row r="146" spans="25:35" x14ac:dyDescent="0.2">
      <c r="Y146" s="64" t="s">
        <v>25</v>
      </c>
      <c r="Z146" s="33" t="str">
        <f t="shared" ca="1" si="79"/>
        <v>VFB EssenheimEintracht Frankfurt</v>
      </c>
      <c r="AA146" s="12">
        <f t="shared" ca="1" si="80"/>
        <v>1</v>
      </c>
      <c r="AB146" s="12" t="str">
        <f ca="1">IF(AA146&gt;0,(Y74+AH74)&amp;Language!$E$80&amp;(X74+AG74),"")</f>
        <v>45-47</v>
      </c>
      <c r="AC146" s="2"/>
      <c r="AD146" s="141"/>
      <c r="AE146" s="598"/>
      <c r="AF146" s="599"/>
      <c r="AG146" s="599"/>
      <c r="AH146" s="599"/>
      <c r="AI146" s="607" t="str">
        <f ca="1">IF(AA74&gt;0,AF74&amp;Language!$E$80&amp;AE74,"")</f>
        <v>1-1</v>
      </c>
    </row>
    <row r="147" spans="25:35" x14ac:dyDescent="0.2">
      <c r="Y147" s="64" t="s">
        <v>26</v>
      </c>
      <c r="Z147" s="33" t="str">
        <f t="shared" ca="1" si="79"/>
        <v>FC GrönlingenSSV Wildbach</v>
      </c>
      <c r="AA147" s="12">
        <f t="shared" ca="1" si="80"/>
        <v>1</v>
      </c>
      <c r="AB147" s="12" t="str">
        <f ca="1">IF(AA147&gt;0,(Y75+AH75)&amp;Language!$E$80&amp;(X75+AG75),"")</f>
        <v>44-44</v>
      </c>
      <c r="AC147" s="2"/>
      <c r="AD147" s="141"/>
      <c r="AE147" s="598"/>
      <c r="AF147" s="599"/>
      <c r="AG147" s="599"/>
      <c r="AH147" s="599"/>
      <c r="AI147" s="607" t="str">
        <f ca="1">IF(AA75&gt;0,AF75&amp;Language!$E$80&amp;AE75,"")</f>
        <v>1-1</v>
      </c>
    </row>
    <row r="148" spans="25:35" x14ac:dyDescent="0.2">
      <c r="Y148" s="64" t="s">
        <v>27</v>
      </c>
      <c r="Z148" s="33" t="str">
        <f t="shared" ca="1" si="79"/>
        <v>Maibach 1822 eVFC Barcelona</v>
      </c>
      <c r="AA148" s="12">
        <f t="shared" ca="1" si="80"/>
        <v>1</v>
      </c>
      <c r="AB148" s="12" t="str">
        <f ca="1">IF(AA148&gt;0,(Y76+AH76)&amp;Language!$E$80&amp;(X76+AG76),"")</f>
        <v>50-29</v>
      </c>
      <c r="AC148" s="2"/>
      <c r="AD148" s="141"/>
      <c r="AE148" s="598"/>
      <c r="AF148" s="599"/>
      <c r="AG148" s="599"/>
      <c r="AH148" s="599"/>
      <c r="AI148" s="607" t="str">
        <f ca="1">IF(AA76&gt;0,AF76&amp;Language!$E$80&amp;AE76,"")</f>
        <v>2-0</v>
      </c>
    </row>
    <row r="149" spans="25:35" x14ac:dyDescent="0.2">
      <c r="Y149" s="64" t="s">
        <v>28</v>
      </c>
      <c r="Z149" s="33" t="str">
        <f t="shared" ca="1" si="79"/>
        <v>Manchester CityInter Mailand</v>
      </c>
      <c r="AA149" s="12">
        <f t="shared" ca="1" si="80"/>
        <v>1</v>
      </c>
      <c r="AB149" s="12" t="str">
        <f ca="1">IF(AA149&gt;0,(Y77+AH77)&amp;Language!$E$80&amp;(X77+AG77),"")</f>
        <v>48-39</v>
      </c>
      <c r="AC149" s="2"/>
      <c r="AD149" s="141"/>
      <c r="AE149" s="598"/>
      <c r="AF149" s="599"/>
      <c r="AG149" s="599"/>
      <c r="AH149" s="599"/>
      <c r="AI149" s="607" t="str">
        <f ca="1">IF(AA77&gt;0,AF77&amp;Language!$E$80&amp;AE77,"")</f>
        <v>1-1</v>
      </c>
    </row>
    <row r="150" spans="25:35" x14ac:dyDescent="0.2">
      <c r="Y150" s="64" t="s">
        <v>29</v>
      </c>
      <c r="Z150" s="33" t="str">
        <f t="shared" ca="1" si="79"/>
        <v>1. FC RiedwaldEintracht Frankfurt</v>
      </c>
      <c r="AA150" s="12">
        <f t="shared" ca="1" si="80"/>
        <v>1</v>
      </c>
      <c r="AB150" s="12" t="str">
        <f ca="1">IF(AA150&gt;0,(Y78+AH78)&amp;Language!$E$80&amp;(X78+AG78),"")</f>
        <v>42-46</v>
      </c>
      <c r="AC150" s="2"/>
      <c r="AD150" s="141"/>
      <c r="AE150" s="598"/>
      <c r="AF150" s="599"/>
      <c r="AG150" s="599"/>
      <c r="AH150" s="599"/>
      <c r="AI150" s="607" t="str">
        <f ca="1">IF(AA78&gt;0,AF78&amp;Language!$E$80&amp;AE78,"")</f>
        <v>1-1</v>
      </c>
    </row>
    <row r="151" spans="25:35" x14ac:dyDescent="0.2">
      <c r="Y151" s="64" t="s">
        <v>30</v>
      </c>
      <c r="Z151" s="33" t="str">
        <f t="shared" ca="1" si="79"/>
        <v>Mainz 05SSV Wildbach</v>
      </c>
      <c r="AA151" s="12">
        <f t="shared" ca="1" si="80"/>
        <v>1</v>
      </c>
      <c r="AB151" s="12" t="str">
        <f ca="1">IF(AA151&gt;0,(Y79+AH79)&amp;Language!$E$80&amp;(X79+AG79),"")</f>
        <v>50-38</v>
      </c>
      <c r="AC151" s="2"/>
      <c r="AD151" s="141"/>
      <c r="AE151" s="598"/>
      <c r="AF151" s="599"/>
      <c r="AG151" s="599"/>
      <c r="AH151" s="599"/>
      <c r="AI151" s="607" t="str">
        <f ca="1">IF(AA79&gt;0,AF79&amp;Language!$E$80&amp;AE79,"")</f>
        <v>2-0</v>
      </c>
    </row>
    <row r="152" spans="25:35" x14ac:dyDescent="0.2">
      <c r="Y152" s="64" t="s">
        <v>31</v>
      </c>
      <c r="Z152" s="33" t="str">
        <f t="shared" ca="1" si="79"/>
        <v>VFB EssenheimMaibach 1822 eV</v>
      </c>
      <c r="AA152" s="12">
        <f t="shared" ca="1" si="80"/>
        <v>1</v>
      </c>
      <c r="AB152" s="12" t="str">
        <f ca="1">IF(AA152&gt;0,(Y80+AH80)&amp;Language!$E$80&amp;(X80+AG80),"")</f>
        <v>39-50</v>
      </c>
      <c r="AC152" s="2"/>
      <c r="AD152" s="141"/>
      <c r="AE152" s="598"/>
      <c r="AF152" s="599"/>
      <c r="AG152" s="599"/>
      <c r="AH152" s="599"/>
      <c r="AI152" s="607" t="str">
        <f ca="1">IF(AA80&gt;0,AF80&amp;Language!$E$80&amp;AE80,"")</f>
        <v>0-2</v>
      </c>
    </row>
    <row r="153" spans="25:35" x14ac:dyDescent="0.2">
      <c r="Y153" s="64" t="s">
        <v>32</v>
      </c>
      <c r="Z153" s="33" t="str">
        <f t="shared" ca="1" si="79"/>
        <v>FC GrönlingenManchester City</v>
      </c>
      <c r="AA153" s="12">
        <f t="shared" ca="1" si="80"/>
        <v>1</v>
      </c>
      <c r="AB153" s="12" t="str">
        <f ca="1">IF(AA153&gt;0,(Y81+AH81)&amp;Language!$E$80&amp;(X81+AG81),"")</f>
        <v>32-50</v>
      </c>
      <c r="AC153" s="2"/>
      <c r="AD153" s="141"/>
      <c r="AE153" s="598"/>
      <c r="AF153" s="599"/>
      <c r="AG153" s="599"/>
      <c r="AH153" s="599"/>
      <c r="AI153" s="607" t="str">
        <f ca="1">IF(AA81&gt;0,AF81&amp;Language!$E$80&amp;AE81,"")</f>
        <v>0-2</v>
      </c>
    </row>
    <row r="154" spans="25:35" x14ac:dyDescent="0.2">
      <c r="Y154" s="64" t="s">
        <v>33</v>
      </c>
      <c r="Z154" s="33" t="str">
        <f t="shared" ca="1" si="79"/>
        <v>FC Barcelona1. FC Riedwald</v>
      </c>
      <c r="AA154" s="12">
        <f t="shared" ca="1" si="80"/>
        <v>1</v>
      </c>
      <c r="AB154" s="12" t="str">
        <f ca="1">IF(AA154&gt;0,(Y82+AH82)&amp;Language!$E$80&amp;(X82+AG82),"")</f>
        <v>37-50</v>
      </c>
      <c r="AC154" s="2"/>
      <c r="AD154" s="141"/>
      <c r="AE154" s="598"/>
      <c r="AF154" s="599"/>
      <c r="AG154" s="599"/>
      <c r="AH154" s="599"/>
      <c r="AI154" s="607" t="str">
        <f ca="1">IF(AA82&gt;0,AF82&amp;Language!$E$80&amp;AE82,"")</f>
        <v>0-2</v>
      </c>
    </row>
    <row r="155" spans="25:35" x14ac:dyDescent="0.2">
      <c r="Y155" s="64" t="s">
        <v>34</v>
      </c>
      <c r="Z155" s="33" t="str">
        <f t="shared" ca="1" si="79"/>
        <v>Inter MailandMainz 05</v>
      </c>
      <c r="AA155" s="12">
        <f t="shared" ca="1" si="80"/>
        <v>1</v>
      </c>
      <c r="AB155" s="12" t="str">
        <f ca="1">IF(AA155&gt;0,(Y83+AH83)&amp;Language!$E$80&amp;(X83+AG83),"")</f>
        <v>24-50</v>
      </c>
      <c r="AC155" s="2"/>
      <c r="AD155" s="141"/>
      <c r="AE155" s="598"/>
      <c r="AF155" s="599"/>
      <c r="AG155" s="599"/>
      <c r="AH155" s="599"/>
      <c r="AI155" s="607" t="str">
        <f ca="1">IF(AA83&gt;0,AF83&amp;Language!$E$80&amp;AE83,"")</f>
        <v>0-2</v>
      </c>
    </row>
    <row r="156" spans="25:35" x14ac:dyDescent="0.2">
      <c r="Y156" s="64" t="s">
        <v>35</v>
      </c>
      <c r="Z156" s="33" t="str">
        <f t="shared" ca="1" si="79"/>
        <v/>
      </c>
      <c r="AA156" s="12">
        <f t="shared" ca="1" si="80"/>
        <v>0</v>
      </c>
      <c r="AB156" s="12" t="str">
        <f ca="1">IF(AA156&gt;0,(Y84+AH84)&amp;Language!$E$80&amp;(X84+AG84),"")</f>
        <v/>
      </c>
      <c r="AC156" s="2"/>
      <c r="AD156" s="141"/>
      <c r="AE156" s="598"/>
      <c r="AF156" s="599"/>
      <c r="AG156" s="599"/>
      <c r="AH156" s="599"/>
      <c r="AI156" s="607" t="str">
        <f ca="1">IF(AA84&gt;0,AF84&amp;Language!$E$80&amp;AE84,"")</f>
        <v/>
      </c>
    </row>
    <row r="157" spans="25:35" x14ac:dyDescent="0.2">
      <c r="Y157" s="64" t="s">
        <v>36</v>
      </c>
      <c r="Z157" s="33" t="str">
        <f t="shared" ca="1" si="79"/>
        <v/>
      </c>
      <c r="AA157" s="12">
        <f t="shared" ca="1" si="80"/>
        <v>0</v>
      </c>
      <c r="AB157" s="12" t="str">
        <f ca="1">IF(AA157&gt;0,(Y85+AH85)&amp;Language!$E$80&amp;(X85+AG85),"")</f>
        <v/>
      </c>
      <c r="AC157" s="2"/>
      <c r="AD157" s="141"/>
      <c r="AE157" s="598"/>
      <c r="AF157" s="599"/>
      <c r="AG157" s="599"/>
      <c r="AH157" s="599"/>
      <c r="AI157" s="607" t="str">
        <f ca="1">IF(AA85&gt;0,AF85&amp;Language!$E$80&amp;AE85,"")</f>
        <v/>
      </c>
    </row>
    <row r="158" spans="25:35" x14ac:dyDescent="0.2">
      <c r="Y158" s="64" t="s">
        <v>37</v>
      </c>
      <c r="Z158" s="33" t="str">
        <f t="shared" ca="1" si="79"/>
        <v/>
      </c>
      <c r="AA158" s="12">
        <f t="shared" ca="1" si="80"/>
        <v>0</v>
      </c>
      <c r="AB158" s="12" t="str">
        <f ca="1">IF(AA158&gt;0,(Y86+AH86)&amp;Language!$E$80&amp;(X86+AG86),"")</f>
        <v/>
      </c>
      <c r="AC158" s="2"/>
      <c r="AD158" s="141"/>
      <c r="AE158" s="598"/>
      <c r="AF158" s="599"/>
      <c r="AG158" s="599"/>
      <c r="AH158" s="599"/>
      <c r="AI158" s="607" t="str">
        <f ca="1">IF(AA86&gt;0,AF86&amp;Language!$E$80&amp;AE86,"")</f>
        <v/>
      </c>
    </row>
    <row r="159" spans="25:35" x14ac:dyDescent="0.2">
      <c r="Y159" s="64" t="s">
        <v>38</v>
      </c>
      <c r="Z159" s="33" t="str">
        <f t="shared" ca="1" si="79"/>
        <v/>
      </c>
      <c r="AA159" s="12">
        <f t="shared" ca="1" si="80"/>
        <v>0</v>
      </c>
      <c r="AB159" s="12" t="str">
        <f ca="1">IF(AA159&gt;0,(Y87+AH87)&amp;Language!$E$80&amp;(X87+AG87),"")</f>
        <v/>
      </c>
      <c r="AC159" s="2"/>
      <c r="AD159" s="141"/>
      <c r="AE159" s="598"/>
      <c r="AF159" s="599"/>
      <c r="AG159" s="599"/>
      <c r="AH159" s="599"/>
      <c r="AI159" s="607" t="str">
        <f ca="1">IF(AA87&gt;0,AF87&amp;Language!$E$80&amp;AE87,"")</f>
        <v/>
      </c>
    </row>
    <row r="160" spans="25:35" x14ac:dyDescent="0.2">
      <c r="Y160" s="64" t="s">
        <v>39</v>
      </c>
      <c r="Z160" s="33" t="str">
        <f t="shared" ca="1" si="79"/>
        <v/>
      </c>
      <c r="AA160" s="12">
        <f t="shared" ca="1" si="80"/>
        <v>0</v>
      </c>
      <c r="AB160" s="12" t="str">
        <f ca="1">IF(AA160&gt;0,(Y88+AH88)&amp;Language!$E$80&amp;(X88+AG88),"")</f>
        <v/>
      </c>
      <c r="AC160" s="2"/>
      <c r="AD160" s="141"/>
      <c r="AE160" s="598"/>
      <c r="AF160" s="599"/>
      <c r="AG160" s="599"/>
      <c r="AH160" s="599"/>
      <c r="AI160" s="607" t="str">
        <f ca="1">IF(AA88&gt;0,AF88&amp;Language!$E$80&amp;AE88,"")</f>
        <v/>
      </c>
    </row>
    <row r="161" spans="25:35" x14ac:dyDescent="0.2">
      <c r="Y161" s="64" t="s">
        <v>40</v>
      </c>
      <c r="Z161" s="33" t="str">
        <f t="shared" ca="1" si="79"/>
        <v/>
      </c>
      <c r="AA161" s="12">
        <f t="shared" ca="1" si="80"/>
        <v>0</v>
      </c>
      <c r="AB161" s="12" t="str">
        <f ca="1">IF(AA161&gt;0,(Y89+AH89)&amp;Language!$E$80&amp;(X89+AG89),"")</f>
        <v/>
      </c>
      <c r="AC161" s="2"/>
      <c r="AD161" s="141"/>
      <c r="AE161" s="598"/>
      <c r="AF161" s="599"/>
      <c r="AG161" s="599"/>
      <c r="AH161" s="599"/>
      <c r="AI161" s="607" t="str">
        <f ca="1">IF(AA89&gt;0,AF89&amp;Language!$E$80&amp;AE89,"")</f>
        <v/>
      </c>
    </row>
    <row r="162" spans="25:35" x14ac:dyDescent="0.2">
      <c r="Y162" s="64" t="s">
        <v>41</v>
      </c>
      <c r="Z162" s="33" t="str">
        <f t="shared" ca="1" si="79"/>
        <v/>
      </c>
      <c r="AA162" s="12">
        <f t="shared" ca="1" si="80"/>
        <v>0</v>
      </c>
      <c r="AB162" s="12" t="str">
        <f ca="1">IF(AA162&gt;0,(Y90+AH90)&amp;Language!$E$80&amp;(X90+AG90),"")</f>
        <v/>
      </c>
      <c r="AC162" s="2"/>
      <c r="AD162" s="141"/>
      <c r="AE162" s="598"/>
      <c r="AF162" s="599"/>
      <c r="AG162" s="599"/>
      <c r="AH162" s="599"/>
      <c r="AI162" s="607" t="str">
        <f ca="1">IF(AA90&gt;0,AF90&amp;Language!$E$80&amp;AE90,"")</f>
        <v/>
      </c>
    </row>
    <row r="163" spans="25:35" x14ac:dyDescent="0.2">
      <c r="Y163" s="64" t="s">
        <v>42</v>
      </c>
      <c r="Z163" s="33" t="str">
        <f t="shared" ca="1" si="79"/>
        <v/>
      </c>
      <c r="AA163" s="12">
        <f t="shared" ca="1" si="80"/>
        <v>0</v>
      </c>
      <c r="AB163" s="12" t="str">
        <f ca="1">IF(AA163&gt;0,(Y91+AH91)&amp;Language!$E$80&amp;(X91+AG91),"")</f>
        <v/>
      </c>
      <c r="AC163" s="2"/>
      <c r="AD163" s="141"/>
      <c r="AE163" s="598"/>
      <c r="AF163" s="599"/>
      <c r="AG163" s="599"/>
      <c r="AH163" s="599"/>
      <c r="AI163" s="607" t="str">
        <f ca="1">IF(AA91&gt;0,AF91&amp;Language!$E$80&amp;AE91,"")</f>
        <v/>
      </c>
    </row>
    <row r="164" spans="25:35" x14ac:dyDescent="0.2">
      <c r="Y164" s="64" t="s">
        <v>43</v>
      </c>
      <c r="Z164" s="33" t="str">
        <f t="shared" ca="1" si="79"/>
        <v/>
      </c>
      <c r="AA164" s="12">
        <f t="shared" ca="1" si="80"/>
        <v>0</v>
      </c>
      <c r="AB164" s="12" t="str">
        <f ca="1">IF(AA164&gt;0,(Y92+AH92)&amp;Language!$E$80&amp;(X92+AG92),"")</f>
        <v/>
      </c>
      <c r="AC164" s="2"/>
      <c r="AD164" s="141"/>
      <c r="AE164" s="598"/>
      <c r="AF164" s="599"/>
      <c r="AG164" s="599"/>
      <c r="AH164" s="599"/>
      <c r="AI164" s="607" t="str">
        <f ca="1">IF(AA92&gt;0,AF92&amp;Language!$E$80&amp;AE92,"")</f>
        <v/>
      </c>
    </row>
    <row r="165" spans="25:35" ht="12.75" thickBot="1" x14ac:dyDescent="0.25">
      <c r="Y165" s="311" t="s">
        <v>44</v>
      </c>
      <c r="Z165" s="313" t="str">
        <f t="shared" ca="1" si="79"/>
        <v/>
      </c>
      <c r="AA165" s="312">
        <f t="shared" ca="1" si="80"/>
        <v>0</v>
      </c>
      <c r="AB165" s="312" t="str">
        <f ca="1">IF(AA165&gt;0,(Y93+AH93)&amp;Language!$E$80&amp;(X93+AG93),"")</f>
        <v/>
      </c>
      <c r="AC165" s="314"/>
      <c r="AD165" s="315"/>
      <c r="AE165" s="601"/>
      <c r="AF165" s="595"/>
      <c r="AG165" s="595"/>
      <c r="AH165" s="595"/>
      <c r="AI165" s="608" t="str">
        <f ca="1">IF(AA93&gt;0,AF93&amp;Language!$E$80&amp;AE93,"")</f>
        <v/>
      </c>
    </row>
    <row r="166" spans="25:35" ht="12.75" thickTop="1" x14ac:dyDescent="0.2">
      <c r="Y166" s="64" t="s">
        <v>45</v>
      </c>
      <c r="Z166" s="33" t="str">
        <f>""</f>
        <v/>
      </c>
      <c r="AA166" s="12">
        <v>0</v>
      </c>
      <c r="AB166" s="12" t="str">
        <f>""</f>
        <v/>
      </c>
      <c r="AC166" s="2"/>
      <c r="AD166" s="141"/>
      <c r="AE166" s="598"/>
      <c r="AF166" s="599"/>
      <c r="AG166" s="599"/>
      <c r="AH166" s="599"/>
      <c r="AI166" s="600"/>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AE63:AF63"/>
    <mergeCell ref="W3:AA3"/>
    <mergeCell ref="AB3:AF3"/>
    <mergeCell ref="AG3:AK3"/>
    <mergeCell ref="AL3:AP3"/>
    <mergeCell ref="AD15:AH15"/>
    <mergeCell ref="X63:Y63"/>
    <mergeCell ref="AG63:AH63"/>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333</v>
      </c>
      <c r="K2" s="1"/>
      <c r="L2" s="1"/>
      <c r="M2" s="1"/>
      <c r="N2" s="12"/>
      <c r="O2" s="1"/>
      <c r="P2" s="1"/>
      <c r="Q2" s="1"/>
      <c r="W2" s="2" t="s">
        <v>150</v>
      </c>
    </row>
    <row r="3" spans="1:45"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74">
        <f ca="1">IF($O$4&lt;10,$O$4,0)</f>
        <v>0</v>
      </c>
      <c r="X3" s="975"/>
      <c r="Y3" s="975"/>
      <c r="Z3" s="975"/>
      <c r="AA3" s="975"/>
      <c r="AB3" s="974">
        <f ca="1">IF($P$4&lt;10,$P$4,0)</f>
        <v>0</v>
      </c>
      <c r="AC3" s="975"/>
      <c r="AD3" s="975"/>
      <c r="AE3" s="975"/>
      <c r="AF3" s="975"/>
      <c r="AG3" s="974">
        <f ca="1">IF($Q$4&lt;10,$Q$4,0)</f>
        <v>0</v>
      </c>
      <c r="AH3" s="975"/>
      <c r="AI3" s="975"/>
      <c r="AJ3" s="975"/>
      <c r="AK3" s="975"/>
      <c r="AL3" s="974">
        <f ca="1">IF($R$4&lt;10,$R$4,0)</f>
        <v>0</v>
      </c>
      <c r="AM3" s="975"/>
      <c r="AN3" s="975"/>
      <c r="AO3" s="975"/>
      <c r="AP3" s="975"/>
      <c r="AR3" s="26" t="s">
        <v>373</v>
      </c>
      <c r="AS3" s="26" t="s">
        <v>374</v>
      </c>
    </row>
    <row r="4" spans="1:45" s="2" customFormat="1" ht="12.75" thickTop="1" x14ac:dyDescent="0.2">
      <c r="A4" s="239"/>
      <c r="B4" s="1">
        <v>1</v>
      </c>
      <c r="C4" s="20">
        <f t="shared" ref="C4:C12" ca="1" si="1">RANK(D4,$D$4:$D$12,1)</f>
        <v>1</v>
      </c>
      <c r="D4" s="12">
        <f t="shared" ref="D4:D12" ca="1" si="2">E4+ROW()/1000+(F4="")*10</f>
        <v>1.004</v>
      </c>
      <c r="E4" s="252">
        <f t="shared" ref="E4:E12" ca="1" si="3">IF($AI$15,RANK(AH17,AH$17:AH$25,1),RANK(X17,X$17:X$25,1))</f>
        <v>1</v>
      </c>
      <c r="F4" s="1" t="str">
        <f>$Q64</f>
        <v>Mainz 05</v>
      </c>
      <c r="G4" s="1">
        <f t="shared" ref="G4:G12" ca="1" si="4">SUMIFS($X$64:$X$135,$V$64:$V$135,$F4)+SUMIFS($Y$64:$Y$135,$W$64:$W$135,$F4)+SUMIFS($AG$64:$AG$135,$V$64:$V$135,$F4)+SUMIFS($AH$64:$AH$135,$W$64:$W$135,$F4)</f>
        <v>178</v>
      </c>
      <c r="H4" s="1">
        <f t="shared" ref="H4:H12" ca="1" si="5">SUMIFS($Y$64:$Y$135,$V$64:$V$135,$F4)+SUMIFS($X$64:$X$135,$W$64:$W$135,$F4)+SUMIFS($AH$64:$AH$135,$V$64:$V$135,$F4)+SUMIFS($AG$64:$AG$135,$W$64:$W$135,$F4)</f>
        <v>156</v>
      </c>
      <c r="I4" s="12">
        <f ca="1">IF(Settings!$G$7,G4-H4,IF(H4=0,IF(G4=0,0,Settings!$F$7),G4/H4))</f>
        <v>22</v>
      </c>
      <c r="J4" s="1">
        <f t="shared" ref="J4:J7" ca="1" si="6">SUMPRODUCT(($V$64:$V$135=F4)*$AE$64:$AE$135*$AA$64:$AA$135)+SUMPRODUCT(($W$64:$W$135=F4)*$AF$64:$AF$135*$AA$64:$AA$135)</f>
        <v>5</v>
      </c>
      <c r="K4" s="1">
        <f t="shared" ref="K4:K12" ca="1" si="7">SUMPRODUCT(($V$64:$V$135=F4)*$AA$64:$AA$135)+SUMPRODUCT(($W$64:$W$135=F4)*$AA$64:$AA$135)</f>
        <v>4</v>
      </c>
      <c r="L4" s="1">
        <f t="shared" ref="L4:L12" ca="1" si="8">K4-M4-N4</f>
        <v>2</v>
      </c>
      <c r="M4" s="1">
        <f t="shared" ref="M4:M12" ca="1" si="9">SUMPRODUCT(($V$64:$W$135=F4)*($AE$64:$AE$135=$AF$64:$AF$135)*$AA$64:$AA$135)</f>
        <v>1</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1.0604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1.0604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1.0604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1.0604</v>
      </c>
      <c r="AP4" s="578">
        <f t="shared" ref="AP4:AP12" ca="1" si="30">RANK($AO4,$AO$4:$AO$12,1)</f>
        <v>1</v>
      </c>
      <c r="AR4" s="1">
        <f ca="1">IF(Settings!$G$7,$I4,ROUND($I4,Settings!$H$7))</f>
        <v>22</v>
      </c>
      <c r="AS4" s="1">
        <f ca="1">SUMPRODUCT(($W$64:$W$135=F4)*$AE$64:$AE$135*$AA$64:$AA$135)+SUMPRODUCT(($V$64:$V$135=F4)*$AF$64:$AF$135*$AA$64:$AA$135)</f>
        <v>3</v>
      </c>
    </row>
    <row r="5" spans="1:45" s="2" customFormat="1" x14ac:dyDescent="0.2">
      <c r="A5" s="239"/>
      <c r="B5" s="1">
        <v>2</v>
      </c>
      <c r="C5" s="21">
        <f t="shared" ca="1" si="1"/>
        <v>5</v>
      </c>
      <c r="D5" s="12">
        <f t="shared" ca="1" si="2"/>
        <v>5.0049999999999999</v>
      </c>
      <c r="E5" s="252">
        <f t="shared" ca="1" si="3"/>
        <v>5</v>
      </c>
      <c r="F5" s="1" t="str">
        <f t="shared" ref="F5:F12" si="31">$Q65</f>
        <v>Inter Mailand</v>
      </c>
      <c r="G5" s="1">
        <f t="shared" ca="1" si="4"/>
        <v>152</v>
      </c>
      <c r="H5" s="1">
        <f t="shared" ca="1" si="5"/>
        <v>183</v>
      </c>
      <c r="I5" s="12">
        <f ca="1">IF(Settings!$G$7,G5-H5,IF(H5=0,IF(G5=0,0,Settings!$F$7),G5/H5))</f>
        <v>-31</v>
      </c>
      <c r="J5" s="1">
        <f t="shared" ca="1" si="6"/>
        <v>3</v>
      </c>
      <c r="K5" s="1">
        <f t="shared" ca="1" si="7"/>
        <v>4</v>
      </c>
      <c r="L5" s="1">
        <f t="shared" ca="1" si="8"/>
        <v>0</v>
      </c>
      <c r="M5" s="1">
        <f t="shared" ca="1" si="9"/>
        <v>3</v>
      </c>
      <c r="N5" s="1">
        <f t="shared" ca="1" si="10"/>
        <v>1</v>
      </c>
      <c r="O5" s="23"/>
      <c r="P5" s="24"/>
      <c r="V5" s="1"/>
      <c r="W5" s="575" t="str">
        <f t="shared" ca="1" si="11"/>
        <v/>
      </c>
      <c r="X5" s="576" t="str">
        <f t="shared" ca="1" si="12"/>
        <v/>
      </c>
      <c r="Y5" s="573">
        <f t="shared" ca="1" si="13"/>
        <v>99999</v>
      </c>
      <c r="Z5" s="573">
        <f t="shared" ca="1" si="14"/>
        <v>1.0605</v>
      </c>
      <c r="AA5" s="578">
        <f t="shared" ca="1" si="15"/>
        <v>2</v>
      </c>
      <c r="AB5" s="575" t="str">
        <f t="shared" ca="1" si="16"/>
        <v/>
      </c>
      <c r="AC5" s="576" t="str">
        <f t="shared" ca="1" si="17"/>
        <v/>
      </c>
      <c r="AD5" s="577">
        <f t="shared" ca="1" si="18"/>
        <v>99999</v>
      </c>
      <c r="AE5" s="573">
        <f t="shared" ca="1" si="19"/>
        <v>1.0605</v>
      </c>
      <c r="AF5" s="573">
        <f t="shared" ca="1" si="20"/>
        <v>2</v>
      </c>
      <c r="AG5" s="575" t="str">
        <f t="shared" ca="1" si="21"/>
        <v/>
      </c>
      <c r="AH5" s="576" t="str">
        <f t="shared" ca="1" si="22"/>
        <v/>
      </c>
      <c r="AI5" s="577">
        <f t="shared" ca="1" si="23"/>
        <v>99999</v>
      </c>
      <c r="AJ5" s="573">
        <f t="shared" ca="1" si="24"/>
        <v>1.0605</v>
      </c>
      <c r="AK5" s="578">
        <f t="shared" ca="1" si="25"/>
        <v>2</v>
      </c>
      <c r="AL5" s="576" t="str">
        <f t="shared" ca="1" si="26"/>
        <v/>
      </c>
      <c r="AM5" s="576" t="str">
        <f t="shared" ca="1" si="27"/>
        <v/>
      </c>
      <c r="AN5" s="577">
        <f t="shared" ca="1" si="28"/>
        <v>99999</v>
      </c>
      <c r="AO5" s="573">
        <f t="shared" ca="1" si="29"/>
        <v>1.0605</v>
      </c>
      <c r="AP5" s="578">
        <f t="shared" ca="1" si="30"/>
        <v>2</v>
      </c>
      <c r="AR5" s="1">
        <f ca="1">IF(Settings!$G$7,$I5,ROUND($I5,Settings!$H$7))</f>
        <v>-31</v>
      </c>
      <c r="AS5" s="1">
        <f t="shared" ref="AS5:AS12" ca="1" si="32">SUMPRODUCT(($W$64:$W$135=F5)*$AE$64:$AE$135*$AA$64:$AA$135)+SUMPRODUCT(($V$64:$V$135=F5)*$AF$64:$AF$135*$AA$64:$AA$135)</f>
        <v>5</v>
      </c>
    </row>
    <row r="6" spans="1:45" s="2" customFormat="1" x14ac:dyDescent="0.2">
      <c r="A6" s="239"/>
      <c r="B6" s="1">
        <v>3</v>
      </c>
      <c r="C6" s="21">
        <f t="shared" ca="1" si="1"/>
        <v>4</v>
      </c>
      <c r="D6" s="12">
        <f t="shared" ca="1" si="2"/>
        <v>4.0060000000000002</v>
      </c>
      <c r="E6" s="252">
        <f t="shared" ca="1" si="3"/>
        <v>4</v>
      </c>
      <c r="F6" s="1" t="str">
        <f t="shared" si="31"/>
        <v>SSV Wildbach</v>
      </c>
      <c r="G6" s="1">
        <f t="shared" ca="1" si="4"/>
        <v>169</v>
      </c>
      <c r="H6" s="1">
        <f t="shared" ca="1" si="5"/>
        <v>180</v>
      </c>
      <c r="I6" s="12">
        <f ca="1">IF(Settings!$G$7,G6-H6,IF(H6=0,IF(G6=0,0,Settings!$F$7),G6/H6))</f>
        <v>-11</v>
      </c>
      <c r="J6" s="1">
        <f t="shared" ca="1" si="6"/>
        <v>4</v>
      </c>
      <c r="K6" s="1">
        <f t="shared" ca="1" si="7"/>
        <v>4</v>
      </c>
      <c r="L6" s="1">
        <f t="shared" ca="1" si="8"/>
        <v>1</v>
      </c>
      <c r="M6" s="1">
        <f t="shared" ca="1" si="9"/>
        <v>2</v>
      </c>
      <c r="N6" s="1">
        <f t="shared" ca="1" si="10"/>
        <v>1</v>
      </c>
      <c r="O6" s="23"/>
      <c r="P6" s="24"/>
      <c r="V6" s="1"/>
      <c r="W6" s="575" t="str">
        <f t="shared" ca="1" si="11"/>
        <v/>
      </c>
      <c r="X6" s="576" t="str">
        <f t="shared" ca="1" si="12"/>
        <v/>
      </c>
      <c r="Y6" s="573">
        <f t="shared" ca="1" si="13"/>
        <v>99999</v>
      </c>
      <c r="Z6" s="573">
        <f t="shared" ca="1" si="14"/>
        <v>1.0606</v>
      </c>
      <c r="AA6" s="578">
        <f t="shared" ca="1" si="15"/>
        <v>3</v>
      </c>
      <c r="AB6" s="575" t="str">
        <f t="shared" ca="1" si="16"/>
        <v/>
      </c>
      <c r="AC6" s="576" t="str">
        <f t="shared" ca="1" si="17"/>
        <v/>
      </c>
      <c r="AD6" s="577">
        <f t="shared" ca="1" si="18"/>
        <v>99999</v>
      </c>
      <c r="AE6" s="573">
        <f t="shared" ca="1" si="19"/>
        <v>1.0606</v>
      </c>
      <c r="AF6" s="573">
        <f t="shared" ca="1" si="20"/>
        <v>3</v>
      </c>
      <c r="AG6" s="575" t="str">
        <f t="shared" ca="1" si="21"/>
        <v/>
      </c>
      <c r="AH6" s="576" t="str">
        <f t="shared" ca="1" si="22"/>
        <v/>
      </c>
      <c r="AI6" s="577">
        <f t="shared" ca="1" si="23"/>
        <v>99999</v>
      </c>
      <c r="AJ6" s="573">
        <f t="shared" ca="1" si="24"/>
        <v>1.0606</v>
      </c>
      <c r="AK6" s="578">
        <f t="shared" ca="1" si="25"/>
        <v>3</v>
      </c>
      <c r="AL6" s="576" t="str">
        <f t="shared" ca="1" si="26"/>
        <v/>
      </c>
      <c r="AM6" s="576" t="str">
        <f t="shared" ca="1" si="27"/>
        <v/>
      </c>
      <c r="AN6" s="577">
        <f t="shared" ca="1" si="28"/>
        <v>99999</v>
      </c>
      <c r="AO6" s="573">
        <f t="shared" ca="1" si="29"/>
        <v>1.0606</v>
      </c>
      <c r="AP6" s="578">
        <f t="shared" ca="1" si="30"/>
        <v>3</v>
      </c>
      <c r="AR6" s="1">
        <f ca="1">IF(Settings!$G$7,$I6,ROUND($I6,Settings!$H$7))</f>
        <v>-11</v>
      </c>
      <c r="AS6" s="1">
        <f t="shared" ca="1" si="32"/>
        <v>4</v>
      </c>
    </row>
    <row r="7" spans="1:45" s="2" customFormat="1" x14ac:dyDescent="0.2">
      <c r="A7" s="239"/>
      <c r="B7" s="1">
        <v>4</v>
      </c>
      <c r="C7" s="21">
        <f t="shared" ca="1" si="1"/>
        <v>2</v>
      </c>
      <c r="D7" s="12">
        <f t="shared" ca="1" si="2"/>
        <v>2.0070000000000001</v>
      </c>
      <c r="E7" s="252">
        <f t="shared" ca="1" si="3"/>
        <v>2</v>
      </c>
      <c r="F7" s="1" t="str">
        <f t="shared" si="31"/>
        <v>Manchester City</v>
      </c>
      <c r="G7" s="1">
        <f t="shared" ca="1" si="4"/>
        <v>184</v>
      </c>
      <c r="H7" s="1">
        <f t="shared" ca="1" si="5"/>
        <v>160</v>
      </c>
      <c r="I7" s="12">
        <f ca="1">IF(Settings!$G$7,G7-H7,IF(H7=0,IF(G7=0,0,Settings!$F$7),G7/H7))</f>
        <v>24</v>
      </c>
      <c r="J7" s="1">
        <f t="shared" ca="1" si="6"/>
        <v>4</v>
      </c>
      <c r="K7" s="1">
        <f t="shared" ca="1" si="7"/>
        <v>4</v>
      </c>
      <c r="L7" s="1">
        <f t="shared" ca="1" si="8"/>
        <v>1</v>
      </c>
      <c r="M7" s="1">
        <f t="shared" ca="1" si="9"/>
        <v>2</v>
      </c>
      <c r="N7" s="1">
        <f t="shared" ca="1" si="10"/>
        <v>1</v>
      </c>
      <c r="O7" s="23"/>
      <c r="P7" s="24"/>
      <c r="V7" s="1"/>
      <c r="W7" s="575" t="str">
        <f t="shared" ca="1" si="11"/>
        <v/>
      </c>
      <c r="X7" s="576" t="str">
        <f t="shared" ca="1" si="12"/>
        <v/>
      </c>
      <c r="Y7" s="573">
        <f t="shared" ca="1" si="13"/>
        <v>99999</v>
      </c>
      <c r="Z7" s="573">
        <f t="shared" ca="1" si="14"/>
        <v>1.0607</v>
      </c>
      <c r="AA7" s="578">
        <f t="shared" ca="1" si="15"/>
        <v>4</v>
      </c>
      <c r="AB7" s="575" t="str">
        <f t="shared" ca="1" si="16"/>
        <v/>
      </c>
      <c r="AC7" s="576" t="str">
        <f t="shared" ca="1" si="17"/>
        <v/>
      </c>
      <c r="AD7" s="577">
        <f t="shared" ca="1" si="18"/>
        <v>99999</v>
      </c>
      <c r="AE7" s="573">
        <f t="shared" ca="1" si="19"/>
        <v>1.0607</v>
      </c>
      <c r="AF7" s="573">
        <f t="shared" ca="1" si="20"/>
        <v>4</v>
      </c>
      <c r="AG7" s="575" t="str">
        <f t="shared" ca="1" si="21"/>
        <v/>
      </c>
      <c r="AH7" s="576" t="str">
        <f t="shared" ca="1" si="22"/>
        <v/>
      </c>
      <c r="AI7" s="577">
        <f t="shared" ca="1" si="23"/>
        <v>99999</v>
      </c>
      <c r="AJ7" s="573">
        <f t="shared" ca="1" si="24"/>
        <v>1.0607</v>
      </c>
      <c r="AK7" s="578">
        <f t="shared" ca="1" si="25"/>
        <v>4</v>
      </c>
      <c r="AL7" s="576" t="str">
        <f t="shared" ca="1" si="26"/>
        <v/>
      </c>
      <c r="AM7" s="576" t="str">
        <f t="shared" ca="1" si="27"/>
        <v/>
      </c>
      <c r="AN7" s="577">
        <f t="shared" ca="1" si="28"/>
        <v>99999</v>
      </c>
      <c r="AO7" s="573">
        <f t="shared" ca="1" si="29"/>
        <v>1.0607</v>
      </c>
      <c r="AP7" s="578">
        <f t="shared" ca="1" si="30"/>
        <v>4</v>
      </c>
      <c r="AR7" s="1">
        <f ca="1">IF(Settings!$G$7,$I7,ROUND($I7,Settings!$H$7))</f>
        <v>24</v>
      </c>
      <c r="AS7" s="1">
        <f t="shared" ca="1" si="32"/>
        <v>4</v>
      </c>
    </row>
    <row r="8" spans="1:45" s="2" customFormat="1" x14ac:dyDescent="0.2">
      <c r="A8" s="239"/>
      <c r="B8" s="1">
        <v>5</v>
      </c>
      <c r="C8" s="21">
        <f t="shared" ca="1" si="1"/>
        <v>3</v>
      </c>
      <c r="D8" s="12">
        <f t="shared" ca="1" si="2"/>
        <v>3.008</v>
      </c>
      <c r="E8" s="252">
        <f t="shared" ca="1" si="3"/>
        <v>3</v>
      </c>
      <c r="F8" s="1" t="str">
        <f t="shared" si="31"/>
        <v>FC Grönlingen</v>
      </c>
      <c r="G8" s="1">
        <f t="shared" ca="1" si="4"/>
        <v>174</v>
      </c>
      <c r="H8" s="1">
        <f t="shared" ca="1" si="5"/>
        <v>178</v>
      </c>
      <c r="I8" s="12">
        <f ca="1">IF(Settings!$G$7,G8-H8,IF(H8=0,IF(G8=0,0,Settings!$F$7),G8/H8))</f>
        <v>-4</v>
      </c>
      <c r="J8" s="1">
        <f ca="1">SUMPRODUCT(($V$64:$V$135=F8)*$AE$64:$AE$135*$AA$64:$AA$135)+SUMPRODUCT(($W$64:$W$135=F8)*$AF$64:$AF$135*$AA$64:$AA$135)</f>
        <v>4</v>
      </c>
      <c r="K8" s="1">
        <f t="shared" ca="1" si="7"/>
        <v>4</v>
      </c>
      <c r="L8" s="1">
        <f t="shared" ca="1" si="8"/>
        <v>1</v>
      </c>
      <c r="M8" s="1">
        <f t="shared" ca="1" si="9"/>
        <v>2</v>
      </c>
      <c r="N8" s="1">
        <f t="shared" ca="1" si="10"/>
        <v>1</v>
      </c>
      <c r="P8" s="24"/>
      <c r="W8" s="575" t="str">
        <f t="shared" ca="1" si="11"/>
        <v/>
      </c>
      <c r="X8" s="576" t="str">
        <f t="shared" ca="1" si="12"/>
        <v/>
      </c>
      <c r="Y8" s="573">
        <f t="shared" ca="1" si="13"/>
        <v>99999</v>
      </c>
      <c r="Z8" s="573">
        <f t="shared" ca="1" si="14"/>
        <v>1.0608</v>
      </c>
      <c r="AA8" s="578">
        <f t="shared" ca="1" si="15"/>
        <v>5</v>
      </c>
      <c r="AB8" s="575" t="str">
        <f t="shared" ca="1" si="16"/>
        <v/>
      </c>
      <c r="AC8" s="576" t="str">
        <f t="shared" ca="1" si="17"/>
        <v/>
      </c>
      <c r="AD8" s="577">
        <f t="shared" ca="1" si="18"/>
        <v>99999</v>
      </c>
      <c r="AE8" s="573">
        <f t="shared" ca="1" si="19"/>
        <v>1.0608</v>
      </c>
      <c r="AF8" s="573">
        <f t="shared" ca="1" si="20"/>
        <v>5</v>
      </c>
      <c r="AG8" s="575" t="str">
        <f t="shared" ca="1" si="21"/>
        <v/>
      </c>
      <c r="AH8" s="576" t="str">
        <f t="shared" ca="1" si="22"/>
        <v/>
      </c>
      <c r="AI8" s="577">
        <f t="shared" ca="1" si="23"/>
        <v>99999</v>
      </c>
      <c r="AJ8" s="573">
        <f t="shared" ca="1" si="24"/>
        <v>1.0608</v>
      </c>
      <c r="AK8" s="578">
        <f t="shared" ca="1" si="25"/>
        <v>5</v>
      </c>
      <c r="AL8" s="576" t="str">
        <f t="shared" ca="1" si="26"/>
        <v/>
      </c>
      <c r="AM8" s="576" t="str">
        <f t="shared" ca="1" si="27"/>
        <v/>
      </c>
      <c r="AN8" s="577">
        <f t="shared" ca="1" si="28"/>
        <v>99999</v>
      </c>
      <c r="AO8" s="573">
        <f t="shared" ca="1" si="29"/>
        <v>1.0608</v>
      </c>
      <c r="AP8" s="578">
        <f t="shared" ca="1" si="30"/>
        <v>5</v>
      </c>
      <c r="AR8" s="1">
        <f ca="1">IF(Settings!$G$7,$I8,ROUND($I8,Settings!$H$7))</f>
        <v>-4</v>
      </c>
      <c r="AS8" s="1">
        <f t="shared" ca="1" si="32"/>
        <v>4</v>
      </c>
    </row>
    <row r="9" spans="1:45" s="2" customFormat="1" x14ac:dyDescent="0.2">
      <c r="A9" s="239"/>
      <c r="B9" s="1">
        <v>6</v>
      </c>
      <c r="C9" s="21">
        <f t="shared" ca="1" si="1"/>
        <v>6</v>
      </c>
      <c r="D9" s="12">
        <f t="shared" ca="1" si="2"/>
        <v>16.009</v>
      </c>
      <c r="E9" s="252">
        <f t="shared" ca="1" si="3"/>
        <v>6</v>
      </c>
      <c r="F9" s="1" t="str">
        <f t="shared" si="31"/>
        <v/>
      </c>
      <c r="G9" s="1">
        <f t="shared" ca="1" si="4"/>
        <v>0</v>
      </c>
      <c r="H9" s="1">
        <f t="shared" ca="1" si="5"/>
        <v>0</v>
      </c>
      <c r="I9" s="12">
        <f ca="1">IF(Settings!$G$7,G9-H9,IF(H9=0,IF(G9=0,0,Settings!$F$7),G9/H9))</f>
        <v>0</v>
      </c>
      <c r="J9" s="1">
        <f t="shared" ref="J9:J12" ca="1" si="33">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1.0609</v>
      </c>
      <c r="AA9" s="578">
        <f t="shared" ca="1" si="15"/>
        <v>6</v>
      </c>
      <c r="AB9" s="575" t="str">
        <f t="shared" ca="1" si="16"/>
        <v/>
      </c>
      <c r="AC9" s="576" t="str">
        <f t="shared" ca="1" si="17"/>
        <v/>
      </c>
      <c r="AD9" s="577">
        <f t="shared" ca="1" si="18"/>
        <v>99999</v>
      </c>
      <c r="AE9" s="573">
        <f t="shared" ca="1" si="19"/>
        <v>1.0609</v>
      </c>
      <c r="AF9" s="573">
        <f t="shared" ca="1" si="20"/>
        <v>6</v>
      </c>
      <c r="AG9" s="575" t="str">
        <f t="shared" ca="1" si="21"/>
        <v/>
      </c>
      <c r="AH9" s="576" t="str">
        <f t="shared" ca="1" si="22"/>
        <v/>
      </c>
      <c r="AI9" s="577">
        <f t="shared" ca="1" si="23"/>
        <v>99999</v>
      </c>
      <c r="AJ9" s="573">
        <f t="shared" ca="1" si="24"/>
        <v>1.0609</v>
      </c>
      <c r="AK9" s="578">
        <f t="shared" ca="1" si="25"/>
        <v>6</v>
      </c>
      <c r="AL9" s="576" t="str">
        <f t="shared" ca="1" si="26"/>
        <v/>
      </c>
      <c r="AM9" s="576" t="str">
        <f t="shared" ca="1" si="27"/>
        <v/>
      </c>
      <c r="AN9" s="577">
        <f t="shared" ca="1" si="28"/>
        <v>99999</v>
      </c>
      <c r="AO9" s="573">
        <f t="shared" ca="1" si="29"/>
        <v>1.0609</v>
      </c>
      <c r="AP9" s="578">
        <f t="shared" ca="1" si="30"/>
        <v>6</v>
      </c>
      <c r="AR9" s="1">
        <f ca="1">IF(Settings!$G$7,$I9,ROUND($I9,Settings!$H$7))</f>
        <v>0</v>
      </c>
      <c r="AS9" s="1">
        <f t="shared" ca="1" si="32"/>
        <v>0</v>
      </c>
    </row>
    <row r="10" spans="1:45" s="2" customFormat="1" x14ac:dyDescent="0.2">
      <c r="A10" s="239"/>
      <c r="B10" s="1">
        <v>7</v>
      </c>
      <c r="C10" s="21">
        <f t="shared" ca="1" si="1"/>
        <v>7</v>
      </c>
      <c r="D10" s="12">
        <f t="shared" ca="1" si="2"/>
        <v>16.009999999999998</v>
      </c>
      <c r="E10" s="252">
        <f t="shared" ca="1" si="3"/>
        <v>6</v>
      </c>
      <c r="F10" s="1" t="str">
        <f t="shared" si="31"/>
        <v/>
      </c>
      <c r="G10" s="1">
        <f t="shared" ca="1" si="4"/>
        <v>0</v>
      </c>
      <c r="H10" s="1">
        <f t="shared" ca="1" si="5"/>
        <v>0</v>
      </c>
      <c r="I10" s="12">
        <f ca="1">IF(Settings!$G$7,G10-H10,IF(H10=0,IF(G10=0,0,Settings!$F$7),G10/H10))</f>
        <v>0</v>
      </c>
      <c r="J10" s="1">
        <f t="shared" ca="1" si="33"/>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1.0609999999999999</v>
      </c>
      <c r="AA10" s="578">
        <f t="shared" ca="1" si="15"/>
        <v>7</v>
      </c>
      <c r="AB10" s="575" t="str">
        <f t="shared" ca="1" si="16"/>
        <v/>
      </c>
      <c r="AC10" s="576" t="str">
        <f t="shared" ca="1" si="17"/>
        <v/>
      </c>
      <c r="AD10" s="577">
        <f t="shared" ca="1" si="18"/>
        <v>99999</v>
      </c>
      <c r="AE10" s="573">
        <f t="shared" ca="1" si="19"/>
        <v>1.0609999999999999</v>
      </c>
      <c r="AF10" s="573">
        <f t="shared" ca="1" si="20"/>
        <v>7</v>
      </c>
      <c r="AG10" s="575" t="str">
        <f t="shared" ca="1" si="21"/>
        <v/>
      </c>
      <c r="AH10" s="576" t="str">
        <f t="shared" ca="1" si="22"/>
        <v/>
      </c>
      <c r="AI10" s="577">
        <f t="shared" ca="1" si="23"/>
        <v>99999</v>
      </c>
      <c r="AJ10" s="573">
        <f t="shared" ca="1" si="24"/>
        <v>1.0609999999999999</v>
      </c>
      <c r="AK10" s="578">
        <f t="shared" ca="1" si="25"/>
        <v>7</v>
      </c>
      <c r="AL10" s="576" t="str">
        <f t="shared" ca="1" si="26"/>
        <v/>
      </c>
      <c r="AM10" s="576" t="str">
        <f t="shared" ca="1" si="27"/>
        <v/>
      </c>
      <c r="AN10" s="577">
        <f t="shared" ca="1" si="28"/>
        <v>99999</v>
      </c>
      <c r="AO10" s="573">
        <f t="shared" ca="1" si="29"/>
        <v>1.0609999999999999</v>
      </c>
      <c r="AP10" s="578">
        <f t="shared" ca="1" si="30"/>
        <v>7</v>
      </c>
      <c r="AR10" s="1">
        <f ca="1">IF(Settings!$G$7,$I10,ROUND($I10,Settings!$H$7))</f>
        <v>0</v>
      </c>
      <c r="AS10" s="1">
        <f t="shared" ca="1" si="32"/>
        <v>0</v>
      </c>
    </row>
    <row r="11" spans="1:45" s="2" customFormat="1" x14ac:dyDescent="0.2">
      <c r="A11" s="239"/>
      <c r="B11" s="1">
        <v>8</v>
      </c>
      <c r="C11" s="21">
        <f t="shared" ca="1" si="1"/>
        <v>8</v>
      </c>
      <c r="D11" s="12">
        <f t="shared" ca="1" si="2"/>
        <v>16.010999999999999</v>
      </c>
      <c r="E11" s="252">
        <f t="shared" ca="1" si="3"/>
        <v>6</v>
      </c>
      <c r="F11" s="1" t="str">
        <f t="shared" si="31"/>
        <v/>
      </c>
      <c r="G11" s="1">
        <f t="shared" ca="1" si="4"/>
        <v>0</v>
      </c>
      <c r="H11" s="1">
        <f t="shared" ca="1" si="5"/>
        <v>0</v>
      </c>
      <c r="I11" s="12">
        <f ca="1">IF(Settings!$G$7,G11-H11,IF(H11=0,IF(G11=0,0,Settings!$F$7),G11/H11))</f>
        <v>0</v>
      </c>
      <c r="J11" s="1">
        <f t="shared" ca="1" si="33"/>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1.0611000000000002</v>
      </c>
      <c r="AA11" s="578">
        <f t="shared" ca="1" si="15"/>
        <v>8</v>
      </c>
      <c r="AB11" s="575" t="str">
        <f t="shared" ca="1" si="16"/>
        <v/>
      </c>
      <c r="AC11" s="576" t="str">
        <f t="shared" ca="1" si="17"/>
        <v/>
      </c>
      <c r="AD11" s="577">
        <f t="shared" ca="1" si="18"/>
        <v>99999</v>
      </c>
      <c r="AE11" s="573">
        <f t="shared" ca="1" si="19"/>
        <v>1.0611000000000002</v>
      </c>
      <c r="AF11" s="573">
        <f t="shared" ca="1" si="20"/>
        <v>8</v>
      </c>
      <c r="AG11" s="575" t="str">
        <f t="shared" ca="1" si="21"/>
        <v/>
      </c>
      <c r="AH11" s="576" t="str">
        <f t="shared" ca="1" si="22"/>
        <v/>
      </c>
      <c r="AI11" s="577">
        <f t="shared" ca="1" si="23"/>
        <v>99999</v>
      </c>
      <c r="AJ11" s="573">
        <f t="shared" ca="1" si="24"/>
        <v>1.0611000000000002</v>
      </c>
      <c r="AK11" s="578">
        <f t="shared" ca="1" si="25"/>
        <v>8</v>
      </c>
      <c r="AL11" s="576" t="str">
        <f t="shared" ca="1" si="26"/>
        <v/>
      </c>
      <c r="AM11" s="576" t="str">
        <f t="shared" ca="1" si="27"/>
        <v/>
      </c>
      <c r="AN11" s="577">
        <f t="shared" ca="1" si="28"/>
        <v>99999</v>
      </c>
      <c r="AO11" s="573">
        <f t="shared" ca="1" si="29"/>
        <v>1.0611000000000002</v>
      </c>
      <c r="AP11" s="578">
        <f t="shared" ca="1" si="30"/>
        <v>8</v>
      </c>
      <c r="AR11" s="1">
        <f ca="1">IF(Settings!$G$7,$I11,ROUND($I11,Settings!$H$7))</f>
        <v>0</v>
      </c>
      <c r="AS11" s="1">
        <f t="shared" ca="1" si="32"/>
        <v>0</v>
      </c>
    </row>
    <row r="12" spans="1:45" s="2" customFormat="1" ht="12.75" thickBot="1" x14ac:dyDescent="0.25">
      <c r="A12" s="239"/>
      <c r="B12" s="1">
        <v>9</v>
      </c>
      <c r="C12" s="22">
        <f t="shared" ca="1" si="1"/>
        <v>9</v>
      </c>
      <c r="D12" s="12">
        <f t="shared" ca="1" si="2"/>
        <v>16.012</v>
      </c>
      <c r="E12" s="252">
        <f t="shared" ca="1" si="3"/>
        <v>6</v>
      </c>
      <c r="F12" s="1" t="str">
        <f t="shared" si="31"/>
        <v/>
      </c>
      <c r="G12" s="1">
        <f t="shared" ca="1" si="4"/>
        <v>0</v>
      </c>
      <c r="H12" s="1">
        <f t="shared" ca="1" si="5"/>
        <v>0</v>
      </c>
      <c r="I12" s="12">
        <f ca="1">IF(Settings!$G$7,G12-H12,IF(H12=0,IF(G12=0,0,Settings!$F$7),G12/H12))</f>
        <v>0</v>
      </c>
      <c r="J12" s="1">
        <f t="shared" ca="1" si="33"/>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1.0612000000000001</v>
      </c>
      <c r="AA12" s="582">
        <f t="shared" ca="1" si="15"/>
        <v>9</v>
      </c>
      <c r="AB12" s="579" t="str">
        <f t="shared" ca="1" si="16"/>
        <v/>
      </c>
      <c r="AC12" s="580" t="str">
        <f t="shared" ca="1" si="17"/>
        <v/>
      </c>
      <c r="AD12" s="583">
        <f t="shared" ca="1" si="18"/>
        <v>99999</v>
      </c>
      <c r="AE12" s="581">
        <f t="shared" ca="1" si="19"/>
        <v>1.0612000000000001</v>
      </c>
      <c r="AF12" s="581">
        <f t="shared" ca="1" si="20"/>
        <v>9</v>
      </c>
      <c r="AG12" s="579" t="str">
        <f t="shared" ca="1" si="21"/>
        <v/>
      </c>
      <c r="AH12" s="580" t="str">
        <f t="shared" ca="1" si="22"/>
        <v/>
      </c>
      <c r="AI12" s="583">
        <f t="shared" ca="1" si="23"/>
        <v>99999</v>
      </c>
      <c r="AJ12" s="581">
        <f t="shared" ca="1" si="24"/>
        <v>1.0612000000000001</v>
      </c>
      <c r="AK12" s="582">
        <f t="shared" ca="1" si="25"/>
        <v>9</v>
      </c>
      <c r="AL12" s="580" t="str">
        <f t="shared" ca="1" si="26"/>
        <v/>
      </c>
      <c r="AM12" s="580" t="str">
        <f t="shared" ca="1" si="27"/>
        <v/>
      </c>
      <c r="AN12" s="583">
        <f t="shared" ca="1" si="28"/>
        <v>99999</v>
      </c>
      <c r="AO12" s="581">
        <f t="shared" ca="1" si="29"/>
        <v>1.0612000000000001</v>
      </c>
      <c r="AP12" s="582">
        <f t="shared" ca="1" si="30"/>
        <v>9</v>
      </c>
      <c r="AR12" s="1">
        <f ca="1">IF(Settings!$G$7,$I12,ROUND($I12,Settings!$H$7))</f>
        <v>0</v>
      </c>
      <c r="AS12" s="1">
        <f t="shared" ca="1" si="32"/>
        <v>0</v>
      </c>
    </row>
    <row r="13" spans="1:45" s="2" customFormat="1" ht="12.75" thickTop="1" x14ac:dyDescent="0.2">
      <c r="B13" s="12">
        <f>$F$13*($F$13-1)</f>
        <v>20</v>
      </c>
      <c r="C13" s="12"/>
      <c r="D13" s="12"/>
      <c r="E13" s="12"/>
      <c r="F13" s="12">
        <f>9-COUNTBLANK($F$4:$F$12)</f>
        <v>5</v>
      </c>
      <c r="G13" s="12"/>
      <c r="H13" s="12"/>
      <c r="I13" s="12"/>
      <c r="J13" s="12"/>
      <c r="K13" s="26">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c r="AJ14" s="189"/>
    </row>
    <row r="15" spans="1:45" s="2" customFormat="1" x14ac:dyDescent="0.2">
      <c r="O15" s="11"/>
      <c r="AD15" s="976" t="s">
        <v>182</v>
      </c>
      <c r="AE15" s="977"/>
      <c r="AF15" s="977"/>
      <c r="AG15" s="977"/>
      <c r="AH15" s="978"/>
      <c r="AI15" s="2" t="b">
        <v>0</v>
      </c>
      <c r="AK15" s="239"/>
    </row>
    <row r="16" spans="1:45" s="2" customFormat="1" ht="15.75" thickBot="1" x14ac:dyDescent="0.25">
      <c r="B16" s="12" t="s">
        <v>5</v>
      </c>
      <c r="C16" s="706" t="s">
        <v>97</v>
      </c>
      <c r="D16" s="706" t="s">
        <v>102</v>
      </c>
      <c r="E16" s="706" t="s">
        <v>103</v>
      </c>
      <c r="F16" s="706" t="s">
        <v>104</v>
      </c>
      <c r="G16" s="706" t="s">
        <v>105</v>
      </c>
      <c r="H16" s="706" t="s">
        <v>106</v>
      </c>
      <c r="I16" s="706" t="s">
        <v>107</v>
      </c>
      <c r="J16" s="706" t="s">
        <v>108</v>
      </c>
      <c r="K16" s="706" t="s">
        <v>109</v>
      </c>
      <c r="L16" s="10" t="s">
        <v>334</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$Q64</f>
        <v>Mainz 05</v>
      </c>
      <c r="D17" s="1">
        <f t="shared" ref="D17:G25" ca="1" si="34">K4</f>
        <v>4</v>
      </c>
      <c r="E17" s="1">
        <f t="shared" ca="1" si="34"/>
        <v>2</v>
      </c>
      <c r="F17" s="1">
        <f t="shared" ca="1" si="34"/>
        <v>1</v>
      </c>
      <c r="G17" s="1">
        <f t="shared" ca="1" si="34"/>
        <v>1</v>
      </c>
      <c r="H17" s="1">
        <f t="shared" ref="H17:K25" ca="1" si="35">G4</f>
        <v>178</v>
      </c>
      <c r="I17" s="1">
        <f t="shared" ca="1" si="35"/>
        <v>156</v>
      </c>
      <c r="J17" s="12">
        <f t="shared" ca="1" si="35"/>
        <v>22</v>
      </c>
      <c r="K17" s="1">
        <f t="shared" ca="1" si="35"/>
        <v>5</v>
      </c>
      <c r="L17" s="28">
        <f ca="1">K17*$F$64+(J17+$H$65)*$F$65</f>
        <v>5522000</v>
      </c>
      <c r="M17" s="13">
        <f ca="1">IF($AI$15,COUNTIF($K$17:$K$25,K17),COUNTIF($L$17:$L$25,L17))</f>
        <v>1</v>
      </c>
      <c r="N17" s="13">
        <f t="array" aca="1" ref="N17" ca="1">IF($AI$15,SUM(($K$17:$K$25&gt;=K17)/COUNTIF($K$17:$K$25,$K$17:$K$25)),SUM(($L$17:$L$25&gt;=L17)/COUNTIF($L$17:$L$25,$L$17:$L$25)))</f>
        <v>1</v>
      </c>
      <c r="O17" s="51" t="str">
        <f t="shared" ref="O17:O25" ca="1" si="36">IF(AND(M17&gt;1,N17=1),C17,"")</f>
        <v/>
      </c>
      <c r="P17" s="52" t="str">
        <f t="shared" ref="P17:P25" ca="1" si="37">IF(AND(M17&gt;1,N17=2),C17,"")</f>
        <v/>
      </c>
      <c r="Q17" s="52" t="str">
        <f t="shared" ref="Q17:Q25" ca="1" si="38">IF(AND(M17&gt;1,N17=3),C17,"")</f>
        <v/>
      </c>
      <c r="R17" s="52" t="str">
        <f t="shared" ref="R17:R25" ca="1" si="39">IF(AND(M17&gt;1,N17=4),C17,"")</f>
        <v/>
      </c>
      <c r="S17" s="52" t="str">
        <f t="shared" ref="S17:S25" ca="1" si="40">IF(AND(M17&gt;1,N17=5),C17,"")</f>
        <v/>
      </c>
      <c r="T17" s="52" t="str">
        <f t="shared" ref="T17:T25" ca="1" si="41">IF(AND($M17&gt;1,$N17=6),$C17,"")</f>
        <v/>
      </c>
      <c r="U17" s="52" t="str">
        <f t="shared" ref="U17:U25" ca="1" si="42">IF(AND($M17&gt;1,$N17=7),$C17,"")</f>
        <v/>
      </c>
      <c r="V17" s="53" t="str">
        <f t="shared" ref="V17:V25" ca="1" si="43">IF(AND($M17&gt;1,$N17=8),$C17,"")</f>
        <v/>
      </c>
      <c r="W17" s="61">
        <f ca="1">AA17*$F$64+(AB17+$H$65)*$F$65</f>
        <v>500000</v>
      </c>
      <c r="X17" s="20">
        <f ca="1">RANK($L17,$L$17:$L$25)+RANK($W17,$W$17:$W$25)/100+(9-$Y17)/10000</f>
        <v>1.0108999999999999</v>
      </c>
      <c r="Y17" s="12">
        <f>PreliminaryRound!$AQ22</f>
        <v>0</v>
      </c>
      <c r="Z17" s="1">
        <f ca="1">RANK($W17,$W$17:$W$25)+(9-$Y17)/10</f>
        <v>1.9</v>
      </c>
      <c r="AA17" s="1">
        <f ca="1">SUM(E30:BP30)</f>
        <v>0</v>
      </c>
      <c r="AB17" s="1">
        <f ca="1">SUM(E41:BP41)</f>
        <v>0</v>
      </c>
      <c r="AC17" s="1"/>
      <c r="AD17" s="246">
        <f ca="1">RANK($K17,$K$17:$K$25)</f>
        <v>1</v>
      </c>
      <c r="AE17" s="28">
        <f ca="1">(J17+$H$65)*$F$65</f>
        <v>522000</v>
      </c>
      <c r="AF17" s="1">
        <f ca="1">RANK($AE17,$AE$17:$AE$25)</f>
        <v>2</v>
      </c>
      <c r="AG17" s="1">
        <f ca="1">RANK($W17,$W$17:$W$25)</f>
        <v>1</v>
      </c>
      <c r="AH17" s="248">
        <f ca="1">AD17+AG17/100+AF17/10000+(10-Y17)/1000000</f>
        <v>1.0102100000000001</v>
      </c>
      <c r="AI17" s="1"/>
    </row>
    <row r="18" spans="2:80" s="2" customFormat="1" x14ac:dyDescent="0.2">
      <c r="C18" s="2" t="str">
        <f t="shared" ref="C18:C25" si="44">$Q65</f>
        <v>Inter Mailand</v>
      </c>
      <c r="D18" s="1">
        <f t="shared" ca="1" si="34"/>
        <v>4</v>
      </c>
      <c r="E18" s="1">
        <f t="shared" ca="1" si="34"/>
        <v>0</v>
      </c>
      <c r="F18" s="1">
        <f t="shared" ca="1" si="34"/>
        <v>3</v>
      </c>
      <c r="G18" s="1">
        <f t="shared" ca="1" si="34"/>
        <v>1</v>
      </c>
      <c r="H18" s="1">
        <f t="shared" ca="1" si="35"/>
        <v>152</v>
      </c>
      <c r="I18" s="1">
        <f t="shared" ca="1" si="35"/>
        <v>183</v>
      </c>
      <c r="J18" s="12">
        <f t="shared" ca="1" si="35"/>
        <v>-31</v>
      </c>
      <c r="K18" s="1">
        <f t="shared" ca="1" si="35"/>
        <v>3</v>
      </c>
      <c r="L18" s="28">
        <f t="shared" ref="L18:L25" ca="1" si="45">K18*$F$64+(J18+$H$65)*$F$65</f>
        <v>3469000</v>
      </c>
      <c r="M18" s="13">
        <f t="shared" ref="M18:M25" ca="1" si="46">IF($AI$15,COUNTIF($K$17:$K$25,K18),COUNTIF($L$17:$L$25,L18))</f>
        <v>1</v>
      </c>
      <c r="N18" s="13">
        <f t="array" aca="1" ref="N18" ca="1">IF($AI$15,SUM(($K$17:$K$25&gt;=K18)/COUNTIF($K$17:$K$25,$K$17:$K$25)),SUM(($L$17:$L$25&gt;=L18)/COUNTIF($L$17:$L$25,$L$17:$L$25)))</f>
        <v>5</v>
      </c>
      <c r="O18" s="5" t="str">
        <f t="shared" ca="1" si="36"/>
        <v/>
      </c>
      <c r="P18" s="3" t="str">
        <f t="shared" ca="1" si="37"/>
        <v/>
      </c>
      <c r="Q18" s="3" t="str">
        <f t="shared" ca="1" si="38"/>
        <v/>
      </c>
      <c r="R18" s="3" t="str">
        <f t="shared" ca="1" si="39"/>
        <v/>
      </c>
      <c r="S18" s="3" t="str">
        <f t="shared" ca="1" si="40"/>
        <v/>
      </c>
      <c r="T18" s="3" t="str">
        <f t="shared" ca="1" si="41"/>
        <v/>
      </c>
      <c r="U18" s="3" t="str">
        <f t="shared" ca="1" si="42"/>
        <v/>
      </c>
      <c r="V18" s="54" t="str">
        <f t="shared" ca="1" si="43"/>
        <v/>
      </c>
      <c r="W18" s="61">
        <f t="shared" ref="W18:W25" ca="1" si="47">AA18*$F$64+(AB18+$H$65)*$F$65</f>
        <v>500000</v>
      </c>
      <c r="X18" s="21">
        <f t="shared" ref="X18:X25" ca="1" si="48">RANK($L18,$L$17:$L$25)+RANK($W18,$W$17:$W$25)/100+(9-$Y18)/10000</f>
        <v>5.0108999999999995</v>
      </c>
      <c r="Y18" s="12">
        <f>PreliminaryRound!$AQ23</f>
        <v>0</v>
      </c>
      <c r="Z18" s="1">
        <f t="shared" ref="Z18:Z25" ca="1" si="49">RANK($W18,$W$17:$W$25)+(9-$Y18)/10</f>
        <v>1.9</v>
      </c>
      <c r="AA18" s="1">
        <f t="shared" ref="AA18:AA25" ca="1" si="50">SUM(E31:BP31)</f>
        <v>0</v>
      </c>
      <c r="AB18" s="1">
        <f t="shared" ref="AB18:AB25" ca="1" si="51">SUM(E42:BP42)</f>
        <v>0</v>
      </c>
      <c r="AC18" s="1"/>
      <c r="AD18" s="246">
        <f t="shared" ref="AD18:AD25" ca="1" si="52">RANK($K18,$K$17:$K$25)</f>
        <v>5</v>
      </c>
      <c r="AE18" s="28">
        <f t="shared" ref="AE18:AE25" ca="1" si="53">(J18+$H$65)*$F$65</f>
        <v>469000</v>
      </c>
      <c r="AF18" s="1">
        <f t="shared" ref="AF18:AF25" ca="1" si="54">RANK($AE18,$AE$17:$AE$25)</f>
        <v>9</v>
      </c>
      <c r="AG18" s="1">
        <f t="shared" ref="AG18:AG25" ca="1" si="55">RANK($W18,$W$17:$W$25)</f>
        <v>1</v>
      </c>
      <c r="AH18" s="249">
        <f t="shared" ref="AH18:AH25" ca="1" si="56">AD18+AG18/100+AF18/10000+(10-Y18)/1000000</f>
        <v>5.0109099999999991</v>
      </c>
      <c r="AI18" s="1"/>
    </row>
    <row r="19" spans="2:80" s="2" customFormat="1" x14ac:dyDescent="0.2">
      <c r="C19" s="2" t="str">
        <f t="shared" si="44"/>
        <v>SSV Wildbach</v>
      </c>
      <c r="D19" s="1">
        <f t="shared" ca="1" si="34"/>
        <v>4</v>
      </c>
      <c r="E19" s="1">
        <f t="shared" ca="1" si="34"/>
        <v>1</v>
      </c>
      <c r="F19" s="1">
        <f t="shared" ca="1" si="34"/>
        <v>2</v>
      </c>
      <c r="G19" s="1">
        <f t="shared" ca="1" si="34"/>
        <v>1</v>
      </c>
      <c r="H19" s="1">
        <f t="shared" ca="1" si="35"/>
        <v>169</v>
      </c>
      <c r="I19" s="1">
        <f t="shared" ca="1" si="35"/>
        <v>180</v>
      </c>
      <c r="J19" s="12">
        <f t="shared" ca="1" si="35"/>
        <v>-11</v>
      </c>
      <c r="K19" s="1">
        <f t="shared" ca="1" si="35"/>
        <v>4</v>
      </c>
      <c r="L19" s="28">
        <f t="shared" ca="1" si="45"/>
        <v>4489000</v>
      </c>
      <c r="M19" s="13">
        <f t="shared" ca="1" si="46"/>
        <v>1</v>
      </c>
      <c r="N19" s="13">
        <f t="array" aca="1" ref="N19" ca="1">IF($AI$15,SUM(($K$17:$K$25&gt;=K19)/COUNTIF($K$17:$K$25,$K$17:$K$25)),SUM(($L$17:$L$25&gt;=L19)/COUNTIF($L$17:$L$25,$L$17:$L$25)))</f>
        <v>4</v>
      </c>
      <c r="O19" s="5" t="str">
        <f t="shared" ca="1" si="36"/>
        <v/>
      </c>
      <c r="P19" s="3" t="str">
        <f t="shared" ca="1" si="37"/>
        <v/>
      </c>
      <c r="Q19" s="3" t="str">
        <f t="shared" ca="1" si="38"/>
        <v/>
      </c>
      <c r="R19" s="3" t="str">
        <f t="shared" ca="1" si="39"/>
        <v/>
      </c>
      <c r="S19" s="3" t="str">
        <f t="shared" ca="1" si="40"/>
        <v/>
      </c>
      <c r="T19" s="3" t="str">
        <f t="shared" ca="1" si="41"/>
        <v/>
      </c>
      <c r="U19" s="3" t="str">
        <f t="shared" ca="1" si="42"/>
        <v/>
      </c>
      <c r="V19" s="54" t="str">
        <f t="shared" ca="1" si="43"/>
        <v/>
      </c>
      <c r="W19" s="61">
        <f t="shared" ca="1" si="47"/>
        <v>500000</v>
      </c>
      <c r="X19" s="21">
        <f t="shared" ca="1" si="48"/>
        <v>4.0108999999999995</v>
      </c>
      <c r="Y19" s="12">
        <f>PreliminaryRound!$AQ24</f>
        <v>0</v>
      </c>
      <c r="Z19" s="1">
        <f t="shared" ca="1" si="49"/>
        <v>1.9</v>
      </c>
      <c r="AA19" s="1">
        <f t="shared" ca="1" si="50"/>
        <v>0</v>
      </c>
      <c r="AB19" s="1">
        <f t="shared" ca="1" si="51"/>
        <v>0</v>
      </c>
      <c r="AC19" s="1"/>
      <c r="AD19" s="246">
        <f t="shared" ca="1" si="52"/>
        <v>2</v>
      </c>
      <c r="AE19" s="28">
        <f t="shared" ca="1" si="53"/>
        <v>489000</v>
      </c>
      <c r="AF19" s="1">
        <f t="shared" ca="1" si="54"/>
        <v>8</v>
      </c>
      <c r="AG19" s="1">
        <f t="shared" ca="1" si="55"/>
        <v>1</v>
      </c>
      <c r="AH19" s="249">
        <f t="shared" ca="1" si="56"/>
        <v>2.0108099999999998</v>
      </c>
      <c r="AI19" s="1"/>
    </row>
    <row r="20" spans="2:80" s="2" customFormat="1" x14ac:dyDescent="0.2">
      <c r="C20" s="2" t="str">
        <f t="shared" si="44"/>
        <v>Manchester City</v>
      </c>
      <c r="D20" s="1">
        <f t="shared" ca="1" si="34"/>
        <v>4</v>
      </c>
      <c r="E20" s="1">
        <f t="shared" ca="1" si="34"/>
        <v>1</v>
      </c>
      <c r="F20" s="1">
        <f t="shared" ca="1" si="34"/>
        <v>2</v>
      </c>
      <c r="G20" s="1">
        <f t="shared" ca="1" si="34"/>
        <v>1</v>
      </c>
      <c r="H20" s="1">
        <f t="shared" ca="1" si="35"/>
        <v>184</v>
      </c>
      <c r="I20" s="1">
        <f t="shared" ca="1" si="35"/>
        <v>160</v>
      </c>
      <c r="J20" s="12">
        <f t="shared" ca="1" si="35"/>
        <v>24</v>
      </c>
      <c r="K20" s="1">
        <f t="shared" ca="1" si="35"/>
        <v>4</v>
      </c>
      <c r="L20" s="28">
        <f t="shared" ca="1" si="45"/>
        <v>4524000</v>
      </c>
      <c r="M20" s="13">
        <f t="shared" ca="1" si="46"/>
        <v>1</v>
      </c>
      <c r="N20" s="13">
        <f t="array" aca="1" ref="N20" ca="1">IF($AI$15,SUM(($K$17:$K$25&gt;=K20)/COUNTIF($K$17:$K$25,$K$17:$K$25)),SUM(($L$17:$L$25&gt;=L20)/COUNTIF($L$17:$L$25,$L$17:$L$25)))</f>
        <v>2</v>
      </c>
      <c r="O20" s="5" t="str">
        <f t="shared" ca="1" si="36"/>
        <v/>
      </c>
      <c r="P20" s="3" t="str">
        <f t="shared" ca="1" si="37"/>
        <v/>
      </c>
      <c r="Q20" s="3" t="str">
        <f t="shared" ca="1" si="38"/>
        <v/>
      </c>
      <c r="R20" s="3" t="str">
        <f t="shared" ca="1" si="39"/>
        <v/>
      </c>
      <c r="S20" s="3" t="str">
        <f t="shared" ca="1" si="40"/>
        <v/>
      </c>
      <c r="T20" s="3" t="str">
        <f t="shared" ca="1" si="41"/>
        <v/>
      </c>
      <c r="U20" s="3" t="str">
        <f t="shared" ca="1" si="42"/>
        <v/>
      </c>
      <c r="V20" s="54" t="str">
        <f t="shared" ca="1" si="43"/>
        <v/>
      </c>
      <c r="W20" s="61">
        <f t="shared" ca="1" si="47"/>
        <v>500000</v>
      </c>
      <c r="X20" s="21">
        <f t="shared" ca="1" si="48"/>
        <v>2.0108999999999999</v>
      </c>
      <c r="Y20" s="12">
        <f>PreliminaryRound!$AQ25</f>
        <v>0</v>
      </c>
      <c r="Z20" s="1">
        <f t="shared" ca="1" si="49"/>
        <v>1.9</v>
      </c>
      <c r="AA20" s="1">
        <f t="shared" ca="1" si="50"/>
        <v>0</v>
      </c>
      <c r="AB20" s="1">
        <f t="shared" ca="1" si="51"/>
        <v>0</v>
      </c>
      <c r="AC20" s="1"/>
      <c r="AD20" s="246">
        <f t="shared" ca="1" si="52"/>
        <v>2</v>
      </c>
      <c r="AE20" s="28">
        <f t="shared" ca="1" si="53"/>
        <v>524000</v>
      </c>
      <c r="AF20" s="1">
        <f t="shared" ca="1" si="54"/>
        <v>1</v>
      </c>
      <c r="AG20" s="1">
        <f t="shared" ca="1" si="55"/>
        <v>1</v>
      </c>
      <c r="AH20" s="249">
        <f t="shared" ca="1" si="56"/>
        <v>2.0101100000000001</v>
      </c>
      <c r="AI20" s="1"/>
    </row>
    <row r="21" spans="2:80" s="2" customFormat="1" x14ac:dyDescent="0.2">
      <c r="C21" s="2" t="str">
        <f t="shared" si="44"/>
        <v>FC Grönlingen</v>
      </c>
      <c r="D21" s="1">
        <f t="shared" ca="1" si="34"/>
        <v>4</v>
      </c>
      <c r="E21" s="1">
        <f t="shared" ca="1" si="34"/>
        <v>1</v>
      </c>
      <c r="F21" s="1">
        <f t="shared" ca="1" si="34"/>
        <v>2</v>
      </c>
      <c r="G21" s="1">
        <f t="shared" ca="1" si="34"/>
        <v>1</v>
      </c>
      <c r="H21" s="1">
        <f t="shared" ca="1" si="35"/>
        <v>174</v>
      </c>
      <c r="I21" s="1">
        <f t="shared" ca="1" si="35"/>
        <v>178</v>
      </c>
      <c r="J21" s="12">
        <f t="shared" ca="1" si="35"/>
        <v>-4</v>
      </c>
      <c r="K21" s="1">
        <f t="shared" ca="1" si="35"/>
        <v>4</v>
      </c>
      <c r="L21" s="28">
        <f t="shared" ca="1" si="45"/>
        <v>4496000</v>
      </c>
      <c r="M21" s="13">
        <f t="shared" ca="1" si="46"/>
        <v>1</v>
      </c>
      <c r="N21" s="13">
        <f t="array" aca="1" ref="N21" ca="1">IF($AI$15,SUM(($K$17:$K$25&gt;=K21)/COUNTIF($K$17:$K$25,$K$17:$K$25)),SUM(($L$17:$L$25&gt;=L21)/COUNTIF($L$17:$L$25,$L$17:$L$25)))</f>
        <v>3</v>
      </c>
      <c r="O21" s="5" t="str">
        <f t="shared" ca="1" si="36"/>
        <v/>
      </c>
      <c r="P21" s="3" t="str">
        <f t="shared" ca="1" si="37"/>
        <v/>
      </c>
      <c r="Q21" s="3" t="str">
        <f t="shared" ca="1" si="38"/>
        <v/>
      </c>
      <c r="R21" s="3" t="str">
        <f t="shared" ca="1" si="39"/>
        <v/>
      </c>
      <c r="S21" s="3" t="str">
        <f t="shared" ca="1" si="40"/>
        <v/>
      </c>
      <c r="T21" s="3" t="str">
        <f t="shared" ca="1" si="41"/>
        <v/>
      </c>
      <c r="U21" s="3" t="str">
        <f t="shared" ca="1" si="42"/>
        <v/>
      </c>
      <c r="V21" s="54" t="str">
        <f t="shared" ca="1" si="43"/>
        <v/>
      </c>
      <c r="W21" s="61">
        <f t="shared" ca="1" si="47"/>
        <v>500000</v>
      </c>
      <c r="X21" s="21">
        <f t="shared" ca="1" si="48"/>
        <v>3.0108999999999999</v>
      </c>
      <c r="Y21" s="12">
        <f>PreliminaryRound!$AQ26</f>
        <v>0</v>
      </c>
      <c r="Z21" s="1">
        <f t="shared" ca="1" si="49"/>
        <v>1.9</v>
      </c>
      <c r="AA21" s="1">
        <f t="shared" ca="1" si="50"/>
        <v>0</v>
      </c>
      <c r="AB21" s="1">
        <f t="shared" ca="1" si="51"/>
        <v>0</v>
      </c>
      <c r="AC21" s="1"/>
      <c r="AD21" s="246">
        <f t="shared" ca="1" si="52"/>
        <v>2</v>
      </c>
      <c r="AE21" s="28">
        <f t="shared" ca="1" si="53"/>
        <v>496000</v>
      </c>
      <c r="AF21" s="1">
        <f t="shared" ca="1" si="54"/>
        <v>7</v>
      </c>
      <c r="AG21" s="1">
        <f t="shared" ca="1" si="55"/>
        <v>1</v>
      </c>
      <c r="AH21" s="249">
        <f t="shared" ca="1" si="56"/>
        <v>2.01071</v>
      </c>
      <c r="AI21" s="1"/>
    </row>
    <row r="22" spans="2:80" s="2" customFormat="1" x14ac:dyDescent="0.2">
      <c r="C22" s="2" t="str">
        <f t="shared" si="44"/>
        <v/>
      </c>
      <c r="D22" s="1">
        <f t="shared" ca="1" si="34"/>
        <v>0</v>
      </c>
      <c r="E22" s="1">
        <f t="shared" ca="1" si="34"/>
        <v>0</v>
      </c>
      <c r="F22" s="1">
        <f t="shared" ca="1" si="34"/>
        <v>0</v>
      </c>
      <c r="G22" s="1">
        <f t="shared" ca="1" si="34"/>
        <v>0</v>
      </c>
      <c r="H22" s="1">
        <f t="shared" ca="1" si="35"/>
        <v>0</v>
      </c>
      <c r="I22" s="1">
        <f t="shared" ca="1" si="35"/>
        <v>0</v>
      </c>
      <c r="J22" s="12">
        <f t="shared" ca="1" si="35"/>
        <v>0</v>
      </c>
      <c r="K22" s="1">
        <f t="shared" ca="1" si="35"/>
        <v>0</v>
      </c>
      <c r="L22" s="28">
        <f t="shared" ca="1" si="45"/>
        <v>500000</v>
      </c>
      <c r="M22" s="13">
        <f t="shared" ca="1" si="46"/>
        <v>4</v>
      </c>
      <c r="N22" s="13">
        <f t="array" aca="1" ref="N22" ca="1">IF($AI$15,SUM(($K$17:$K$25&gt;=K22)/COUNTIF($K$17:$K$25,$K$17:$K$25)),SUM(($L$17:$L$25&gt;=L22)/COUNTIF($L$17:$L$25,$L$17:$L$25)))</f>
        <v>6</v>
      </c>
      <c r="O22" s="5" t="str">
        <f t="shared" ca="1" si="36"/>
        <v/>
      </c>
      <c r="P22" s="3" t="str">
        <f t="shared" ca="1" si="37"/>
        <v/>
      </c>
      <c r="Q22" s="3" t="str">
        <f t="shared" ca="1" si="38"/>
        <v/>
      </c>
      <c r="R22" s="3" t="str">
        <f t="shared" ca="1" si="39"/>
        <v/>
      </c>
      <c r="S22" s="3" t="str">
        <f t="shared" ca="1" si="40"/>
        <v/>
      </c>
      <c r="T22" s="3" t="str">
        <f t="shared" ca="1" si="41"/>
        <v/>
      </c>
      <c r="U22" s="3" t="str">
        <f t="shared" ca="1" si="42"/>
        <v/>
      </c>
      <c r="V22" s="54" t="str">
        <f t="shared" ca="1" si="43"/>
        <v/>
      </c>
      <c r="W22" s="61">
        <f t="shared" ca="1" si="47"/>
        <v>500000</v>
      </c>
      <c r="X22" s="21">
        <f t="shared" ca="1" si="48"/>
        <v>6.0108999999999995</v>
      </c>
      <c r="Y22" s="12">
        <f>PreliminaryRound!$AQ27</f>
        <v>0</v>
      </c>
      <c r="Z22" s="1">
        <f t="shared" ca="1" si="49"/>
        <v>1.9</v>
      </c>
      <c r="AA22" s="1">
        <f t="shared" ca="1" si="50"/>
        <v>0</v>
      </c>
      <c r="AB22" s="1">
        <f t="shared" ca="1" si="51"/>
        <v>0</v>
      </c>
      <c r="AC22" s="1"/>
      <c r="AD22" s="246">
        <f t="shared" ca="1" si="52"/>
        <v>6</v>
      </c>
      <c r="AE22" s="28">
        <f t="shared" ca="1" si="53"/>
        <v>500000</v>
      </c>
      <c r="AF22" s="1">
        <f t="shared" ca="1" si="54"/>
        <v>3</v>
      </c>
      <c r="AG22" s="1">
        <f t="shared" ca="1" si="55"/>
        <v>1</v>
      </c>
      <c r="AH22" s="249">
        <f t="shared" ca="1" si="56"/>
        <v>6.0103099999999996</v>
      </c>
      <c r="AI22" s="1"/>
    </row>
    <row r="23" spans="2:80" s="2" customFormat="1" x14ac:dyDescent="0.2">
      <c r="C23" s="2" t="str">
        <f t="shared" si="44"/>
        <v/>
      </c>
      <c r="D23" s="1">
        <f t="shared" ca="1" si="34"/>
        <v>0</v>
      </c>
      <c r="E23" s="1">
        <f t="shared" ca="1" si="34"/>
        <v>0</v>
      </c>
      <c r="F23" s="1">
        <f t="shared" ca="1" si="34"/>
        <v>0</v>
      </c>
      <c r="G23" s="1">
        <f t="shared" ca="1" si="34"/>
        <v>0</v>
      </c>
      <c r="H23" s="1">
        <f t="shared" ca="1" si="35"/>
        <v>0</v>
      </c>
      <c r="I23" s="1">
        <f t="shared" ca="1" si="35"/>
        <v>0</v>
      </c>
      <c r="J23" s="12">
        <f t="shared" ca="1" si="35"/>
        <v>0</v>
      </c>
      <c r="K23" s="1">
        <f t="shared" ca="1" si="35"/>
        <v>0</v>
      </c>
      <c r="L23" s="28">
        <f t="shared" ca="1" si="45"/>
        <v>500000</v>
      </c>
      <c r="M23" s="13">
        <f t="shared" ca="1" si="46"/>
        <v>4</v>
      </c>
      <c r="N23" s="13">
        <f t="array" aca="1" ref="N23" ca="1">IF($AI$15,SUM(($K$17:$K$25&gt;=K23)/COUNTIF($K$17:$K$25,$K$17:$K$25)),SUM(($L$17:$L$25&gt;=L23)/COUNTIF($L$17:$L$25,$L$17:$L$25)))</f>
        <v>6</v>
      </c>
      <c r="O23" s="5" t="str">
        <f t="shared" ca="1" si="36"/>
        <v/>
      </c>
      <c r="P23" s="3" t="str">
        <f t="shared" ca="1" si="37"/>
        <v/>
      </c>
      <c r="Q23" s="3" t="str">
        <f t="shared" ca="1" si="38"/>
        <v/>
      </c>
      <c r="R23" s="3" t="str">
        <f t="shared" ca="1" si="39"/>
        <v/>
      </c>
      <c r="S23" s="3" t="str">
        <f t="shared" ca="1" si="40"/>
        <v/>
      </c>
      <c r="T23" s="3" t="str">
        <f t="shared" ca="1" si="41"/>
        <v/>
      </c>
      <c r="U23" s="3" t="str">
        <f t="shared" ca="1" si="42"/>
        <v/>
      </c>
      <c r="V23" s="54" t="str">
        <f t="shared" ca="1" si="43"/>
        <v/>
      </c>
      <c r="W23" s="61">
        <f t="shared" ca="1" si="47"/>
        <v>500000</v>
      </c>
      <c r="X23" s="21">
        <f t="shared" ca="1" si="48"/>
        <v>6.0108999999999995</v>
      </c>
      <c r="Y23" s="12">
        <v>0</v>
      </c>
      <c r="Z23" s="1">
        <f t="shared" ca="1" si="49"/>
        <v>1.9</v>
      </c>
      <c r="AA23" s="1">
        <f t="shared" ca="1" si="50"/>
        <v>0</v>
      </c>
      <c r="AB23" s="1">
        <f t="shared" ca="1" si="51"/>
        <v>0</v>
      </c>
      <c r="AC23" s="1"/>
      <c r="AD23" s="246">
        <f t="shared" ca="1" si="52"/>
        <v>6</v>
      </c>
      <c r="AE23" s="28">
        <f t="shared" ca="1" si="53"/>
        <v>500000</v>
      </c>
      <c r="AF23" s="1">
        <f t="shared" ca="1" si="54"/>
        <v>3</v>
      </c>
      <c r="AG23" s="1">
        <f t="shared" ca="1" si="55"/>
        <v>1</v>
      </c>
      <c r="AH23" s="249">
        <f t="shared" ca="1" si="56"/>
        <v>6.0103099999999996</v>
      </c>
      <c r="AI23" s="1"/>
    </row>
    <row r="24" spans="2:80" s="2" customFormat="1" x14ac:dyDescent="0.2">
      <c r="C24" s="2" t="str">
        <f t="shared" si="44"/>
        <v/>
      </c>
      <c r="D24" s="1">
        <f t="shared" ca="1" si="34"/>
        <v>0</v>
      </c>
      <c r="E24" s="1">
        <f t="shared" ca="1" si="34"/>
        <v>0</v>
      </c>
      <c r="F24" s="1">
        <f t="shared" ca="1" si="34"/>
        <v>0</v>
      </c>
      <c r="G24" s="1">
        <f t="shared" ca="1" si="34"/>
        <v>0</v>
      </c>
      <c r="H24" s="1">
        <f t="shared" ca="1" si="35"/>
        <v>0</v>
      </c>
      <c r="I24" s="1">
        <f t="shared" ca="1" si="35"/>
        <v>0</v>
      </c>
      <c r="J24" s="12">
        <f t="shared" ca="1" si="35"/>
        <v>0</v>
      </c>
      <c r="K24" s="1">
        <f t="shared" ca="1" si="35"/>
        <v>0</v>
      </c>
      <c r="L24" s="28">
        <f t="shared" ca="1" si="45"/>
        <v>500000</v>
      </c>
      <c r="M24" s="13">
        <f t="shared" ca="1" si="46"/>
        <v>4</v>
      </c>
      <c r="N24" s="13">
        <f t="array" aca="1" ref="N24" ca="1">IF($AI$15,SUM(($K$17:$K$25&gt;=K24)/COUNTIF($K$17:$K$25,$K$17:$K$25)),SUM(($L$17:$L$25&gt;=L24)/COUNTIF($L$17:$L$25,$L$17:$L$25)))</f>
        <v>6</v>
      </c>
      <c r="O24" s="5" t="str">
        <f t="shared" ca="1" si="36"/>
        <v/>
      </c>
      <c r="P24" s="3" t="str">
        <f t="shared" ca="1" si="37"/>
        <v/>
      </c>
      <c r="Q24" s="3" t="str">
        <f t="shared" ca="1" si="38"/>
        <v/>
      </c>
      <c r="R24" s="3" t="str">
        <f t="shared" ca="1" si="39"/>
        <v/>
      </c>
      <c r="S24" s="3" t="str">
        <f t="shared" ca="1" si="40"/>
        <v/>
      </c>
      <c r="T24" s="3" t="str">
        <f t="shared" ca="1" si="41"/>
        <v/>
      </c>
      <c r="U24" s="3" t="str">
        <f t="shared" ca="1" si="42"/>
        <v/>
      </c>
      <c r="V24" s="54" t="str">
        <f t="shared" ca="1" si="43"/>
        <v/>
      </c>
      <c r="W24" s="61">
        <f t="shared" ca="1" si="47"/>
        <v>500000</v>
      </c>
      <c r="X24" s="21">
        <f t="shared" ca="1" si="48"/>
        <v>6.0108999999999995</v>
      </c>
      <c r="Y24" s="12">
        <v>0</v>
      </c>
      <c r="Z24" s="1">
        <f t="shared" ca="1" si="49"/>
        <v>1.9</v>
      </c>
      <c r="AA24" s="1">
        <f t="shared" ca="1" si="50"/>
        <v>0</v>
      </c>
      <c r="AB24" s="1">
        <f t="shared" ca="1" si="51"/>
        <v>0</v>
      </c>
      <c r="AC24" s="1"/>
      <c r="AD24" s="246">
        <f t="shared" ca="1" si="52"/>
        <v>6</v>
      </c>
      <c r="AE24" s="28">
        <f t="shared" ca="1" si="53"/>
        <v>500000</v>
      </c>
      <c r="AF24" s="1">
        <f t="shared" ca="1" si="54"/>
        <v>3</v>
      </c>
      <c r="AG24" s="1">
        <f t="shared" ca="1" si="55"/>
        <v>1</v>
      </c>
      <c r="AH24" s="249">
        <f t="shared" ca="1" si="56"/>
        <v>6.0103099999999996</v>
      </c>
      <c r="AI24" s="1"/>
    </row>
    <row r="25" spans="2:80" s="2" customFormat="1" ht="12.75" thickBot="1" x14ac:dyDescent="0.25">
      <c r="C25" s="2" t="str">
        <f t="shared" si="44"/>
        <v/>
      </c>
      <c r="D25" s="1">
        <f t="shared" ca="1" si="34"/>
        <v>0</v>
      </c>
      <c r="E25" s="1">
        <f t="shared" ca="1" si="34"/>
        <v>0</v>
      </c>
      <c r="F25" s="1">
        <f t="shared" ca="1" si="34"/>
        <v>0</v>
      </c>
      <c r="G25" s="1">
        <f t="shared" ca="1" si="34"/>
        <v>0</v>
      </c>
      <c r="H25" s="1">
        <f t="shared" ca="1" si="35"/>
        <v>0</v>
      </c>
      <c r="I25" s="1">
        <f t="shared" ca="1" si="35"/>
        <v>0</v>
      </c>
      <c r="J25" s="12">
        <f t="shared" ca="1" si="35"/>
        <v>0</v>
      </c>
      <c r="K25" s="1">
        <f t="shared" ca="1" si="35"/>
        <v>0</v>
      </c>
      <c r="L25" s="28">
        <f t="shared" ca="1" si="45"/>
        <v>500000</v>
      </c>
      <c r="M25" s="13">
        <f t="shared" ca="1" si="46"/>
        <v>4</v>
      </c>
      <c r="N25" s="13">
        <f t="array" aca="1" ref="N25" ca="1">IF($AI$15,SUM(($K$17:$K$25&gt;=K25)/COUNTIF($K$17:$K$25,$K$17:$K$25)),SUM(($L$17:$L$25&gt;=L25)/COUNTIF($L$17:$L$25,$L$17:$L$25)))</f>
        <v>6</v>
      </c>
      <c r="O25" s="55" t="str">
        <f t="shared" ca="1" si="36"/>
        <v/>
      </c>
      <c r="P25" s="56" t="str">
        <f t="shared" ca="1" si="37"/>
        <v/>
      </c>
      <c r="Q25" s="56" t="str">
        <f t="shared" ca="1" si="38"/>
        <v/>
      </c>
      <c r="R25" s="56" t="str">
        <f t="shared" ca="1" si="39"/>
        <v/>
      </c>
      <c r="S25" s="56" t="str">
        <f t="shared" ca="1" si="40"/>
        <v/>
      </c>
      <c r="T25" s="56" t="str">
        <f t="shared" ca="1" si="41"/>
        <v/>
      </c>
      <c r="U25" s="56" t="str">
        <f t="shared" ca="1" si="42"/>
        <v/>
      </c>
      <c r="V25" s="57" t="str">
        <f t="shared" ca="1" si="43"/>
        <v/>
      </c>
      <c r="W25" s="61">
        <f t="shared" ca="1" si="47"/>
        <v>500000</v>
      </c>
      <c r="X25" s="22">
        <f t="shared" ca="1" si="48"/>
        <v>6.0108999999999995</v>
      </c>
      <c r="Y25" s="12">
        <v>0</v>
      </c>
      <c r="Z25" s="1">
        <f t="shared" ca="1" si="49"/>
        <v>1.9</v>
      </c>
      <c r="AA25" s="1">
        <f t="shared" ca="1" si="50"/>
        <v>0</v>
      </c>
      <c r="AB25" s="1">
        <f t="shared" ca="1" si="51"/>
        <v>0</v>
      </c>
      <c r="AC25" s="1"/>
      <c r="AD25" s="246">
        <f t="shared" ca="1" si="52"/>
        <v>6</v>
      </c>
      <c r="AE25" s="28">
        <f t="shared" ca="1" si="53"/>
        <v>500000</v>
      </c>
      <c r="AF25" s="1">
        <f t="shared" ca="1" si="54"/>
        <v>3</v>
      </c>
      <c r="AG25" s="1">
        <f t="shared" ca="1" si="55"/>
        <v>1</v>
      </c>
      <c r="AH25" s="250">
        <f t="shared" ca="1" si="56"/>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2">
        <v>1</v>
      </c>
      <c r="F29" s="969"/>
      <c r="G29" s="969"/>
      <c r="H29" s="969"/>
      <c r="I29" s="969"/>
      <c r="J29" s="969"/>
      <c r="K29" s="969"/>
      <c r="L29" s="971"/>
      <c r="M29" s="968">
        <v>2</v>
      </c>
      <c r="N29" s="969"/>
      <c r="O29" s="969"/>
      <c r="P29" s="969"/>
      <c r="Q29" s="969"/>
      <c r="R29" s="969"/>
      <c r="S29" s="969"/>
      <c r="T29" s="971"/>
      <c r="U29" s="968">
        <v>3</v>
      </c>
      <c r="V29" s="969"/>
      <c r="W29" s="969"/>
      <c r="X29" s="969"/>
      <c r="Y29" s="969"/>
      <c r="Z29" s="969"/>
      <c r="AA29" s="969"/>
      <c r="AB29" s="971"/>
      <c r="AC29" s="968">
        <v>4</v>
      </c>
      <c r="AD29" s="969"/>
      <c r="AE29" s="969"/>
      <c r="AF29" s="969"/>
      <c r="AG29" s="969"/>
      <c r="AH29" s="969"/>
      <c r="AI29" s="969"/>
      <c r="AJ29" s="971"/>
      <c r="AK29" s="968">
        <v>5</v>
      </c>
      <c r="AL29" s="969"/>
      <c r="AM29" s="969"/>
      <c r="AN29" s="969"/>
      <c r="AO29" s="969"/>
      <c r="AP29" s="969"/>
      <c r="AQ29" s="969"/>
      <c r="AR29" s="971"/>
      <c r="AS29" s="968">
        <v>6</v>
      </c>
      <c r="AT29" s="969"/>
      <c r="AU29" s="969"/>
      <c r="AV29" s="969"/>
      <c r="AW29" s="969"/>
      <c r="AX29" s="969"/>
      <c r="AY29" s="969"/>
      <c r="AZ29" s="971"/>
      <c r="BA29" s="968">
        <v>7</v>
      </c>
      <c r="BB29" s="969"/>
      <c r="BC29" s="969"/>
      <c r="BD29" s="969"/>
      <c r="BE29" s="969"/>
      <c r="BF29" s="969"/>
      <c r="BG29" s="969"/>
      <c r="BH29" s="971"/>
      <c r="BI29" s="968">
        <v>8</v>
      </c>
      <c r="BJ29" s="969"/>
      <c r="BK29" s="969"/>
      <c r="BL29" s="969"/>
      <c r="BM29" s="969"/>
      <c r="BN29" s="969"/>
      <c r="BO29" s="969"/>
      <c r="BP29" s="970"/>
      <c r="BQ29" s="12"/>
      <c r="BR29" s="4"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0"/>
    </row>
    <row r="30" spans="2:80" s="2" customFormat="1" x14ac:dyDescent="0.2">
      <c r="C30" s="2" t="str">
        <f>$Q64</f>
        <v>Mainz 05</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7">F4</f>
        <v>Mainz 05</v>
      </c>
      <c r="BS30" s="6"/>
      <c r="BT30" s="7">
        <f t="shared" ref="BT30:CA37" ca="1" si="58">SUMIFS($X$64:$X$135,$V$64:$V$135,$BR30,$W$64:$W$135,BT$29)+SUMIFS($Y$64:$Y$135,$W$64:$W$135,$BR30,$V$64:$V$135,BT$29)+SUMIFS($AG$64:$AG$135,$V$64:$V$135,$BR30,$W$64:$W$135,BT$29)+SUMIFS($AH$64:$AH$135,$W$64:$W$135,$BR30,$V$64:$V$135,BT$29)</f>
        <v>50</v>
      </c>
      <c r="BU30" s="7">
        <f t="shared" ca="1" si="58"/>
        <v>50</v>
      </c>
      <c r="BV30" s="7">
        <f t="shared" ca="1" si="58"/>
        <v>39</v>
      </c>
      <c r="BW30" s="7">
        <f t="shared" ca="1" si="58"/>
        <v>39</v>
      </c>
      <c r="BX30" s="7">
        <f t="shared" ca="1" si="58"/>
        <v>0</v>
      </c>
      <c r="BY30" s="7">
        <f t="shared" ca="1" si="58"/>
        <v>0</v>
      </c>
      <c r="BZ30" s="7">
        <f t="shared" ca="1" si="58"/>
        <v>0</v>
      </c>
      <c r="CA30" s="7">
        <f t="shared" ca="1" si="58"/>
        <v>0</v>
      </c>
      <c r="CB30" s="3"/>
    </row>
    <row r="31" spans="2:80" s="2" customFormat="1" x14ac:dyDescent="0.2">
      <c r="C31" s="2" t="str">
        <f t="shared" ref="C31:C38" si="59">$Q65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7"/>
        <v>Inter Mailand</v>
      </c>
      <c r="BS31" s="8">
        <f ca="1">SUMIFS($X$64:$X$135,$V$64:$V$135,$BR31,$W$64:$W$135,BS$29)+SUMIFS($Y$64:$Y$135,$W$64:$W$135,$BR31,$V$64:$V$135,BS$29)+SUMIFS($AG$64:$AG$135,$V$64:$V$135,$BR31,$W$64:$W$135,BS$29)+SUMIFS($AH$64:$AH$135,$W$64:$W$135,$BR31,$V$64:$V$135,BS$29)</f>
        <v>24</v>
      </c>
      <c r="BT31" s="6"/>
      <c r="BU31" s="7">
        <f ca="1">SUMIFS($X$64:$X$135,$V$64:$V$135,$BR31,$W$64:$W$135,BU$29)+SUMIFS($Y$64:$Y$135,$W$64:$W$135,$BR31,$V$64:$V$135,BU$29)+SUMIFS($AG$64:$AG$135,$V$64:$V$135,$BR31,$W$64:$W$135,BU$29)+SUMIFS($AH$64:$AH$135,$W$64:$W$135,$BR31,$V$64:$V$135,BU$29)</f>
        <v>44</v>
      </c>
      <c r="BV31" s="7">
        <f t="shared" ca="1" si="58"/>
        <v>39</v>
      </c>
      <c r="BW31" s="7">
        <f t="shared" ca="1" si="58"/>
        <v>45</v>
      </c>
      <c r="BX31" s="7">
        <f t="shared" ca="1" si="58"/>
        <v>0</v>
      </c>
      <c r="BY31" s="7">
        <f t="shared" ca="1" si="58"/>
        <v>0</v>
      </c>
      <c r="BZ31" s="7">
        <f t="shared" ca="1" si="58"/>
        <v>0</v>
      </c>
      <c r="CA31" s="7">
        <f t="shared" ca="1" si="58"/>
        <v>0</v>
      </c>
      <c r="CB31" s="3"/>
    </row>
    <row r="32" spans="2:80" s="2" customFormat="1" x14ac:dyDescent="0.2">
      <c r="C32" s="2" t="str">
        <f t="shared" si="59"/>
        <v>SSV Wildbach</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7"/>
        <v>SSV Wildbach</v>
      </c>
      <c r="BS32" s="8">
        <f t="shared" ref="BS32:BY38" ca="1" si="60">SUMIFS($X$64:$X$135,$V$64:$V$135,$BR32,$W$64:$W$135,BS$29)+SUMIFS($Y$64:$Y$135,$W$64:$W$135,$BR32,$V$64:$V$135,BS$29)+SUMIFS($AG$64:$AG$135,$V$64:$V$135,$BR32,$W$64:$W$135,BS$29)+SUMIFS($AH$64:$AH$135,$W$64:$W$135,$BR32,$V$64:$V$135,BS$29)</f>
        <v>38</v>
      </c>
      <c r="BT32" s="8">
        <f t="shared" ca="1" si="60"/>
        <v>37</v>
      </c>
      <c r="BU32" s="6"/>
      <c r="BV32" s="7">
        <f t="shared" ca="1" si="58"/>
        <v>50</v>
      </c>
      <c r="BW32" s="7">
        <f t="shared" ca="1" si="58"/>
        <v>44</v>
      </c>
      <c r="BX32" s="7">
        <f t="shared" ca="1" si="58"/>
        <v>0</v>
      </c>
      <c r="BY32" s="7">
        <f t="shared" ca="1" si="58"/>
        <v>0</v>
      </c>
      <c r="BZ32" s="7">
        <f t="shared" ca="1" si="58"/>
        <v>0</v>
      </c>
      <c r="CA32" s="7">
        <f t="shared" ca="1" si="58"/>
        <v>0</v>
      </c>
      <c r="CB32" s="3"/>
    </row>
    <row r="33" spans="2:80" s="2" customFormat="1" x14ac:dyDescent="0.2">
      <c r="C33" s="2" t="str">
        <f t="shared" si="59"/>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7"/>
        <v>Manchester City</v>
      </c>
      <c r="BS33" s="8">
        <f t="shared" ca="1" si="60"/>
        <v>44</v>
      </c>
      <c r="BT33" s="8">
        <f t="shared" ca="1" si="60"/>
        <v>48</v>
      </c>
      <c r="BU33" s="8">
        <f t="shared" ca="1" si="60"/>
        <v>42</v>
      </c>
      <c r="BV33" s="6"/>
      <c r="BW33" s="7">
        <f t="shared" ca="1" si="58"/>
        <v>50</v>
      </c>
      <c r="BX33" s="7">
        <f t="shared" ca="1" si="58"/>
        <v>0</v>
      </c>
      <c r="BY33" s="7">
        <f t="shared" ca="1" si="58"/>
        <v>0</v>
      </c>
      <c r="BZ33" s="7">
        <f t="shared" ca="1" si="58"/>
        <v>0</v>
      </c>
      <c r="CA33" s="7">
        <f t="shared" ca="1" si="58"/>
        <v>0</v>
      </c>
      <c r="CB33" s="3"/>
    </row>
    <row r="34" spans="2:80" s="2" customFormat="1" x14ac:dyDescent="0.2">
      <c r="C34" s="2" t="str">
        <f t="shared" si="59"/>
        <v>FC Grönlingen</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7"/>
        <v>FC Grönlingen</v>
      </c>
      <c r="BS34" s="8">
        <f t="shared" ca="1" si="60"/>
        <v>50</v>
      </c>
      <c r="BT34" s="8">
        <f t="shared" ca="1" si="60"/>
        <v>48</v>
      </c>
      <c r="BU34" s="8">
        <f t="shared" ca="1" si="60"/>
        <v>44</v>
      </c>
      <c r="BV34" s="8">
        <f t="shared" ca="1" si="60"/>
        <v>32</v>
      </c>
      <c r="BW34" s="6"/>
      <c r="BX34" s="7">
        <f t="shared" ca="1" si="58"/>
        <v>0</v>
      </c>
      <c r="BY34" s="7">
        <f t="shared" ca="1" si="58"/>
        <v>0</v>
      </c>
      <c r="BZ34" s="7">
        <f t="shared" ca="1" si="58"/>
        <v>0</v>
      </c>
      <c r="CA34" s="7">
        <f t="shared" ca="1" si="58"/>
        <v>0</v>
      </c>
      <c r="CB34" s="3"/>
    </row>
    <row r="35" spans="2:80" s="2" customFormat="1" x14ac:dyDescent="0.2">
      <c r="C35" s="2" t="str">
        <f t="shared" si="59"/>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7"/>
        <v/>
      </c>
      <c r="BS35" s="8">
        <f t="shared" ca="1" si="60"/>
        <v>0</v>
      </c>
      <c r="BT35" s="8">
        <f t="shared" ca="1" si="60"/>
        <v>0</v>
      </c>
      <c r="BU35" s="8">
        <f t="shared" ca="1" si="60"/>
        <v>0</v>
      </c>
      <c r="BV35" s="8">
        <f t="shared" ca="1" si="60"/>
        <v>0</v>
      </c>
      <c r="BW35" s="8">
        <f t="shared" ca="1" si="60"/>
        <v>0</v>
      </c>
      <c r="BX35" s="6"/>
      <c r="BY35" s="7">
        <f t="shared" ca="1" si="58"/>
        <v>0</v>
      </c>
      <c r="BZ35" s="7">
        <f t="shared" ca="1" si="58"/>
        <v>0</v>
      </c>
      <c r="CA35" s="7">
        <f t="shared" ca="1" si="58"/>
        <v>0</v>
      </c>
      <c r="CB35" s="3"/>
    </row>
    <row r="36" spans="2:80" s="2" customFormat="1" x14ac:dyDescent="0.2">
      <c r="C36" s="2" t="str">
        <f t="shared" si="59"/>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7"/>
        <v/>
      </c>
      <c r="BS36" s="8">
        <f t="shared" ca="1" si="60"/>
        <v>0</v>
      </c>
      <c r="BT36" s="8">
        <f t="shared" ca="1" si="60"/>
        <v>0</v>
      </c>
      <c r="BU36" s="8">
        <f t="shared" ca="1" si="60"/>
        <v>0</v>
      </c>
      <c r="BV36" s="8">
        <f t="shared" ca="1" si="60"/>
        <v>0</v>
      </c>
      <c r="BW36" s="8">
        <f t="shared" ca="1" si="60"/>
        <v>0</v>
      </c>
      <c r="BX36" s="8">
        <f t="shared" ca="1" si="60"/>
        <v>0</v>
      </c>
      <c r="BY36" s="6"/>
      <c r="BZ36" s="7">
        <f t="shared" ca="1" si="58"/>
        <v>0</v>
      </c>
      <c r="CA36" s="7">
        <f t="shared" ca="1" si="58"/>
        <v>0</v>
      </c>
      <c r="CB36" s="3"/>
    </row>
    <row r="37" spans="2:80" s="2" customFormat="1" x14ac:dyDescent="0.2">
      <c r="C37" s="2" t="str">
        <f t="shared" si="59"/>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7"/>
        <v/>
      </c>
      <c r="BS37" s="8">
        <f t="shared" ca="1" si="60"/>
        <v>0</v>
      </c>
      <c r="BT37" s="8">
        <f t="shared" ca="1" si="60"/>
        <v>0</v>
      </c>
      <c r="BU37" s="8">
        <f t="shared" ca="1" si="60"/>
        <v>0</v>
      </c>
      <c r="BV37" s="8">
        <f t="shared" ca="1" si="60"/>
        <v>0</v>
      </c>
      <c r="BW37" s="8">
        <f t="shared" ca="1" si="60"/>
        <v>0</v>
      </c>
      <c r="BX37" s="8">
        <f t="shared" ca="1" si="60"/>
        <v>0</v>
      </c>
      <c r="BY37" s="8">
        <f t="shared" ca="1" si="60"/>
        <v>0</v>
      </c>
      <c r="BZ37" s="6"/>
      <c r="CA37" s="7">
        <f t="shared" ca="1" si="58"/>
        <v>0</v>
      </c>
      <c r="CB37" s="3"/>
    </row>
    <row r="38" spans="2:80" s="2" customFormat="1" x14ac:dyDescent="0.2">
      <c r="C38" s="2" t="str">
        <f t="shared" si="59"/>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7"/>
        <v/>
      </c>
      <c r="BS38" s="8">
        <f t="shared" ca="1" si="60"/>
        <v>0</v>
      </c>
      <c r="BT38" s="8">
        <f t="shared" ca="1" si="60"/>
        <v>0</v>
      </c>
      <c r="BU38" s="8">
        <f t="shared" ca="1" si="60"/>
        <v>0</v>
      </c>
      <c r="BV38" s="8">
        <f t="shared" ca="1" si="60"/>
        <v>0</v>
      </c>
      <c r="BW38" s="8">
        <f t="shared" ca="1" si="60"/>
        <v>0</v>
      </c>
      <c r="BX38" s="8">
        <f t="shared" ca="1" si="60"/>
        <v>0</v>
      </c>
      <c r="BY38" s="8">
        <f t="shared" ca="1" si="60"/>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1">F4</f>
        <v>Mainz 05</v>
      </c>
      <c r="BS41" s="6"/>
      <c r="BT41" s="7">
        <f ca="1">BT30-BS31</f>
        <v>26</v>
      </c>
      <c r="BU41" s="7">
        <f ca="1">BU30-BS32</f>
        <v>12</v>
      </c>
      <c r="BV41" s="7">
        <f ca="1">BV30-BS33</f>
        <v>-5</v>
      </c>
      <c r="BW41" s="7">
        <f ca="1">BW30-BS34</f>
        <v>-11</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1"/>
        <v>Inter Mailand</v>
      </c>
      <c r="BS42" s="8">
        <f ca="1">IF(BT41="","",-1*BT41)</f>
        <v>-26</v>
      </c>
      <c r="BT42" s="6"/>
      <c r="BU42" s="7">
        <f ca="1">BU31-BT32</f>
        <v>7</v>
      </c>
      <c r="BV42" s="7">
        <f ca="1">BV31-BT33</f>
        <v>-9</v>
      </c>
      <c r="BW42" s="7">
        <f ca="1">BW31-BT34</f>
        <v>-3</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1"/>
        <v>SSV Wildbach</v>
      </c>
      <c r="BS43" s="8">
        <f ca="1">IF(BU41="","",-1*BU41)</f>
        <v>-12</v>
      </c>
      <c r="BT43" s="8">
        <f ca="1">IF(BU42="","",-1*BU42)</f>
        <v>-7</v>
      </c>
      <c r="BU43" s="6"/>
      <c r="BV43" s="7">
        <f ca="1">BV32-BU33</f>
        <v>8</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1"/>
        <v>Manchester City</v>
      </c>
      <c r="BS44" s="8">
        <f ca="1">IF(BV41="","",-1*BV41)</f>
        <v>5</v>
      </c>
      <c r="BT44" s="8">
        <f ca="1">IF(BV42="","",-1*BV42)</f>
        <v>9</v>
      </c>
      <c r="BU44" s="8">
        <f ca="1">IF(BV43="","",-1*BV43)</f>
        <v>-8</v>
      </c>
      <c r="BV44" s="6"/>
      <c r="BW44" s="7">
        <f ca="1">BW33-BV34</f>
        <v>18</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1"/>
        <v>FC Grönlingen</v>
      </c>
      <c r="BS45" s="8">
        <f ca="1">IF(BW41="","",-1*BW41)</f>
        <v>11</v>
      </c>
      <c r="BT45" s="8">
        <f ca="1">IF(BW42="","",-1*BW42)</f>
        <v>3</v>
      </c>
      <c r="BU45" s="8">
        <f ca="1">IF(BW43="","",-1*BW43)</f>
        <v>0</v>
      </c>
      <c r="BV45" s="8">
        <f ca="1">IF(BW44="","",-1*BW44)</f>
        <v>-18</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1"/>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1"/>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1"/>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1"/>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2">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3">F4</f>
        <v>Mainz 05</v>
      </c>
      <c r="BS52" s="6"/>
      <c r="BT52" s="7">
        <f t="shared" ref="BT52:CA58" ca="1" si="64">SUMIFS($AE$64:$AE$135,$V$64:$V$135,$BR52,$W$64:$W$135,BT$51)+SUMIFS($AF$64:$AF$135,$W$64:$W$135,$BR52,$V$64:$V$135,BT$51)</f>
        <v>2</v>
      </c>
      <c r="BU52" s="7">
        <f t="shared" ca="1" si="64"/>
        <v>2</v>
      </c>
      <c r="BV52" s="7">
        <f t="shared" ca="1" si="64"/>
        <v>1</v>
      </c>
      <c r="BW52" s="7">
        <f t="shared" ca="1" si="64"/>
        <v>0</v>
      </c>
      <c r="BX52" s="7">
        <f t="shared" ca="1" si="64"/>
        <v>0</v>
      </c>
      <c r="BY52" s="7">
        <f t="shared" ca="1" si="64"/>
        <v>0</v>
      </c>
      <c r="BZ52" s="7">
        <f t="shared" ca="1" si="64"/>
        <v>0</v>
      </c>
      <c r="CA52" s="7">
        <f t="shared" ca="1" si="64"/>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3"/>
        <v>Inter Mailand</v>
      </c>
      <c r="BS53" s="8">
        <f t="shared" ref="BS53:BU60" ca="1" si="65">SUMIFS($AE$64:$AE$135,$V$64:$V$135,$BR53,$W$64:$W$135,BS$51)+SUMIFS($AF$64:$AF$135,$W$64:$W$135,$BR53,$V$64:$V$135,BS$51)</f>
        <v>0</v>
      </c>
      <c r="BT53" s="6"/>
      <c r="BU53" s="7">
        <f ca="1">SUMIFS($AE$64:$AE$135,$V$64:$V$135,$BR53,$W$64:$W$135,BU$51)+SUMIFS($AF$64:$AF$135,$W$64:$W$135,$BR53,$V$64:$V$135,BU$51)</f>
        <v>1</v>
      </c>
      <c r="BV53" s="7">
        <f ca="1">SUMIFS($AE$64:$AE$135,$V$64:$V$135,$BR53,$W$64:$W$135,BV$51)+SUMIFS($AF$64:$AF$135,$W$64:$W$135,$BR53,$V$64:$V$135,BV$51)</f>
        <v>1</v>
      </c>
      <c r="BW53" s="7">
        <f ca="1">SUMIFS($AE$64:$AE$135,$V$64:$V$135,$BR53,$W$64:$W$135,BW$51)+SUMIFS($AF$64:$AF$135,$W$64:$W$135,$BR53,$V$64:$V$135,BW$51)</f>
        <v>1</v>
      </c>
      <c r="BX53" s="7">
        <f ca="1">SUMIFS($AE$64:$AE$135,$V$64:$V$135,$BR53,$W$64:$W$135,BX$51)+SUMIFS($AF$64:$AF$135,$W$64:$W$135,$BR53,$V$64:$V$135,BX$51)</f>
        <v>0</v>
      </c>
      <c r="BY53" s="7">
        <f ca="1">SUMIFS($AE$64:$AE$135,$V$64:$V$135,$BR53,$W$64:$W$135,BY$51)+SUMIFS($AF$64:$AF$135,$W$64:$W$135,$BR53,$V$64:$V$135,BY$51)</f>
        <v>0</v>
      </c>
      <c r="BZ53" s="7">
        <f t="shared" ca="1" si="64"/>
        <v>0</v>
      </c>
      <c r="CA53" s="7">
        <f t="shared" ca="1" si="64"/>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3"/>
        <v>SSV Wildbach</v>
      </c>
      <c r="BS54" s="8">
        <f t="shared" ca="1" si="65"/>
        <v>0</v>
      </c>
      <c r="BT54" s="8">
        <f t="shared" ca="1" si="65"/>
        <v>1</v>
      </c>
      <c r="BU54" s="6"/>
      <c r="BV54" s="7">
        <f ca="1">SUMIFS($AE$64:$AE$135,$V$64:$V$135,$BR54,$W$64:$W$135,BV$51)+SUMIFS($AF$64:$AF$135,$W$64:$W$135,$BR54,$V$64:$V$135,BV$51)</f>
        <v>2</v>
      </c>
      <c r="BW54" s="7">
        <f ca="1">SUMIFS($AE$64:$AE$135,$V$64:$V$135,$BR54,$W$64:$W$135,BW$51)+SUMIFS($AF$64:$AF$135,$W$64:$W$135,$BR54,$V$64:$V$135,BW$51)</f>
        <v>1</v>
      </c>
      <c r="BX54" s="7">
        <f ca="1">SUMIFS($AE$64:$AE$135,$V$64:$V$135,$BR54,$W$64:$W$135,BX$51)+SUMIFS($AF$64:$AF$135,$W$64:$W$135,$BR54,$V$64:$V$135,BX$51)</f>
        <v>0</v>
      </c>
      <c r="BY54" s="7">
        <f ca="1">SUMIFS($AE$64:$AE$135,$V$64:$V$135,$BR54,$W$64:$W$135,BY$51)+SUMIFS($AF$64:$AF$135,$W$64:$W$135,$BR54,$V$64:$V$135,BY$51)</f>
        <v>0</v>
      </c>
      <c r="BZ54" s="7">
        <f t="shared" ca="1" si="64"/>
        <v>0</v>
      </c>
      <c r="CA54" s="7">
        <f t="shared" ca="1" si="64"/>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3"/>
        <v>Manchester City</v>
      </c>
      <c r="BS55" s="8">
        <f t="shared" ca="1" si="65"/>
        <v>1</v>
      </c>
      <c r="BT55" s="8">
        <f t="shared" ca="1" si="65"/>
        <v>1</v>
      </c>
      <c r="BU55" s="8">
        <f t="shared" ca="1" si="65"/>
        <v>0</v>
      </c>
      <c r="BV55" s="6"/>
      <c r="BW55" s="7">
        <f ca="1">SUMIFS($AE$64:$AE$135,$V$64:$V$135,$BR55,$W$64:$W$135,BW$51)+SUMIFS($AF$64:$AF$135,$W$64:$W$135,$BR55,$V$64:$V$135,BW$51)</f>
        <v>2</v>
      </c>
      <c r="BX55" s="7">
        <f ca="1">SUMIFS($AE$64:$AE$135,$V$64:$V$135,$BR55,$W$64:$W$135,BX$51)+SUMIFS($AF$64:$AF$135,$W$64:$W$135,$BR55,$V$64:$V$135,BX$51)</f>
        <v>0</v>
      </c>
      <c r="BY55" s="7">
        <f ca="1">SUMIFS($AE$64:$AE$135,$V$64:$V$135,$BR55,$W$64:$W$135,BY$51)+SUMIFS($AF$64:$AF$135,$W$64:$W$135,$BR55,$V$64:$V$135,BY$51)</f>
        <v>0</v>
      </c>
      <c r="BZ55" s="7">
        <f t="shared" ca="1" si="64"/>
        <v>0</v>
      </c>
      <c r="CA55" s="7">
        <f t="shared" ca="1" si="64"/>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3"/>
        <v>FC Grönlingen</v>
      </c>
      <c r="BS56" s="8">
        <f t="shared" ca="1" si="65"/>
        <v>2</v>
      </c>
      <c r="BT56" s="8">
        <f t="shared" ca="1" si="65"/>
        <v>1</v>
      </c>
      <c r="BU56" s="8">
        <f t="shared" ca="1" si="65"/>
        <v>1</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4"/>
        <v>0</v>
      </c>
      <c r="CA56" s="7">
        <f t="shared" ca="1" si="64"/>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3"/>
        <v/>
      </c>
      <c r="BS57" s="8">
        <f t="shared" ca="1" si="65"/>
        <v>0</v>
      </c>
      <c r="BT57" s="8">
        <f t="shared" ca="1" si="65"/>
        <v>0</v>
      </c>
      <c r="BU57" s="8">
        <f t="shared" ca="1" si="65"/>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4"/>
        <v>0</v>
      </c>
      <c r="CA57" s="7">
        <f t="shared" ca="1" si="64"/>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3"/>
        <v/>
      </c>
      <c r="BS58" s="8">
        <f t="shared" ca="1" si="65"/>
        <v>0</v>
      </c>
      <c r="BT58" s="8">
        <f t="shared" ca="1" si="65"/>
        <v>0</v>
      </c>
      <c r="BU58" s="8">
        <f t="shared" ca="1" si="65"/>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4"/>
        <v>0</v>
      </c>
      <c r="CA58" s="7">
        <f t="shared" ca="1" si="64"/>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3"/>
        <v/>
      </c>
      <c r="BS59" s="8">
        <f t="shared" ca="1" si="65"/>
        <v>0</v>
      </c>
      <c r="BT59" s="8">
        <f t="shared" ca="1" si="65"/>
        <v>0</v>
      </c>
      <c r="BU59" s="8">
        <f t="shared" ca="1" si="65"/>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3"/>
        <v/>
      </c>
      <c r="BS60" s="8">
        <f t="shared" ca="1" si="65"/>
        <v>0</v>
      </c>
      <c r="BT60" s="8">
        <f t="shared" ca="1" si="65"/>
        <v>0</v>
      </c>
      <c r="BU60" s="8">
        <f t="shared" ca="1" si="65"/>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9" t="s">
        <v>323</v>
      </c>
      <c r="Y63" s="979"/>
      <c r="Z63" s="161" t="s">
        <v>155</v>
      </c>
      <c r="AA63" s="161" t="s">
        <v>15</v>
      </c>
      <c r="AB63" s="161" t="s">
        <v>153</v>
      </c>
      <c r="AC63" s="605" t="s">
        <v>156</v>
      </c>
      <c r="AD63" s="161" t="s">
        <v>154</v>
      </c>
      <c r="AE63" s="973" t="s">
        <v>331</v>
      </c>
      <c r="AF63" s="973"/>
      <c r="AG63" s="980" t="s">
        <v>325</v>
      </c>
      <c r="AH63" s="980"/>
      <c r="AI63" s="606" t="s">
        <v>332</v>
      </c>
      <c r="AJ63" s="3"/>
      <c r="AK63" s="3"/>
      <c r="AL63" s="3"/>
      <c r="AM63" s="3"/>
      <c r="AN63" s="3"/>
      <c r="AO63" s="3"/>
      <c r="AP63" s="3"/>
      <c r="AQ63" s="3"/>
      <c r="AR63" s="3"/>
    </row>
    <row r="64" spans="5:80" s="2" customFormat="1" ht="14.25" thickTop="1" thickBot="1" x14ac:dyDescent="0.25">
      <c r="F64" s="190">
        <v>1000000</v>
      </c>
      <c r="G64" s="191" t="s">
        <v>109</v>
      </c>
      <c r="P64" s="43" t="s">
        <v>6</v>
      </c>
      <c r="Q64" s="58" t="str">
        <f>IF(Planning!$C$24="","",Planning!$C$24)</f>
        <v>Mainz 05</v>
      </c>
      <c r="U64" s="63" t="s">
        <v>6</v>
      </c>
      <c r="V64" s="38" t="str">
        <f ca="1">Planning!$L6</f>
        <v>VFB Essenheim</v>
      </c>
      <c r="W64" s="31" t="str">
        <f ca="1">Planning!$N6</f>
        <v>FC Barcelona</v>
      </c>
      <c r="X64" s="31">
        <f ca="1">IF($AA64=1,PreliminaryRound!$I12,"")</f>
        <v>13</v>
      </c>
      <c r="Y64" s="32">
        <f ca="1">IF($AA64=1,PreliminaryRound!$K12,"")</f>
        <v>25</v>
      </c>
      <c r="Z64" s="30" t="str">
        <f ca="1">V64&amp;W64</f>
        <v>VFB EssenheimFC Barcelona</v>
      </c>
      <c r="AA64" s="31">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39" t="str">
        <f ca="1">IF(AA64&gt;0,(X64+AG64)&amp;Language!$E$80&amp;(Y64+AH64),"")</f>
        <v>33-50</v>
      </c>
      <c r="AD64" s="140"/>
      <c r="AE64" s="145">
        <f ca="1">IF($AA64=0,0,IF($X64&gt;$Y64,1,0)+IF($AG64&gt;$AH64,1,0))</f>
        <v>0</v>
      </c>
      <c r="AF64" s="140">
        <f ca="1">IF($AA64=0,0,IF($X64&lt;$Y64,1,0)+IF($AG64&lt;$AH64,1,0))</f>
        <v>2</v>
      </c>
      <c r="AG64" s="145">
        <f ca="1">IF($AA64=1,PreliminaryRound!$L12,"")</f>
        <v>20</v>
      </c>
      <c r="AH64" s="139">
        <f ca="1">IF($AA64=1,PreliminaryRound!$N12,"")</f>
        <v>25</v>
      </c>
      <c r="AI64" s="590" t="str">
        <f ca="1">IF(AA64&gt;0,AE64&amp;Language!$E$80&amp;AF64,"")</f>
        <v>0-2</v>
      </c>
      <c r="AJ64" s="3"/>
      <c r="AK64" s="3"/>
      <c r="AL64" s="3"/>
      <c r="AM64" s="3"/>
      <c r="AN64" s="3"/>
      <c r="AO64" s="3"/>
      <c r="AP64" s="3"/>
      <c r="AQ64" s="3"/>
      <c r="AR64" s="3"/>
    </row>
    <row r="65" spans="2:43" s="2" customFormat="1" ht="13.5" thickBot="1" x14ac:dyDescent="0.25">
      <c r="F65" s="192">
        <v>1000</v>
      </c>
      <c r="G65" s="193" t="s">
        <v>108</v>
      </c>
      <c r="H65" s="197">
        <v>500</v>
      </c>
      <c r="I65" s="196" t="s">
        <v>301</v>
      </c>
      <c r="P65" s="44" t="s">
        <v>7</v>
      </c>
      <c r="Q65" s="59" t="str">
        <f>IF(Planning!$C$26="","",Planning!$C$26)</f>
        <v>Inter Mailand</v>
      </c>
      <c r="U65" s="64" t="s">
        <v>7</v>
      </c>
      <c r="V65" s="39" t="str">
        <f ca="1">Planning!$L7</f>
        <v>FC Grönlingen</v>
      </c>
      <c r="W65" s="12" t="str">
        <f ca="1">Planning!$N7</f>
        <v>Inter Mailand</v>
      </c>
      <c r="X65" s="12">
        <f ca="1">IF($AA65=1,PreliminaryRound!$I13,"")</f>
        <v>25</v>
      </c>
      <c r="Y65" s="34">
        <f ca="1">IF($AA65=1,PreliminaryRound!$K13,"")</f>
        <v>20</v>
      </c>
      <c r="Z65" s="33" t="str">
        <f t="shared" ref="Z65:Z73" ca="1" si="66">V65&amp;W65</f>
        <v>FC GrönlingenInter Mailand</v>
      </c>
      <c r="AA65" s="12">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2" t="str">
        <f ca="1">IF(AA65&gt;0,(X65+AG65)&amp;Language!$E$80&amp;(Y65+AH65),"")</f>
        <v>48-45</v>
      </c>
      <c r="AD65" s="141"/>
      <c r="AE65" s="146">
        <f t="shared" ref="AE65:AE93" ca="1" si="67">IF($AA65=0,0,IF($X65&gt;$Y65,1,0)+IF($AG65&gt;$AH65,1,0))</f>
        <v>1</v>
      </c>
      <c r="AF65" s="141">
        <f t="shared" ref="AF65:AF93" ca="1" si="68">IF($AA65=0,0,IF($X65&lt;$Y65,1,0)+IF($AG65&lt;$AH65,1,0))</f>
        <v>1</v>
      </c>
      <c r="AG65" s="146">
        <f ca="1">IF($AA65=1,PreliminaryRound!$L13,"")</f>
        <v>23</v>
      </c>
      <c r="AH65" s="12">
        <f ca="1">IF($AA65=1,PreliminaryRound!$N13,"")</f>
        <v>25</v>
      </c>
      <c r="AI65" s="591" t="str">
        <f ca="1">IF(AA65&gt;0,AE65&amp;Language!$E$80&amp;AF65,"")</f>
        <v>1-1</v>
      </c>
      <c r="AJ65" s="12"/>
      <c r="AK65" s="12"/>
      <c r="AL65" s="12"/>
      <c r="AM65" s="12"/>
      <c r="AN65" s="12"/>
      <c r="AO65" s="12"/>
      <c r="AP65" s="12"/>
      <c r="AQ65" s="12"/>
    </row>
    <row r="66" spans="2:43" s="2" customFormat="1" ht="13.5" thickBot="1" x14ac:dyDescent="0.25">
      <c r="F66" s="194">
        <v>1</v>
      </c>
      <c r="G66" s="195" t="s">
        <v>106</v>
      </c>
      <c r="P66" s="44" t="s">
        <v>8</v>
      </c>
      <c r="Q66" s="59" t="str">
        <f>IF(Planning!$C$28="","",Planning!$C$28)</f>
        <v>SSV Wildbach</v>
      </c>
      <c r="U66" s="64" t="s">
        <v>8</v>
      </c>
      <c r="V66" s="39" t="str">
        <f ca="1">Planning!$L8</f>
        <v>Eintracht Frankfurt</v>
      </c>
      <c r="W66" s="12" t="str">
        <f ca="1">Planning!$N8</f>
        <v>Maibach 1822 eV</v>
      </c>
      <c r="X66" s="12">
        <f ca="1">IF($AA66=1,PreliminaryRound!$I14,"")</f>
        <v>25</v>
      </c>
      <c r="Y66" s="34">
        <f ca="1">IF($AA66=1,PreliminaryRound!$K14,"")</f>
        <v>21</v>
      </c>
      <c r="Z66" s="33" t="str">
        <f t="shared" ca="1" si="66"/>
        <v>Eintracht FrankfurtMaibach 1822 eV</v>
      </c>
      <c r="AA66" s="12">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2" t="str">
        <f ca="1">IF(AA66&gt;0,(X66+AG66)&amp;Language!$E$80&amp;(Y66+AH66),"")</f>
        <v>50-40</v>
      </c>
      <c r="AD66" s="141"/>
      <c r="AE66" s="146">
        <f t="shared" ca="1" si="67"/>
        <v>2</v>
      </c>
      <c r="AF66" s="141">
        <f t="shared" ca="1" si="68"/>
        <v>0</v>
      </c>
      <c r="AG66" s="146">
        <f ca="1">IF($AA66=1,PreliminaryRound!$L14,"")</f>
        <v>25</v>
      </c>
      <c r="AH66" s="12">
        <f ca="1">IF($AA66=1,PreliminaryRound!$N14,"")</f>
        <v>19</v>
      </c>
      <c r="AI66" s="591" t="str">
        <f ca="1">IF(AA66&gt;0,AE66&amp;Language!$E$80&amp;AF66,"")</f>
        <v>2-0</v>
      </c>
      <c r="AJ66" s="3"/>
      <c r="AK66" s="12"/>
      <c r="AL66" s="12"/>
      <c r="AM66" s="12"/>
      <c r="AN66" s="12"/>
      <c r="AO66" s="12"/>
      <c r="AP66" s="12"/>
      <c r="AQ66" s="12"/>
    </row>
    <row r="67" spans="2:43" s="2" customFormat="1" x14ac:dyDescent="0.2">
      <c r="P67" s="44" t="s">
        <v>9</v>
      </c>
      <c r="Q67" s="59" t="str">
        <f>IF(Planning!$C$30="","",Planning!$C$30)</f>
        <v>Manchester City</v>
      </c>
      <c r="U67" s="64" t="s">
        <v>9</v>
      </c>
      <c r="V67" s="39" t="str">
        <f ca="1">Planning!$L9</f>
        <v>SSV Wildbach</v>
      </c>
      <c r="W67" s="12" t="str">
        <f ca="1">Planning!$N9</f>
        <v>Manchester City</v>
      </c>
      <c r="X67" s="12">
        <f ca="1">IF($AA67=1,PreliminaryRound!$I15,"")</f>
        <v>25</v>
      </c>
      <c r="Y67" s="34">
        <f ca="1">IF($AA67=1,PreliminaryRound!$K15,"")</f>
        <v>22</v>
      </c>
      <c r="Z67" s="33" t="str">
        <f t="shared" ca="1" si="66"/>
        <v>SSV WildbachManchester City</v>
      </c>
      <c r="AA67" s="12">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2" t="str">
        <f ca="1">IF(AA67&gt;0,(X67+AG67)&amp;Language!$E$80&amp;(Y67+AH67),"")</f>
        <v>50-42</v>
      </c>
      <c r="AD67" s="141"/>
      <c r="AE67" s="146">
        <f t="shared" ca="1" si="67"/>
        <v>2</v>
      </c>
      <c r="AF67" s="141">
        <f t="shared" ca="1" si="68"/>
        <v>0</v>
      </c>
      <c r="AG67" s="146">
        <f ca="1">IF($AA67=1,PreliminaryRound!$L15,"")</f>
        <v>25</v>
      </c>
      <c r="AH67" s="12">
        <f ca="1">IF($AA67=1,PreliminaryRound!$N15,"")</f>
        <v>20</v>
      </c>
      <c r="AI67" s="591" t="str">
        <f ca="1">IF(AA67&gt;0,AE67&amp;Language!$E$80&amp;AF67,"")</f>
        <v>2-0</v>
      </c>
      <c r="AJ67" s="12"/>
      <c r="AK67" s="3"/>
      <c r="AL67" s="12"/>
      <c r="AM67" s="12"/>
      <c r="AN67" s="12"/>
      <c r="AO67" s="12"/>
      <c r="AP67" s="12"/>
      <c r="AQ67" s="12"/>
    </row>
    <row r="68" spans="2:43" s="2" customFormat="1" x14ac:dyDescent="0.2">
      <c r="P68" s="44" t="s">
        <v>10</v>
      </c>
      <c r="Q68" s="59" t="str">
        <f>IF(Planning!$C$32="","",Planning!$C$32)</f>
        <v>FC Grönlingen</v>
      </c>
      <c r="U68" s="64" t="s">
        <v>10</v>
      </c>
      <c r="V68" s="39" t="str">
        <f ca="1">Planning!$L10</f>
        <v>VFB Essenheim</v>
      </c>
      <c r="W68" s="12" t="str">
        <f ca="1">Planning!$N10</f>
        <v>1. FC Riedwald</v>
      </c>
      <c r="X68" s="12">
        <f ca="1">IF($AA68=1,PreliminaryRound!$I16,"")</f>
        <v>25</v>
      </c>
      <c r="Y68" s="34">
        <f ca="1">IF($AA68=1,PreliminaryRound!$K16,"")</f>
        <v>23</v>
      </c>
      <c r="Z68" s="33" t="str">
        <f t="shared" ca="1" si="66"/>
        <v>VFB Essenheim1. FC Riedwald</v>
      </c>
      <c r="AA68" s="12">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2" t="str">
        <f ca="1">IF(AA68&gt;0,(X68+AG68)&amp;Language!$E$80&amp;(Y68+AH68),"")</f>
        <v>50-44</v>
      </c>
      <c r="AD68" s="141"/>
      <c r="AE68" s="146">
        <f t="shared" ca="1" si="67"/>
        <v>2</v>
      </c>
      <c r="AF68" s="141">
        <f t="shared" ca="1" si="68"/>
        <v>0</v>
      </c>
      <c r="AG68" s="146">
        <f ca="1">IF($AA68=1,PreliminaryRound!$L16,"")</f>
        <v>25</v>
      </c>
      <c r="AH68" s="12">
        <f ca="1">IF($AA68=1,PreliminaryRound!$N16,"")</f>
        <v>21</v>
      </c>
      <c r="AI68" s="591" t="str">
        <f ca="1">IF(AA68&gt;0,AE68&amp;Language!$E$80&amp;AF68,"")</f>
        <v>2-0</v>
      </c>
      <c r="AJ68" s="12"/>
      <c r="AK68" s="12"/>
      <c r="AL68" s="3"/>
      <c r="AM68" s="12"/>
      <c r="AN68" s="12"/>
      <c r="AO68" s="12"/>
      <c r="AP68" s="12"/>
      <c r="AQ68" s="12"/>
    </row>
    <row r="69" spans="2:43" s="2" customFormat="1" x14ac:dyDescent="0.2">
      <c r="P69" s="44" t="s">
        <v>11</v>
      </c>
      <c r="Q69" s="59" t="str">
        <f>IF(Planning!$C$34="","",Planning!$C$34)</f>
        <v/>
      </c>
      <c r="U69" s="64" t="s">
        <v>11</v>
      </c>
      <c r="V69" s="39" t="str">
        <f ca="1">Planning!$L11</f>
        <v>FC Grönlingen</v>
      </c>
      <c r="W69" s="12" t="str">
        <f ca="1">Planning!$N11</f>
        <v>Mainz 05</v>
      </c>
      <c r="X69" s="12">
        <f ca="1">IF($AA69=1,PreliminaryRound!$I17,"")</f>
        <v>25</v>
      </c>
      <c r="Y69" s="34">
        <f ca="1">IF($AA69=1,PreliminaryRound!$K17,"")</f>
        <v>17</v>
      </c>
      <c r="Z69" s="33" t="str">
        <f t="shared" ca="1" si="66"/>
        <v>FC GrönlingenMainz 05</v>
      </c>
      <c r="AA69" s="12">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2" t="str">
        <f ca="1">IF(AA69&gt;0,(X69+AG69)&amp;Language!$E$80&amp;(Y69+AH69),"")</f>
        <v>50-39</v>
      </c>
      <c r="AD69" s="141"/>
      <c r="AE69" s="146">
        <f t="shared" ca="1" si="67"/>
        <v>2</v>
      </c>
      <c r="AF69" s="141">
        <f t="shared" ca="1" si="68"/>
        <v>0</v>
      </c>
      <c r="AG69" s="146">
        <f ca="1">IF($AA69=1,PreliminaryRound!$L17,"")</f>
        <v>25</v>
      </c>
      <c r="AH69" s="12">
        <f ca="1">IF($AA69=1,PreliminaryRound!$N17,"")</f>
        <v>22</v>
      </c>
      <c r="AI69" s="591" t="str">
        <f ca="1">IF(AA69&gt;0,AE69&amp;Language!$E$80&amp;AF69,"")</f>
        <v>2-0</v>
      </c>
      <c r="AJ69" s="12"/>
      <c r="AK69" s="12"/>
      <c r="AL69" s="12"/>
      <c r="AM69" s="3"/>
      <c r="AN69" s="12"/>
      <c r="AO69" s="12"/>
      <c r="AP69" s="12"/>
      <c r="AQ69" s="12"/>
    </row>
    <row r="70" spans="2:43" s="2" customFormat="1" x14ac:dyDescent="0.2">
      <c r="P70" s="44"/>
      <c r="Q70" s="59" t="str">
        <f>""</f>
        <v/>
      </c>
      <c r="U70" s="64" t="s">
        <v>16</v>
      </c>
      <c r="V70" s="39" t="str">
        <f ca="1">Planning!$L12</f>
        <v>FC Barcelona</v>
      </c>
      <c r="W70" s="12" t="str">
        <f ca="1">Planning!$N12</f>
        <v>Eintracht Frankfurt</v>
      </c>
      <c r="X70" s="12">
        <f ca="1">IF($AA70=1,PreliminaryRound!$I18,"")</f>
        <v>23</v>
      </c>
      <c r="Y70" s="34">
        <f ca="1">IF($AA70=1,PreliminaryRound!$K18,"")</f>
        <v>25</v>
      </c>
      <c r="Z70" s="33" t="str">
        <f t="shared" ca="1" si="66"/>
        <v>FC BarcelonaEintracht Frankfurt</v>
      </c>
      <c r="AA70" s="12">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2" t="str">
        <f ca="1">IF(AA70&gt;0,(X70+AG70)&amp;Language!$E$80&amp;(Y70+AH70),"")</f>
        <v>48-48</v>
      </c>
      <c r="AD70" s="141"/>
      <c r="AE70" s="146">
        <f t="shared" ca="1" si="67"/>
        <v>1</v>
      </c>
      <c r="AF70" s="141">
        <f t="shared" ca="1" si="68"/>
        <v>1</v>
      </c>
      <c r="AG70" s="146">
        <f ca="1">IF($AA70=1,PreliminaryRound!$L18,"")</f>
        <v>25</v>
      </c>
      <c r="AH70" s="12">
        <f ca="1">IF($AA70=1,PreliminaryRound!$N18,"")</f>
        <v>23</v>
      </c>
      <c r="AI70" s="591" t="str">
        <f ca="1">IF(AA70&gt;0,AE70&amp;Language!$E$80&amp;AF70,"")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Planning!$L13</f>
        <v>Inter Mailand</v>
      </c>
      <c r="W71" s="12" t="str">
        <f ca="1">Planning!$N13</f>
        <v>SSV Wildbach</v>
      </c>
      <c r="X71" s="12">
        <f ca="1">IF($AA71=1,PreliminaryRound!$I19,"")</f>
        <v>19</v>
      </c>
      <c r="Y71" s="34">
        <f ca="1">IF($AA71=1,PreliminaryRound!$K19,"")</f>
        <v>25</v>
      </c>
      <c r="Z71" s="33" t="str">
        <f t="shared" ca="1" si="66"/>
        <v>Inter MailandSSV Wildbach</v>
      </c>
      <c r="AA71" s="12">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2" t="str">
        <f ca="1">IF(AA71&gt;0,(X71+AG71)&amp;Language!$E$80&amp;(Y71+AH71),"")</f>
        <v>44-37</v>
      </c>
      <c r="AD71" s="141"/>
      <c r="AE71" s="146">
        <f t="shared" ca="1" si="67"/>
        <v>1</v>
      </c>
      <c r="AF71" s="141">
        <f t="shared" ca="1" si="68"/>
        <v>1</v>
      </c>
      <c r="AG71" s="146">
        <f ca="1">IF($AA71=1,PreliminaryRound!$L19,"")</f>
        <v>25</v>
      </c>
      <c r="AH71" s="12">
        <f ca="1">IF($AA71=1,PreliminaryRound!$N19,"")</f>
        <v>12</v>
      </c>
      <c r="AI71" s="591" t="str">
        <f ca="1">IF(AA71&gt;0,AE71&amp;Language!$E$80&amp;AF71,"")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Planning!$L14</f>
        <v>1. FC Riedwald</v>
      </c>
      <c r="W72" s="12" t="str">
        <f ca="1">Planning!$N14</f>
        <v>Maibach 1822 eV</v>
      </c>
      <c r="X72" s="12">
        <f ca="1">IF($AA72=1,PreliminaryRound!$I20,"")</f>
        <v>16</v>
      </c>
      <c r="Y72" s="34">
        <f ca="1">IF($AA72=1,PreliminaryRound!$K20,"")</f>
        <v>25</v>
      </c>
      <c r="Z72" s="33" t="str">
        <f t="shared" ca="1" si="66"/>
        <v>1. FC RiedwaldMaibach 1822 eV</v>
      </c>
      <c r="AA72" s="12">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2" t="str">
        <f ca="1">IF(AA72&gt;0,(X72+AG72)&amp;Language!$E$80&amp;(Y72+AH72),"")</f>
        <v>41-43</v>
      </c>
      <c r="AD72" s="141"/>
      <c r="AE72" s="146">
        <f t="shared" ca="1" si="67"/>
        <v>1</v>
      </c>
      <c r="AF72" s="141">
        <f t="shared" ca="1" si="68"/>
        <v>1</v>
      </c>
      <c r="AG72" s="146">
        <f ca="1">IF($AA72=1,PreliminaryRound!$L20,"")</f>
        <v>25</v>
      </c>
      <c r="AH72" s="12">
        <f ca="1">IF($AA72=1,PreliminaryRound!$N20,"")</f>
        <v>18</v>
      </c>
      <c r="AI72" s="591" t="str">
        <f ca="1">IF(AA72&gt;0,AE72&amp;Language!$E$80&amp;AF72,"")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Planning!$L15</f>
        <v>Mainz 05</v>
      </c>
      <c r="W73" s="12" t="str">
        <f ca="1">Planning!$N15</f>
        <v>Manchester City</v>
      </c>
      <c r="X73" s="12">
        <f ca="1">IF($AA73=1,PreliminaryRound!$I21,"")</f>
        <v>14</v>
      </c>
      <c r="Y73" s="34">
        <f ca="1">IF($AA73=1,PreliminaryRound!$K21,"")</f>
        <v>25</v>
      </c>
      <c r="Z73" s="33" t="str">
        <f t="shared" ca="1" si="66"/>
        <v>Mainz 05Manchester City</v>
      </c>
      <c r="AA73" s="12">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2" t="str">
        <f ca="1">IF(AA73&gt;0,(X73+AG73)&amp;Language!$E$80&amp;(Y73+AH73),"")</f>
        <v>39-44</v>
      </c>
      <c r="AD73" s="141"/>
      <c r="AE73" s="146">
        <f t="shared" ca="1" si="67"/>
        <v>1</v>
      </c>
      <c r="AF73" s="141">
        <f t="shared" ca="1" si="68"/>
        <v>1</v>
      </c>
      <c r="AG73" s="146">
        <f ca="1">IF($AA73=1,PreliminaryRound!$L21,"")</f>
        <v>25</v>
      </c>
      <c r="AH73" s="12">
        <f ca="1">IF($AA73=1,PreliminaryRound!$N21,"")</f>
        <v>19</v>
      </c>
      <c r="AI73" s="591" t="str">
        <f ca="1">IF(AA73&gt;0,AE73&amp;Language!$E$80&amp;AF73,"")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Planning!$L16</f>
        <v>Eintracht Frankfurt</v>
      </c>
      <c r="W74" s="12" t="str">
        <f ca="1">Planning!$N16</f>
        <v>VFB Essenheim</v>
      </c>
      <c r="X74" s="12">
        <f ca="1">IF($AA74=1,PreliminaryRound!$I22,"")</f>
        <v>22</v>
      </c>
      <c r="Y74" s="34">
        <f ca="1">IF($AA74=1,PreliminaryRound!$K22,"")</f>
        <v>25</v>
      </c>
      <c r="Z74" s="33" t="str">
        <f ca="1">V74&amp;W74</f>
        <v>Eintracht FrankfurtVFB Essenheim</v>
      </c>
      <c r="AA74" s="12">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2" t="str">
        <f ca="1">IF(AA74&gt;0,(X74+AG74)&amp;Language!$E$80&amp;(Y74+AH74),"")</f>
        <v>47-45</v>
      </c>
      <c r="AD74" s="141"/>
      <c r="AE74" s="146">
        <f t="shared" ca="1" si="67"/>
        <v>1</v>
      </c>
      <c r="AF74" s="141">
        <f t="shared" ca="1" si="68"/>
        <v>1</v>
      </c>
      <c r="AG74" s="146">
        <f ca="1">IF($AA74=1,PreliminaryRound!$L22,"")</f>
        <v>25</v>
      </c>
      <c r="AH74" s="12">
        <f ca="1">IF($AA74=1,PreliminaryRound!$N22,"")</f>
        <v>20</v>
      </c>
      <c r="AI74" s="591" t="str">
        <f ca="1">IF(AA74&gt;0,AE74&amp;Language!$E$80&amp;AF74,"")</f>
        <v>1-1</v>
      </c>
    </row>
    <row r="75" spans="2:43" s="2" customFormat="1" x14ac:dyDescent="0.2">
      <c r="B75" s="3"/>
      <c r="C75" s="3"/>
      <c r="D75" s="3"/>
      <c r="E75" s="3"/>
      <c r="F75" s="12"/>
      <c r="G75" s="12"/>
      <c r="H75" s="12"/>
      <c r="I75" s="12"/>
      <c r="J75" s="12"/>
      <c r="K75" s="12"/>
      <c r="L75" s="12"/>
      <c r="M75" s="12"/>
      <c r="U75" s="64" t="s">
        <v>26</v>
      </c>
      <c r="V75" s="39" t="str">
        <f ca="1">Planning!$L17</f>
        <v>SSV Wildbach</v>
      </c>
      <c r="W75" s="12" t="str">
        <f ca="1">Planning!$N17</f>
        <v>FC Grönlingen</v>
      </c>
      <c r="X75" s="12">
        <f ca="1">IF($AA75=1,PreliminaryRound!$I23,"")</f>
        <v>19</v>
      </c>
      <c r="Y75" s="34">
        <f ca="1">IF($AA75=1,PreliminaryRound!$K23,"")</f>
        <v>25</v>
      </c>
      <c r="Z75" s="33" t="str">
        <f t="shared" ref="Z75:Z93" ca="1" si="69">V75&amp;W75</f>
        <v>SSV WildbachFC Grönlingen</v>
      </c>
      <c r="AA75" s="12">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2" t="str">
        <f ca="1">IF(AA75&gt;0,(X75+AG75)&amp;Language!$E$80&amp;(Y75+AH75),"")</f>
        <v>44-44</v>
      </c>
      <c r="AD75" s="141"/>
      <c r="AE75" s="146">
        <f t="shared" ca="1" si="67"/>
        <v>1</v>
      </c>
      <c r="AF75" s="141">
        <f t="shared" ca="1" si="68"/>
        <v>1</v>
      </c>
      <c r="AG75" s="146">
        <f ca="1">IF($AA75=1,PreliminaryRound!$L23,"")</f>
        <v>25</v>
      </c>
      <c r="AH75" s="12">
        <f ca="1">IF($AA75=1,PreliminaryRound!$N23,"")</f>
        <v>19</v>
      </c>
      <c r="AI75" s="591" t="str">
        <f ca="1">IF(AA75&gt;0,AE75&amp;Language!$E$80&amp;AF75,"")</f>
        <v>1-1</v>
      </c>
    </row>
    <row r="76" spans="2:43" s="2" customFormat="1" x14ac:dyDescent="0.2">
      <c r="B76" s="3"/>
      <c r="C76" s="3"/>
      <c r="D76" s="3"/>
      <c r="E76" s="3"/>
      <c r="F76" s="12"/>
      <c r="G76" s="12"/>
      <c r="H76" s="12"/>
      <c r="I76" s="12"/>
      <c r="J76" s="12"/>
      <c r="K76" s="12"/>
      <c r="L76" s="12"/>
      <c r="M76" s="12"/>
      <c r="U76" s="64" t="s">
        <v>27</v>
      </c>
      <c r="V76" s="39" t="str">
        <f ca="1">Planning!$L18</f>
        <v>FC Barcelona</v>
      </c>
      <c r="W76" s="12" t="str">
        <f ca="1">Planning!$N18</f>
        <v>Maibach 1822 eV</v>
      </c>
      <c r="X76" s="12">
        <f ca="1">IF($AA76=1,PreliminaryRound!$I24,"")</f>
        <v>17</v>
      </c>
      <c r="Y76" s="34">
        <f ca="1">IF($AA76=1,PreliminaryRound!$K24,"")</f>
        <v>25</v>
      </c>
      <c r="Z76" s="33" t="str">
        <f t="shared" ca="1" si="69"/>
        <v>FC BarcelonaMaibach 1822 eV</v>
      </c>
      <c r="AA76" s="12">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2" t="str">
        <f ca="1">IF(AA76&gt;0,(X76+AG76)&amp;Language!$E$80&amp;(Y76+AH76),"")</f>
        <v>29-50</v>
      </c>
      <c r="AD76" s="141"/>
      <c r="AE76" s="146">
        <f t="shared" ca="1" si="67"/>
        <v>0</v>
      </c>
      <c r="AF76" s="141">
        <f t="shared" ca="1" si="68"/>
        <v>2</v>
      </c>
      <c r="AG76" s="146">
        <f ca="1">IF($AA76=1,PreliminaryRound!$L24,"")</f>
        <v>12</v>
      </c>
      <c r="AH76" s="12">
        <f ca="1">IF($AA76=1,PreliminaryRound!$N24,"")</f>
        <v>25</v>
      </c>
      <c r="AI76" s="591" t="str">
        <f ca="1">IF(AA76&gt;0,AE76&amp;Language!$E$80&amp;AF76,"")</f>
        <v>0-2</v>
      </c>
    </row>
    <row r="77" spans="2:43" s="2" customFormat="1" x14ac:dyDescent="0.2">
      <c r="B77" s="3"/>
      <c r="C77" s="3"/>
      <c r="D77" s="3"/>
      <c r="E77" s="3"/>
      <c r="F77" s="12"/>
      <c r="G77" s="12"/>
      <c r="H77" s="12"/>
      <c r="I77" s="12"/>
      <c r="J77" s="12"/>
      <c r="K77" s="12"/>
      <c r="L77" s="12"/>
      <c r="M77" s="12"/>
      <c r="U77" s="64" t="s">
        <v>28</v>
      </c>
      <c r="V77" s="39" t="str">
        <f ca="1">Planning!$L19</f>
        <v>Inter Mailand</v>
      </c>
      <c r="W77" s="12" t="str">
        <f ca="1">Planning!$N19</f>
        <v>Manchester City</v>
      </c>
      <c r="X77" s="12">
        <f ca="1">IF($AA77=1,PreliminaryRound!$I25,"")</f>
        <v>14</v>
      </c>
      <c r="Y77" s="34">
        <f ca="1">IF($AA77=1,PreliminaryRound!$K25,"")</f>
        <v>25</v>
      </c>
      <c r="Z77" s="33" t="str">
        <f t="shared" ca="1" si="69"/>
        <v>Inter MailandManchester City</v>
      </c>
      <c r="AA77" s="12">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2" t="str">
        <f ca="1">IF(AA77&gt;0,(X77+AG77)&amp;Language!$E$80&amp;(Y77+AH77),"")</f>
        <v>39-48</v>
      </c>
      <c r="AD77" s="141"/>
      <c r="AE77" s="146">
        <f t="shared" ca="1" si="67"/>
        <v>1</v>
      </c>
      <c r="AF77" s="141">
        <f t="shared" ca="1" si="68"/>
        <v>1</v>
      </c>
      <c r="AG77" s="146">
        <f ca="1">IF($AA77=1,PreliminaryRound!$L25,"")</f>
        <v>25</v>
      </c>
      <c r="AH77" s="12">
        <f ca="1">IF($AA77=1,PreliminaryRound!$N25,"")</f>
        <v>23</v>
      </c>
      <c r="AI77" s="591" t="str">
        <f ca="1">IF(AA77&gt;0,AE77&amp;Language!$E$80&amp;AF77,"")</f>
        <v>1-1</v>
      </c>
    </row>
    <row r="78" spans="2:43" s="2" customFormat="1" x14ac:dyDescent="0.2">
      <c r="B78" s="3"/>
      <c r="C78" s="3"/>
      <c r="D78" s="3"/>
      <c r="E78" s="3"/>
      <c r="F78" s="12"/>
      <c r="G78" s="12"/>
      <c r="H78" s="12"/>
      <c r="I78" s="12"/>
      <c r="J78" s="12"/>
      <c r="K78" s="12"/>
      <c r="L78" s="12"/>
      <c r="M78" s="12"/>
      <c r="U78" s="64" t="s">
        <v>29</v>
      </c>
      <c r="V78" s="39" t="str">
        <f ca="1">Planning!$L20</f>
        <v>Eintracht Frankfurt</v>
      </c>
      <c r="W78" s="12" t="str">
        <f ca="1">Planning!$N20</f>
        <v>1. FC Riedwald</v>
      </c>
      <c r="X78" s="12">
        <f ca="1">IF($AA78=1,PreliminaryRound!$I26,"")</f>
        <v>21</v>
      </c>
      <c r="Y78" s="34">
        <f ca="1">IF($AA78=1,PreliminaryRound!$K26,"")</f>
        <v>25</v>
      </c>
      <c r="Z78" s="33" t="str">
        <f t="shared" ca="1" si="69"/>
        <v>Eintracht Frankfurt1. FC Riedwald</v>
      </c>
      <c r="AA78" s="12">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2" t="str">
        <f ca="1">IF(AA78&gt;0,(X78+AG78)&amp;Language!$E$80&amp;(Y78+AH78),"")</f>
        <v>46-42</v>
      </c>
      <c r="AD78" s="141"/>
      <c r="AE78" s="146">
        <f t="shared" ca="1" si="67"/>
        <v>1</v>
      </c>
      <c r="AF78" s="141">
        <f t="shared" ca="1" si="68"/>
        <v>1</v>
      </c>
      <c r="AG78" s="146">
        <f ca="1">IF($AA78=1,PreliminaryRound!$L26,"")</f>
        <v>25</v>
      </c>
      <c r="AH78" s="12">
        <f ca="1">IF($AA78=1,PreliminaryRound!$N26,"")</f>
        <v>17</v>
      </c>
      <c r="AI78" s="591" t="str">
        <f ca="1">IF(AA78&gt;0,AE78&amp;Language!$E$80&amp;AF78,"")</f>
        <v>1-1</v>
      </c>
    </row>
    <row r="79" spans="2:43" s="2" customFormat="1" x14ac:dyDescent="0.2">
      <c r="B79" s="3"/>
      <c r="C79" s="3"/>
      <c r="D79" s="3"/>
      <c r="E79" s="3"/>
      <c r="F79" s="12"/>
      <c r="G79" s="12"/>
      <c r="H79" s="12"/>
      <c r="I79" s="12"/>
      <c r="J79" s="12"/>
      <c r="K79" s="12"/>
      <c r="L79" s="12"/>
      <c r="M79" s="12"/>
      <c r="U79" s="64" t="s">
        <v>30</v>
      </c>
      <c r="V79" s="39" t="str">
        <f ca="1">Planning!$L21</f>
        <v>SSV Wildbach</v>
      </c>
      <c r="W79" s="12" t="str">
        <f ca="1">Planning!$N21</f>
        <v>Mainz 05</v>
      </c>
      <c r="X79" s="12">
        <f ca="1">IF($AA79=1,PreliminaryRound!$I27,"")</f>
        <v>20</v>
      </c>
      <c r="Y79" s="34">
        <f ca="1">IF($AA79=1,PreliminaryRound!$K27,"")</f>
        <v>25</v>
      </c>
      <c r="Z79" s="33" t="str">
        <f t="shared" ca="1" si="69"/>
        <v>SSV WildbachMainz 05</v>
      </c>
      <c r="AA79" s="12">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2" t="str">
        <f ca="1">IF(AA79&gt;0,(X79+AG79)&amp;Language!$E$80&amp;(Y79+AH79),"")</f>
        <v>38-50</v>
      </c>
      <c r="AD79" s="141"/>
      <c r="AE79" s="146">
        <f t="shared" ca="1" si="67"/>
        <v>0</v>
      </c>
      <c r="AF79" s="141">
        <f t="shared" ca="1" si="68"/>
        <v>2</v>
      </c>
      <c r="AG79" s="146">
        <f ca="1">IF($AA79=1,PreliminaryRound!$L27,"")</f>
        <v>18</v>
      </c>
      <c r="AH79" s="12">
        <f ca="1">IF($AA79=1,PreliminaryRound!$N27,"")</f>
        <v>25</v>
      </c>
      <c r="AI79" s="591" t="str">
        <f ca="1">IF(AA79&gt;0,AE79&amp;Language!$E$80&amp;AF79,"")</f>
        <v>0-2</v>
      </c>
    </row>
    <row r="80" spans="2:43" s="2" customFormat="1" x14ac:dyDescent="0.2">
      <c r="B80" s="3"/>
      <c r="C80" s="3"/>
      <c r="D80" s="3"/>
      <c r="E80" s="3"/>
      <c r="F80" s="12"/>
      <c r="G80" s="12"/>
      <c r="H80" s="12"/>
      <c r="I80" s="12"/>
      <c r="J80" s="12"/>
      <c r="K80" s="12"/>
      <c r="L80" s="12"/>
      <c r="M80" s="12"/>
      <c r="U80" s="64" t="s">
        <v>31</v>
      </c>
      <c r="V80" s="39" t="str">
        <f ca="1">Planning!$L22</f>
        <v>Maibach 1822 eV</v>
      </c>
      <c r="W80" s="12" t="str">
        <f ca="1">Planning!$N22</f>
        <v>VFB Essenheim</v>
      </c>
      <c r="X80" s="12">
        <f ca="1">IF($AA80=1,PreliminaryRound!$I28,"")</f>
        <v>25</v>
      </c>
      <c r="Y80" s="34">
        <f ca="1">IF($AA80=1,PreliminaryRound!$K28,"")</f>
        <v>20</v>
      </c>
      <c r="Z80" s="33" t="str">
        <f t="shared" ca="1" si="69"/>
        <v>Maibach 1822 eVVFB Essenheim</v>
      </c>
      <c r="AA80" s="12">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2" t="str">
        <f ca="1">IF(AA80&gt;0,(X80+AG80)&amp;Language!$E$80&amp;(Y80+AH80),"")</f>
        <v>50-39</v>
      </c>
      <c r="AD80" s="141"/>
      <c r="AE80" s="146">
        <f t="shared" ca="1" si="67"/>
        <v>2</v>
      </c>
      <c r="AF80" s="141">
        <f t="shared" ca="1" si="68"/>
        <v>0</v>
      </c>
      <c r="AG80" s="146">
        <f ca="1">IF($AA80=1,PreliminaryRound!$L28,"")</f>
        <v>25</v>
      </c>
      <c r="AH80" s="12">
        <f ca="1">IF($AA80=1,PreliminaryRound!$N28,"")</f>
        <v>19</v>
      </c>
      <c r="AI80" s="591" t="str">
        <f ca="1">IF(AA80&gt;0,AE80&amp;Language!$E$80&amp;AF80,"")</f>
        <v>2-0</v>
      </c>
    </row>
    <row r="81" spans="2:35" s="2" customFormat="1" x14ac:dyDescent="0.2">
      <c r="B81" s="3"/>
      <c r="C81" s="3"/>
      <c r="D81" s="3"/>
      <c r="E81" s="3"/>
      <c r="F81" s="12"/>
      <c r="G81" s="12"/>
      <c r="H81" s="12"/>
      <c r="I81" s="12"/>
      <c r="J81" s="12"/>
      <c r="K81" s="12"/>
      <c r="L81" s="12"/>
      <c r="M81" s="12"/>
      <c r="U81" s="64" t="s">
        <v>32</v>
      </c>
      <c r="V81" s="39" t="str">
        <f ca="1">Planning!$L23</f>
        <v>Manchester City</v>
      </c>
      <c r="W81" s="12" t="str">
        <f ca="1">Planning!$N23</f>
        <v>FC Grönlingen</v>
      </c>
      <c r="X81" s="12">
        <f ca="1">IF($AA81=1,PreliminaryRound!$I29,"")</f>
        <v>25</v>
      </c>
      <c r="Y81" s="34">
        <f ca="1">IF($AA81=1,PreliminaryRound!$K29,"")</f>
        <v>12</v>
      </c>
      <c r="Z81" s="33" t="str">
        <f t="shared" ca="1" si="69"/>
        <v>Manchester CityFC Grönlingen</v>
      </c>
      <c r="AA81" s="12">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2" t="str">
        <f ca="1">IF(AA81&gt;0,(X81+AG81)&amp;Language!$E$80&amp;(Y81+AH81),"")</f>
        <v>50-32</v>
      </c>
      <c r="AD81" s="141"/>
      <c r="AE81" s="146">
        <f t="shared" ca="1" si="67"/>
        <v>2</v>
      </c>
      <c r="AF81" s="141">
        <f t="shared" ca="1" si="68"/>
        <v>0</v>
      </c>
      <c r="AG81" s="146">
        <f ca="1">IF($AA81=1,PreliminaryRound!$L29,"")</f>
        <v>25</v>
      </c>
      <c r="AH81" s="12">
        <f ca="1">IF($AA81=1,PreliminaryRound!$N29,"")</f>
        <v>20</v>
      </c>
      <c r="AI81" s="591" t="str">
        <f ca="1">IF(AA81&gt;0,AE81&amp;Language!$E$80&amp;AF81,"")</f>
        <v>2-0</v>
      </c>
    </row>
    <row r="82" spans="2:35" s="2" customFormat="1" x14ac:dyDescent="0.2">
      <c r="B82" s="3"/>
      <c r="C82" s="3"/>
      <c r="D82" s="3"/>
      <c r="E82" s="3"/>
      <c r="F82" s="12"/>
      <c r="G82" s="12"/>
      <c r="H82" s="12"/>
      <c r="I82" s="12"/>
      <c r="J82" s="12"/>
      <c r="K82" s="12"/>
      <c r="L82" s="12"/>
      <c r="M82" s="12"/>
      <c r="U82" s="64" t="s">
        <v>33</v>
      </c>
      <c r="V82" s="39" t="str">
        <f ca="1">Planning!$L24</f>
        <v>1. FC Riedwald</v>
      </c>
      <c r="W82" s="12" t="str">
        <f ca="1">Planning!$N24</f>
        <v>FC Barcelona</v>
      </c>
      <c r="X82" s="12">
        <f ca="1">IF($AA82=1,PreliminaryRound!$I30,"")</f>
        <v>25</v>
      </c>
      <c r="Y82" s="34">
        <f ca="1">IF($AA82=1,PreliminaryRound!$K30,"")</f>
        <v>16</v>
      </c>
      <c r="Z82" s="33" t="str">
        <f t="shared" ca="1" si="69"/>
        <v>1. FC RiedwaldFC Barcelona</v>
      </c>
      <c r="AA82" s="12">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2" t="str">
        <f ca="1">IF(AA82&gt;0,(X82+AG82)&amp;Language!$E$80&amp;(Y82+AH82),"")</f>
        <v>50-37</v>
      </c>
      <c r="AD82" s="141"/>
      <c r="AE82" s="146">
        <f t="shared" ca="1" si="67"/>
        <v>2</v>
      </c>
      <c r="AF82" s="141">
        <f t="shared" ca="1" si="68"/>
        <v>0</v>
      </c>
      <c r="AG82" s="146">
        <f ca="1">IF($AA82=1,PreliminaryRound!$L30,"")</f>
        <v>25</v>
      </c>
      <c r="AH82" s="12">
        <f ca="1">IF($AA82=1,PreliminaryRound!$N30,"")</f>
        <v>21</v>
      </c>
      <c r="AI82" s="591" t="str">
        <f ca="1">IF(AA82&gt;0,AE82&amp;Language!$E$80&amp;AF82,"")</f>
        <v>2-0</v>
      </c>
    </row>
    <row r="83" spans="2:35" s="2" customFormat="1" x14ac:dyDescent="0.2">
      <c r="B83" s="3"/>
      <c r="C83" s="3"/>
      <c r="D83" s="3"/>
      <c r="E83" s="3"/>
      <c r="F83" s="12"/>
      <c r="G83" s="12"/>
      <c r="H83" s="12"/>
      <c r="I83" s="12"/>
      <c r="J83" s="12"/>
      <c r="K83" s="12"/>
      <c r="L83" s="12"/>
      <c r="M83" s="12"/>
      <c r="U83" s="64" t="s">
        <v>34</v>
      </c>
      <c r="V83" s="39" t="str">
        <f ca="1">Planning!$L25</f>
        <v>Mainz 05</v>
      </c>
      <c r="W83" s="12" t="str">
        <f ca="1">Planning!$N25</f>
        <v>Inter Mailand</v>
      </c>
      <c r="X83" s="12">
        <f ca="1">IF($AA83=1,PreliminaryRound!$I31,"")</f>
        <v>25</v>
      </c>
      <c r="Y83" s="34">
        <f ca="1">IF($AA83=1,PreliminaryRound!$K31,"")</f>
        <v>2</v>
      </c>
      <c r="Z83" s="33" t="str">
        <f t="shared" ca="1" si="69"/>
        <v>Mainz 05Inter Mailand</v>
      </c>
      <c r="AA83" s="12">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2" t="str">
        <f ca="1">IF(AA83&gt;0,(X83+AG83)&amp;Language!$E$80&amp;(Y83+AH83),"")</f>
        <v>50-24</v>
      </c>
      <c r="AD83" s="141"/>
      <c r="AE83" s="146">
        <f t="shared" ca="1" si="67"/>
        <v>2</v>
      </c>
      <c r="AF83" s="141">
        <f t="shared" ca="1" si="68"/>
        <v>0</v>
      </c>
      <c r="AG83" s="146">
        <f ca="1">IF($AA83=1,PreliminaryRound!$L31,"")</f>
        <v>25</v>
      </c>
      <c r="AH83" s="12">
        <f ca="1">IF($AA83=1,PreliminaryRound!$N31,"")</f>
        <v>22</v>
      </c>
      <c r="AI83" s="591" t="str">
        <f ca="1">IF(AA83&gt;0,AE83&amp;Language!$E$80&amp;AF83,"")</f>
        <v>2-0</v>
      </c>
    </row>
    <row r="84" spans="2:35" s="2" customFormat="1" x14ac:dyDescent="0.2">
      <c r="B84" s="3"/>
      <c r="C84" s="3"/>
      <c r="D84" s="3"/>
      <c r="E84" s="3"/>
      <c r="F84" s="12"/>
      <c r="G84" s="12"/>
      <c r="H84" s="12"/>
      <c r="I84" s="12"/>
      <c r="J84" s="12"/>
      <c r="K84" s="12"/>
      <c r="L84" s="12"/>
      <c r="M84" s="12"/>
      <c r="U84" s="64" t="s">
        <v>35</v>
      </c>
      <c r="V84" s="39" t="str">
        <f ca="1">Planning!$L26</f>
        <v/>
      </c>
      <c r="W84" s="12" t="str">
        <f ca="1">Planning!$N26</f>
        <v/>
      </c>
      <c r="X84" s="12" t="str">
        <f ca="1">IF($AA84=1,PreliminaryRound!$I32,"")</f>
        <v/>
      </c>
      <c r="Y84" s="34" t="str">
        <f ca="1">IF($AA84=1,PreliminaryRound!$K32,"")</f>
        <v/>
      </c>
      <c r="Z84" s="33" t="str">
        <f t="shared" ca="1" si="69"/>
        <v/>
      </c>
      <c r="AA84" s="12">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0</v>
      </c>
      <c r="AB84" s="12" t="str">
        <f ca="1">IF(AA84&gt;0,(X84+AG84)&amp;Language!$E$80&amp;(Y84+AH84),"")</f>
        <v/>
      </c>
      <c r="AD84" s="141"/>
      <c r="AE84" s="146">
        <f t="shared" ca="1" si="67"/>
        <v>0</v>
      </c>
      <c r="AF84" s="141">
        <f t="shared" ca="1" si="68"/>
        <v>0</v>
      </c>
      <c r="AG84" s="146" t="str">
        <f ca="1">IF($AA84=1,PreliminaryRound!$L32,"")</f>
        <v/>
      </c>
      <c r="AH84" s="12" t="str">
        <f ca="1">IF($AA84=1,PreliminaryRound!$N32,"")</f>
        <v/>
      </c>
      <c r="AI84" s="591" t="str">
        <f ca="1">IF(AA84&gt;0,AE84&amp;Language!$E$80&amp;AF84,"")</f>
        <v/>
      </c>
    </row>
    <row r="85" spans="2:35" s="2" customFormat="1" x14ac:dyDescent="0.2">
      <c r="B85" s="3"/>
      <c r="C85" s="3"/>
      <c r="D85" s="3"/>
      <c r="E85" s="3"/>
      <c r="F85" s="12"/>
      <c r="G85" s="12"/>
      <c r="H85" s="12"/>
      <c r="I85" s="12"/>
      <c r="J85" s="12"/>
      <c r="K85" s="12"/>
      <c r="L85" s="12"/>
      <c r="M85" s="12"/>
      <c r="U85" s="64" t="s">
        <v>36</v>
      </c>
      <c r="V85" s="39" t="str">
        <f ca="1">Planning!$L27</f>
        <v/>
      </c>
      <c r="W85" s="12" t="str">
        <f ca="1">Planning!$N27</f>
        <v/>
      </c>
      <c r="X85" s="12" t="str">
        <f ca="1">IF($AA85=1,PreliminaryRound!$I33,"")</f>
        <v/>
      </c>
      <c r="Y85" s="34" t="str">
        <f ca="1">IF($AA85=1,PreliminaryRound!$K33,"")</f>
        <v/>
      </c>
      <c r="Z85" s="33" t="str">
        <f t="shared" ca="1" si="69"/>
        <v/>
      </c>
      <c r="AA85" s="12">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0</v>
      </c>
      <c r="AB85" s="12" t="str">
        <f ca="1">IF(AA85&gt;0,(X85+AG85)&amp;Language!$E$80&amp;(Y85+AH85),"")</f>
        <v/>
      </c>
      <c r="AD85" s="141"/>
      <c r="AE85" s="146">
        <f t="shared" ca="1" si="67"/>
        <v>0</v>
      </c>
      <c r="AF85" s="141">
        <f t="shared" ca="1" si="68"/>
        <v>0</v>
      </c>
      <c r="AG85" s="146" t="str">
        <f ca="1">IF($AA85=1,PreliminaryRound!$L33,"")</f>
        <v/>
      </c>
      <c r="AH85" s="12" t="str">
        <f ca="1">IF($AA85=1,PreliminaryRound!$N33,"")</f>
        <v/>
      </c>
      <c r="AI85" s="591" t="str">
        <f ca="1">IF(AA85&gt;0,AE85&amp;Language!$E$80&amp;AF85,"")</f>
        <v/>
      </c>
    </row>
    <row r="86" spans="2:35" s="2" customFormat="1" x14ac:dyDescent="0.2">
      <c r="B86" s="3"/>
      <c r="C86" s="3"/>
      <c r="D86" s="3"/>
      <c r="E86" s="3"/>
      <c r="F86" s="12"/>
      <c r="G86" s="12"/>
      <c r="H86" s="12"/>
      <c r="I86" s="12"/>
      <c r="J86" s="12"/>
      <c r="K86" s="12"/>
      <c r="L86" s="12"/>
      <c r="M86" s="12"/>
      <c r="U86" s="64" t="s">
        <v>37</v>
      </c>
      <c r="V86" s="39" t="str">
        <f ca="1">Planning!$L28</f>
        <v/>
      </c>
      <c r="W86" s="12" t="str">
        <f ca="1">Planning!$N28</f>
        <v/>
      </c>
      <c r="X86" s="12" t="str">
        <f ca="1">IF($AA86=1,PreliminaryRound!$I34,"")</f>
        <v/>
      </c>
      <c r="Y86" s="34" t="str">
        <f ca="1">IF($AA86=1,PreliminaryRound!$K34,"")</f>
        <v/>
      </c>
      <c r="Z86" s="33" t="str">
        <f t="shared" ca="1" si="69"/>
        <v/>
      </c>
      <c r="AA86" s="12">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0</v>
      </c>
      <c r="AB86" s="12" t="str">
        <f ca="1">IF(AA86&gt;0,(X86+AG86)&amp;Language!$E$80&amp;(Y86+AH86),"")</f>
        <v/>
      </c>
      <c r="AD86" s="141"/>
      <c r="AE86" s="146">
        <f t="shared" ca="1" si="67"/>
        <v>0</v>
      </c>
      <c r="AF86" s="141">
        <f t="shared" ca="1" si="68"/>
        <v>0</v>
      </c>
      <c r="AG86" s="146" t="str">
        <f ca="1">IF($AA86=1,PreliminaryRound!$L34,"")</f>
        <v/>
      </c>
      <c r="AH86" s="12" t="str">
        <f ca="1">IF($AA86=1,PreliminaryRound!$N34,"")</f>
        <v/>
      </c>
      <c r="AI86" s="591" t="str">
        <f ca="1">IF(AA86&gt;0,AE86&amp;Language!$E$80&amp;AF86,"")</f>
        <v/>
      </c>
    </row>
    <row r="87" spans="2:35" s="2" customFormat="1" x14ac:dyDescent="0.2">
      <c r="B87" s="3"/>
      <c r="C87" s="3"/>
      <c r="D87" s="3"/>
      <c r="E87" s="3"/>
      <c r="F87" s="12"/>
      <c r="G87" s="12"/>
      <c r="H87" s="12"/>
      <c r="I87" s="12"/>
      <c r="J87" s="12"/>
      <c r="K87" s="12"/>
      <c r="L87" s="12"/>
      <c r="M87" s="12"/>
      <c r="U87" s="64" t="s">
        <v>38</v>
      </c>
      <c r="V87" s="39" t="str">
        <f ca="1">Planning!$L29</f>
        <v/>
      </c>
      <c r="W87" s="12" t="str">
        <f ca="1">Planning!$N29</f>
        <v/>
      </c>
      <c r="X87" s="12" t="str">
        <f ca="1">IF($AA87=1,PreliminaryRound!$I35,"")</f>
        <v/>
      </c>
      <c r="Y87" s="34" t="str">
        <f ca="1">IF($AA87=1,PreliminaryRound!$K35,"")</f>
        <v/>
      </c>
      <c r="Z87" s="33" t="str">
        <f t="shared" ca="1" si="69"/>
        <v/>
      </c>
      <c r="AA87" s="12">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0</v>
      </c>
      <c r="AB87" s="12" t="str">
        <f ca="1">IF(AA87&gt;0,(X87+AG87)&amp;Language!$E$80&amp;(Y87+AH87),"")</f>
        <v/>
      </c>
      <c r="AD87" s="141"/>
      <c r="AE87" s="146">
        <f t="shared" ca="1" si="67"/>
        <v>0</v>
      </c>
      <c r="AF87" s="141">
        <f t="shared" ca="1" si="68"/>
        <v>0</v>
      </c>
      <c r="AG87" s="146" t="str">
        <f ca="1">IF($AA87=1,PreliminaryRound!$L35,"")</f>
        <v/>
      </c>
      <c r="AH87" s="12" t="str">
        <f ca="1">IF($AA87=1,PreliminaryRound!$N35,"")</f>
        <v/>
      </c>
      <c r="AI87" s="591" t="str">
        <f ca="1">IF(AA87&gt;0,AE87&amp;Language!$E$80&amp;AF87,"")</f>
        <v/>
      </c>
    </row>
    <row r="88" spans="2:35" s="2" customFormat="1" x14ac:dyDescent="0.2">
      <c r="B88" s="3"/>
      <c r="C88" s="3"/>
      <c r="D88" s="3"/>
      <c r="E88" s="3"/>
      <c r="F88" s="12"/>
      <c r="G88" s="12"/>
      <c r="H88" s="12"/>
      <c r="I88" s="12"/>
      <c r="J88" s="12"/>
      <c r="K88" s="12"/>
      <c r="L88" s="12"/>
      <c r="M88" s="12"/>
      <c r="U88" s="64" t="s">
        <v>39</v>
      </c>
      <c r="V88" s="39" t="str">
        <f ca="1">Planning!$L30</f>
        <v/>
      </c>
      <c r="W88" s="12" t="str">
        <f ca="1">Planning!$N30</f>
        <v/>
      </c>
      <c r="X88" s="12" t="str">
        <f ca="1">IF($AA88=1,PreliminaryRound!$I36,"")</f>
        <v/>
      </c>
      <c r="Y88" s="34" t="str">
        <f ca="1">IF($AA88=1,PreliminaryRound!$K36,"")</f>
        <v/>
      </c>
      <c r="Z88" s="33" t="str">
        <f t="shared" ca="1" si="69"/>
        <v/>
      </c>
      <c r="AA88" s="12">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0</v>
      </c>
      <c r="AB88" s="12" t="str">
        <f ca="1">IF(AA88&gt;0,(X88+AG88)&amp;Language!$E$80&amp;(Y88+AH88),"")</f>
        <v/>
      </c>
      <c r="AD88" s="141"/>
      <c r="AE88" s="146">
        <f t="shared" ca="1" si="67"/>
        <v>0</v>
      </c>
      <c r="AF88" s="141">
        <f t="shared" ca="1" si="68"/>
        <v>0</v>
      </c>
      <c r="AG88" s="146" t="str">
        <f ca="1">IF($AA88=1,PreliminaryRound!$L36,"")</f>
        <v/>
      </c>
      <c r="AH88" s="12" t="str">
        <f ca="1">IF($AA88=1,PreliminaryRound!$N36,"")</f>
        <v/>
      </c>
      <c r="AI88" s="591" t="str">
        <f ca="1">IF(AA88&gt;0,AE88&amp;Language!$E$80&amp;AF88,"")</f>
        <v/>
      </c>
    </row>
    <row r="89" spans="2:35" s="2" customFormat="1" x14ac:dyDescent="0.2">
      <c r="B89" s="3"/>
      <c r="C89" s="3"/>
      <c r="D89" s="3"/>
      <c r="E89" s="3"/>
      <c r="F89" s="12"/>
      <c r="G89" s="12"/>
      <c r="H89" s="12"/>
      <c r="I89" s="12"/>
      <c r="J89" s="12"/>
      <c r="K89" s="12"/>
      <c r="L89" s="12"/>
      <c r="M89" s="12"/>
      <c r="U89" s="64" t="s">
        <v>40</v>
      </c>
      <c r="V89" s="39" t="str">
        <f ca="1">Planning!$L31</f>
        <v/>
      </c>
      <c r="W89" s="12" t="str">
        <f ca="1">Planning!$N31</f>
        <v/>
      </c>
      <c r="X89" s="12" t="str">
        <f ca="1">IF($AA89=1,PreliminaryRound!$I37,"")</f>
        <v/>
      </c>
      <c r="Y89" s="34" t="str">
        <f ca="1">IF($AA89=1,PreliminaryRound!$K37,"")</f>
        <v/>
      </c>
      <c r="Z89" s="33" t="str">
        <f t="shared" ca="1" si="69"/>
        <v/>
      </c>
      <c r="AA89" s="12">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0</v>
      </c>
      <c r="AB89" s="12" t="str">
        <f ca="1">IF(AA89&gt;0,(X89+AG89)&amp;Language!$E$80&amp;(Y89+AH89),"")</f>
        <v/>
      </c>
      <c r="AD89" s="141"/>
      <c r="AE89" s="146">
        <f t="shared" ca="1" si="67"/>
        <v>0</v>
      </c>
      <c r="AF89" s="141">
        <f t="shared" ca="1" si="68"/>
        <v>0</v>
      </c>
      <c r="AG89" s="146" t="str">
        <f ca="1">IF($AA89=1,PreliminaryRound!$L37,"")</f>
        <v/>
      </c>
      <c r="AH89" s="12" t="str">
        <f ca="1">IF($AA89=1,PreliminaryRound!$N37,"")</f>
        <v/>
      </c>
      <c r="AI89" s="591" t="str">
        <f ca="1">IF(AA89&gt;0,AE89&amp;Language!$E$80&amp;AF89,"")</f>
        <v/>
      </c>
    </row>
    <row r="90" spans="2:35" s="2" customFormat="1" x14ac:dyDescent="0.2">
      <c r="B90" s="3"/>
      <c r="C90" s="3"/>
      <c r="D90" s="3"/>
      <c r="E90" s="3"/>
      <c r="F90" s="12"/>
      <c r="G90" s="12"/>
      <c r="H90" s="12"/>
      <c r="I90" s="12"/>
      <c r="J90" s="12"/>
      <c r="K90" s="12"/>
      <c r="L90" s="12"/>
      <c r="M90" s="12"/>
      <c r="U90" s="64" t="s">
        <v>41</v>
      </c>
      <c r="V90" s="39" t="str">
        <f ca="1">Planning!$L32</f>
        <v/>
      </c>
      <c r="W90" s="12" t="str">
        <f ca="1">Planning!$N32</f>
        <v/>
      </c>
      <c r="X90" s="12" t="str">
        <f ca="1">IF($AA90=1,PreliminaryRound!$I38,"")</f>
        <v/>
      </c>
      <c r="Y90" s="34" t="str">
        <f ca="1">IF($AA90=1,PreliminaryRound!$K38,"")</f>
        <v/>
      </c>
      <c r="Z90" s="33" t="str">
        <f t="shared" ca="1" si="69"/>
        <v/>
      </c>
      <c r="AA90" s="12">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0</v>
      </c>
      <c r="AB90" s="12" t="str">
        <f ca="1">IF(AA90&gt;0,(X90+AG90)&amp;Language!$E$80&amp;(Y90+AH90),"")</f>
        <v/>
      </c>
      <c r="AD90" s="141"/>
      <c r="AE90" s="146">
        <f t="shared" ca="1" si="67"/>
        <v>0</v>
      </c>
      <c r="AF90" s="141">
        <f t="shared" ca="1" si="68"/>
        <v>0</v>
      </c>
      <c r="AG90" s="146" t="str">
        <f ca="1">IF($AA90=1,PreliminaryRound!$L38,"")</f>
        <v/>
      </c>
      <c r="AH90" s="12" t="str">
        <f ca="1">IF($AA90=1,PreliminaryRound!$N38,"")</f>
        <v/>
      </c>
      <c r="AI90" s="591" t="str">
        <f ca="1">IF(AA90&gt;0,AE90&amp;Language!$E$80&amp;AF90,"")</f>
        <v/>
      </c>
    </row>
    <row r="91" spans="2:35" s="2" customFormat="1" x14ac:dyDescent="0.2">
      <c r="B91" s="3"/>
      <c r="C91" s="3"/>
      <c r="D91" s="3"/>
      <c r="E91" s="3"/>
      <c r="F91" s="12"/>
      <c r="G91" s="12"/>
      <c r="H91" s="12"/>
      <c r="I91" s="12"/>
      <c r="J91" s="12"/>
      <c r="K91" s="12"/>
      <c r="L91" s="12"/>
      <c r="M91" s="12"/>
      <c r="U91" s="64" t="s">
        <v>42</v>
      </c>
      <c r="V91" s="39" t="str">
        <f ca="1">Planning!$L33</f>
        <v/>
      </c>
      <c r="W91" s="12" t="str">
        <f ca="1">Planning!$N33</f>
        <v/>
      </c>
      <c r="X91" s="12" t="str">
        <f ca="1">IF($AA91=1,PreliminaryRound!$I39,"")</f>
        <v/>
      </c>
      <c r="Y91" s="34" t="str">
        <f ca="1">IF($AA91=1,PreliminaryRound!$K39,"")</f>
        <v/>
      </c>
      <c r="Z91" s="33" t="str">
        <f t="shared" ca="1" si="69"/>
        <v/>
      </c>
      <c r="AA91" s="12">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0</v>
      </c>
      <c r="AB91" s="12" t="str">
        <f ca="1">IF(AA91&gt;0,(X91+AG91)&amp;Language!$E$80&amp;(Y91+AH91),"")</f>
        <v/>
      </c>
      <c r="AD91" s="141"/>
      <c r="AE91" s="146">
        <f t="shared" ca="1" si="67"/>
        <v>0</v>
      </c>
      <c r="AF91" s="141">
        <f t="shared" ca="1" si="68"/>
        <v>0</v>
      </c>
      <c r="AG91" s="146" t="str">
        <f ca="1">IF($AA91=1,PreliminaryRound!$L39,"")</f>
        <v/>
      </c>
      <c r="AH91" s="12" t="str">
        <f ca="1">IF($AA91=1,PreliminaryRound!$N39,"")</f>
        <v/>
      </c>
      <c r="AI91" s="591" t="str">
        <f ca="1">IF(AA91&gt;0,AE91&amp;Language!$E$80&amp;AF91,"")</f>
        <v/>
      </c>
    </row>
    <row r="92" spans="2:35" s="2" customFormat="1" x14ac:dyDescent="0.2">
      <c r="B92" s="3"/>
      <c r="C92" s="3"/>
      <c r="D92" s="3"/>
      <c r="E92" s="3"/>
      <c r="F92" s="12"/>
      <c r="G92" s="12"/>
      <c r="H92" s="12"/>
      <c r="I92" s="12"/>
      <c r="J92" s="12"/>
      <c r="K92" s="12"/>
      <c r="L92" s="12"/>
      <c r="M92" s="12"/>
      <c r="U92" s="64" t="s">
        <v>43</v>
      </c>
      <c r="V92" s="39" t="str">
        <f ca="1">Planning!$L34</f>
        <v/>
      </c>
      <c r="W92" s="12" t="str">
        <f ca="1">Planning!$N34</f>
        <v/>
      </c>
      <c r="X92" s="12" t="str">
        <f ca="1">IF($AA92=1,PreliminaryRound!$I40,"")</f>
        <v/>
      </c>
      <c r="Y92" s="34" t="str">
        <f ca="1">IF($AA92=1,PreliminaryRound!$K40,"")</f>
        <v/>
      </c>
      <c r="Z92" s="33" t="str">
        <f t="shared" ca="1" si="69"/>
        <v/>
      </c>
      <c r="AA92" s="12">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0</v>
      </c>
      <c r="AB92" s="12" t="str">
        <f ca="1">IF(AA92&gt;0,(X92+AG92)&amp;Language!$E$80&amp;(Y92+AH92),"")</f>
        <v/>
      </c>
      <c r="AD92" s="141"/>
      <c r="AE92" s="146">
        <f t="shared" ca="1" si="67"/>
        <v>0</v>
      </c>
      <c r="AF92" s="141">
        <f t="shared" ca="1" si="68"/>
        <v>0</v>
      </c>
      <c r="AG92" s="146" t="str">
        <f ca="1">IF($AA92=1,PreliminaryRound!$L40,"")</f>
        <v/>
      </c>
      <c r="AH92" s="12" t="str">
        <f ca="1">IF($AA92=1,PreliminaryRound!$N40,"")</f>
        <v/>
      </c>
      <c r="AI92" s="591" t="str">
        <f ca="1">IF(AA92&gt;0,AE92&amp;Language!$E$80&amp;AF92,"")</f>
        <v/>
      </c>
    </row>
    <row r="93" spans="2:35" s="2" customFormat="1" ht="12.75" thickBot="1" x14ac:dyDescent="0.25">
      <c r="B93" s="3"/>
      <c r="C93" s="3"/>
      <c r="D93" s="3"/>
      <c r="E93" s="3"/>
      <c r="F93" s="12"/>
      <c r="G93" s="12"/>
      <c r="H93" s="12"/>
      <c r="I93" s="12"/>
      <c r="J93" s="12"/>
      <c r="K93" s="12"/>
      <c r="L93" s="12"/>
      <c r="M93" s="12"/>
      <c r="U93" s="64" t="s">
        <v>44</v>
      </c>
      <c r="V93" s="39" t="str">
        <f ca="1">Planning!$L35</f>
        <v/>
      </c>
      <c r="W93" s="12" t="str">
        <f ca="1">Planning!$N35</f>
        <v/>
      </c>
      <c r="X93" s="12" t="str">
        <f ca="1">IF($AA93=1,PreliminaryRound!$I41,"")</f>
        <v/>
      </c>
      <c r="Y93" s="34" t="str">
        <f ca="1">IF($AA93=1,PreliminaryRound!$K41,"")</f>
        <v/>
      </c>
      <c r="Z93" s="33" t="str">
        <f t="shared" ca="1" si="69"/>
        <v/>
      </c>
      <c r="AA93" s="12">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0</v>
      </c>
      <c r="AB93" s="12" t="str">
        <f ca="1">IF(AA93&gt;0,(X93+AG93)&amp;Language!$E$80&amp;(Y93+AH93),"")</f>
        <v/>
      </c>
      <c r="AD93" s="141"/>
      <c r="AE93" s="146">
        <f t="shared" ca="1" si="67"/>
        <v>0</v>
      </c>
      <c r="AF93" s="141">
        <f t="shared" ca="1" si="68"/>
        <v>0</v>
      </c>
      <c r="AG93" s="316" t="str">
        <f ca="1">IF($AA93=1,PreliminaryRound!$L41,"")</f>
        <v/>
      </c>
      <c r="AH93" s="312" t="str">
        <f ca="1">IF($AA93=1,PreliminaryRound!$N41,"")</f>
        <v/>
      </c>
      <c r="AI93" s="592" t="str">
        <f ca="1">IF(AA93&gt;0,AE93&amp;Language!$E$80&amp;AF93,"")</f>
        <v/>
      </c>
    </row>
    <row r="94" spans="2:35" s="2" customFormat="1" ht="12.75" thickTop="1" x14ac:dyDescent="0.2">
      <c r="B94" s="3"/>
      <c r="C94" s="3"/>
      <c r="D94" s="3"/>
      <c r="E94" s="3"/>
      <c r="F94" s="12"/>
      <c r="G94" s="12"/>
      <c r="H94" s="12"/>
      <c r="I94" s="12"/>
      <c r="J94" s="12"/>
      <c r="K94" s="12"/>
      <c r="L94" s="12"/>
      <c r="M94" s="12"/>
      <c r="U94" s="317" t="s">
        <v>45</v>
      </c>
      <c r="V94" s="318" t="str">
        <f>""</f>
        <v/>
      </c>
      <c r="W94" s="319" t="str">
        <f>""</f>
        <v/>
      </c>
      <c r="X94" s="319" t="str">
        <f>""</f>
        <v/>
      </c>
      <c r="Y94" s="320" t="str">
        <f>""</f>
        <v/>
      </c>
      <c r="Z94" s="321" t="str">
        <f>""</f>
        <v/>
      </c>
      <c r="AA94" s="319">
        <v>0</v>
      </c>
      <c r="AB94" s="319" t="str">
        <f>""</f>
        <v/>
      </c>
      <c r="AC94" s="322"/>
      <c r="AD94" s="323"/>
      <c r="AE94" s="324"/>
      <c r="AF94" s="323"/>
      <c r="AG94" s="588" t="str">
        <f>""</f>
        <v/>
      </c>
      <c r="AH94" s="3" t="str">
        <f>""</f>
        <v/>
      </c>
      <c r="AI94" s="593"/>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FC BarcelonaVFB Essenheim</v>
      </c>
      <c r="AA136" s="31">
        <f ca="1">AA64</f>
        <v>1</v>
      </c>
      <c r="AB136" s="12" t="str">
        <f ca="1">IF(AA136&gt;0,(Y64+AH64)&amp;Language!$E$80&amp;(X64+AG64),"")</f>
        <v>50-33</v>
      </c>
      <c r="AD136" s="141"/>
      <c r="AE136" s="596"/>
      <c r="AF136" s="597"/>
      <c r="AG136" s="597"/>
      <c r="AH136" s="597"/>
      <c r="AI136" s="140" t="str">
        <f ca="1">IF(AA64&gt;0,AF64&amp;Language!$E$80&amp;AE64,"")</f>
        <v>2-0</v>
      </c>
    </row>
    <row r="137" spans="2:35" x14ac:dyDescent="0.2">
      <c r="Y137" s="64" t="s">
        <v>7</v>
      </c>
      <c r="Z137" s="33" t="str">
        <f ca="1">W65&amp;V65</f>
        <v>Inter MailandFC Grönlingen</v>
      </c>
      <c r="AA137" s="12">
        <f t="shared" ref="AA137:AA165" ca="1" si="70">AA65</f>
        <v>1</v>
      </c>
      <c r="AB137" s="12" t="str">
        <f ca="1">IF(AA137&gt;0,(Y65+AH65)&amp;Language!$E$80&amp;(X65+AG65),"")</f>
        <v>45-48</v>
      </c>
      <c r="AC137" s="2"/>
      <c r="AD137" s="141"/>
      <c r="AE137" s="598"/>
      <c r="AF137" s="599"/>
      <c r="AG137" s="599"/>
      <c r="AH137" s="599"/>
      <c r="AI137" s="607" t="str">
        <f ca="1">IF(AA65&gt;0,AF65&amp;Language!$E$80&amp;AE65,"")</f>
        <v>1-1</v>
      </c>
    </row>
    <row r="138" spans="2:35" x14ac:dyDescent="0.2">
      <c r="Y138" s="64" t="s">
        <v>8</v>
      </c>
      <c r="Z138" s="33" t="str">
        <f t="shared" ref="Z138:Z165" ca="1" si="71">W66&amp;V66</f>
        <v>Maibach 1822 eVEintracht Frankfurt</v>
      </c>
      <c r="AA138" s="12">
        <f t="shared" ca="1" si="70"/>
        <v>1</v>
      </c>
      <c r="AB138" s="12" t="str">
        <f ca="1">IF(AA138&gt;0,(Y66+AH66)&amp;Language!$E$80&amp;(X66+AG66),"")</f>
        <v>40-50</v>
      </c>
      <c r="AC138" s="2"/>
      <c r="AD138" s="141"/>
      <c r="AE138" s="598"/>
      <c r="AF138" s="599"/>
      <c r="AG138" s="599"/>
      <c r="AH138" s="599"/>
      <c r="AI138" s="607" t="str">
        <f ca="1">IF(AA66&gt;0,AF66&amp;Language!$E$80&amp;AE66,"")</f>
        <v>0-2</v>
      </c>
    </row>
    <row r="139" spans="2:35" x14ac:dyDescent="0.2">
      <c r="Y139" s="64" t="s">
        <v>9</v>
      </c>
      <c r="Z139" s="33" t="str">
        <f t="shared" ca="1" si="71"/>
        <v>Manchester CitySSV Wildbach</v>
      </c>
      <c r="AA139" s="12">
        <f t="shared" ca="1" si="70"/>
        <v>1</v>
      </c>
      <c r="AB139" s="12" t="str">
        <f ca="1">IF(AA139&gt;0,(Y67+AH67)&amp;Language!$E$80&amp;(X67+AG67),"")</f>
        <v>42-50</v>
      </c>
      <c r="AC139" s="2"/>
      <c r="AD139" s="141"/>
      <c r="AE139" s="598"/>
      <c r="AF139" s="599"/>
      <c r="AG139" s="599"/>
      <c r="AH139" s="599"/>
      <c r="AI139" s="607" t="str">
        <f ca="1">IF(AA67&gt;0,AF67&amp;Language!$E$80&amp;AE67,"")</f>
        <v>0-2</v>
      </c>
    </row>
    <row r="140" spans="2:35" x14ac:dyDescent="0.2">
      <c r="Y140" s="64" t="s">
        <v>10</v>
      </c>
      <c r="Z140" s="33" t="str">
        <f t="shared" ca="1" si="71"/>
        <v>1. FC RiedwaldVFB Essenheim</v>
      </c>
      <c r="AA140" s="12">
        <f t="shared" ca="1" si="70"/>
        <v>1</v>
      </c>
      <c r="AB140" s="12" t="str">
        <f ca="1">IF(AA140&gt;0,(Y68+AH68)&amp;Language!$E$80&amp;(X68+AG68),"")</f>
        <v>44-50</v>
      </c>
      <c r="AC140" s="2"/>
      <c r="AD140" s="141"/>
      <c r="AE140" s="598"/>
      <c r="AF140" s="599"/>
      <c r="AG140" s="599"/>
      <c r="AH140" s="599"/>
      <c r="AI140" s="607" t="str">
        <f ca="1">IF(AA68&gt;0,AF68&amp;Language!$E$80&amp;AE68,"")</f>
        <v>0-2</v>
      </c>
    </row>
    <row r="141" spans="2:35" x14ac:dyDescent="0.2">
      <c r="Y141" s="64" t="s">
        <v>11</v>
      </c>
      <c r="Z141" s="33" t="str">
        <f t="shared" ca="1" si="71"/>
        <v>Mainz 05FC Grönlingen</v>
      </c>
      <c r="AA141" s="12">
        <f t="shared" ca="1" si="70"/>
        <v>1</v>
      </c>
      <c r="AB141" s="12" t="str">
        <f ca="1">IF(AA141&gt;0,(Y69+AH69)&amp;Language!$E$80&amp;(X69+AG69),"")</f>
        <v>39-50</v>
      </c>
      <c r="AC141" s="2"/>
      <c r="AD141" s="141"/>
      <c r="AE141" s="598"/>
      <c r="AF141" s="599"/>
      <c r="AG141" s="599"/>
      <c r="AH141" s="599"/>
      <c r="AI141" s="607" t="str">
        <f ca="1">IF(AA69&gt;0,AF69&amp;Language!$E$80&amp;AE69,"")</f>
        <v>0-2</v>
      </c>
    </row>
    <row r="142" spans="2:35" x14ac:dyDescent="0.2">
      <c r="Y142" s="64" t="s">
        <v>16</v>
      </c>
      <c r="Z142" s="33" t="str">
        <f t="shared" ca="1" si="71"/>
        <v>Eintracht FrankfurtFC Barcelona</v>
      </c>
      <c r="AA142" s="12">
        <f t="shared" ca="1" si="70"/>
        <v>1</v>
      </c>
      <c r="AB142" s="12" t="str">
        <f ca="1">IF(AA142&gt;0,(Y70+AH70)&amp;Language!$E$80&amp;(X70+AG70),"")</f>
        <v>48-48</v>
      </c>
      <c r="AC142" s="2"/>
      <c r="AD142" s="141"/>
      <c r="AE142" s="598"/>
      <c r="AF142" s="599"/>
      <c r="AG142" s="599"/>
      <c r="AH142" s="599"/>
      <c r="AI142" s="607" t="str">
        <f ca="1">IF(AA70&gt;0,AF70&amp;Language!$E$80&amp;AE70,"")</f>
        <v>1-1</v>
      </c>
    </row>
    <row r="143" spans="2:35" x14ac:dyDescent="0.2">
      <c r="Y143" s="64" t="s">
        <v>17</v>
      </c>
      <c r="Z143" s="33" t="str">
        <f t="shared" ca="1" si="71"/>
        <v>SSV WildbachInter Mailand</v>
      </c>
      <c r="AA143" s="12">
        <f t="shared" ca="1" si="70"/>
        <v>1</v>
      </c>
      <c r="AB143" s="12" t="str">
        <f ca="1">IF(AA143&gt;0,(Y71+AH71)&amp;Language!$E$80&amp;(X71+AG71),"")</f>
        <v>37-44</v>
      </c>
      <c r="AC143" s="2"/>
      <c r="AD143" s="141"/>
      <c r="AE143" s="598"/>
      <c r="AF143" s="599"/>
      <c r="AG143" s="599"/>
      <c r="AH143" s="599"/>
      <c r="AI143" s="607" t="str">
        <f ca="1">IF(AA71&gt;0,AF71&amp;Language!$E$80&amp;AE71,"")</f>
        <v>1-1</v>
      </c>
    </row>
    <row r="144" spans="2:35" x14ac:dyDescent="0.2">
      <c r="Y144" s="64" t="s">
        <v>18</v>
      </c>
      <c r="Z144" s="33" t="str">
        <f t="shared" ca="1" si="71"/>
        <v>Maibach 1822 eV1. FC Riedwald</v>
      </c>
      <c r="AA144" s="12">
        <f t="shared" ca="1" si="70"/>
        <v>1</v>
      </c>
      <c r="AB144" s="12" t="str">
        <f ca="1">IF(AA144&gt;0,(Y72+AH72)&amp;Language!$E$80&amp;(X72+AG72),"")</f>
        <v>43-41</v>
      </c>
      <c r="AC144" s="2"/>
      <c r="AD144" s="141"/>
      <c r="AE144" s="598"/>
      <c r="AF144" s="599"/>
      <c r="AG144" s="599"/>
      <c r="AH144" s="599"/>
      <c r="AI144" s="607" t="str">
        <f ca="1">IF(AA72&gt;0,AF72&amp;Language!$E$80&amp;AE72,"")</f>
        <v>1-1</v>
      </c>
    </row>
    <row r="145" spans="25:35" x14ac:dyDescent="0.2">
      <c r="Y145" s="64" t="s">
        <v>24</v>
      </c>
      <c r="Z145" s="33" t="str">
        <f t="shared" ca="1" si="71"/>
        <v>Manchester CityMainz 05</v>
      </c>
      <c r="AA145" s="12">
        <f t="shared" ca="1" si="70"/>
        <v>1</v>
      </c>
      <c r="AB145" s="12" t="str">
        <f ca="1">IF(AA145&gt;0,(Y73+AH73)&amp;Language!$E$80&amp;(X73+AG73),"")</f>
        <v>44-39</v>
      </c>
      <c r="AC145" s="2"/>
      <c r="AD145" s="141"/>
      <c r="AE145" s="598"/>
      <c r="AF145" s="599"/>
      <c r="AG145" s="599"/>
      <c r="AH145" s="599"/>
      <c r="AI145" s="607" t="str">
        <f ca="1">IF(AA73&gt;0,AF73&amp;Language!$E$80&amp;AE73,"")</f>
        <v>1-1</v>
      </c>
    </row>
    <row r="146" spans="25:35" x14ac:dyDescent="0.2">
      <c r="Y146" s="64" t="s">
        <v>25</v>
      </c>
      <c r="Z146" s="33" t="str">
        <f t="shared" ca="1" si="71"/>
        <v>VFB EssenheimEintracht Frankfurt</v>
      </c>
      <c r="AA146" s="12">
        <f t="shared" ca="1" si="70"/>
        <v>1</v>
      </c>
      <c r="AB146" s="12" t="str">
        <f ca="1">IF(AA146&gt;0,(Y74+AH74)&amp;Language!$E$80&amp;(X74+AG74),"")</f>
        <v>45-47</v>
      </c>
      <c r="AC146" s="2"/>
      <c r="AD146" s="141"/>
      <c r="AE146" s="598"/>
      <c r="AF146" s="599"/>
      <c r="AG146" s="599"/>
      <c r="AH146" s="599"/>
      <c r="AI146" s="607" t="str">
        <f ca="1">IF(AA74&gt;0,AF74&amp;Language!$E$80&amp;AE74,"")</f>
        <v>1-1</v>
      </c>
    </row>
    <row r="147" spans="25:35" x14ac:dyDescent="0.2">
      <c r="Y147" s="64" t="s">
        <v>26</v>
      </c>
      <c r="Z147" s="33" t="str">
        <f t="shared" ca="1" si="71"/>
        <v>FC GrönlingenSSV Wildbach</v>
      </c>
      <c r="AA147" s="12">
        <f t="shared" ca="1" si="70"/>
        <v>1</v>
      </c>
      <c r="AB147" s="12" t="str">
        <f ca="1">IF(AA147&gt;0,(Y75+AH75)&amp;Language!$E$80&amp;(X75+AG75),"")</f>
        <v>44-44</v>
      </c>
      <c r="AC147" s="2"/>
      <c r="AD147" s="141"/>
      <c r="AE147" s="598"/>
      <c r="AF147" s="599"/>
      <c r="AG147" s="599"/>
      <c r="AH147" s="599"/>
      <c r="AI147" s="607" t="str">
        <f ca="1">IF(AA75&gt;0,AF75&amp;Language!$E$80&amp;AE75,"")</f>
        <v>1-1</v>
      </c>
    </row>
    <row r="148" spans="25:35" x14ac:dyDescent="0.2">
      <c r="Y148" s="64" t="s">
        <v>27</v>
      </c>
      <c r="Z148" s="33" t="str">
        <f t="shared" ca="1" si="71"/>
        <v>Maibach 1822 eVFC Barcelona</v>
      </c>
      <c r="AA148" s="12">
        <f t="shared" ca="1" si="70"/>
        <v>1</v>
      </c>
      <c r="AB148" s="12" t="str">
        <f ca="1">IF(AA148&gt;0,(Y76+AH76)&amp;Language!$E$80&amp;(X76+AG76),"")</f>
        <v>50-29</v>
      </c>
      <c r="AC148" s="2"/>
      <c r="AD148" s="141"/>
      <c r="AE148" s="598"/>
      <c r="AF148" s="599"/>
      <c r="AG148" s="599"/>
      <c r="AH148" s="599"/>
      <c r="AI148" s="607" t="str">
        <f ca="1">IF(AA76&gt;0,AF76&amp;Language!$E$80&amp;AE76,"")</f>
        <v>2-0</v>
      </c>
    </row>
    <row r="149" spans="25:35" x14ac:dyDescent="0.2">
      <c r="Y149" s="64" t="s">
        <v>28</v>
      </c>
      <c r="Z149" s="33" t="str">
        <f t="shared" ca="1" si="71"/>
        <v>Manchester CityInter Mailand</v>
      </c>
      <c r="AA149" s="12">
        <f t="shared" ca="1" si="70"/>
        <v>1</v>
      </c>
      <c r="AB149" s="12" t="str">
        <f ca="1">IF(AA149&gt;0,(Y77+AH77)&amp;Language!$E$80&amp;(X77+AG77),"")</f>
        <v>48-39</v>
      </c>
      <c r="AC149" s="2"/>
      <c r="AD149" s="141"/>
      <c r="AE149" s="598"/>
      <c r="AF149" s="599"/>
      <c r="AG149" s="599"/>
      <c r="AH149" s="599"/>
      <c r="AI149" s="607" t="str">
        <f ca="1">IF(AA77&gt;0,AF77&amp;Language!$E$80&amp;AE77,"")</f>
        <v>1-1</v>
      </c>
    </row>
    <row r="150" spans="25:35" x14ac:dyDescent="0.2">
      <c r="Y150" s="64" t="s">
        <v>29</v>
      </c>
      <c r="Z150" s="33" t="str">
        <f t="shared" ca="1" si="71"/>
        <v>1. FC RiedwaldEintracht Frankfurt</v>
      </c>
      <c r="AA150" s="12">
        <f t="shared" ca="1" si="70"/>
        <v>1</v>
      </c>
      <c r="AB150" s="12" t="str">
        <f ca="1">IF(AA150&gt;0,(Y78+AH78)&amp;Language!$E$80&amp;(X78+AG78),"")</f>
        <v>42-46</v>
      </c>
      <c r="AC150" s="2"/>
      <c r="AD150" s="141"/>
      <c r="AE150" s="598"/>
      <c r="AF150" s="599"/>
      <c r="AG150" s="599"/>
      <c r="AH150" s="599"/>
      <c r="AI150" s="607" t="str">
        <f ca="1">IF(AA78&gt;0,AF78&amp;Language!$E$80&amp;AE78,"")</f>
        <v>1-1</v>
      </c>
    </row>
    <row r="151" spans="25:35" x14ac:dyDescent="0.2">
      <c r="Y151" s="64" t="s">
        <v>30</v>
      </c>
      <c r="Z151" s="33" t="str">
        <f t="shared" ca="1" si="71"/>
        <v>Mainz 05SSV Wildbach</v>
      </c>
      <c r="AA151" s="12">
        <f t="shared" ca="1" si="70"/>
        <v>1</v>
      </c>
      <c r="AB151" s="12" t="str">
        <f ca="1">IF(AA151&gt;0,(Y79+AH79)&amp;Language!$E$80&amp;(X79+AG79),"")</f>
        <v>50-38</v>
      </c>
      <c r="AC151" s="2"/>
      <c r="AD151" s="141"/>
      <c r="AE151" s="598"/>
      <c r="AF151" s="599"/>
      <c r="AG151" s="599"/>
      <c r="AH151" s="599"/>
      <c r="AI151" s="607" t="str">
        <f ca="1">IF(AA79&gt;0,AF79&amp;Language!$E$80&amp;AE79,"")</f>
        <v>2-0</v>
      </c>
    </row>
    <row r="152" spans="25:35" x14ac:dyDescent="0.2">
      <c r="Y152" s="64" t="s">
        <v>31</v>
      </c>
      <c r="Z152" s="33" t="str">
        <f t="shared" ca="1" si="71"/>
        <v>VFB EssenheimMaibach 1822 eV</v>
      </c>
      <c r="AA152" s="12">
        <f t="shared" ca="1" si="70"/>
        <v>1</v>
      </c>
      <c r="AB152" s="12" t="str">
        <f ca="1">IF(AA152&gt;0,(Y80+AH80)&amp;Language!$E$80&amp;(X80+AG80),"")</f>
        <v>39-50</v>
      </c>
      <c r="AC152" s="2"/>
      <c r="AD152" s="141"/>
      <c r="AE152" s="598"/>
      <c r="AF152" s="599"/>
      <c r="AG152" s="599"/>
      <c r="AH152" s="599"/>
      <c r="AI152" s="607" t="str">
        <f ca="1">IF(AA80&gt;0,AF80&amp;Language!$E$80&amp;AE80,"")</f>
        <v>0-2</v>
      </c>
    </row>
    <row r="153" spans="25:35" x14ac:dyDescent="0.2">
      <c r="Y153" s="64" t="s">
        <v>32</v>
      </c>
      <c r="Z153" s="33" t="str">
        <f t="shared" ca="1" si="71"/>
        <v>FC GrönlingenManchester City</v>
      </c>
      <c r="AA153" s="12">
        <f t="shared" ca="1" si="70"/>
        <v>1</v>
      </c>
      <c r="AB153" s="12" t="str">
        <f ca="1">IF(AA153&gt;0,(Y81+AH81)&amp;Language!$E$80&amp;(X81+AG81),"")</f>
        <v>32-50</v>
      </c>
      <c r="AC153" s="2"/>
      <c r="AD153" s="141"/>
      <c r="AE153" s="598"/>
      <c r="AF153" s="599"/>
      <c r="AG153" s="599"/>
      <c r="AH153" s="599"/>
      <c r="AI153" s="607" t="str">
        <f ca="1">IF(AA81&gt;0,AF81&amp;Language!$E$80&amp;AE81,"")</f>
        <v>0-2</v>
      </c>
    </row>
    <row r="154" spans="25:35" x14ac:dyDescent="0.2">
      <c r="Y154" s="64" t="s">
        <v>33</v>
      </c>
      <c r="Z154" s="33" t="str">
        <f t="shared" ca="1" si="71"/>
        <v>FC Barcelona1. FC Riedwald</v>
      </c>
      <c r="AA154" s="12">
        <f t="shared" ca="1" si="70"/>
        <v>1</v>
      </c>
      <c r="AB154" s="12" t="str">
        <f ca="1">IF(AA154&gt;0,(Y82+AH82)&amp;Language!$E$80&amp;(X82+AG82),"")</f>
        <v>37-50</v>
      </c>
      <c r="AC154" s="2"/>
      <c r="AD154" s="141"/>
      <c r="AE154" s="598"/>
      <c r="AF154" s="599"/>
      <c r="AG154" s="599"/>
      <c r="AH154" s="599"/>
      <c r="AI154" s="607" t="str">
        <f ca="1">IF(AA82&gt;0,AF82&amp;Language!$E$80&amp;AE82,"")</f>
        <v>0-2</v>
      </c>
    </row>
    <row r="155" spans="25:35" x14ac:dyDescent="0.2">
      <c r="Y155" s="64" t="s">
        <v>34</v>
      </c>
      <c r="Z155" s="33" t="str">
        <f t="shared" ca="1" si="71"/>
        <v>Inter MailandMainz 05</v>
      </c>
      <c r="AA155" s="12">
        <f t="shared" ca="1" si="70"/>
        <v>1</v>
      </c>
      <c r="AB155" s="12" t="str">
        <f ca="1">IF(AA155&gt;0,(Y83+AH83)&amp;Language!$E$80&amp;(X83+AG83),"")</f>
        <v>24-50</v>
      </c>
      <c r="AC155" s="2"/>
      <c r="AD155" s="141"/>
      <c r="AE155" s="598"/>
      <c r="AF155" s="599"/>
      <c r="AG155" s="599"/>
      <c r="AH155" s="599"/>
      <c r="AI155" s="607" t="str">
        <f ca="1">IF(AA83&gt;0,AF83&amp;Language!$E$80&amp;AE83,"")</f>
        <v>0-2</v>
      </c>
    </row>
    <row r="156" spans="25:35" x14ac:dyDescent="0.2">
      <c r="Y156" s="64" t="s">
        <v>35</v>
      </c>
      <c r="Z156" s="33" t="str">
        <f t="shared" ca="1" si="71"/>
        <v/>
      </c>
      <c r="AA156" s="12">
        <f t="shared" ca="1" si="70"/>
        <v>0</v>
      </c>
      <c r="AB156" s="12" t="str">
        <f ca="1">IF(AA156&gt;0,(Y84+AH84)&amp;Language!$E$80&amp;(X84+AG84),"")</f>
        <v/>
      </c>
      <c r="AC156" s="2"/>
      <c r="AD156" s="141"/>
      <c r="AE156" s="598"/>
      <c r="AF156" s="599"/>
      <c r="AG156" s="599"/>
      <c r="AH156" s="599"/>
      <c r="AI156" s="607" t="str">
        <f ca="1">IF(AA84&gt;0,AF84&amp;Language!$E$80&amp;AE84,"")</f>
        <v/>
      </c>
    </row>
    <row r="157" spans="25:35" x14ac:dyDescent="0.2">
      <c r="Y157" s="64" t="s">
        <v>36</v>
      </c>
      <c r="Z157" s="33" t="str">
        <f t="shared" ca="1" si="71"/>
        <v/>
      </c>
      <c r="AA157" s="12">
        <f t="shared" ca="1" si="70"/>
        <v>0</v>
      </c>
      <c r="AB157" s="12" t="str">
        <f ca="1">IF(AA157&gt;0,(Y85+AH85)&amp;Language!$E$80&amp;(X85+AG85),"")</f>
        <v/>
      </c>
      <c r="AC157" s="2"/>
      <c r="AD157" s="141"/>
      <c r="AE157" s="598"/>
      <c r="AF157" s="599"/>
      <c r="AG157" s="599"/>
      <c r="AH157" s="599"/>
      <c r="AI157" s="607" t="str">
        <f ca="1">IF(AA85&gt;0,AF85&amp;Language!$E$80&amp;AE85,"")</f>
        <v/>
      </c>
    </row>
    <row r="158" spans="25:35" x14ac:dyDescent="0.2">
      <c r="Y158" s="64" t="s">
        <v>37</v>
      </c>
      <c r="Z158" s="33" t="str">
        <f t="shared" ca="1" si="71"/>
        <v/>
      </c>
      <c r="AA158" s="12">
        <f t="shared" ca="1" si="70"/>
        <v>0</v>
      </c>
      <c r="AB158" s="12" t="str">
        <f ca="1">IF(AA158&gt;0,(Y86+AH86)&amp;Language!$E$80&amp;(X86+AG86),"")</f>
        <v/>
      </c>
      <c r="AC158" s="2"/>
      <c r="AD158" s="141"/>
      <c r="AE158" s="598"/>
      <c r="AF158" s="599"/>
      <c r="AG158" s="599"/>
      <c r="AH158" s="599"/>
      <c r="AI158" s="607" t="str">
        <f ca="1">IF(AA86&gt;0,AF86&amp;Language!$E$80&amp;AE86,"")</f>
        <v/>
      </c>
    </row>
    <row r="159" spans="25:35" x14ac:dyDescent="0.2">
      <c r="Y159" s="64" t="s">
        <v>38</v>
      </c>
      <c r="Z159" s="33" t="str">
        <f t="shared" ca="1" si="71"/>
        <v/>
      </c>
      <c r="AA159" s="12">
        <f t="shared" ca="1" si="70"/>
        <v>0</v>
      </c>
      <c r="AB159" s="12" t="str">
        <f ca="1">IF(AA159&gt;0,(Y87+AH87)&amp;Language!$E$80&amp;(X87+AG87),"")</f>
        <v/>
      </c>
      <c r="AC159" s="2"/>
      <c r="AD159" s="141"/>
      <c r="AE159" s="598"/>
      <c r="AF159" s="599"/>
      <c r="AG159" s="599"/>
      <c r="AH159" s="599"/>
      <c r="AI159" s="607" t="str">
        <f ca="1">IF(AA87&gt;0,AF87&amp;Language!$E$80&amp;AE87,"")</f>
        <v/>
      </c>
    </row>
    <row r="160" spans="25:35" x14ac:dyDescent="0.2">
      <c r="Y160" s="64" t="s">
        <v>39</v>
      </c>
      <c r="Z160" s="33" t="str">
        <f t="shared" ca="1" si="71"/>
        <v/>
      </c>
      <c r="AA160" s="12">
        <f t="shared" ca="1" si="70"/>
        <v>0</v>
      </c>
      <c r="AB160" s="12" t="str">
        <f ca="1">IF(AA160&gt;0,(Y88+AH88)&amp;Language!$E$80&amp;(X88+AG88),"")</f>
        <v/>
      </c>
      <c r="AC160" s="2"/>
      <c r="AD160" s="141"/>
      <c r="AE160" s="598"/>
      <c r="AF160" s="599"/>
      <c r="AG160" s="599"/>
      <c r="AH160" s="599"/>
      <c r="AI160" s="607" t="str">
        <f ca="1">IF(AA88&gt;0,AF88&amp;Language!$E$80&amp;AE88,"")</f>
        <v/>
      </c>
    </row>
    <row r="161" spans="25:35" x14ac:dyDescent="0.2">
      <c r="Y161" s="64" t="s">
        <v>40</v>
      </c>
      <c r="Z161" s="33" t="str">
        <f t="shared" ca="1" si="71"/>
        <v/>
      </c>
      <c r="AA161" s="12">
        <f t="shared" ca="1" si="70"/>
        <v>0</v>
      </c>
      <c r="AB161" s="12" t="str">
        <f ca="1">IF(AA161&gt;0,(Y89+AH89)&amp;Language!$E$80&amp;(X89+AG89),"")</f>
        <v/>
      </c>
      <c r="AC161" s="2"/>
      <c r="AD161" s="141"/>
      <c r="AE161" s="598"/>
      <c r="AF161" s="599"/>
      <c r="AG161" s="599"/>
      <c r="AH161" s="599"/>
      <c r="AI161" s="607" t="str">
        <f ca="1">IF(AA89&gt;0,AF89&amp;Language!$E$80&amp;AE89,"")</f>
        <v/>
      </c>
    </row>
    <row r="162" spans="25:35" x14ac:dyDescent="0.2">
      <c r="Y162" s="64" t="s">
        <v>41</v>
      </c>
      <c r="Z162" s="33" t="str">
        <f t="shared" ca="1" si="71"/>
        <v/>
      </c>
      <c r="AA162" s="12">
        <f t="shared" ca="1" si="70"/>
        <v>0</v>
      </c>
      <c r="AB162" s="12" t="str">
        <f ca="1">IF(AA162&gt;0,(Y90+AH90)&amp;Language!$E$80&amp;(X90+AG90),"")</f>
        <v/>
      </c>
      <c r="AC162" s="2"/>
      <c r="AD162" s="141"/>
      <c r="AE162" s="598"/>
      <c r="AF162" s="599"/>
      <c r="AG162" s="599"/>
      <c r="AH162" s="599"/>
      <c r="AI162" s="607" t="str">
        <f ca="1">IF(AA90&gt;0,AF90&amp;Language!$E$80&amp;AE90,"")</f>
        <v/>
      </c>
    </row>
    <row r="163" spans="25:35" x14ac:dyDescent="0.2">
      <c r="Y163" s="64" t="s">
        <v>42</v>
      </c>
      <c r="Z163" s="33" t="str">
        <f t="shared" ca="1" si="71"/>
        <v/>
      </c>
      <c r="AA163" s="12">
        <f t="shared" ca="1" si="70"/>
        <v>0</v>
      </c>
      <c r="AB163" s="12" t="str">
        <f ca="1">IF(AA163&gt;0,(Y91+AH91)&amp;Language!$E$80&amp;(X91+AG91),"")</f>
        <v/>
      </c>
      <c r="AC163" s="2"/>
      <c r="AD163" s="141"/>
      <c r="AE163" s="598"/>
      <c r="AF163" s="599"/>
      <c r="AG163" s="599"/>
      <c r="AH163" s="599"/>
      <c r="AI163" s="607" t="str">
        <f ca="1">IF(AA91&gt;0,AF91&amp;Language!$E$80&amp;AE91,"")</f>
        <v/>
      </c>
    </row>
    <row r="164" spans="25:35" x14ac:dyDescent="0.2">
      <c r="Y164" s="64" t="s">
        <v>43</v>
      </c>
      <c r="Z164" s="33" t="str">
        <f t="shared" ca="1" si="71"/>
        <v/>
      </c>
      <c r="AA164" s="12">
        <f t="shared" ca="1" si="70"/>
        <v>0</v>
      </c>
      <c r="AB164" s="12" t="str">
        <f ca="1">IF(AA164&gt;0,(Y92+AH92)&amp;Language!$E$80&amp;(X92+AG92),"")</f>
        <v/>
      </c>
      <c r="AC164" s="2"/>
      <c r="AD164" s="141"/>
      <c r="AE164" s="598"/>
      <c r="AF164" s="599"/>
      <c r="AG164" s="599"/>
      <c r="AH164" s="599"/>
      <c r="AI164" s="607" t="str">
        <f ca="1">IF(AA92&gt;0,AF92&amp;Language!$E$80&amp;AE92,"")</f>
        <v/>
      </c>
    </row>
    <row r="165" spans="25:35" ht="12.75" thickBot="1" x14ac:dyDescent="0.25">
      <c r="Y165" s="311" t="s">
        <v>44</v>
      </c>
      <c r="Z165" s="313" t="str">
        <f t="shared" ca="1" si="71"/>
        <v/>
      </c>
      <c r="AA165" s="312">
        <f t="shared" ca="1" si="70"/>
        <v>0</v>
      </c>
      <c r="AB165" s="312" t="str">
        <f ca="1">IF(AA165&gt;0,(Y93+AH93)&amp;Language!$E$80&amp;(X93+AG93),"")</f>
        <v/>
      </c>
      <c r="AC165" s="314"/>
      <c r="AD165" s="315"/>
      <c r="AE165" s="601"/>
      <c r="AF165" s="595"/>
      <c r="AG165" s="595"/>
      <c r="AH165" s="595"/>
      <c r="AI165" s="608" t="str">
        <f ca="1">IF(AA93&gt;0,AF93&amp;Language!$E$80&amp;AE93,"")</f>
        <v/>
      </c>
    </row>
    <row r="166" spans="25:35" ht="12.75" thickTop="1" x14ac:dyDescent="0.2">
      <c r="Y166" s="64" t="s">
        <v>45</v>
      </c>
      <c r="Z166" s="33" t="str">
        <f>""</f>
        <v/>
      </c>
      <c r="AA166" s="12">
        <v>0</v>
      </c>
      <c r="AB166" s="12" t="str">
        <f>""</f>
        <v/>
      </c>
      <c r="AC166" s="2"/>
      <c r="AD166" s="141"/>
      <c r="AE166" s="598"/>
      <c r="AF166" s="599"/>
      <c r="AG166" s="599"/>
      <c r="AH166" s="599"/>
      <c r="AI166" s="600"/>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333</v>
      </c>
      <c r="K2" s="1"/>
      <c r="L2" s="1"/>
      <c r="M2" s="1"/>
      <c r="N2" s="12"/>
      <c r="O2" s="1"/>
      <c r="P2" s="1"/>
      <c r="Q2" s="1"/>
      <c r="W2" s="2" t="s">
        <v>150</v>
      </c>
    </row>
    <row r="3" spans="1:44"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74">
        <f ca="1">IF($O$4&lt;10,$O$4,0)</f>
        <v>0</v>
      </c>
      <c r="X3" s="975"/>
      <c r="Y3" s="975"/>
      <c r="Z3" s="975"/>
      <c r="AA3" s="975"/>
      <c r="AB3" s="974">
        <f ca="1">IF($P$4&lt;10,$P$4,0)</f>
        <v>0</v>
      </c>
      <c r="AC3" s="975"/>
      <c r="AD3" s="975"/>
      <c r="AE3" s="975"/>
      <c r="AF3" s="975"/>
      <c r="AG3" s="974">
        <f ca="1">IF($Q$4&lt;10,$Q$4,0)</f>
        <v>0</v>
      </c>
      <c r="AH3" s="975"/>
      <c r="AI3" s="975"/>
      <c r="AJ3" s="975"/>
      <c r="AK3" s="975"/>
      <c r="AL3" s="974">
        <f ca="1">IF($R$4&lt;10,$R$4,0)</f>
        <v>0</v>
      </c>
      <c r="AM3" s="975"/>
      <c r="AN3" s="975"/>
      <c r="AO3" s="975"/>
      <c r="AP3" s="975"/>
    </row>
    <row r="4" spans="1:44" s="2" customFormat="1" ht="12.75" thickTop="1" x14ac:dyDescent="0.2">
      <c r="A4" s="239"/>
      <c r="B4" s="1">
        <v>1</v>
      </c>
      <c r="C4" s="20">
        <f t="shared" ref="C4:C12" ca="1" si="1">RANK(D4,$D$4:$D$12,1)</f>
        <v>4</v>
      </c>
      <c r="D4" s="12">
        <f t="shared" ref="D4:D12" ca="1" si="2">E4+ROW()/1000+(F4="")*10</f>
        <v>4.0039999999999996</v>
      </c>
      <c r="E4" s="252">
        <f t="shared" ref="E4:E12" ca="1" si="3">IF($AI$15,RANK(AH17,AH$17:AH$25,1),RANK(X17,X$17:X$25,1))</f>
        <v>4</v>
      </c>
      <c r="F4" s="1" t="str">
        <f ca="1">$Q64</f>
        <v>Maibach 1822 eV</v>
      </c>
      <c r="G4" s="1">
        <f t="shared" ref="G4:G12" ca="1" si="4">SUMIFS($X$64:$X$135,$V$64:$V$135,$F4)+SUMIFS($Y$64:$Y$135,$W$64:$W$135,$F4)+SUMIFS($AG$64:$AG$135,$V$64:$V$135,$F4)+SUMIFS($AH$64:$AH$135,$W$64:$W$135,$F4)</f>
        <v>116</v>
      </c>
      <c r="H4" s="1">
        <f t="shared" ref="H4:H12" ca="1" si="5">SUMIFS($Y$64:$Y$135,$V$64:$V$135,$F4)+SUMIFS($X$64:$X$135,$W$64:$W$135,$F4)+SUMIFS($AH$64:$AH$135,$V$64:$V$135,$F4)+SUMIFS($AG$64:$AG$135,$W$64:$W$135,$F4)</f>
        <v>133</v>
      </c>
      <c r="I4" s="12">
        <f ca="1">IF(Settings!$G$7,G4-H4,IF(H4=0,IF(G4=0,0,Settings!$F$7),G4/H4))</f>
        <v>-17</v>
      </c>
      <c r="J4" s="1">
        <f t="shared" ref="J4:J7" ca="1" si="6">SUMPRODUCT(($V$64:$V$135=F4)*$AE$64:$AE$135*$AA$64:$AA$135)+SUMPRODUCT(($W$64:$W$135=F4)*$AF$64:$AF$135*$AA$64:$AA$135)</f>
        <v>2</v>
      </c>
      <c r="K4" s="1">
        <f t="shared" ref="K4:K12" ca="1" si="7">SUMPRODUCT(($V$64:$V$135=F4)*$AA$64:$AA$135)+SUMPRODUCT(($W$64:$W$135=F4)*$AA$64:$AA$135)</f>
        <v>3</v>
      </c>
      <c r="L4" s="1">
        <f t="shared" ref="L4:L12" ca="1" si="8">K4-M4-N4</f>
        <v>1</v>
      </c>
      <c r="M4" s="1">
        <f t="shared" ref="M4:M12" ca="1" si="9">SUMPRODUCT(($V$64:$W$135=F4)*($AE$64:$AE$135=$AF$64:$AF$135)*$AA$64:$AA$135)</f>
        <v>0</v>
      </c>
      <c r="N4" s="1">
        <f t="shared" ref="N4:N12" ca="1" si="10">SUMPRODUCT(($V$64:$V$135=F4)*($AE$64:$AE$135&lt;$AF$64:$AF$135)*$AA$64:$AA$135)+SUMPRODUCT(($W$64:$W$135=F4)*($AE$64:$AE$135&gt;$AF$64:$AF$135)*$AA$64:$AA$135)</f>
        <v>2</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1.0504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1.0504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1.0504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1.0504</v>
      </c>
      <c r="AP4" s="578">
        <f t="shared" ref="AP4:AP12" ca="1" si="30">RANK($AO4,$AO$4:$AO$12,1)</f>
        <v>1</v>
      </c>
      <c r="AR4" s="2">
        <f ca="1">IF(Settings!$G$7,$I4,ROUND($I4,Settings!$H$7))</f>
        <v>-17</v>
      </c>
    </row>
    <row r="5" spans="1:44" s="2" customFormat="1" x14ac:dyDescent="0.2">
      <c r="A5" s="239"/>
      <c r="B5" s="1">
        <v>2</v>
      </c>
      <c r="C5" s="21">
        <f t="shared" ca="1" si="1"/>
        <v>3</v>
      </c>
      <c r="D5" s="12">
        <f t="shared" ca="1" si="2"/>
        <v>3.0049999999999999</v>
      </c>
      <c r="E5" s="252">
        <f t="shared" ca="1" si="3"/>
        <v>3</v>
      </c>
      <c r="F5" s="1" t="str">
        <f t="shared" ref="F5:F12" ca="1" si="31">$Q65</f>
        <v>Mainz 05</v>
      </c>
      <c r="G5" s="1">
        <f t="shared" ca="1" si="4"/>
        <v>127</v>
      </c>
      <c r="H5" s="1">
        <f t="shared" ca="1" si="5"/>
        <v>133</v>
      </c>
      <c r="I5" s="12">
        <f ca="1">IF(Settings!$G$7,G5-H5,IF(H5=0,IF(G5=0,0,Settings!$F$7),G5/H5))</f>
        <v>-6</v>
      </c>
      <c r="J5" s="1">
        <f t="shared" ca="1" si="6"/>
        <v>3</v>
      </c>
      <c r="K5" s="1">
        <f t="shared" ca="1" si="7"/>
        <v>3</v>
      </c>
      <c r="L5" s="1">
        <f t="shared" ca="1" si="8"/>
        <v>1</v>
      </c>
      <c r="M5" s="1">
        <f t="shared" ca="1" si="9"/>
        <v>1</v>
      </c>
      <c r="N5" s="1">
        <f t="shared" ca="1" si="10"/>
        <v>1</v>
      </c>
      <c r="O5" s="23"/>
      <c r="P5" s="24"/>
      <c r="V5" s="1"/>
      <c r="W5" s="575" t="str">
        <f t="shared" ca="1" si="11"/>
        <v/>
      </c>
      <c r="X5" s="576" t="str">
        <f t="shared" ca="1" si="12"/>
        <v/>
      </c>
      <c r="Y5" s="573">
        <f t="shared" ca="1" si="13"/>
        <v>99999</v>
      </c>
      <c r="Z5" s="573">
        <f t="shared" ca="1" si="14"/>
        <v>1.0505</v>
      </c>
      <c r="AA5" s="578">
        <f t="shared" ca="1" si="15"/>
        <v>2</v>
      </c>
      <c r="AB5" s="575" t="str">
        <f t="shared" ca="1" si="16"/>
        <v/>
      </c>
      <c r="AC5" s="576" t="str">
        <f t="shared" ca="1" si="17"/>
        <v/>
      </c>
      <c r="AD5" s="577">
        <f t="shared" ca="1" si="18"/>
        <v>99999</v>
      </c>
      <c r="AE5" s="573">
        <f t="shared" ca="1" si="19"/>
        <v>1.0505</v>
      </c>
      <c r="AF5" s="573">
        <f t="shared" ca="1" si="20"/>
        <v>2</v>
      </c>
      <c r="AG5" s="575" t="str">
        <f t="shared" ca="1" si="21"/>
        <v/>
      </c>
      <c r="AH5" s="576" t="str">
        <f t="shared" ca="1" si="22"/>
        <v/>
      </c>
      <c r="AI5" s="577">
        <f t="shared" ca="1" si="23"/>
        <v>99999</v>
      </c>
      <c r="AJ5" s="573">
        <f t="shared" ca="1" si="24"/>
        <v>1.0505</v>
      </c>
      <c r="AK5" s="578">
        <f t="shared" ca="1" si="25"/>
        <v>2</v>
      </c>
      <c r="AL5" s="576" t="str">
        <f t="shared" ca="1" si="26"/>
        <v/>
      </c>
      <c r="AM5" s="576" t="str">
        <f t="shared" ca="1" si="27"/>
        <v/>
      </c>
      <c r="AN5" s="577">
        <f t="shared" ca="1" si="28"/>
        <v>99999</v>
      </c>
      <c r="AO5" s="573">
        <f t="shared" ca="1" si="29"/>
        <v>1.0505</v>
      </c>
      <c r="AP5" s="578">
        <f t="shared" ca="1" si="30"/>
        <v>2</v>
      </c>
      <c r="AR5" s="2">
        <f ca="1">IF(Settings!$G$7,$I5,ROUND($I5,Settings!$H$7))</f>
        <v>-6</v>
      </c>
    </row>
    <row r="6" spans="1:44" s="2" customFormat="1" x14ac:dyDescent="0.2">
      <c r="A6" s="239"/>
      <c r="B6" s="1">
        <v>3</v>
      </c>
      <c r="C6" s="21">
        <f t="shared" ca="1" si="1"/>
        <v>2</v>
      </c>
      <c r="D6" s="12">
        <f t="shared" ca="1" si="2"/>
        <v>2.0059999999999998</v>
      </c>
      <c r="E6" s="252">
        <f t="shared" ca="1" si="3"/>
        <v>2</v>
      </c>
      <c r="F6" s="1" t="str">
        <f t="shared" ca="1" si="31"/>
        <v>Eintracht Frankfurt</v>
      </c>
      <c r="G6" s="1">
        <f t="shared" ca="1" si="4"/>
        <v>135</v>
      </c>
      <c r="H6" s="1">
        <f t="shared" ca="1" si="5"/>
        <v>123</v>
      </c>
      <c r="I6" s="12">
        <f ca="1">IF(Settings!$G$7,G6-H6,IF(H6=0,IF(G6=0,0,Settings!$F$7),G6/H6))</f>
        <v>12</v>
      </c>
      <c r="J6" s="1">
        <f t="shared" ca="1" si="6"/>
        <v>3</v>
      </c>
      <c r="K6" s="1">
        <f t="shared" ca="1" si="7"/>
        <v>3</v>
      </c>
      <c r="L6" s="1">
        <f t="shared" ca="1" si="8"/>
        <v>1</v>
      </c>
      <c r="M6" s="1">
        <f t="shared" ca="1" si="9"/>
        <v>1</v>
      </c>
      <c r="N6" s="1">
        <f t="shared" ca="1" si="10"/>
        <v>1</v>
      </c>
      <c r="O6" s="23"/>
      <c r="P6" s="24"/>
      <c r="V6" s="1"/>
      <c r="W6" s="575" t="str">
        <f t="shared" ca="1" si="11"/>
        <v/>
      </c>
      <c r="X6" s="576" t="str">
        <f t="shared" ca="1" si="12"/>
        <v/>
      </c>
      <c r="Y6" s="573">
        <f t="shared" ca="1" si="13"/>
        <v>99999</v>
      </c>
      <c r="Z6" s="573">
        <f t="shared" ca="1" si="14"/>
        <v>1.0506</v>
      </c>
      <c r="AA6" s="578">
        <f t="shared" ca="1" si="15"/>
        <v>3</v>
      </c>
      <c r="AB6" s="575" t="str">
        <f t="shared" ca="1" si="16"/>
        <v/>
      </c>
      <c r="AC6" s="576" t="str">
        <f t="shared" ca="1" si="17"/>
        <v/>
      </c>
      <c r="AD6" s="577">
        <f t="shared" ca="1" si="18"/>
        <v>99999</v>
      </c>
      <c r="AE6" s="573">
        <f t="shared" ca="1" si="19"/>
        <v>1.0506</v>
      </c>
      <c r="AF6" s="573">
        <f t="shared" ca="1" si="20"/>
        <v>3</v>
      </c>
      <c r="AG6" s="575" t="str">
        <f t="shared" ca="1" si="21"/>
        <v/>
      </c>
      <c r="AH6" s="576" t="str">
        <f t="shared" ca="1" si="22"/>
        <v/>
      </c>
      <c r="AI6" s="577">
        <f t="shared" ca="1" si="23"/>
        <v>99999</v>
      </c>
      <c r="AJ6" s="573">
        <f t="shared" ca="1" si="24"/>
        <v>1.0506</v>
      </c>
      <c r="AK6" s="578">
        <f t="shared" ca="1" si="25"/>
        <v>3</v>
      </c>
      <c r="AL6" s="576" t="str">
        <f t="shared" ca="1" si="26"/>
        <v/>
      </c>
      <c r="AM6" s="576" t="str">
        <f t="shared" ca="1" si="27"/>
        <v/>
      </c>
      <c r="AN6" s="577">
        <f t="shared" ca="1" si="28"/>
        <v>99999</v>
      </c>
      <c r="AO6" s="573">
        <f t="shared" ca="1" si="29"/>
        <v>1.0506</v>
      </c>
      <c r="AP6" s="578">
        <f t="shared" ca="1" si="30"/>
        <v>3</v>
      </c>
      <c r="AR6" s="2">
        <f ca="1">IF(Settings!$G$7,$I6,ROUND($I6,Settings!$H$7))</f>
        <v>12</v>
      </c>
    </row>
    <row r="7" spans="1:44" s="2" customFormat="1" x14ac:dyDescent="0.2">
      <c r="A7" s="239"/>
      <c r="B7" s="1">
        <v>4</v>
      </c>
      <c r="C7" s="21">
        <f t="shared" ca="1" si="1"/>
        <v>1</v>
      </c>
      <c r="D7" s="12">
        <f t="shared" ca="1" si="2"/>
        <v>1.0069999999999999</v>
      </c>
      <c r="E7" s="252">
        <f t="shared" ca="1" si="3"/>
        <v>1</v>
      </c>
      <c r="F7" s="1" t="str">
        <f t="shared" ca="1" si="31"/>
        <v>Manchester City</v>
      </c>
      <c r="G7" s="1">
        <f t="shared" ca="1" si="4"/>
        <v>136</v>
      </c>
      <c r="H7" s="1">
        <f t="shared" ca="1" si="5"/>
        <v>125</v>
      </c>
      <c r="I7" s="12">
        <f ca="1">IF(Settings!$G$7,G7-H7,IF(H7=0,IF(G7=0,0,Settings!$F$7),G7/H7))</f>
        <v>11</v>
      </c>
      <c r="J7" s="1">
        <f t="shared" ca="1" si="6"/>
        <v>4</v>
      </c>
      <c r="K7" s="1">
        <f t="shared" ca="1" si="7"/>
        <v>3</v>
      </c>
      <c r="L7" s="1">
        <f t="shared" ca="1" si="8"/>
        <v>1</v>
      </c>
      <c r="M7" s="1">
        <f t="shared" ca="1" si="9"/>
        <v>2</v>
      </c>
      <c r="N7" s="1">
        <f t="shared" ca="1" si="10"/>
        <v>0</v>
      </c>
      <c r="O7" s="23"/>
      <c r="P7" s="24"/>
      <c r="V7" s="1"/>
      <c r="W7" s="575" t="str">
        <f t="shared" ca="1" si="11"/>
        <v/>
      </c>
      <c r="X7" s="576" t="str">
        <f t="shared" ca="1" si="12"/>
        <v/>
      </c>
      <c r="Y7" s="573">
        <f t="shared" ca="1" si="13"/>
        <v>99999</v>
      </c>
      <c r="Z7" s="573">
        <f t="shared" ca="1" si="14"/>
        <v>1.0507</v>
      </c>
      <c r="AA7" s="578">
        <f t="shared" ca="1" si="15"/>
        <v>4</v>
      </c>
      <c r="AB7" s="575" t="str">
        <f t="shared" ca="1" si="16"/>
        <v/>
      </c>
      <c r="AC7" s="576" t="str">
        <f t="shared" ca="1" si="17"/>
        <v/>
      </c>
      <c r="AD7" s="577">
        <f t="shared" ca="1" si="18"/>
        <v>99999</v>
      </c>
      <c r="AE7" s="573">
        <f t="shared" ca="1" si="19"/>
        <v>1.0507</v>
      </c>
      <c r="AF7" s="573">
        <f t="shared" ca="1" si="20"/>
        <v>4</v>
      </c>
      <c r="AG7" s="575" t="str">
        <f t="shared" ca="1" si="21"/>
        <v/>
      </c>
      <c r="AH7" s="576" t="str">
        <f t="shared" ca="1" si="22"/>
        <v/>
      </c>
      <c r="AI7" s="577">
        <f t="shared" ca="1" si="23"/>
        <v>99999</v>
      </c>
      <c r="AJ7" s="573">
        <f t="shared" ca="1" si="24"/>
        <v>1.0507</v>
      </c>
      <c r="AK7" s="578">
        <f t="shared" ca="1" si="25"/>
        <v>4</v>
      </c>
      <c r="AL7" s="576" t="str">
        <f t="shared" ca="1" si="26"/>
        <v/>
      </c>
      <c r="AM7" s="576" t="str">
        <f t="shared" ca="1" si="27"/>
        <v/>
      </c>
      <c r="AN7" s="577">
        <f t="shared" ca="1" si="28"/>
        <v>99999</v>
      </c>
      <c r="AO7" s="573">
        <f t="shared" ca="1" si="29"/>
        <v>1.0507</v>
      </c>
      <c r="AP7" s="578">
        <f t="shared" ca="1" si="30"/>
        <v>4</v>
      </c>
      <c r="AR7" s="2">
        <f ca="1">IF(Settings!$G$7,$I7,ROUND($I7,Settings!$H$7))</f>
        <v>11</v>
      </c>
    </row>
    <row r="8" spans="1:44" s="2" customFormat="1" x14ac:dyDescent="0.2">
      <c r="A8" s="239"/>
      <c r="B8" s="1">
        <v>5</v>
      </c>
      <c r="C8" s="21">
        <f t="shared" ca="1" si="1"/>
        <v>5</v>
      </c>
      <c r="D8" s="12">
        <f t="shared" ca="1" si="2"/>
        <v>15.007999999999999</v>
      </c>
      <c r="E8" s="252">
        <f t="shared" ca="1" si="3"/>
        <v>5</v>
      </c>
      <c r="F8" s="1" t="str">
        <f t="shared" si="31"/>
        <v/>
      </c>
      <c r="G8" s="1">
        <f t="shared" ca="1" si="4"/>
        <v>0</v>
      </c>
      <c r="H8" s="1">
        <f t="shared" ca="1" si="5"/>
        <v>0</v>
      </c>
      <c r="I8" s="12">
        <f ca="1">IF(Settings!$G$7,G8-H8,IF(H8=0,IF(G8=0,0,Settings!$F$7),G8/H8))</f>
        <v>0</v>
      </c>
      <c r="J8" s="1">
        <f ca="1">SUMPRODUCT(($V$64:$V$135=F8)*$AE$64:$AE$135*$AA$64:$AA$135)+SUMPRODUCT(($W$64:$W$135=F8)*$AF$64:$AF$135*$AA$64:$AA$135)</f>
        <v>0</v>
      </c>
      <c r="K8" s="1">
        <f t="shared" ca="1" si="7"/>
        <v>0</v>
      </c>
      <c r="L8" s="1">
        <f t="shared" ca="1" si="8"/>
        <v>0</v>
      </c>
      <c r="M8" s="1">
        <f t="shared" ca="1" si="9"/>
        <v>0</v>
      </c>
      <c r="N8" s="1">
        <f t="shared" ca="1" si="10"/>
        <v>0</v>
      </c>
      <c r="P8" s="24"/>
      <c r="W8" s="575" t="str">
        <f t="shared" ca="1" si="11"/>
        <v/>
      </c>
      <c r="X8" s="576" t="str">
        <f t="shared" ca="1" si="12"/>
        <v/>
      </c>
      <c r="Y8" s="573">
        <f t="shared" ca="1" si="13"/>
        <v>99999</v>
      </c>
      <c r="Z8" s="573">
        <f t="shared" ca="1" si="14"/>
        <v>1.0508</v>
      </c>
      <c r="AA8" s="578">
        <f t="shared" ca="1" si="15"/>
        <v>5</v>
      </c>
      <c r="AB8" s="575" t="str">
        <f t="shared" ca="1" si="16"/>
        <v/>
      </c>
      <c r="AC8" s="576" t="str">
        <f t="shared" ca="1" si="17"/>
        <v/>
      </c>
      <c r="AD8" s="577">
        <f t="shared" ca="1" si="18"/>
        <v>99999</v>
      </c>
      <c r="AE8" s="573">
        <f t="shared" ca="1" si="19"/>
        <v>1.0508</v>
      </c>
      <c r="AF8" s="573">
        <f t="shared" ca="1" si="20"/>
        <v>5</v>
      </c>
      <c r="AG8" s="575" t="str">
        <f t="shared" ca="1" si="21"/>
        <v/>
      </c>
      <c r="AH8" s="576" t="str">
        <f t="shared" ca="1" si="22"/>
        <v/>
      </c>
      <c r="AI8" s="577">
        <f t="shared" ca="1" si="23"/>
        <v>99999</v>
      </c>
      <c r="AJ8" s="573">
        <f t="shared" ca="1" si="24"/>
        <v>1.0508</v>
      </c>
      <c r="AK8" s="578">
        <f t="shared" ca="1" si="25"/>
        <v>5</v>
      </c>
      <c r="AL8" s="576" t="str">
        <f t="shared" ca="1" si="26"/>
        <v/>
      </c>
      <c r="AM8" s="576" t="str">
        <f t="shared" ca="1" si="27"/>
        <v/>
      </c>
      <c r="AN8" s="577">
        <f t="shared" ca="1" si="28"/>
        <v>99999</v>
      </c>
      <c r="AO8" s="573">
        <f t="shared" ca="1" si="29"/>
        <v>1.0508</v>
      </c>
      <c r="AP8" s="578">
        <f t="shared" ca="1" si="30"/>
        <v>5</v>
      </c>
      <c r="AR8" s="2">
        <f ca="1">IF(Settings!$G$7,$I8,ROUND($I8,Settings!$H$7))</f>
        <v>0</v>
      </c>
    </row>
    <row r="9" spans="1:44" s="2" customFormat="1" x14ac:dyDescent="0.2">
      <c r="A9" s="239"/>
      <c r="B9" s="1">
        <v>6</v>
      </c>
      <c r="C9" s="21">
        <f t="shared" ca="1" si="1"/>
        <v>6</v>
      </c>
      <c r="D9" s="12">
        <f t="shared" ca="1" si="2"/>
        <v>15.009</v>
      </c>
      <c r="E9" s="252">
        <f t="shared" ca="1" si="3"/>
        <v>5</v>
      </c>
      <c r="F9" s="1" t="str">
        <f t="shared" si="31"/>
        <v/>
      </c>
      <c r="G9" s="1">
        <f t="shared" ca="1" si="4"/>
        <v>0</v>
      </c>
      <c r="H9" s="1">
        <f t="shared" ca="1" si="5"/>
        <v>0</v>
      </c>
      <c r="I9" s="12">
        <f ca="1">IF(Settings!$G$7,G9-H9,IF(H9=0,IF(G9=0,0,Settings!$F$7),G9/H9))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1.0508999999999999</v>
      </c>
      <c r="AA9" s="578">
        <f t="shared" ca="1" si="15"/>
        <v>6</v>
      </c>
      <c r="AB9" s="575" t="str">
        <f t="shared" ca="1" si="16"/>
        <v/>
      </c>
      <c r="AC9" s="576" t="str">
        <f t="shared" ca="1" si="17"/>
        <v/>
      </c>
      <c r="AD9" s="577">
        <f t="shared" ca="1" si="18"/>
        <v>99999</v>
      </c>
      <c r="AE9" s="573">
        <f t="shared" ca="1" si="19"/>
        <v>1.0508999999999999</v>
      </c>
      <c r="AF9" s="573">
        <f t="shared" ca="1" si="20"/>
        <v>6</v>
      </c>
      <c r="AG9" s="575" t="str">
        <f t="shared" ca="1" si="21"/>
        <v/>
      </c>
      <c r="AH9" s="576" t="str">
        <f t="shared" ca="1" si="22"/>
        <v/>
      </c>
      <c r="AI9" s="577">
        <f t="shared" ca="1" si="23"/>
        <v>99999</v>
      </c>
      <c r="AJ9" s="573">
        <f t="shared" ca="1" si="24"/>
        <v>1.0508999999999999</v>
      </c>
      <c r="AK9" s="578">
        <f t="shared" ca="1" si="25"/>
        <v>6</v>
      </c>
      <c r="AL9" s="576" t="str">
        <f t="shared" ca="1" si="26"/>
        <v/>
      </c>
      <c r="AM9" s="576" t="str">
        <f t="shared" ca="1" si="27"/>
        <v/>
      </c>
      <c r="AN9" s="577">
        <f t="shared" ca="1" si="28"/>
        <v>99999</v>
      </c>
      <c r="AO9" s="573">
        <f t="shared" ca="1" si="29"/>
        <v>1.0508999999999999</v>
      </c>
      <c r="AP9" s="578">
        <f t="shared" ca="1" si="30"/>
        <v>6</v>
      </c>
      <c r="AR9" s="2">
        <f ca="1">IF(Settings!$G$7,$I9,ROUND($I9,Settings!$H$7))</f>
        <v>0</v>
      </c>
    </row>
    <row r="10" spans="1:44" s="2" customFormat="1" x14ac:dyDescent="0.2">
      <c r="A10" s="239"/>
      <c r="B10" s="1">
        <v>7</v>
      </c>
      <c r="C10" s="21">
        <f t="shared" ca="1" si="1"/>
        <v>7</v>
      </c>
      <c r="D10" s="12">
        <f t="shared" ca="1" si="2"/>
        <v>15.01</v>
      </c>
      <c r="E10" s="252">
        <f t="shared" ca="1" si="3"/>
        <v>5</v>
      </c>
      <c r="F10" s="1" t="str">
        <f t="shared" si="31"/>
        <v/>
      </c>
      <c r="G10" s="1">
        <f t="shared" ca="1" si="4"/>
        <v>0</v>
      </c>
      <c r="H10" s="1">
        <f t="shared" ca="1" si="5"/>
        <v>0</v>
      </c>
      <c r="I10" s="12">
        <f ca="1">IF(Settings!$G$7,G10-H10,IF(H10=0,IF(G10=0,0,Settings!$F$7),G10/H10))</f>
        <v>0</v>
      </c>
      <c r="J10" s="1">
        <f t="shared" ca="1" si="32"/>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1.0509999999999999</v>
      </c>
      <c r="AA10" s="578">
        <f t="shared" ca="1" si="15"/>
        <v>7</v>
      </c>
      <c r="AB10" s="575" t="str">
        <f t="shared" ca="1" si="16"/>
        <v/>
      </c>
      <c r="AC10" s="576" t="str">
        <f t="shared" ca="1" si="17"/>
        <v/>
      </c>
      <c r="AD10" s="577">
        <f t="shared" ca="1" si="18"/>
        <v>99999</v>
      </c>
      <c r="AE10" s="573">
        <f t="shared" ca="1" si="19"/>
        <v>1.0509999999999999</v>
      </c>
      <c r="AF10" s="573">
        <f t="shared" ca="1" si="20"/>
        <v>7</v>
      </c>
      <c r="AG10" s="575" t="str">
        <f t="shared" ca="1" si="21"/>
        <v/>
      </c>
      <c r="AH10" s="576" t="str">
        <f t="shared" ca="1" si="22"/>
        <v/>
      </c>
      <c r="AI10" s="577">
        <f t="shared" ca="1" si="23"/>
        <v>99999</v>
      </c>
      <c r="AJ10" s="573">
        <f t="shared" ca="1" si="24"/>
        <v>1.0509999999999999</v>
      </c>
      <c r="AK10" s="578">
        <f t="shared" ca="1" si="25"/>
        <v>7</v>
      </c>
      <c r="AL10" s="576" t="str">
        <f t="shared" ca="1" si="26"/>
        <v/>
      </c>
      <c r="AM10" s="576" t="str">
        <f t="shared" ca="1" si="27"/>
        <v/>
      </c>
      <c r="AN10" s="577">
        <f t="shared" ca="1" si="28"/>
        <v>99999</v>
      </c>
      <c r="AO10" s="573">
        <f t="shared" ca="1" si="29"/>
        <v>1.0509999999999999</v>
      </c>
      <c r="AP10" s="578">
        <f t="shared" ca="1" si="30"/>
        <v>7</v>
      </c>
      <c r="AR10" s="2">
        <f ca="1">IF(Settings!$G$7,$I10,ROUND($I10,Settings!$H$7))</f>
        <v>0</v>
      </c>
    </row>
    <row r="11" spans="1:44" s="2" customFormat="1" x14ac:dyDescent="0.2">
      <c r="A11" s="239"/>
      <c r="B11" s="1">
        <v>8</v>
      </c>
      <c r="C11" s="21">
        <f t="shared" ca="1" si="1"/>
        <v>8</v>
      </c>
      <c r="D11" s="12">
        <f t="shared" ca="1" si="2"/>
        <v>15.010999999999999</v>
      </c>
      <c r="E11" s="252">
        <f t="shared" ca="1" si="3"/>
        <v>5</v>
      </c>
      <c r="F11" s="1" t="str">
        <f t="shared" si="31"/>
        <v/>
      </c>
      <c r="G11" s="1">
        <f t="shared" ca="1" si="4"/>
        <v>0</v>
      </c>
      <c r="H11" s="1">
        <f t="shared" ca="1" si="5"/>
        <v>0</v>
      </c>
      <c r="I11" s="12">
        <f ca="1">IF(Settings!$G$7,G11-H11,IF(H11=0,IF(G11=0,0,Settings!$F$7),G11/H11))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1.0511000000000001</v>
      </c>
      <c r="AA11" s="578">
        <f t="shared" ca="1" si="15"/>
        <v>8</v>
      </c>
      <c r="AB11" s="575" t="str">
        <f t="shared" ca="1" si="16"/>
        <v/>
      </c>
      <c r="AC11" s="576" t="str">
        <f t="shared" ca="1" si="17"/>
        <v/>
      </c>
      <c r="AD11" s="577">
        <f t="shared" ca="1" si="18"/>
        <v>99999</v>
      </c>
      <c r="AE11" s="573">
        <f t="shared" ca="1" si="19"/>
        <v>1.0511000000000001</v>
      </c>
      <c r="AF11" s="573">
        <f t="shared" ca="1" si="20"/>
        <v>8</v>
      </c>
      <c r="AG11" s="575" t="str">
        <f t="shared" ca="1" si="21"/>
        <v/>
      </c>
      <c r="AH11" s="576" t="str">
        <f t="shared" ca="1" si="22"/>
        <v/>
      </c>
      <c r="AI11" s="577">
        <f t="shared" ca="1" si="23"/>
        <v>99999</v>
      </c>
      <c r="AJ11" s="573">
        <f t="shared" ca="1" si="24"/>
        <v>1.0511000000000001</v>
      </c>
      <c r="AK11" s="578">
        <f t="shared" ca="1" si="25"/>
        <v>8</v>
      </c>
      <c r="AL11" s="576" t="str">
        <f t="shared" ca="1" si="26"/>
        <v/>
      </c>
      <c r="AM11" s="576" t="str">
        <f t="shared" ca="1" si="27"/>
        <v/>
      </c>
      <c r="AN11" s="577">
        <f t="shared" ca="1" si="28"/>
        <v>99999</v>
      </c>
      <c r="AO11" s="573">
        <f t="shared" ca="1" si="29"/>
        <v>1.0511000000000001</v>
      </c>
      <c r="AP11" s="578">
        <f t="shared" ca="1" si="30"/>
        <v>8</v>
      </c>
      <c r="AR11" s="2">
        <f ca="1">IF(Settings!$G$7,$I11,ROUND($I11,Settings!$H$7))</f>
        <v>0</v>
      </c>
    </row>
    <row r="12" spans="1:44" s="2" customFormat="1" ht="12.75" thickBot="1" x14ac:dyDescent="0.25">
      <c r="A12" s="239"/>
      <c r="B12" s="1">
        <v>9</v>
      </c>
      <c r="C12" s="22">
        <f t="shared" ca="1" si="1"/>
        <v>9</v>
      </c>
      <c r="D12" s="12">
        <f t="shared" ca="1" si="2"/>
        <v>15.012</v>
      </c>
      <c r="E12" s="252">
        <f t="shared" ca="1" si="3"/>
        <v>5</v>
      </c>
      <c r="F12" s="1" t="str">
        <f t="shared" si="31"/>
        <v/>
      </c>
      <c r="G12" s="1">
        <f t="shared" ca="1" si="4"/>
        <v>0</v>
      </c>
      <c r="H12" s="1">
        <f t="shared" ca="1" si="5"/>
        <v>0</v>
      </c>
      <c r="I12" s="12">
        <f ca="1">IF(Settings!$G$7,G12-H12,IF(H12=0,IF(G12=0,0,Settings!$F$7),G12/H12))</f>
        <v>0</v>
      </c>
      <c r="J12" s="1">
        <f t="shared" ca="1" si="32"/>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1.0512000000000001</v>
      </c>
      <c r="AA12" s="582">
        <f t="shared" ca="1" si="15"/>
        <v>9</v>
      </c>
      <c r="AB12" s="579" t="str">
        <f t="shared" ca="1" si="16"/>
        <v/>
      </c>
      <c r="AC12" s="580" t="str">
        <f t="shared" ca="1" si="17"/>
        <v/>
      </c>
      <c r="AD12" s="583">
        <f t="shared" ca="1" si="18"/>
        <v>99999</v>
      </c>
      <c r="AE12" s="581">
        <f t="shared" ca="1" si="19"/>
        <v>1.0512000000000001</v>
      </c>
      <c r="AF12" s="581">
        <f t="shared" ca="1" si="20"/>
        <v>9</v>
      </c>
      <c r="AG12" s="579" t="str">
        <f t="shared" ca="1" si="21"/>
        <v/>
      </c>
      <c r="AH12" s="580" t="str">
        <f t="shared" ca="1" si="22"/>
        <v/>
      </c>
      <c r="AI12" s="583">
        <f t="shared" ca="1" si="23"/>
        <v>99999</v>
      </c>
      <c r="AJ12" s="581">
        <f t="shared" ca="1" si="24"/>
        <v>1.0512000000000001</v>
      </c>
      <c r="AK12" s="582">
        <f t="shared" ca="1" si="25"/>
        <v>9</v>
      </c>
      <c r="AL12" s="580" t="str">
        <f t="shared" ca="1" si="26"/>
        <v/>
      </c>
      <c r="AM12" s="580" t="str">
        <f t="shared" ca="1" si="27"/>
        <v/>
      </c>
      <c r="AN12" s="583">
        <f t="shared" ca="1" si="28"/>
        <v>99999</v>
      </c>
      <c r="AO12" s="581">
        <f t="shared" ca="1" si="29"/>
        <v>1.0512000000000001</v>
      </c>
      <c r="AP12" s="582">
        <f t="shared" ca="1" si="30"/>
        <v>9</v>
      </c>
      <c r="AR12" s="2">
        <f ca="1">IF(Settings!$G$7,$I12,ROUND($I12,Settings!$H$7))</f>
        <v>0</v>
      </c>
    </row>
    <row r="13" spans="1:44" s="2" customFormat="1" ht="12.75" thickTop="1" x14ac:dyDescent="0.2">
      <c r="B13" s="12">
        <f ca="1">$F$13*($F$13-1)</f>
        <v>12</v>
      </c>
      <c r="C13" s="12"/>
      <c r="D13" s="12"/>
      <c r="E13" s="12"/>
      <c r="F13" s="12">
        <f ca="1">9-COUNTBLANK($F$4:$F$12)</f>
        <v>4</v>
      </c>
      <c r="G13" s="12"/>
      <c r="H13" s="12"/>
      <c r="I13" s="12"/>
      <c r="J13" s="12"/>
      <c r="K13" s="26">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76" t="s">
        <v>182</v>
      </c>
      <c r="AE15" s="977"/>
      <c r="AF15" s="977"/>
      <c r="AG15" s="977"/>
      <c r="AH15" s="978"/>
      <c r="AI15" s="2" t="b">
        <f>(Settings!$B$7=Language!$E$108)</f>
        <v>0</v>
      </c>
      <c r="AK15" s="239"/>
    </row>
    <row r="16" spans="1:44" s="2" customFormat="1" ht="15.75" thickBot="1" x14ac:dyDescent="0.25">
      <c r="B16" s="12" t="s">
        <v>5</v>
      </c>
      <c r="C16" s="681" t="s">
        <v>97</v>
      </c>
      <c r="D16" s="681" t="s">
        <v>102</v>
      </c>
      <c r="E16" s="681" t="s">
        <v>103</v>
      </c>
      <c r="F16" s="681" t="s">
        <v>104</v>
      </c>
      <c r="G16" s="681" t="s">
        <v>105</v>
      </c>
      <c r="H16" s="681" t="s">
        <v>106</v>
      </c>
      <c r="I16" s="681" t="s">
        <v>107</v>
      </c>
      <c r="J16" s="681" t="s">
        <v>108</v>
      </c>
      <c r="K16" s="681" t="s">
        <v>109</v>
      </c>
      <c r="L16" s="10" t="s">
        <v>334</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Maibach 1822 eV</v>
      </c>
      <c r="D17" s="1">
        <f t="shared" ref="D17:G25" ca="1" si="33">K4</f>
        <v>3</v>
      </c>
      <c r="E17" s="1">
        <f t="shared" ca="1" si="33"/>
        <v>1</v>
      </c>
      <c r="F17" s="1">
        <f t="shared" ca="1" si="33"/>
        <v>0</v>
      </c>
      <c r="G17" s="1">
        <f t="shared" ca="1" si="33"/>
        <v>2</v>
      </c>
      <c r="H17" s="1">
        <f t="shared" ref="H17:K25" ca="1" si="34">G4</f>
        <v>116</v>
      </c>
      <c r="I17" s="1">
        <f t="shared" ca="1" si="34"/>
        <v>133</v>
      </c>
      <c r="J17" s="12">
        <f t="shared" ca="1" si="34"/>
        <v>-17</v>
      </c>
      <c r="K17" s="1">
        <f t="shared" ca="1" si="34"/>
        <v>2</v>
      </c>
      <c r="L17" s="28">
        <f ca="1">K17*$F$64+(J17+$H$65)*$F$65</f>
        <v>2483000</v>
      </c>
      <c r="M17" s="13">
        <f ca="1">IF($AI$15,COUNTIF($K$17:$K$25,K17),COUNTIF($L$17:$L$25,L17))</f>
        <v>1</v>
      </c>
      <c r="N17" s="13">
        <f t="array" aca="1" ref="N17" ca="1">IF($AI$15,SUM(($K$17:$K$25&gt;=K17)/COUNTIF($K$17:$K$25,$K$17:$K$25)),SUM(($L$17:$L$25&gt;=L17)/COUNTIF($L$17:$L$25,$L$17:$L$25)))</f>
        <v>4</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4.0108999999999995</v>
      </c>
      <c r="Y17" s="12">
        <f ca="1">'Finals 4'!$AJ12</f>
        <v>0</v>
      </c>
      <c r="Z17" s="1">
        <f ca="1">RANK($W17,$W$17:$W$25)+(9-$Y17)/10</f>
        <v>1.9</v>
      </c>
      <c r="AA17" s="1">
        <f ca="1">SUM(E30:BP30)</f>
        <v>0</v>
      </c>
      <c r="AB17" s="1">
        <f ca="1">SUM(E41:BP41)</f>
        <v>0</v>
      </c>
      <c r="AC17" s="1"/>
      <c r="AD17" s="246">
        <f ca="1">RANK($K17,$K$17:$K$25)</f>
        <v>4</v>
      </c>
      <c r="AE17" s="28">
        <f ca="1">(J17+$H$65)*$F$65</f>
        <v>483000</v>
      </c>
      <c r="AF17" s="1">
        <f ca="1">RANK($AE17,$AE$17:$AE$25)</f>
        <v>9</v>
      </c>
      <c r="AG17" s="1">
        <f ca="1">RANK($W17,$W$17:$W$25)</f>
        <v>1</v>
      </c>
      <c r="AH17" s="248">
        <f ca="1">AD17+AG17/100+AF17/10000+(10-Y17)/1000000</f>
        <v>4.0109099999999991</v>
      </c>
      <c r="AI17" s="1"/>
    </row>
    <row r="18" spans="2:80" s="2" customFormat="1" x14ac:dyDescent="0.2">
      <c r="C18" s="2" t="str">
        <f t="shared" ref="C18:C25" ca="1" si="43">$Q65</f>
        <v>Mainz 05</v>
      </c>
      <c r="D18" s="1">
        <f t="shared" ca="1" si="33"/>
        <v>3</v>
      </c>
      <c r="E18" s="1">
        <f t="shared" ca="1" si="33"/>
        <v>1</v>
      </c>
      <c r="F18" s="1">
        <f t="shared" ca="1" si="33"/>
        <v>1</v>
      </c>
      <c r="G18" s="1">
        <f t="shared" ca="1" si="33"/>
        <v>1</v>
      </c>
      <c r="H18" s="1">
        <f t="shared" ca="1" si="34"/>
        <v>127</v>
      </c>
      <c r="I18" s="1">
        <f t="shared" ca="1" si="34"/>
        <v>133</v>
      </c>
      <c r="J18" s="12">
        <f t="shared" ca="1" si="34"/>
        <v>-6</v>
      </c>
      <c r="K18" s="1">
        <f t="shared" ca="1" si="34"/>
        <v>3</v>
      </c>
      <c r="L18" s="28">
        <f t="shared" ref="L18:L25" ca="1" si="44">K18*$F$64+(J18+$H$65)*$F$65</f>
        <v>3494000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3.0108999999999999</v>
      </c>
      <c r="Y18" s="12">
        <f ca="1">'Finals 4'!$AJ13</f>
        <v>0</v>
      </c>
      <c r="Z18" s="1">
        <f t="shared" ref="Z18:Z25" ca="1" si="48">RANK($W18,$W$17:$W$25)+(9-$Y18)/10</f>
        <v>1.9</v>
      </c>
      <c r="AA18" s="1">
        <f t="shared" ref="AA18:AA25" ca="1" si="49">SUM(E31:BP31)</f>
        <v>0</v>
      </c>
      <c r="AB18" s="1">
        <f t="shared" ref="AB18:AB25" ca="1" si="50">SUM(E42:BP42)</f>
        <v>0</v>
      </c>
      <c r="AC18" s="1"/>
      <c r="AD18" s="246">
        <f t="shared" ref="AD18:AD25" ca="1" si="51">RANK($K18,$K$17:$K$25)</f>
        <v>2</v>
      </c>
      <c r="AE18" s="28">
        <f t="shared" ref="AE18:AE25" ca="1" si="52">(J18+$H$65)*$F$65</f>
        <v>494000</v>
      </c>
      <c r="AF18" s="1">
        <f t="shared" ref="AF18:AF25" ca="1" si="53">RANK($AE18,$AE$17:$AE$25)</f>
        <v>8</v>
      </c>
      <c r="AG18" s="1">
        <f t="shared" ref="AG18:AG25" ca="1" si="54">RANK($W18,$W$17:$W$25)</f>
        <v>1</v>
      </c>
      <c r="AH18" s="249">
        <f t="shared" ref="AH18:AH25" ca="1" si="55">AD18+AG18/100+AF18/10000+(10-Y18)/1000000</f>
        <v>2.0108099999999998</v>
      </c>
      <c r="AI18" s="1"/>
    </row>
    <row r="19" spans="2:80" s="2" customFormat="1" x14ac:dyDescent="0.2">
      <c r="C19" s="2" t="str">
        <f t="shared" ca="1" si="43"/>
        <v>Eintracht Frankfurt</v>
      </c>
      <c r="D19" s="1">
        <f t="shared" ca="1" si="33"/>
        <v>3</v>
      </c>
      <c r="E19" s="1">
        <f t="shared" ca="1" si="33"/>
        <v>1</v>
      </c>
      <c r="F19" s="1">
        <f t="shared" ca="1" si="33"/>
        <v>1</v>
      </c>
      <c r="G19" s="1">
        <f t="shared" ca="1" si="33"/>
        <v>1</v>
      </c>
      <c r="H19" s="1">
        <f t="shared" ca="1" si="34"/>
        <v>135</v>
      </c>
      <c r="I19" s="1">
        <f t="shared" ca="1" si="34"/>
        <v>123</v>
      </c>
      <c r="J19" s="12">
        <f t="shared" ca="1" si="34"/>
        <v>12</v>
      </c>
      <c r="K19" s="1">
        <f t="shared" ca="1" si="34"/>
        <v>3</v>
      </c>
      <c r="L19" s="28">
        <f t="shared" ca="1" si="44"/>
        <v>3512000</v>
      </c>
      <c r="M19" s="13">
        <f t="shared" ca="1" si="45"/>
        <v>1</v>
      </c>
      <c r="N19" s="13">
        <f t="array" aca="1" ref="N19" ca="1">IF($AI$15,SUM(($K$17:$K$25&gt;=K19)/COUNTIF($K$17:$K$25,$K$17:$K$25)),SUM(($L$17:$L$25&gt;=L19)/COUNTIF($L$17:$L$25,$L$17:$L$25)))</f>
        <v>2</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2.0108999999999999</v>
      </c>
      <c r="Y19" s="12">
        <f ca="1">'Finals 4'!$AJ14</f>
        <v>0</v>
      </c>
      <c r="Z19" s="1">
        <f t="shared" ca="1" si="48"/>
        <v>1.9</v>
      </c>
      <c r="AA19" s="1">
        <f t="shared" ca="1" si="49"/>
        <v>0</v>
      </c>
      <c r="AB19" s="1">
        <f t="shared" ca="1" si="50"/>
        <v>0</v>
      </c>
      <c r="AC19" s="1"/>
      <c r="AD19" s="246">
        <f t="shared" ca="1" si="51"/>
        <v>2</v>
      </c>
      <c r="AE19" s="28">
        <f t="shared" ca="1" si="52"/>
        <v>512000</v>
      </c>
      <c r="AF19" s="1">
        <f t="shared" ca="1" si="53"/>
        <v>1</v>
      </c>
      <c r="AG19" s="1">
        <f t="shared" ca="1" si="54"/>
        <v>1</v>
      </c>
      <c r="AH19" s="249">
        <f t="shared" ca="1" si="55"/>
        <v>2.0101100000000001</v>
      </c>
      <c r="AI19" s="1"/>
    </row>
    <row r="20" spans="2:80" s="2" customFormat="1" x14ac:dyDescent="0.2">
      <c r="C20" s="2" t="str">
        <f t="shared" ca="1" si="43"/>
        <v>Manchester City</v>
      </c>
      <c r="D20" s="1">
        <f t="shared" ca="1" si="33"/>
        <v>3</v>
      </c>
      <c r="E20" s="1">
        <f t="shared" ca="1" si="33"/>
        <v>1</v>
      </c>
      <c r="F20" s="1">
        <f t="shared" ca="1" si="33"/>
        <v>2</v>
      </c>
      <c r="G20" s="1">
        <f t="shared" ca="1" si="33"/>
        <v>0</v>
      </c>
      <c r="H20" s="1">
        <f t="shared" ca="1" si="34"/>
        <v>136</v>
      </c>
      <c r="I20" s="1">
        <f t="shared" ca="1" si="34"/>
        <v>125</v>
      </c>
      <c r="J20" s="12">
        <f t="shared" ca="1" si="34"/>
        <v>11</v>
      </c>
      <c r="K20" s="1">
        <f t="shared" ca="1" si="34"/>
        <v>4</v>
      </c>
      <c r="L20" s="28">
        <f t="shared" ca="1" si="44"/>
        <v>4511000</v>
      </c>
      <c r="M20" s="13">
        <f t="shared" ca="1" si="45"/>
        <v>1</v>
      </c>
      <c r="N20" s="13">
        <f t="array" aca="1" ref="N20" ca="1">IF($AI$15,SUM(($K$17:$K$25&gt;=K20)/COUNTIF($K$17:$K$25,$K$17:$K$25)),SUM(($L$17:$L$25&gt;=L20)/COUNTIF($L$17:$L$25,$L$17:$L$25)))</f>
        <v>1</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1.0108999999999999</v>
      </c>
      <c r="Y20" s="12">
        <f ca="1">'Finals 4'!$AJ15</f>
        <v>0</v>
      </c>
      <c r="Z20" s="1">
        <f t="shared" ca="1" si="48"/>
        <v>1.9</v>
      </c>
      <c r="AA20" s="1">
        <f t="shared" ca="1" si="49"/>
        <v>0</v>
      </c>
      <c r="AB20" s="1">
        <f t="shared" ca="1" si="50"/>
        <v>0</v>
      </c>
      <c r="AC20" s="1"/>
      <c r="AD20" s="246">
        <f t="shared" ca="1" si="51"/>
        <v>1</v>
      </c>
      <c r="AE20" s="28">
        <f t="shared" ca="1" si="52"/>
        <v>511000</v>
      </c>
      <c r="AF20" s="1">
        <f t="shared" ca="1" si="53"/>
        <v>2</v>
      </c>
      <c r="AG20" s="1">
        <f t="shared" ca="1" si="54"/>
        <v>1</v>
      </c>
      <c r="AH20" s="249">
        <f t="shared" ca="1" si="55"/>
        <v>1.0102100000000001</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5</v>
      </c>
      <c r="N21" s="13">
        <f t="array" aca="1" ref="N21" ca="1">IF($AI$15,SUM(($K$17:$K$25&gt;=K21)/COUNTIF($K$17:$K$25,$K$17:$K$25)),SUM(($L$17:$L$25&gt;=L21)/COUNTIF($L$17:$L$25,$L$17:$L$25)))</f>
        <v>5.0000000000000009</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5.0108999999999995</v>
      </c>
      <c r="Y21" s="12">
        <v>0</v>
      </c>
      <c r="Z21" s="1">
        <f t="shared" ca="1" si="48"/>
        <v>1.9</v>
      </c>
      <c r="AA21" s="1">
        <f t="shared" ca="1" si="49"/>
        <v>0</v>
      </c>
      <c r="AB21" s="1">
        <f t="shared" ca="1" si="50"/>
        <v>0</v>
      </c>
      <c r="AC21" s="1"/>
      <c r="AD21" s="246">
        <f t="shared" ca="1" si="51"/>
        <v>5</v>
      </c>
      <c r="AE21" s="28">
        <f t="shared" ca="1" si="52"/>
        <v>500000</v>
      </c>
      <c r="AF21" s="1">
        <f t="shared" ca="1" si="53"/>
        <v>3</v>
      </c>
      <c r="AG21" s="1">
        <f t="shared" ca="1" si="54"/>
        <v>1</v>
      </c>
      <c r="AH21" s="249">
        <f t="shared" ca="1" si="55"/>
        <v>5.0103099999999996</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5</v>
      </c>
      <c r="N22" s="13">
        <f t="array" aca="1" ref="N22" ca="1">IF($AI$15,SUM(($K$17:$K$25&gt;=K22)/COUNTIF($K$17:$K$25,$K$17:$K$25)),SUM(($L$17:$L$25&gt;=L22)/COUNTIF($L$17:$L$25,$L$17:$L$25)))</f>
        <v>5.0000000000000009</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5.0108999999999995</v>
      </c>
      <c r="Y22" s="12">
        <v>0</v>
      </c>
      <c r="Z22" s="1">
        <f t="shared" ca="1" si="48"/>
        <v>1.9</v>
      </c>
      <c r="AA22" s="1">
        <f t="shared" ca="1" si="49"/>
        <v>0</v>
      </c>
      <c r="AB22" s="1">
        <f t="shared" ca="1" si="50"/>
        <v>0</v>
      </c>
      <c r="AC22" s="1"/>
      <c r="AD22" s="246">
        <f t="shared" ca="1" si="51"/>
        <v>5</v>
      </c>
      <c r="AE22" s="28">
        <f t="shared" ca="1" si="52"/>
        <v>500000</v>
      </c>
      <c r="AF22" s="1">
        <f t="shared" ca="1" si="53"/>
        <v>3</v>
      </c>
      <c r="AG22" s="1">
        <f t="shared" ca="1" si="54"/>
        <v>1</v>
      </c>
      <c r="AH22" s="249">
        <f t="shared" ca="1" si="55"/>
        <v>5.0103099999999996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5</v>
      </c>
      <c r="N23" s="13">
        <f t="array" aca="1" ref="N23" ca="1">IF($AI$15,SUM(($K$17:$K$25&gt;=K23)/COUNTIF($K$17:$K$25,$K$17:$K$25)),SUM(($L$17:$L$25&gt;=L23)/COUNTIF($L$17:$L$25,$L$17:$L$25)))</f>
        <v>5.0000000000000009</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5.0108999999999995</v>
      </c>
      <c r="Y23" s="12">
        <v>0</v>
      </c>
      <c r="Z23" s="1">
        <f t="shared" ca="1" si="48"/>
        <v>1.9</v>
      </c>
      <c r="AA23" s="1">
        <f t="shared" ca="1" si="49"/>
        <v>0</v>
      </c>
      <c r="AB23" s="1">
        <f t="shared" ca="1" si="50"/>
        <v>0</v>
      </c>
      <c r="AC23" s="1"/>
      <c r="AD23" s="246">
        <f t="shared" ca="1" si="51"/>
        <v>5</v>
      </c>
      <c r="AE23" s="28">
        <f t="shared" ca="1" si="52"/>
        <v>500000</v>
      </c>
      <c r="AF23" s="1">
        <f t="shared" ca="1" si="53"/>
        <v>3</v>
      </c>
      <c r="AG23" s="1">
        <f t="shared" ca="1" si="54"/>
        <v>1</v>
      </c>
      <c r="AH23" s="249">
        <f t="shared" ca="1" si="55"/>
        <v>5.0103099999999996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5</v>
      </c>
      <c r="N24" s="13">
        <f t="array" aca="1" ref="N24" ca="1">IF($AI$15,SUM(($K$17:$K$25&gt;=K24)/COUNTIF($K$17:$K$25,$K$17:$K$25)),SUM(($L$17:$L$25&gt;=L24)/COUNTIF($L$17:$L$25,$L$17:$L$25)))</f>
        <v>5.0000000000000009</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5.0108999999999995</v>
      </c>
      <c r="Y24" s="12">
        <v>0</v>
      </c>
      <c r="Z24" s="1">
        <f t="shared" ca="1" si="48"/>
        <v>1.9</v>
      </c>
      <c r="AA24" s="1">
        <f t="shared" ca="1" si="49"/>
        <v>0</v>
      </c>
      <c r="AB24" s="1">
        <f t="shared" ca="1" si="50"/>
        <v>0</v>
      </c>
      <c r="AC24" s="1"/>
      <c r="AD24" s="246">
        <f t="shared" ca="1" si="51"/>
        <v>5</v>
      </c>
      <c r="AE24" s="28">
        <f t="shared" ca="1" si="52"/>
        <v>500000</v>
      </c>
      <c r="AF24" s="1">
        <f t="shared" ca="1" si="53"/>
        <v>3</v>
      </c>
      <c r="AG24" s="1">
        <f t="shared" ca="1" si="54"/>
        <v>1</v>
      </c>
      <c r="AH24" s="249">
        <f t="shared" ca="1" si="55"/>
        <v>5.0103099999999996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5</v>
      </c>
      <c r="N25" s="13">
        <f t="array" aca="1" ref="N25" ca="1">IF($AI$15,SUM(($K$17:$K$25&gt;=K25)/COUNTIF($K$17:$K$25,$K$17:$K$25)),SUM(($L$17:$L$25&gt;=L25)/COUNTIF($L$17:$L$25,$L$17:$L$25)))</f>
        <v>5.0000000000000009</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5.0108999999999995</v>
      </c>
      <c r="Y25" s="12">
        <v>0</v>
      </c>
      <c r="Z25" s="1">
        <f t="shared" ca="1" si="48"/>
        <v>1.9</v>
      </c>
      <c r="AA25" s="1">
        <f t="shared" ca="1" si="49"/>
        <v>0</v>
      </c>
      <c r="AB25" s="1">
        <f t="shared" ca="1" si="50"/>
        <v>0</v>
      </c>
      <c r="AC25" s="1"/>
      <c r="AD25" s="246">
        <f t="shared" ca="1" si="51"/>
        <v>5</v>
      </c>
      <c r="AE25" s="28">
        <f t="shared" ca="1" si="52"/>
        <v>500000</v>
      </c>
      <c r="AF25" s="1">
        <f t="shared" ca="1" si="53"/>
        <v>3</v>
      </c>
      <c r="AG25" s="1">
        <f t="shared" ca="1" si="54"/>
        <v>1</v>
      </c>
      <c r="AH25" s="250">
        <f t="shared" ca="1" si="55"/>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2">
        <v>1</v>
      </c>
      <c r="F29" s="969"/>
      <c r="G29" s="969"/>
      <c r="H29" s="969"/>
      <c r="I29" s="969"/>
      <c r="J29" s="969"/>
      <c r="K29" s="969"/>
      <c r="L29" s="971"/>
      <c r="M29" s="968">
        <v>2</v>
      </c>
      <c r="N29" s="969"/>
      <c r="O29" s="969"/>
      <c r="P29" s="969"/>
      <c r="Q29" s="969"/>
      <c r="R29" s="969"/>
      <c r="S29" s="969"/>
      <c r="T29" s="971"/>
      <c r="U29" s="968">
        <v>3</v>
      </c>
      <c r="V29" s="969"/>
      <c r="W29" s="969"/>
      <c r="X29" s="969"/>
      <c r="Y29" s="969"/>
      <c r="Z29" s="969"/>
      <c r="AA29" s="969"/>
      <c r="AB29" s="971"/>
      <c r="AC29" s="968">
        <v>4</v>
      </c>
      <c r="AD29" s="969"/>
      <c r="AE29" s="969"/>
      <c r="AF29" s="969"/>
      <c r="AG29" s="969"/>
      <c r="AH29" s="969"/>
      <c r="AI29" s="969"/>
      <c r="AJ29" s="971"/>
      <c r="AK29" s="968">
        <v>5</v>
      </c>
      <c r="AL29" s="969"/>
      <c r="AM29" s="969"/>
      <c r="AN29" s="969"/>
      <c r="AO29" s="969"/>
      <c r="AP29" s="969"/>
      <c r="AQ29" s="969"/>
      <c r="AR29" s="971"/>
      <c r="AS29" s="968">
        <v>6</v>
      </c>
      <c r="AT29" s="969"/>
      <c r="AU29" s="969"/>
      <c r="AV29" s="969"/>
      <c r="AW29" s="969"/>
      <c r="AX29" s="969"/>
      <c r="AY29" s="969"/>
      <c r="AZ29" s="971"/>
      <c r="BA29" s="968">
        <v>7</v>
      </c>
      <c r="BB29" s="969"/>
      <c r="BC29" s="969"/>
      <c r="BD29" s="969"/>
      <c r="BE29" s="969"/>
      <c r="BF29" s="969"/>
      <c r="BG29" s="969"/>
      <c r="BH29" s="971"/>
      <c r="BI29" s="968">
        <v>8</v>
      </c>
      <c r="BJ29" s="969"/>
      <c r="BK29" s="969"/>
      <c r="BL29" s="969"/>
      <c r="BM29" s="969"/>
      <c r="BN29" s="969"/>
      <c r="BO29" s="969"/>
      <c r="BP29" s="970"/>
      <c r="BQ29" s="12"/>
      <c r="BR29" s="4" t="s">
        <v>94</v>
      </c>
      <c r="BS29" s="2" t="str">
        <f ca="1">$F$4</f>
        <v>Maibach 1822 eV</v>
      </c>
      <c r="BT29" s="2" t="str">
        <f ca="1">$F$5</f>
        <v>Mainz 05</v>
      </c>
      <c r="BU29" s="2" t="str">
        <f ca="1">$F$6</f>
        <v>Eintracht Frankfurt</v>
      </c>
      <c r="BV29" s="2" t="str">
        <f ca="1">$F$7</f>
        <v>Manchester City</v>
      </c>
      <c r="BW29" s="2" t="str">
        <f>$F$8</f>
        <v/>
      </c>
      <c r="BX29" s="2" t="str">
        <f>$F$9</f>
        <v/>
      </c>
      <c r="BY29" s="2" t="str">
        <f>$F$10</f>
        <v/>
      </c>
      <c r="BZ29" s="2" t="str">
        <f>$F$11</f>
        <v/>
      </c>
      <c r="CA29" s="2" t="str">
        <f>$F$12</f>
        <v/>
      </c>
      <c r="CB29" s="50"/>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Maibach 1822 eV</v>
      </c>
      <c r="BS30" s="6"/>
      <c r="BT30" s="7">
        <f t="shared" ref="BT30:CA37" ca="1" si="57">SUMIFS($X$64:$X$135,$V$64:$V$135,$BR30,$W$64:$W$135,BT$29)+SUMIFS($Y$64:$Y$135,$W$64:$W$135,$BR30,$V$64:$V$135,BT$29)+SUMIFS($AG$64:$AG$135,$V$64:$V$135,$BR30,$W$64:$W$135,BT$29)+SUMIFS($AH$64:$AH$135,$W$64:$W$135,$BR30,$V$64:$V$135,BT$29)</f>
        <v>50</v>
      </c>
      <c r="BU30" s="7">
        <f t="shared" ca="1" si="57"/>
        <v>31</v>
      </c>
      <c r="BV30" s="7">
        <f t="shared" ca="1" si="57"/>
        <v>35</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Mainz 05</v>
      </c>
      <c r="BS31" s="8">
        <f ca="1">SUMIFS($X$64:$X$135,$V$64:$V$135,$BR31,$W$64:$W$135,BS$29)+SUMIFS($Y$64:$Y$135,$W$64:$W$135,$BR31,$V$64:$V$135,BS$29)+SUMIFS($AG$64:$AG$135,$V$64:$V$135,$BR31,$W$64:$W$135,BS$29)+SUMIFS($AH$64:$AH$135,$W$64:$W$135,$BR31,$V$64:$V$135,BS$29)</f>
        <v>33</v>
      </c>
      <c r="BT31" s="6"/>
      <c r="BU31" s="7">
        <f ca="1">SUMIFS($X$64:$X$135,$V$64:$V$135,$BR31,$W$64:$W$135,BU$29)+SUMIFS($Y$64:$Y$135,$W$64:$W$135,$BR31,$V$64:$V$135,BU$29)+SUMIFS($AG$64:$AG$135,$V$64:$V$135,$BR31,$W$64:$W$135,BU$29)+SUMIFS($AH$64:$AH$135,$W$64:$W$135,$BR31,$V$64:$V$135,BU$29)</f>
        <v>50</v>
      </c>
      <c r="BV31" s="7">
        <f t="shared" ca="1" si="57"/>
        <v>44</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Eintracht Frankfurt</v>
      </c>
      <c r="BS32" s="8">
        <f t="shared" ref="BS32:BY38" ca="1" si="59">SUMIFS($X$64:$X$135,$V$64:$V$135,$BR32,$W$64:$W$135,BS$29)+SUMIFS($Y$64:$Y$135,$W$64:$W$135,$BR32,$V$64:$V$135,BS$29)+SUMIFS($AG$64:$AG$135,$V$64:$V$135,$BR32,$W$64:$W$135,BS$29)+SUMIFS($AH$64:$AH$135,$W$64:$W$135,$BR32,$V$64:$V$135,BS$29)</f>
        <v>50</v>
      </c>
      <c r="BT32" s="8">
        <f t="shared" ca="1" si="59"/>
        <v>39</v>
      </c>
      <c r="BU32" s="6"/>
      <c r="BV32" s="7">
        <f t="shared" ca="1" si="57"/>
        <v>46</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Manchester City</v>
      </c>
      <c r="BS33" s="8">
        <f t="shared" ca="1" si="59"/>
        <v>50</v>
      </c>
      <c r="BT33" s="8">
        <f t="shared" ca="1" si="59"/>
        <v>44</v>
      </c>
      <c r="BU33" s="8">
        <f t="shared" ca="1" si="59"/>
        <v>42</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Maibach 1822 eV</v>
      </c>
      <c r="BT40" s="2" t="str">
        <f ca="1">$F$5</f>
        <v>Mainz 05</v>
      </c>
      <c r="BU40" s="2" t="str">
        <f ca="1">$F$6</f>
        <v>Eintracht Frankfurt</v>
      </c>
      <c r="BV40" s="2" t="str">
        <f ca="1">$F$7</f>
        <v>Manchester City</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Maibach 1822 eV</v>
      </c>
      <c r="BS41" s="6"/>
      <c r="BT41" s="7">
        <f ca="1">BT30-BS31</f>
        <v>17</v>
      </c>
      <c r="BU41" s="7">
        <f ca="1">BU30-BS32</f>
        <v>-19</v>
      </c>
      <c r="BV41" s="7">
        <f ca="1">BV30-BS33</f>
        <v>-15</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Mainz 05</v>
      </c>
      <c r="BS42" s="8">
        <f ca="1">IF(BT41="","",-1*BT41)</f>
        <v>-17</v>
      </c>
      <c r="BT42" s="6"/>
      <c r="BU42" s="7">
        <f ca="1">BU31-BT32</f>
        <v>11</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Eintracht Frankfurt</v>
      </c>
      <c r="BS43" s="8">
        <f ca="1">IF(BU41="","",-1*BU41)</f>
        <v>19</v>
      </c>
      <c r="BT43" s="8">
        <f ca="1">IF(BU42="","",-1*BU42)</f>
        <v>-11</v>
      </c>
      <c r="BU43" s="6"/>
      <c r="BV43" s="7">
        <f ca="1">BV32-BU33</f>
        <v>4</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Manchester City</v>
      </c>
      <c r="BS44" s="8">
        <f ca="1">IF(BV41="","",-1*BV41)</f>
        <v>15</v>
      </c>
      <c r="BT44" s="8">
        <f ca="1">IF(BV42="","",-1*BV42)</f>
        <v>0</v>
      </c>
      <c r="BU44" s="8">
        <f ca="1">IF(BV43="","",-1*BV43)</f>
        <v>-4</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Eintracht Frankfurt</v>
      </c>
      <c r="BV51" s="2" t="str">
        <f ca="1">$F$7</f>
        <v>Manchester City</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Maibach 1822 eV</v>
      </c>
      <c r="BS52" s="6"/>
      <c r="BT52" s="7">
        <f t="shared" ref="BT52:CA58" ca="1" si="63">SUMIFS($AE$64:$AE$135,$V$64:$V$135,$BR52,$W$64:$W$135,BT$51)+SUMIFS($AF$64:$AF$135,$W$64:$W$135,$BR52,$V$64:$V$135,BT$51)</f>
        <v>2</v>
      </c>
      <c r="BU52" s="7">
        <f t="shared" ca="1" si="63"/>
        <v>0</v>
      </c>
      <c r="BV52" s="7">
        <f t="shared" ca="1" si="63"/>
        <v>0</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Mainz 05</v>
      </c>
      <c r="BS53" s="8">
        <f t="shared" ref="BS53:BU60" ca="1" si="64">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Eintracht Frankfurt</v>
      </c>
      <c r="BS54" s="8">
        <f t="shared" ca="1" si="64"/>
        <v>2</v>
      </c>
      <c r="BT54" s="8">
        <f t="shared" ca="1" si="64"/>
        <v>0</v>
      </c>
      <c r="BU54" s="6"/>
      <c r="BV54" s="7">
        <f ca="1">SUMIFS($AE$64:$AE$135,$V$64:$V$135,$BR54,$W$64:$W$135,BV$51)+SUMIFS($AF$64:$AF$135,$W$64:$W$135,$BR54,$V$64:$V$135,BV$51)</f>
        <v>1</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Manchester City</v>
      </c>
      <c r="BS55" s="8">
        <f t="shared" ca="1" si="64"/>
        <v>2</v>
      </c>
      <c r="BT55" s="8">
        <f t="shared" ca="1" si="64"/>
        <v>1</v>
      </c>
      <c r="BU55" s="8">
        <f t="shared" ca="1" si="64"/>
        <v>1</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V62" s="239"/>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9" t="s">
        <v>323</v>
      </c>
      <c r="Y63" s="979"/>
      <c r="Z63" s="161" t="s">
        <v>155</v>
      </c>
      <c r="AA63" s="161" t="s">
        <v>15</v>
      </c>
      <c r="AB63" s="161" t="s">
        <v>153</v>
      </c>
      <c r="AC63" s="680" t="s">
        <v>156</v>
      </c>
      <c r="AD63" s="161" t="s">
        <v>154</v>
      </c>
      <c r="AE63" s="973" t="s">
        <v>331</v>
      </c>
      <c r="AF63" s="973"/>
      <c r="AG63" s="980" t="s">
        <v>325</v>
      </c>
      <c r="AH63" s="980"/>
      <c r="AI63" s="681" t="s">
        <v>332</v>
      </c>
      <c r="AJ63" s="3"/>
      <c r="AK63" s="3"/>
      <c r="AL63" s="3"/>
      <c r="AM63" s="3"/>
      <c r="AN63" s="3"/>
      <c r="AO63" s="3"/>
      <c r="AP63" s="3"/>
      <c r="AQ63" s="3"/>
      <c r="AR63" s="3"/>
    </row>
    <row r="64" spans="5:80" s="2" customFormat="1" ht="14.25" thickTop="1" thickBot="1" x14ac:dyDescent="0.25">
      <c r="F64" s="190">
        <v>1000000</v>
      </c>
      <c r="G64" s="191" t="s">
        <v>109</v>
      </c>
      <c r="P64" s="43" t="s">
        <v>6</v>
      </c>
      <c r="Q64" s="58" t="str">
        <f ca="1">IF('Finals 4'!$AI12="","",'Finals 4'!$AI12)</f>
        <v>Maibach 1822 eV</v>
      </c>
      <c r="U64" s="63" t="s">
        <v>6</v>
      </c>
      <c r="V64" s="38" t="str">
        <f ca="1">'Finals 4'!$I12</f>
        <v>VFB Essenheim</v>
      </c>
      <c r="W64" s="31" t="str">
        <f ca="1">'Finals 4'!$K12</f>
        <v/>
      </c>
      <c r="X64" s="31" t="str">
        <f ca="1">IF($AA64=1,'Finals 4'!$L12,"")</f>
        <v/>
      </c>
      <c r="Y64" s="32" t="str">
        <f ca="1">IF($AA64=1,'Finals 4'!$N12,"")</f>
        <v/>
      </c>
      <c r="Z64" s="30" t="str">
        <f ca="1">V64&amp;W64</f>
        <v>VFB Essenheim</v>
      </c>
      <c r="AA64" s="31">
        <f ca="1">IF(AND('Finals 4'!$L12&lt;&gt;"",'Finals 4'!$N12&lt;&gt;"",'Finals 4'!$L12&lt;&gt;'Finals 4'!$N12,OR(AND('Finals 4'!$O12="",'Finals 4'!$Q12=""),AND('Finals 4'!$O12&lt;&gt;"",'Finals 4'!$Q12&lt;&gt;"",'Finals 4'!$O12&lt;&gt;'Finals 4'!$Q12)),'Finals 4'!$I12&lt;&gt;"",'Finals 4'!$K12&lt;&gt;"",'Finals 4'!$I12&lt;&gt;'Finals 4'!$K12),1,0)</f>
        <v>0</v>
      </c>
      <c r="AB64" s="139" t="str">
        <f ca="1">IF(AA64&gt;0,(X64+AG64)&amp;Language!$E$80&amp;(Y64+AH64),"")</f>
        <v/>
      </c>
      <c r="AD64" s="140"/>
      <c r="AE64" s="145">
        <f ca="1">IF($AA64=0,0,IF($X64&gt;$Y64,1,0)+IF($AG64&gt;$AH64,1,0))</f>
        <v>0</v>
      </c>
      <c r="AF64" s="140">
        <f ca="1">IF($AA64=0,0,IF($X64&lt;$Y64,1,0)+IF($AG64&lt;$AH64,1,0))</f>
        <v>0</v>
      </c>
      <c r="AG64" s="145" t="str">
        <f ca="1">IF($AA64=1,'Finals 4'!$O12,"")</f>
        <v/>
      </c>
      <c r="AH64" s="139" t="str">
        <f ca="1">IF($AA64=1,'Finals 4'!$Q12,"")</f>
        <v/>
      </c>
      <c r="AI64" s="590" t="str">
        <f ca="1">IF(AA64&gt;0,AE64&amp;Language!$E$80&amp;AF64,"")</f>
        <v/>
      </c>
      <c r="AJ64" s="3"/>
      <c r="AK64" s="3"/>
      <c r="AL64" s="3"/>
      <c r="AM64" s="3"/>
      <c r="AN64" s="3"/>
      <c r="AO64" s="3"/>
      <c r="AP64" s="3"/>
      <c r="AQ64" s="3"/>
      <c r="AR64" s="3"/>
    </row>
    <row r="65" spans="2:43" s="2" customFormat="1" ht="13.5" thickBot="1" x14ac:dyDescent="0.25">
      <c r="F65" s="192">
        <v>1000</v>
      </c>
      <c r="G65" s="193" t="s">
        <v>108</v>
      </c>
      <c r="H65" s="197">
        <v>500</v>
      </c>
      <c r="I65" s="196" t="s">
        <v>301</v>
      </c>
      <c r="P65" s="44" t="s">
        <v>7</v>
      </c>
      <c r="Q65" s="59" t="str">
        <f ca="1">IF('Finals 4'!$AI13="","",'Finals 4'!$AI13)</f>
        <v>Mainz 05</v>
      </c>
      <c r="U65" s="64" t="s">
        <v>7</v>
      </c>
      <c r="V65" s="39" t="str">
        <f ca="1">'Finals 4'!$I13</f>
        <v>1. FC Riedwald</v>
      </c>
      <c r="W65" s="12" t="str">
        <f ca="1">'Finals 4'!$K13</f>
        <v>SSV Wildbach</v>
      </c>
      <c r="X65" s="12">
        <f ca="1">IF($AA65=1,'Finals 4'!$L13,"")</f>
        <v>25</v>
      </c>
      <c r="Y65" s="34">
        <f ca="1">IF($AA65=1,'Finals 4'!$N13,"")</f>
        <v>20</v>
      </c>
      <c r="Z65" s="33" t="str">
        <f t="shared" ref="Z65:Z73" ca="1" si="65">V65&amp;W65</f>
        <v>1. FC RiedwaldSSV Wildbach</v>
      </c>
      <c r="AA65" s="12">
        <f ca="1">IF(AND('Finals 4'!$L13&lt;&gt;"",'Finals 4'!$N13&lt;&gt;"",'Finals 4'!$L13&lt;&gt;'Finals 4'!$N13,OR(AND('Finals 4'!$O13="",'Finals 4'!$Q13=""),AND('Finals 4'!$O13&lt;&gt;"",'Finals 4'!$Q13&lt;&gt;"",'Finals 4'!$O13&lt;&gt;'Finals 4'!$Q13)),'Finals 4'!$I13&lt;&gt;"",'Finals 4'!$K13&lt;&gt;"",'Finals 4'!$I13&lt;&gt;'Finals 4'!$K13),1,0)</f>
        <v>1</v>
      </c>
      <c r="AB65" s="12" t="str">
        <f ca="1">IF(AA65&gt;0,(X65+AG65)&amp;Language!$E$80&amp;(Y65+AH65),"")</f>
        <v>42-45</v>
      </c>
      <c r="AD65" s="141"/>
      <c r="AE65" s="146">
        <f t="shared" ref="AE65:AE81" ca="1" si="66">IF($AA65=0,0,IF($X65&gt;$Y65,1,0)+IF($AG65&gt;$AH65,1,0))</f>
        <v>1</v>
      </c>
      <c r="AF65" s="141">
        <f t="shared" ref="AF65:AF81" ca="1" si="67">IF($AA65=0,0,IF($X65&lt;$Y65,1,0)+IF($AG65&lt;$AH65,1,0))</f>
        <v>1</v>
      </c>
      <c r="AG65" s="146">
        <f ca="1">IF($AA65=1,'Finals 4'!$O13,"")</f>
        <v>17</v>
      </c>
      <c r="AH65" s="12">
        <f ca="1">IF($AA65=1,'Finals 4'!$Q13,"")</f>
        <v>25</v>
      </c>
      <c r="AI65" s="591" t="str">
        <f ca="1">IF(AA65&gt;0,AE65&amp;Language!$E$80&amp;AF65,"")</f>
        <v>1-1</v>
      </c>
      <c r="AJ65" s="12"/>
      <c r="AK65" s="12"/>
      <c r="AL65" s="12"/>
      <c r="AM65" s="12"/>
      <c r="AN65" s="12"/>
      <c r="AO65" s="12"/>
      <c r="AP65" s="12"/>
      <c r="AQ65" s="12"/>
    </row>
    <row r="66" spans="2:43" s="2" customFormat="1" ht="13.5" thickBot="1" x14ac:dyDescent="0.25">
      <c r="F66" s="194">
        <v>1</v>
      </c>
      <c r="G66" s="195" t="s">
        <v>106</v>
      </c>
      <c r="P66" s="44" t="s">
        <v>8</v>
      </c>
      <c r="Q66" s="59" t="str">
        <f ca="1">IF('Finals 4'!$AI14="","",'Finals 4'!$AI14)</f>
        <v>Eintracht Frankfurt</v>
      </c>
      <c r="U66" s="64" t="s">
        <v>8</v>
      </c>
      <c r="V66" s="39" t="str">
        <f ca="1">'Finals 4'!$I14</f>
        <v>Maibach 1822 eV</v>
      </c>
      <c r="W66" s="12" t="str">
        <f ca="1">'Finals 4'!$K14</f>
        <v>Manchester City</v>
      </c>
      <c r="X66" s="12">
        <f ca="1">IF($AA66=1,'Finals 4'!$L14,"")</f>
        <v>19</v>
      </c>
      <c r="Y66" s="34">
        <f ca="1">IF($AA66=1,'Finals 4'!$N14,"")</f>
        <v>25</v>
      </c>
      <c r="Z66" s="33" t="str">
        <f t="shared" ca="1" si="65"/>
        <v>Maibach 1822 eVManchester City</v>
      </c>
      <c r="AA66" s="12">
        <f ca="1">IF(AND('Finals 4'!$L14&lt;&gt;"",'Finals 4'!$N14&lt;&gt;"",'Finals 4'!$L14&lt;&gt;'Finals 4'!$N14,OR(AND('Finals 4'!$O14="",'Finals 4'!$Q14=""),AND('Finals 4'!$O14&lt;&gt;"",'Finals 4'!$Q14&lt;&gt;"",'Finals 4'!$O14&lt;&gt;'Finals 4'!$Q14)),'Finals 4'!$I14&lt;&gt;"",'Finals 4'!$K14&lt;&gt;"",'Finals 4'!$I14&lt;&gt;'Finals 4'!$K14),1,0)</f>
        <v>1</v>
      </c>
      <c r="AB66" s="12" t="str">
        <f ca="1">IF(AA66&gt;0,(X66+AG66)&amp;Language!$E$80&amp;(Y66+AH66),"")</f>
        <v>35-50</v>
      </c>
      <c r="AD66" s="141"/>
      <c r="AE66" s="146">
        <f t="shared" ca="1" si="66"/>
        <v>0</v>
      </c>
      <c r="AF66" s="141">
        <f t="shared" ca="1" si="67"/>
        <v>2</v>
      </c>
      <c r="AG66" s="146">
        <f ca="1">IF($AA66=1,'Finals 4'!$O14,"")</f>
        <v>16</v>
      </c>
      <c r="AH66" s="12">
        <f ca="1">IF($AA66=1,'Finals 4'!$Q14,"")</f>
        <v>25</v>
      </c>
      <c r="AI66" s="591" t="str">
        <f ca="1">IF(AA66&gt;0,AE66&amp;Language!$E$80&amp;AF66,"")</f>
        <v>0-2</v>
      </c>
      <c r="AJ66" s="3"/>
      <c r="AK66" s="12"/>
      <c r="AL66" s="12"/>
      <c r="AM66" s="12"/>
      <c r="AN66" s="12"/>
      <c r="AO66" s="12"/>
      <c r="AP66" s="12"/>
      <c r="AQ66" s="12"/>
    </row>
    <row r="67" spans="2:43" s="2" customFormat="1" x14ac:dyDescent="0.2">
      <c r="P67" s="44" t="s">
        <v>9</v>
      </c>
      <c r="Q67" s="59" t="str">
        <f ca="1">IF('Finals 4'!$AI15="","",'Finals 4'!$AI15)</f>
        <v>Manchester City</v>
      </c>
      <c r="U67" s="64" t="s">
        <v>9</v>
      </c>
      <c r="V67" s="39" t="str">
        <f ca="1">'Finals 4'!$I15</f>
        <v>Inter Mailand</v>
      </c>
      <c r="W67" s="12" t="str">
        <f ca="1">'Finals 4'!$K15</f>
        <v/>
      </c>
      <c r="X67" s="12" t="str">
        <f ca="1">IF($AA67=1,'Finals 4'!$L15,"")</f>
        <v/>
      </c>
      <c r="Y67" s="34" t="str">
        <f ca="1">IF($AA67=1,'Finals 4'!$N15,"")</f>
        <v/>
      </c>
      <c r="Z67" s="33" t="str">
        <f t="shared" ca="1" si="65"/>
        <v>Inter Mailand</v>
      </c>
      <c r="AA67" s="12">
        <f ca="1">IF(AND('Finals 4'!$L15&lt;&gt;"",'Finals 4'!$N15&lt;&gt;"",'Finals 4'!$L15&lt;&gt;'Finals 4'!$N15,OR(AND('Finals 4'!$O15="",'Finals 4'!$Q15=""),AND('Finals 4'!$O15&lt;&gt;"",'Finals 4'!$Q15&lt;&gt;"",'Finals 4'!$O15&lt;&gt;'Finals 4'!$Q15)),'Finals 4'!$I15&lt;&gt;"",'Finals 4'!$K15&lt;&gt;"",'Finals 4'!$I15&lt;&gt;'Finals 4'!$K15),1,0)</f>
        <v>0</v>
      </c>
      <c r="AB67" s="12" t="str">
        <f ca="1">IF(AA67&gt;0,(X67+AG67)&amp;Language!$E$80&amp;(Y67+AH67),"")</f>
        <v/>
      </c>
      <c r="AD67" s="141"/>
      <c r="AE67" s="146">
        <f t="shared" ca="1" si="66"/>
        <v>0</v>
      </c>
      <c r="AF67" s="141">
        <f t="shared" ca="1" si="67"/>
        <v>0</v>
      </c>
      <c r="AG67" s="146" t="str">
        <f ca="1">IF($AA67=1,'Finals 4'!$O15,"")</f>
        <v/>
      </c>
      <c r="AH67" s="12" t="str">
        <f ca="1">IF($AA67=1,'Finals 4'!$Q15,"")</f>
        <v/>
      </c>
      <c r="AI67" s="591" t="str">
        <f ca="1">IF(AA67&gt;0,AE67&amp;Language!$E$80&amp;AF67,"")</f>
        <v/>
      </c>
      <c r="AJ67" s="12"/>
      <c r="AK67" s="3"/>
      <c r="AL67" s="12"/>
      <c r="AM67" s="12"/>
      <c r="AN67" s="12"/>
      <c r="AO67" s="12"/>
      <c r="AP67" s="12"/>
      <c r="AQ67" s="12"/>
    </row>
    <row r="68" spans="2:43" s="2" customFormat="1" x14ac:dyDescent="0.2">
      <c r="P68" s="44"/>
      <c r="Q68" s="59" t="str">
        <f>""</f>
        <v/>
      </c>
      <c r="U68" s="64" t="s">
        <v>10</v>
      </c>
      <c r="V68" s="39" t="str">
        <f ca="1">'Finals 4'!$I16</f>
        <v>FC Grönlingen</v>
      </c>
      <c r="W68" s="12" t="str">
        <f ca="1">'Finals 4'!$K16</f>
        <v>FC Barcelona</v>
      </c>
      <c r="X68" s="12">
        <f ca="1">IF($AA68=1,'Finals 4'!$L16,"")</f>
        <v>25</v>
      </c>
      <c r="Y68" s="34">
        <f ca="1">IF($AA68=1,'Finals 4'!$N16,"")</f>
        <v>23</v>
      </c>
      <c r="Z68" s="33" t="str">
        <f t="shared" ca="1" si="65"/>
        <v>FC GrönlingenFC Barcelona</v>
      </c>
      <c r="AA68" s="12">
        <f ca="1">IF(AND('Finals 4'!$L16&lt;&gt;"",'Finals 4'!$N16&lt;&gt;"",'Finals 4'!$L16&lt;&gt;'Finals 4'!$N16,OR(AND('Finals 4'!$O16="",'Finals 4'!$Q16=""),AND('Finals 4'!$O16&lt;&gt;"",'Finals 4'!$Q16&lt;&gt;"",'Finals 4'!$O16&lt;&gt;'Finals 4'!$Q16)),'Finals 4'!$I16&lt;&gt;"",'Finals 4'!$K16&lt;&gt;"",'Finals 4'!$I16&lt;&gt;'Finals 4'!$K16),1,0)</f>
        <v>1</v>
      </c>
      <c r="AB68" s="12" t="str">
        <f ca="1">IF(AA68&gt;0,(X68+AG68)&amp;Language!$E$80&amp;(Y68+AH68),"")</f>
        <v>50-44</v>
      </c>
      <c r="AD68" s="141"/>
      <c r="AE68" s="146">
        <f t="shared" ca="1" si="66"/>
        <v>2</v>
      </c>
      <c r="AF68" s="141">
        <f t="shared" ca="1" si="67"/>
        <v>0</v>
      </c>
      <c r="AG68" s="146">
        <f ca="1">IF($AA68=1,'Finals 4'!$O16,"")</f>
        <v>25</v>
      </c>
      <c r="AH68" s="12">
        <f ca="1">IF($AA68=1,'Finals 4'!$Q16,"")</f>
        <v>21</v>
      </c>
      <c r="AI68" s="591" t="str">
        <f ca="1">IF(AA68&gt;0,AE68&amp;Language!$E$80&amp;AF68,"")</f>
        <v>2-0</v>
      </c>
      <c r="AJ68" s="12"/>
      <c r="AK68" s="12"/>
      <c r="AL68" s="3"/>
      <c r="AM68" s="12"/>
      <c r="AN68" s="12"/>
      <c r="AO68" s="12"/>
      <c r="AP68" s="12"/>
      <c r="AQ68" s="12"/>
    </row>
    <row r="69" spans="2:43" s="2" customFormat="1" x14ac:dyDescent="0.2">
      <c r="P69" s="44"/>
      <c r="Q69" s="59" t="str">
        <f>""</f>
        <v/>
      </c>
      <c r="U69" s="64" t="s">
        <v>11</v>
      </c>
      <c r="V69" s="39" t="str">
        <f ca="1">'Finals 4'!$I17</f>
        <v>Mainz 05</v>
      </c>
      <c r="W69" s="12" t="str">
        <f ca="1">'Finals 4'!$K17</f>
        <v>Eintracht Frankfurt</v>
      </c>
      <c r="X69" s="12">
        <f ca="1">IF($AA69=1,'Finals 4'!$L17,"")</f>
        <v>25</v>
      </c>
      <c r="Y69" s="34">
        <f ca="1">IF($AA69=1,'Finals 4'!$N17,"")</f>
        <v>17</v>
      </c>
      <c r="Z69" s="33" t="str">
        <f t="shared" ca="1" si="65"/>
        <v>Mainz 05Eintracht Frankfurt</v>
      </c>
      <c r="AA69" s="12">
        <f ca="1">IF(AND('Finals 4'!$L17&lt;&gt;"",'Finals 4'!$N17&lt;&gt;"",'Finals 4'!$L17&lt;&gt;'Finals 4'!$N17,OR(AND('Finals 4'!$O17="",'Finals 4'!$Q17=""),AND('Finals 4'!$O17&lt;&gt;"",'Finals 4'!$Q17&lt;&gt;"",'Finals 4'!$O17&lt;&gt;'Finals 4'!$Q17)),'Finals 4'!$I17&lt;&gt;"",'Finals 4'!$K17&lt;&gt;"",'Finals 4'!$I17&lt;&gt;'Finals 4'!$K17),1,0)</f>
        <v>1</v>
      </c>
      <c r="AB69" s="12" t="str">
        <f ca="1">IF(AA69&gt;0,(X69+AG69)&amp;Language!$E$80&amp;(Y69+AH69),"")</f>
        <v>50-39</v>
      </c>
      <c r="AD69" s="141"/>
      <c r="AE69" s="146">
        <f t="shared" ca="1" si="66"/>
        <v>2</v>
      </c>
      <c r="AF69" s="141">
        <f t="shared" ca="1" si="67"/>
        <v>0</v>
      </c>
      <c r="AG69" s="146">
        <f ca="1">IF($AA69=1,'Finals 4'!$O17,"")</f>
        <v>25</v>
      </c>
      <c r="AH69" s="12">
        <f ca="1">IF($AA69=1,'Finals 4'!$Q17,"")</f>
        <v>22</v>
      </c>
      <c r="AI69" s="591" t="str">
        <f ca="1">IF(AA69&gt;0,AE69&amp;Language!$E$80&amp;AF69,"")</f>
        <v>2-0</v>
      </c>
      <c r="AJ69" s="12"/>
      <c r="AK69" s="12"/>
      <c r="AL69" s="12"/>
      <c r="AM69" s="3"/>
      <c r="AN69" s="12"/>
      <c r="AO69" s="12"/>
      <c r="AP69" s="12"/>
      <c r="AQ69" s="12"/>
    </row>
    <row r="70" spans="2:43" s="2" customFormat="1" x14ac:dyDescent="0.2">
      <c r="P70" s="44"/>
      <c r="Q70" s="59" t="str">
        <f>""</f>
        <v/>
      </c>
      <c r="U70" s="64" t="s">
        <v>16</v>
      </c>
      <c r="V70" s="39" t="str">
        <f ca="1">'Finals 4'!$I18</f>
        <v>VFB Essenheim</v>
      </c>
      <c r="W70" s="12" t="str">
        <f ca="1">'Finals 4'!$K18</f>
        <v/>
      </c>
      <c r="X70" s="12" t="str">
        <f ca="1">IF($AA70=1,'Finals 4'!$L18,"")</f>
        <v/>
      </c>
      <c r="Y70" s="34" t="str">
        <f ca="1">IF($AA70=1,'Finals 4'!$N18,"")</f>
        <v/>
      </c>
      <c r="Z70" s="33" t="str">
        <f t="shared" ca="1" si="65"/>
        <v>VFB Essenheim</v>
      </c>
      <c r="AA70" s="12">
        <f ca="1">IF(AND('Finals 4'!$L18&lt;&gt;"",'Finals 4'!$N18&lt;&gt;"",'Finals 4'!$L18&lt;&gt;'Finals 4'!$N18,OR(AND('Finals 4'!$O18="",'Finals 4'!$Q18=""),AND('Finals 4'!$O18&lt;&gt;"",'Finals 4'!$Q18&lt;&gt;"",'Finals 4'!$O18&lt;&gt;'Finals 4'!$Q18)),'Finals 4'!$I18&lt;&gt;"",'Finals 4'!$K18&lt;&gt;"",'Finals 4'!$I18&lt;&gt;'Finals 4'!$K18),1,0)</f>
        <v>0</v>
      </c>
      <c r="AB70" s="12" t="str">
        <f ca="1">IF(AA70&gt;0,(X70+AG70)&amp;Language!$E$80&amp;(Y70+AH70),"")</f>
        <v/>
      </c>
      <c r="AD70" s="141"/>
      <c r="AE70" s="146">
        <f t="shared" ca="1" si="66"/>
        <v>0</v>
      </c>
      <c r="AF70" s="141">
        <f t="shared" ca="1" si="67"/>
        <v>0</v>
      </c>
      <c r="AG70" s="146" t="str">
        <f ca="1">IF($AA70=1,'Finals 4'!$O18,"")</f>
        <v/>
      </c>
      <c r="AH70" s="12" t="str">
        <f ca="1">IF($AA70=1,'Finals 4'!$Q18,"")</f>
        <v/>
      </c>
      <c r="AI70" s="591" t="str">
        <f ca="1">IF(AA70&gt;0,AE70&amp;Language!$E$80&amp;AF70,"")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'Finals 4'!$I19</f>
        <v>1. FC Riedwald</v>
      </c>
      <c r="W71" s="12" t="str">
        <f ca="1">'Finals 4'!$K19</f>
        <v>FC Barcelona</v>
      </c>
      <c r="X71" s="12">
        <f ca="1">IF($AA71=1,'Finals 4'!$L19,"")</f>
        <v>19</v>
      </c>
      <c r="Y71" s="34">
        <f ca="1">IF($AA71=1,'Finals 4'!$N19,"")</f>
        <v>25</v>
      </c>
      <c r="Z71" s="33" t="str">
        <f t="shared" ca="1" si="65"/>
        <v>1. FC RiedwaldFC Barcelona</v>
      </c>
      <c r="AA71" s="12">
        <f ca="1">IF(AND('Finals 4'!$L19&lt;&gt;"",'Finals 4'!$N19&lt;&gt;"",'Finals 4'!$L19&lt;&gt;'Finals 4'!$N19,OR(AND('Finals 4'!$O19="",'Finals 4'!$Q19=""),AND('Finals 4'!$O19&lt;&gt;"",'Finals 4'!$Q19&lt;&gt;"",'Finals 4'!$O19&lt;&gt;'Finals 4'!$Q19)),'Finals 4'!$I19&lt;&gt;"",'Finals 4'!$K19&lt;&gt;"",'Finals 4'!$I19&lt;&gt;'Finals 4'!$K19),1,0)</f>
        <v>1</v>
      </c>
      <c r="AB71" s="12" t="str">
        <f ca="1">IF(AA71&gt;0,(X71+AG71)&amp;Language!$E$80&amp;(Y71+AH71),"")</f>
        <v>44-37</v>
      </c>
      <c r="AD71" s="141"/>
      <c r="AE71" s="146">
        <f t="shared" ca="1" si="66"/>
        <v>1</v>
      </c>
      <c r="AF71" s="141">
        <f t="shared" ca="1" si="67"/>
        <v>1</v>
      </c>
      <c r="AG71" s="146">
        <f ca="1">IF($AA71=1,'Finals 4'!$O19,"")</f>
        <v>25</v>
      </c>
      <c r="AH71" s="12">
        <f ca="1">IF($AA71=1,'Finals 4'!$Q19,"")</f>
        <v>12</v>
      </c>
      <c r="AI71" s="591" t="str">
        <f ca="1">IF(AA71&gt;0,AE71&amp;Language!$E$80&amp;AF71,"")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'Finals 4'!$I20</f>
        <v>Maibach 1822 eV</v>
      </c>
      <c r="W72" s="12" t="str">
        <f ca="1">'Finals 4'!$K20</f>
        <v>Eintracht Frankfurt</v>
      </c>
      <c r="X72" s="12">
        <f ca="1">IF($AA72=1,'Finals 4'!$L20,"")</f>
        <v>13</v>
      </c>
      <c r="Y72" s="34">
        <f ca="1">IF($AA72=1,'Finals 4'!$N20,"")</f>
        <v>25</v>
      </c>
      <c r="Z72" s="33" t="str">
        <f t="shared" ca="1" si="65"/>
        <v>Maibach 1822 eVEintracht Frankfurt</v>
      </c>
      <c r="AA72" s="12">
        <f ca="1">IF(AND('Finals 4'!$L20&lt;&gt;"",'Finals 4'!$N20&lt;&gt;"",'Finals 4'!$L20&lt;&gt;'Finals 4'!$N20,OR(AND('Finals 4'!$O20="",'Finals 4'!$Q20=""),AND('Finals 4'!$O20&lt;&gt;"",'Finals 4'!$Q20&lt;&gt;"",'Finals 4'!$O20&lt;&gt;'Finals 4'!$Q20)),'Finals 4'!$I20&lt;&gt;"",'Finals 4'!$K20&lt;&gt;"",'Finals 4'!$I20&lt;&gt;'Finals 4'!$K20),1,0)</f>
        <v>1</v>
      </c>
      <c r="AB72" s="12" t="str">
        <f ca="1">IF(AA72&gt;0,(X72+AG72)&amp;Language!$E$80&amp;(Y72+AH72),"")</f>
        <v>31-50</v>
      </c>
      <c r="AD72" s="141"/>
      <c r="AE72" s="146">
        <f t="shared" ca="1" si="66"/>
        <v>0</v>
      </c>
      <c r="AF72" s="141">
        <f t="shared" ca="1" si="67"/>
        <v>2</v>
      </c>
      <c r="AG72" s="146">
        <f ca="1">IF($AA72=1,'Finals 4'!$O20,"")</f>
        <v>18</v>
      </c>
      <c r="AH72" s="12">
        <f ca="1">IF($AA72=1,'Finals 4'!$Q20,"")</f>
        <v>25</v>
      </c>
      <c r="AI72" s="591" t="str">
        <f ca="1">IF(AA72&gt;0,AE72&amp;Language!$E$80&amp;AF72,"")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'Finals 4'!$I21</f>
        <v>Inter Mailand</v>
      </c>
      <c r="W73" s="12" t="str">
        <f ca="1">'Finals 4'!$K21</f>
        <v/>
      </c>
      <c r="X73" s="12" t="str">
        <f ca="1">IF($AA73=1,'Finals 4'!$L21,"")</f>
        <v/>
      </c>
      <c r="Y73" s="34" t="str">
        <f ca="1">IF($AA73=1,'Finals 4'!$N21,"")</f>
        <v/>
      </c>
      <c r="Z73" s="33" t="str">
        <f t="shared" ca="1" si="65"/>
        <v>Inter Mailand</v>
      </c>
      <c r="AA73" s="12">
        <f ca="1">IF(AND('Finals 4'!$L21&lt;&gt;"",'Finals 4'!$N21&lt;&gt;"",'Finals 4'!$L21&lt;&gt;'Finals 4'!$N21,OR(AND('Finals 4'!$O21="",'Finals 4'!$Q21=""),AND('Finals 4'!$O21&lt;&gt;"",'Finals 4'!$Q21&lt;&gt;"",'Finals 4'!$O21&lt;&gt;'Finals 4'!$Q21)),'Finals 4'!$I21&lt;&gt;"",'Finals 4'!$K21&lt;&gt;"",'Finals 4'!$I21&lt;&gt;'Finals 4'!$K21),1,0)</f>
        <v>0</v>
      </c>
      <c r="AB73" s="12" t="str">
        <f ca="1">IF(AA73&gt;0,(X73+AG73)&amp;Language!$E$80&amp;(Y73+AH73),"")</f>
        <v/>
      </c>
      <c r="AD73" s="141"/>
      <c r="AE73" s="146">
        <f t="shared" ca="1" si="66"/>
        <v>0</v>
      </c>
      <c r="AF73" s="141">
        <f t="shared" ca="1" si="67"/>
        <v>0</v>
      </c>
      <c r="AG73" s="146" t="str">
        <f ca="1">IF($AA73=1,'Finals 4'!$O21,"")</f>
        <v/>
      </c>
      <c r="AH73" s="12" t="str">
        <f ca="1">IF($AA73=1,'Finals 4'!$Q21,"")</f>
        <v/>
      </c>
      <c r="AI73" s="591" t="str">
        <f ca="1">IF(AA73&gt;0,AE73&amp;Language!$E$80&amp;AF73,"")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'Finals 4'!$I22</f>
        <v>FC Grönlingen</v>
      </c>
      <c r="W74" s="12" t="str">
        <f ca="1">'Finals 4'!$K22</f>
        <v>SSV Wildbach</v>
      </c>
      <c r="X74" s="12">
        <f ca="1">IF($AA74=1,'Finals 4'!$L22,"")</f>
        <v>22</v>
      </c>
      <c r="Y74" s="34">
        <f ca="1">IF($AA74=1,'Finals 4'!$N22,"")</f>
        <v>25</v>
      </c>
      <c r="Z74" s="33" t="str">
        <f ca="1">V74&amp;W74</f>
        <v>FC GrönlingenSSV Wildbach</v>
      </c>
      <c r="AA74" s="12">
        <f ca="1">IF(AND('Finals 4'!$L22&lt;&gt;"",'Finals 4'!$N22&lt;&gt;"",'Finals 4'!$L22&lt;&gt;'Finals 4'!$N22,OR(AND('Finals 4'!$O22="",'Finals 4'!$Q22=""),AND('Finals 4'!$O22&lt;&gt;"",'Finals 4'!$Q22&lt;&gt;"",'Finals 4'!$O22&lt;&gt;'Finals 4'!$Q22)),'Finals 4'!$I22&lt;&gt;"",'Finals 4'!$K22&lt;&gt;"",'Finals 4'!$I22&lt;&gt;'Finals 4'!$K22),1,0)</f>
        <v>1</v>
      </c>
      <c r="AB74" s="12" t="str">
        <f ca="1">IF(AA74&gt;0,(X74+AG74)&amp;Language!$E$80&amp;(Y74+AH74),"")</f>
        <v>47-45</v>
      </c>
      <c r="AD74" s="141"/>
      <c r="AE74" s="146">
        <f t="shared" ca="1" si="66"/>
        <v>1</v>
      </c>
      <c r="AF74" s="141">
        <f t="shared" ca="1" si="67"/>
        <v>1</v>
      </c>
      <c r="AG74" s="146">
        <f ca="1">IF($AA74=1,'Finals 4'!$O22,"")</f>
        <v>25</v>
      </c>
      <c r="AH74" s="12">
        <f ca="1">IF($AA74=1,'Finals 4'!$Q22,"")</f>
        <v>20</v>
      </c>
      <c r="AI74" s="591" t="str">
        <f ca="1">IF(AA74&gt;0,AE74&amp;Language!$E$80&amp;AF74,"")</f>
        <v>1-1</v>
      </c>
    </row>
    <row r="75" spans="2:43" s="2" customFormat="1" x14ac:dyDescent="0.2">
      <c r="B75" s="3"/>
      <c r="C75" s="3"/>
      <c r="D75" s="3"/>
      <c r="E75" s="3"/>
      <c r="F75" s="12"/>
      <c r="G75" s="12"/>
      <c r="H75" s="12"/>
      <c r="I75" s="12"/>
      <c r="J75" s="12"/>
      <c r="K75" s="12"/>
      <c r="L75" s="12"/>
      <c r="M75" s="12"/>
      <c r="U75" s="64" t="s">
        <v>26</v>
      </c>
      <c r="V75" s="39" t="str">
        <f ca="1">'Finals 4'!$I23</f>
        <v>Mainz 05</v>
      </c>
      <c r="W75" s="12" t="str">
        <f ca="1">'Finals 4'!$K23</f>
        <v>Manchester City</v>
      </c>
      <c r="X75" s="12">
        <f ca="1">IF($AA75=1,'Finals 4'!$L23,"")</f>
        <v>19</v>
      </c>
      <c r="Y75" s="34">
        <f ca="1">IF($AA75=1,'Finals 4'!$N23,"")</f>
        <v>25</v>
      </c>
      <c r="Z75" s="33" t="str">
        <f t="shared" ref="Z75:Z81" ca="1" si="68">V75&amp;W75</f>
        <v>Mainz 05Manchester City</v>
      </c>
      <c r="AA75" s="12">
        <f ca="1">IF(AND('Finals 4'!$L23&lt;&gt;"",'Finals 4'!$N23&lt;&gt;"",'Finals 4'!$L23&lt;&gt;'Finals 4'!$N23,OR(AND('Finals 4'!$O23="",'Finals 4'!$Q23=""),AND('Finals 4'!$O23&lt;&gt;"",'Finals 4'!$Q23&lt;&gt;"",'Finals 4'!$O23&lt;&gt;'Finals 4'!$Q23)),'Finals 4'!$I23&lt;&gt;"",'Finals 4'!$K23&lt;&gt;"",'Finals 4'!$I23&lt;&gt;'Finals 4'!$K23),1,0)</f>
        <v>1</v>
      </c>
      <c r="AB75" s="12" t="str">
        <f ca="1">IF(AA75&gt;0,(X75+AG75)&amp;Language!$E$80&amp;(Y75+AH75),"")</f>
        <v>44-44</v>
      </c>
      <c r="AD75" s="141"/>
      <c r="AE75" s="146">
        <f t="shared" ca="1" si="66"/>
        <v>1</v>
      </c>
      <c r="AF75" s="141">
        <f t="shared" ca="1" si="67"/>
        <v>1</v>
      </c>
      <c r="AG75" s="146">
        <f ca="1">IF($AA75=1,'Finals 4'!$O23,"")</f>
        <v>25</v>
      </c>
      <c r="AH75" s="12">
        <f ca="1">IF($AA75=1,'Finals 4'!$Q23,"")</f>
        <v>19</v>
      </c>
      <c r="AI75" s="591" t="str">
        <f ca="1">IF(AA75&gt;0,AE75&amp;Language!$E$80&amp;AF75,"")</f>
        <v>1-1</v>
      </c>
    </row>
    <row r="76" spans="2:43" s="2" customFormat="1" x14ac:dyDescent="0.2">
      <c r="B76" s="3"/>
      <c r="C76" s="3"/>
      <c r="D76" s="3"/>
      <c r="E76" s="3"/>
      <c r="F76" s="12"/>
      <c r="G76" s="12"/>
      <c r="H76" s="12"/>
      <c r="I76" s="12"/>
      <c r="J76" s="12"/>
      <c r="K76" s="12"/>
      <c r="L76" s="12"/>
      <c r="M76" s="12"/>
      <c r="U76" s="64" t="s">
        <v>27</v>
      </c>
      <c r="V76" s="39" t="str">
        <f ca="1">'Finals 4'!$I24</f>
        <v/>
      </c>
      <c r="W76" s="12" t="str">
        <f ca="1">'Finals 4'!$K24</f>
        <v/>
      </c>
      <c r="X76" s="12" t="str">
        <f ca="1">IF($AA76=1,'Finals 4'!$L24,"")</f>
        <v/>
      </c>
      <c r="Y76" s="34" t="str">
        <f ca="1">IF($AA76=1,'Finals 4'!$N24,"")</f>
        <v/>
      </c>
      <c r="Z76" s="33" t="str">
        <f t="shared" ca="1" si="68"/>
        <v/>
      </c>
      <c r="AA76" s="12">
        <f ca="1">IF(AND('Finals 4'!$L24&lt;&gt;"",'Finals 4'!$N24&lt;&gt;"",'Finals 4'!$L24&lt;&gt;'Finals 4'!$N24,OR(AND('Finals 4'!$O24="",'Finals 4'!$Q24=""),AND('Finals 4'!$O24&lt;&gt;"",'Finals 4'!$Q24&lt;&gt;"",'Finals 4'!$O24&lt;&gt;'Finals 4'!$Q24)),'Finals 4'!$I24&lt;&gt;"",'Finals 4'!$K24&lt;&gt;"",'Finals 4'!$I24&lt;&gt;'Finals 4'!$K24),1,0)</f>
        <v>0</v>
      </c>
      <c r="AB76" s="12" t="str">
        <f ca="1">IF(AA76&gt;0,(X76+AG76)&amp;Language!$E$80&amp;(Y76+AH76),"")</f>
        <v/>
      </c>
      <c r="AD76" s="141"/>
      <c r="AE76" s="146">
        <f t="shared" ca="1" si="66"/>
        <v>0</v>
      </c>
      <c r="AF76" s="141">
        <f t="shared" ca="1" si="67"/>
        <v>0</v>
      </c>
      <c r="AG76" s="146" t="str">
        <f ca="1">IF($AA76=1,'Finals 4'!$O24,"")</f>
        <v/>
      </c>
      <c r="AH76" s="12" t="str">
        <f ca="1">IF($AA76=1,'Finals 4'!$Q24,"")</f>
        <v/>
      </c>
      <c r="AI76" s="591" t="str">
        <f ca="1">IF(AA76&gt;0,AE76&amp;Language!$E$80&amp;AF76,"")</f>
        <v/>
      </c>
    </row>
    <row r="77" spans="2:43" s="2" customFormat="1" x14ac:dyDescent="0.2">
      <c r="B77" s="3"/>
      <c r="C77" s="3"/>
      <c r="D77" s="3"/>
      <c r="E77" s="3"/>
      <c r="F77" s="12"/>
      <c r="G77" s="12"/>
      <c r="H77" s="12"/>
      <c r="I77" s="12"/>
      <c r="J77" s="12"/>
      <c r="K77" s="12"/>
      <c r="L77" s="12"/>
      <c r="M77" s="12"/>
      <c r="U77" s="64" t="s">
        <v>28</v>
      </c>
      <c r="V77" s="39" t="str">
        <f ca="1">'Finals 4'!$I25</f>
        <v>FC Barcelona</v>
      </c>
      <c r="W77" s="12" t="str">
        <f ca="1">'Finals 4'!$K25</f>
        <v>SSV Wildbach</v>
      </c>
      <c r="X77" s="12">
        <f ca="1">IF($AA77=1,'Finals 4'!$L25,"")</f>
        <v>14</v>
      </c>
      <c r="Y77" s="34">
        <f ca="1">IF($AA77=1,'Finals 4'!$N25,"")</f>
        <v>25</v>
      </c>
      <c r="Z77" s="33" t="str">
        <f t="shared" ca="1" si="68"/>
        <v>FC BarcelonaSSV Wildbach</v>
      </c>
      <c r="AA77" s="12">
        <f ca="1">IF(AND('Finals 4'!$L25&lt;&gt;"",'Finals 4'!$N25&lt;&gt;"",'Finals 4'!$L25&lt;&gt;'Finals 4'!$N25,OR(AND('Finals 4'!$O25="",'Finals 4'!$Q25=""),AND('Finals 4'!$O25&lt;&gt;"",'Finals 4'!$Q25&lt;&gt;"",'Finals 4'!$O25&lt;&gt;'Finals 4'!$Q25)),'Finals 4'!$I25&lt;&gt;"",'Finals 4'!$K25&lt;&gt;"",'Finals 4'!$I25&lt;&gt;'Finals 4'!$K25),1,0)</f>
        <v>1</v>
      </c>
      <c r="AB77" s="12" t="str">
        <f ca="1">IF(AA77&gt;0,(X77+AG77)&amp;Language!$E$80&amp;(Y77+AH77),"")</f>
        <v>39-48</v>
      </c>
      <c r="AD77" s="141"/>
      <c r="AE77" s="146">
        <f t="shared" ca="1" si="66"/>
        <v>1</v>
      </c>
      <c r="AF77" s="141">
        <f t="shared" ca="1" si="67"/>
        <v>1</v>
      </c>
      <c r="AG77" s="146">
        <f ca="1">IF($AA77=1,'Finals 4'!$O25,"")</f>
        <v>25</v>
      </c>
      <c r="AH77" s="12">
        <f ca="1">IF($AA77=1,'Finals 4'!$Q25,"")</f>
        <v>23</v>
      </c>
      <c r="AI77" s="591" t="str">
        <f ca="1">IF(AA77&gt;0,AE77&amp;Language!$E$80&amp;AF77,"")</f>
        <v>1-1</v>
      </c>
    </row>
    <row r="78" spans="2:43" s="2" customFormat="1" x14ac:dyDescent="0.2">
      <c r="B78" s="3"/>
      <c r="C78" s="3"/>
      <c r="D78" s="3"/>
      <c r="E78" s="3"/>
      <c r="F78" s="12"/>
      <c r="G78" s="12"/>
      <c r="H78" s="12"/>
      <c r="I78" s="12"/>
      <c r="J78" s="12"/>
      <c r="K78" s="12"/>
      <c r="L78" s="12"/>
      <c r="M78" s="12"/>
      <c r="U78" s="64" t="s">
        <v>29</v>
      </c>
      <c r="V78" s="39" t="str">
        <f ca="1">'Finals 4'!$I26</f>
        <v>Eintracht Frankfurt</v>
      </c>
      <c r="W78" s="12" t="str">
        <f ca="1">'Finals 4'!$K26</f>
        <v>Manchester City</v>
      </c>
      <c r="X78" s="12">
        <f ca="1">IF($AA78=1,'Finals 4'!$L26,"")</f>
        <v>21</v>
      </c>
      <c r="Y78" s="34">
        <f ca="1">IF($AA78=1,'Finals 4'!$N26,"")</f>
        <v>25</v>
      </c>
      <c r="Z78" s="33" t="str">
        <f t="shared" ca="1" si="68"/>
        <v>Eintracht FrankfurtManchester City</v>
      </c>
      <c r="AA78" s="12">
        <f ca="1">IF(AND('Finals 4'!$L26&lt;&gt;"",'Finals 4'!$N26&lt;&gt;"",'Finals 4'!$L26&lt;&gt;'Finals 4'!$N26,OR(AND('Finals 4'!$O26="",'Finals 4'!$Q26=""),AND('Finals 4'!$O26&lt;&gt;"",'Finals 4'!$Q26&lt;&gt;"",'Finals 4'!$O26&lt;&gt;'Finals 4'!$Q26)),'Finals 4'!$I26&lt;&gt;"",'Finals 4'!$K26&lt;&gt;"",'Finals 4'!$I26&lt;&gt;'Finals 4'!$K26),1,0)</f>
        <v>1</v>
      </c>
      <c r="AB78" s="12" t="str">
        <f ca="1">IF(AA78&gt;0,(X78+AG78)&amp;Language!$E$80&amp;(Y78+AH78),"")</f>
        <v>46-42</v>
      </c>
      <c r="AD78" s="141"/>
      <c r="AE78" s="146">
        <f t="shared" ca="1" si="66"/>
        <v>1</v>
      </c>
      <c r="AF78" s="141">
        <f t="shared" ca="1" si="67"/>
        <v>1</v>
      </c>
      <c r="AG78" s="146">
        <f ca="1">IF($AA78=1,'Finals 4'!$O26,"")</f>
        <v>25</v>
      </c>
      <c r="AH78" s="12">
        <f ca="1">IF($AA78=1,'Finals 4'!$Q26,"")</f>
        <v>17</v>
      </c>
      <c r="AI78" s="591" t="str">
        <f ca="1">IF(AA78&gt;0,AE78&amp;Language!$E$80&amp;AF78,"")</f>
        <v>1-1</v>
      </c>
    </row>
    <row r="79" spans="2:43" s="2" customFormat="1" x14ac:dyDescent="0.2">
      <c r="B79" s="3"/>
      <c r="C79" s="3"/>
      <c r="D79" s="3"/>
      <c r="E79" s="3"/>
      <c r="F79" s="12"/>
      <c r="G79" s="12"/>
      <c r="H79" s="12"/>
      <c r="I79" s="12"/>
      <c r="J79" s="12"/>
      <c r="K79" s="12"/>
      <c r="L79" s="12"/>
      <c r="M79" s="12"/>
      <c r="U79" s="64" t="s">
        <v>30</v>
      </c>
      <c r="V79" s="39" t="str">
        <f ca="1">'Finals 4'!$I27</f>
        <v>VFB Essenheim</v>
      </c>
      <c r="W79" s="12" t="str">
        <f ca="1">'Finals 4'!$K27</f>
        <v>Inter Mailand</v>
      </c>
      <c r="X79" s="12">
        <f ca="1">IF($AA79=1,'Finals 4'!$L27,"")</f>
        <v>20</v>
      </c>
      <c r="Y79" s="34">
        <f ca="1">IF($AA79=1,'Finals 4'!$N27,"")</f>
        <v>25</v>
      </c>
      <c r="Z79" s="33" t="str">
        <f t="shared" ca="1" si="68"/>
        <v>VFB EssenheimInter Mailand</v>
      </c>
      <c r="AA79" s="12">
        <f ca="1">IF(AND('Finals 4'!$L27&lt;&gt;"",'Finals 4'!$N27&lt;&gt;"",'Finals 4'!$L27&lt;&gt;'Finals 4'!$N27,OR(AND('Finals 4'!$O27="",'Finals 4'!$Q27=""),AND('Finals 4'!$O27&lt;&gt;"",'Finals 4'!$Q27&lt;&gt;"",'Finals 4'!$O27&lt;&gt;'Finals 4'!$Q27)),'Finals 4'!$I27&lt;&gt;"",'Finals 4'!$K27&lt;&gt;"",'Finals 4'!$I27&lt;&gt;'Finals 4'!$K27),1,0)</f>
        <v>1</v>
      </c>
      <c r="AB79" s="12" t="str">
        <f ca="1">IF(AA79&gt;0,(X79+AG79)&amp;Language!$E$80&amp;(Y79+AH79),"")</f>
        <v>38-50</v>
      </c>
      <c r="AD79" s="141"/>
      <c r="AE79" s="146">
        <f t="shared" ca="1" si="66"/>
        <v>0</v>
      </c>
      <c r="AF79" s="141">
        <f t="shared" ca="1" si="67"/>
        <v>2</v>
      </c>
      <c r="AG79" s="146">
        <f ca="1">IF($AA79=1,'Finals 4'!$O27,"")</f>
        <v>18</v>
      </c>
      <c r="AH79" s="12">
        <f ca="1">IF($AA79=1,'Finals 4'!$Q27,"")</f>
        <v>25</v>
      </c>
      <c r="AI79" s="591" t="str">
        <f ca="1">IF(AA79&gt;0,AE79&amp;Language!$E$80&amp;AF79,"")</f>
        <v>0-2</v>
      </c>
    </row>
    <row r="80" spans="2:43" s="2" customFormat="1" x14ac:dyDescent="0.2">
      <c r="B80" s="3"/>
      <c r="C80" s="3"/>
      <c r="D80" s="3"/>
      <c r="E80" s="3"/>
      <c r="F80" s="12"/>
      <c r="G80" s="12"/>
      <c r="H80" s="12"/>
      <c r="I80" s="12"/>
      <c r="J80" s="12"/>
      <c r="K80" s="12"/>
      <c r="L80" s="12"/>
      <c r="M80" s="12"/>
      <c r="U80" s="64" t="s">
        <v>31</v>
      </c>
      <c r="V80" s="39" t="str">
        <f ca="1">'Finals 4'!$I28</f>
        <v>1. FC Riedwald</v>
      </c>
      <c r="W80" s="12" t="str">
        <f ca="1">'Finals 4'!$K28</f>
        <v>FC Grönlingen</v>
      </c>
      <c r="X80" s="12">
        <f ca="1">IF($AA80=1,'Finals 4'!$L28,"")</f>
        <v>25</v>
      </c>
      <c r="Y80" s="34">
        <f ca="1">IF($AA80=1,'Finals 4'!$N28,"")</f>
        <v>20</v>
      </c>
      <c r="Z80" s="33" t="str">
        <f t="shared" ca="1" si="68"/>
        <v>1. FC RiedwaldFC Grönlingen</v>
      </c>
      <c r="AA80" s="12">
        <f ca="1">IF(AND('Finals 4'!$L28&lt;&gt;"",'Finals 4'!$N28&lt;&gt;"",'Finals 4'!$L28&lt;&gt;'Finals 4'!$N28,OR(AND('Finals 4'!$O28="",'Finals 4'!$Q28=""),AND('Finals 4'!$O28&lt;&gt;"",'Finals 4'!$Q28&lt;&gt;"",'Finals 4'!$O28&lt;&gt;'Finals 4'!$Q28)),'Finals 4'!$I28&lt;&gt;"",'Finals 4'!$K28&lt;&gt;"",'Finals 4'!$I28&lt;&gt;'Finals 4'!$K28),1,0)</f>
        <v>1</v>
      </c>
      <c r="AB80" s="12" t="str">
        <f ca="1">IF(AA80&gt;0,(X80+AG80)&amp;Language!$E$80&amp;(Y80+AH80),"")</f>
        <v>50-39</v>
      </c>
      <c r="AD80" s="141"/>
      <c r="AE80" s="146">
        <f t="shared" ca="1" si="66"/>
        <v>2</v>
      </c>
      <c r="AF80" s="141">
        <f t="shared" ca="1" si="67"/>
        <v>0</v>
      </c>
      <c r="AG80" s="146">
        <f ca="1">IF($AA80=1,'Finals 4'!$O28,"")</f>
        <v>25</v>
      </c>
      <c r="AH80" s="12">
        <f ca="1">IF($AA80=1,'Finals 4'!$Q28,"")</f>
        <v>19</v>
      </c>
      <c r="AI80" s="591" t="str">
        <f ca="1">IF(AA80&gt;0,AE80&amp;Language!$E$80&amp;AF80,"")</f>
        <v>2-0</v>
      </c>
    </row>
    <row r="81" spans="2:35" s="2" customFormat="1" ht="12.75" thickBot="1" x14ac:dyDescent="0.25">
      <c r="B81" s="3"/>
      <c r="C81" s="3"/>
      <c r="D81" s="3"/>
      <c r="E81" s="3"/>
      <c r="F81" s="12"/>
      <c r="G81" s="12"/>
      <c r="H81" s="12"/>
      <c r="I81" s="12"/>
      <c r="J81" s="12"/>
      <c r="K81" s="12"/>
      <c r="L81" s="12"/>
      <c r="M81" s="12"/>
      <c r="U81" s="311" t="s">
        <v>32</v>
      </c>
      <c r="V81" s="702" t="str">
        <f ca="1">'Finals 4'!$I29</f>
        <v>Maibach 1822 eV</v>
      </c>
      <c r="W81" s="312" t="str">
        <f ca="1">'Finals 4'!$K29</f>
        <v>Mainz 05</v>
      </c>
      <c r="X81" s="312">
        <f ca="1">IF($AA81=1,'Finals 4'!$L29,"")</f>
        <v>25</v>
      </c>
      <c r="Y81" s="703">
        <f ca="1">IF($AA81=1,'Finals 4'!$N29,"")</f>
        <v>13</v>
      </c>
      <c r="Z81" s="313" t="str">
        <f t="shared" ca="1" si="68"/>
        <v>Maibach 1822 eVMainz 05</v>
      </c>
      <c r="AA81" s="312">
        <f ca="1">IF(AND('Finals 4'!$L29&lt;&gt;"",'Finals 4'!$N29&lt;&gt;"",'Finals 4'!$L29&lt;&gt;'Finals 4'!$N29,OR(AND('Finals 4'!$O29="",'Finals 4'!$Q29=""),AND('Finals 4'!$O29&lt;&gt;"",'Finals 4'!$Q29&lt;&gt;"",'Finals 4'!$O29&lt;&gt;'Finals 4'!$Q29)),'Finals 4'!$I29&lt;&gt;"",'Finals 4'!$K29&lt;&gt;"",'Finals 4'!$I29&lt;&gt;'Finals 4'!$K29),1,0)</f>
        <v>1</v>
      </c>
      <c r="AB81" s="312" t="str">
        <f ca="1">IF(AA81&gt;0,(X81+AG81)&amp;Language!$E$80&amp;(Y81+AH81),"")</f>
        <v>50-33</v>
      </c>
      <c r="AC81" s="314"/>
      <c r="AD81" s="315"/>
      <c r="AE81" s="316">
        <f t="shared" ca="1" si="66"/>
        <v>2</v>
      </c>
      <c r="AF81" s="315">
        <f t="shared" ca="1" si="67"/>
        <v>0</v>
      </c>
      <c r="AG81" s="316">
        <f ca="1">IF($AA81=1,'Finals 4'!$O29,"")</f>
        <v>25</v>
      </c>
      <c r="AH81" s="312">
        <f ca="1">IF($AA81=1,'Finals 4'!$Q29,"")</f>
        <v>20</v>
      </c>
      <c r="AI81" s="592" t="str">
        <f ca="1">IF(AA81&gt;0,AE81&amp;Language!$E$80&amp;AF81,"")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1"/>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1"/>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1"/>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1"/>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1"/>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1"/>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1"/>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1"/>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1"/>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1"/>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1"/>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1"/>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IF(AA136&gt;0,(Y64+AH64)&amp;Language!$E$80&amp;(X64+AG64),"")</f>
        <v/>
      </c>
      <c r="AD136" s="141"/>
      <c r="AE136" s="596"/>
      <c r="AF136" s="597"/>
      <c r="AG136" s="597"/>
      <c r="AH136" s="597"/>
      <c r="AI136" s="140" t="str">
        <f ca="1">IF(AA64&gt;0,AF64&amp;Language!$E$80&amp;AE64,"")</f>
        <v/>
      </c>
    </row>
    <row r="137" spans="2:35" x14ac:dyDescent="0.2">
      <c r="Y137" s="64" t="s">
        <v>7</v>
      </c>
      <c r="Z137" s="33" t="str">
        <f ca="1">W65&amp;V65</f>
        <v>SSV Wildbach1. FC Riedwald</v>
      </c>
      <c r="AA137" s="12">
        <f t="shared" ref="AA137:AA153" ca="1" si="69">AA65</f>
        <v>1</v>
      </c>
      <c r="AB137" s="12" t="str">
        <f ca="1">IF(AA137&gt;0,(Y65+AH65)&amp;Language!$E$80&amp;(X65+AG65),"")</f>
        <v>45-42</v>
      </c>
      <c r="AC137" s="2"/>
      <c r="AD137" s="141"/>
      <c r="AE137" s="598"/>
      <c r="AF137" s="599"/>
      <c r="AG137" s="599"/>
      <c r="AH137" s="599"/>
      <c r="AI137" s="607" t="str">
        <f ca="1">IF(AA65&gt;0,AF65&amp;Language!$E$80&amp;AE65,"")</f>
        <v>1-1</v>
      </c>
    </row>
    <row r="138" spans="2:35" x14ac:dyDescent="0.2">
      <c r="Y138" s="64" t="s">
        <v>8</v>
      </c>
      <c r="Z138" s="33" t="str">
        <f t="shared" ref="Z138:Z153" ca="1" si="70">W66&amp;V66</f>
        <v>Manchester CityMaibach 1822 eV</v>
      </c>
      <c r="AA138" s="12">
        <f t="shared" ca="1" si="69"/>
        <v>1</v>
      </c>
      <c r="AB138" s="12" t="str">
        <f ca="1">IF(AA138&gt;0,(Y66+AH66)&amp;Language!$E$80&amp;(X66+AG66),"")</f>
        <v>50-35</v>
      </c>
      <c r="AC138" s="2"/>
      <c r="AD138" s="141"/>
      <c r="AE138" s="598"/>
      <c r="AF138" s="599"/>
      <c r="AG138" s="599"/>
      <c r="AH138" s="599"/>
      <c r="AI138" s="607" t="str">
        <f ca="1">IF(AA66&gt;0,AF66&amp;Language!$E$80&amp;AE66,"")</f>
        <v>2-0</v>
      </c>
    </row>
    <row r="139" spans="2:35" x14ac:dyDescent="0.2">
      <c r="Y139" s="64" t="s">
        <v>9</v>
      </c>
      <c r="Z139" s="33" t="str">
        <f t="shared" ca="1" si="70"/>
        <v>Inter Mailand</v>
      </c>
      <c r="AA139" s="12">
        <f t="shared" ca="1" si="69"/>
        <v>0</v>
      </c>
      <c r="AB139" s="12" t="str">
        <f ca="1">IF(AA139&gt;0,(Y67+AH67)&amp;Language!$E$80&amp;(X67+AG67),"")</f>
        <v/>
      </c>
      <c r="AC139" s="2"/>
      <c r="AD139" s="141"/>
      <c r="AE139" s="598"/>
      <c r="AF139" s="599"/>
      <c r="AG139" s="599"/>
      <c r="AH139" s="599"/>
      <c r="AI139" s="607" t="str">
        <f ca="1">IF(AA67&gt;0,AF67&amp;Language!$E$80&amp;AE67,"")</f>
        <v/>
      </c>
    </row>
    <row r="140" spans="2:35" x14ac:dyDescent="0.2">
      <c r="Y140" s="64" t="s">
        <v>10</v>
      </c>
      <c r="Z140" s="33" t="str">
        <f t="shared" ca="1" si="70"/>
        <v>FC BarcelonaFC Grönlingen</v>
      </c>
      <c r="AA140" s="12">
        <f t="shared" ca="1" si="69"/>
        <v>1</v>
      </c>
      <c r="AB140" s="12" t="str">
        <f ca="1">IF(AA140&gt;0,(Y68+AH68)&amp;Language!$E$80&amp;(X68+AG68),"")</f>
        <v>44-50</v>
      </c>
      <c r="AC140" s="2"/>
      <c r="AD140" s="141"/>
      <c r="AE140" s="598"/>
      <c r="AF140" s="599"/>
      <c r="AG140" s="599"/>
      <c r="AH140" s="599"/>
      <c r="AI140" s="607" t="str">
        <f ca="1">IF(AA68&gt;0,AF68&amp;Language!$E$80&amp;AE68,"")</f>
        <v>0-2</v>
      </c>
    </row>
    <row r="141" spans="2:35" x14ac:dyDescent="0.2">
      <c r="Y141" s="64" t="s">
        <v>11</v>
      </c>
      <c r="Z141" s="33" t="str">
        <f t="shared" ca="1" si="70"/>
        <v>Eintracht FrankfurtMainz 05</v>
      </c>
      <c r="AA141" s="12">
        <f t="shared" ca="1" si="69"/>
        <v>1</v>
      </c>
      <c r="AB141" s="12" t="str">
        <f ca="1">IF(AA141&gt;0,(Y69+AH69)&amp;Language!$E$80&amp;(X69+AG69),"")</f>
        <v>39-50</v>
      </c>
      <c r="AC141" s="2"/>
      <c r="AD141" s="141"/>
      <c r="AE141" s="598"/>
      <c r="AF141" s="599"/>
      <c r="AG141" s="599"/>
      <c r="AH141" s="599"/>
      <c r="AI141" s="607" t="str">
        <f ca="1">IF(AA69&gt;0,AF69&amp;Language!$E$80&amp;AE69,"")</f>
        <v>0-2</v>
      </c>
    </row>
    <row r="142" spans="2:35" x14ac:dyDescent="0.2">
      <c r="Y142" s="64" t="s">
        <v>16</v>
      </c>
      <c r="Z142" s="33" t="str">
        <f t="shared" ca="1" si="70"/>
        <v>VFB Essenheim</v>
      </c>
      <c r="AA142" s="12">
        <f t="shared" ca="1" si="69"/>
        <v>0</v>
      </c>
      <c r="AB142" s="12" t="str">
        <f ca="1">IF(AA142&gt;0,(Y70+AH70)&amp;Language!$E$80&amp;(X70+AG70),"")</f>
        <v/>
      </c>
      <c r="AC142" s="2"/>
      <c r="AD142" s="141"/>
      <c r="AE142" s="598"/>
      <c r="AF142" s="599"/>
      <c r="AG142" s="599"/>
      <c r="AH142" s="599"/>
      <c r="AI142" s="607" t="str">
        <f ca="1">IF(AA70&gt;0,AF70&amp;Language!$E$80&amp;AE70,"")</f>
        <v/>
      </c>
    </row>
    <row r="143" spans="2:35" x14ac:dyDescent="0.2">
      <c r="Y143" s="64" t="s">
        <v>17</v>
      </c>
      <c r="Z143" s="33" t="str">
        <f t="shared" ca="1" si="70"/>
        <v>FC Barcelona1. FC Riedwald</v>
      </c>
      <c r="AA143" s="12">
        <f t="shared" ca="1" si="69"/>
        <v>1</v>
      </c>
      <c r="AB143" s="12" t="str">
        <f ca="1">IF(AA143&gt;0,(Y71+AH71)&amp;Language!$E$80&amp;(X71+AG71),"")</f>
        <v>37-44</v>
      </c>
      <c r="AC143" s="2"/>
      <c r="AD143" s="141"/>
      <c r="AE143" s="598"/>
      <c r="AF143" s="599"/>
      <c r="AG143" s="599"/>
      <c r="AH143" s="599"/>
      <c r="AI143" s="607" t="str">
        <f ca="1">IF(AA71&gt;0,AF71&amp;Language!$E$80&amp;AE71,"")</f>
        <v>1-1</v>
      </c>
    </row>
    <row r="144" spans="2:35" x14ac:dyDescent="0.2">
      <c r="Y144" s="64" t="s">
        <v>18</v>
      </c>
      <c r="Z144" s="33" t="str">
        <f t="shared" ca="1" si="70"/>
        <v>Eintracht FrankfurtMaibach 1822 eV</v>
      </c>
      <c r="AA144" s="12">
        <f t="shared" ca="1" si="69"/>
        <v>1</v>
      </c>
      <c r="AB144" s="12" t="str">
        <f ca="1">IF(AA144&gt;0,(Y72+AH72)&amp;Language!$E$80&amp;(X72+AG72),"")</f>
        <v>50-31</v>
      </c>
      <c r="AC144" s="2"/>
      <c r="AD144" s="141"/>
      <c r="AE144" s="598"/>
      <c r="AF144" s="599"/>
      <c r="AG144" s="599"/>
      <c r="AH144" s="599"/>
      <c r="AI144" s="607" t="str">
        <f ca="1">IF(AA72&gt;0,AF72&amp;Language!$E$80&amp;AE72,"")</f>
        <v>2-0</v>
      </c>
    </row>
    <row r="145" spans="25:35" x14ac:dyDescent="0.2">
      <c r="Y145" s="64" t="s">
        <v>24</v>
      </c>
      <c r="Z145" s="33" t="str">
        <f t="shared" ca="1" si="70"/>
        <v>Inter Mailand</v>
      </c>
      <c r="AA145" s="12">
        <f t="shared" ca="1" si="69"/>
        <v>0</v>
      </c>
      <c r="AB145" s="12" t="str">
        <f ca="1">IF(AA145&gt;0,(Y73+AH73)&amp;Language!$E$80&amp;(X73+AG73),"")</f>
        <v/>
      </c>
      <c r="AC145" s="2"/>
      <c r="AD145" s="141"/>
      <c r="AE145" s="598"/>
      <c r="AF145" s="599"/>
      <c r="AG145" s="599"/>
      <c r="AH145" s="599"/>
      <c r="AI145" s="607" t="str">
        <f ca="1">IF(AA73&gt;0,AF73&amp;Language!$E$80&amp;AE73,"")</f>
        <v/>
      </c>
    </row>
    <row r="146" spans="25:35" x14ac:dyDescent="0.2">
      <c r="Y146" s="64" t="s">
        <v>25</v>
      </c>
      <c r="Z146" s="33" t="str">
        <f t="shared" ca="1" si="70"/>
        <v>SSV WildbachFC Grönlingen</v>
      </c>
      <c r="AA146" s="12">
        <f t="shared" ca="1" si="69"/>
        <v>1</v>
      </c>
      <c r="AB146" s="12" t="str">
        <f ca="1">IF(AA146&gt;0,(Y74+AH74)&amp;Language!$E$80&amp;(X74+AG74),"")</f>
        <v>45-47</v>
      </c>
      <c r="AC146" s="2"/>
      <c r="AD146" s="141"/>
      <c r="AE146" s="598"/>
      <c r="AF146" s="599"/>
      <c r="AG146" s="599"/>
      <c r="AH146" s="599"/>
      <c r="AI146" s="607" t="str">
        <f ca="1">IF(AA74&gt;0,AF74&amp;Language!$E$80&amp;AE74,"")</f>
        <v>1-1</v>
      </c>
    </row>
    <row r="147" spans="25:35" x14ac:dyDescent="0.2">
      <c r="Y147" s="64" t="s">
        <v>26</v>
      </c>
      <c r="Z147" s="33" t="str">
        <f t="shared" ca="1" si="70"/>
        <v>Manchester CityMainz 05</v>
      </c>
      <c r="AA147" s="12">
        <f t="shared" ca="1" si="69"/>
        <v>1</v>
      </c>
      <c r="AB147" s="12" t="str">
        <f ca="1">IF(AA147&gt;0,(Y75+AH75)&amp;Language!$E$80&amp;(X75+AG75),"")</f>
        <v>44-44</v>
      </c>
      <c r="AC147" s="2"/>
      <c r="AD147" s="141"/>
      <c r="AE147" s="598"/>
      <c r="AF147" s="599"/>
      <c r="AG147" s="599"/>
      <c r="AH147" s="599"/>
      <c r="AI147" s="607" t="str">
        <f ca="1">IF(AA75&gt;0,AF75&amp;Language!$E$80&amp;AE75,"")</f>
        <v>1-1</v>
      </c>
    </row>
    <row r="148" spans="25:35" x14ac:dyDescent="0.2">
      <c r="Y148" s="64" t="s">
        <v>27</v>
      </c>
      <c r="Z148" s="33" t="str">
        <f t="shared" ca="1" si="70"/>
        <v/>
      </c>
      <c r="AA148" s="12">
        <f t="shared" ca="1" si="69"/>
        <v>0</v>
      </c>
      <c r="AB148" s="12" t="str">
        <f ca="1">IF(AA148&gt;0,(Y76+AH76)&amp;Language!$E$80&amp;(X76+AG76),"")</f>
        <v/>
      </c>
      <c r="AC148" s="2"/>
      <c r="AD148" s="141"/>
      <c r="AE148" s="598"/>
      <c r="AF148" s="599"/>
      <c r="AG148" s="599"/>
      <c r="AH148" s="599"/>
      <c r="AI148" s="607" t="str">
        <f ca="1">IF(AA76&gt;0,AF76&amp;Language!$E$80&amp;AE76,"")</f>
        <v/>
      </c>
    </row>
    <row r="149" spans="25:35" x14ac:dyDescent="0.2">
      <c r="Y149" s="64" t="s">
        <v>28</v>
      </c>
      <c r="Z149" s="33" t="str">
        <f t="shared" ca="1" si="70"/>
        <v>SSV WildbachFC Barcelona</v>
      </c>
      <c r="AA149" s="12">
        <f t="shared" ca="1" si="69"/>
        <v>1</v>
      </c>
      <c r="AB149" s="12" t="str">
        <f ca="1">IF(AA149&gt;0,(Y77+AH77)&amp;Language!$E$80&amp;(X77+AG77),"")</f>
        <v>48-39</v>
      </c>
      <c r="AC149" s="2"/>
      <c r="AD149" s="141"/>
      <c r="AE149" s="598"/>
      <c r="AF149" s="599"/>
      <c r="AG149" s="599"/>
      <c r="AH149" s="599"/>
      <c r="AI149" s="607" t="str">
        <f ca="1">IF(AA77&gt;0,AF77&amp;Language!$E$80&amp;AE77,"")</f>
        <v>1-1</v>
      </c>
    </row>
    <row r="150" spans="25:35" x14ac:dyDescent="0.2">
      <c r="Y150" s="64" t="s">
        <v>29</v>
      </c>
      <c r="Z150" s="33" t="str">
        <f t="shared" ca="1" si="70"/>
        <v>Manchester CityEintracht Frankfurt</v>
      </c>
      <c r="AA150" s="12">
        <f t="shared" ca="1" si="69"/>
        <v>1</v>
      </c>
      <c r="AB150" s="12" t="str">
        <f ca="1">IF(AA150&gt;0,(Y78+AH78)&amp;Language!$E$80&amp;(X78+AG78),"")</f>
        <v>42-46</v>
      </c>
      <c r="AC150" s="2"/>
      <c r="AD150" s="141"/>
      <c r="AE150" s="598"/>
      <c r="AF150" s="599"/>
      <c r="AG150" s="599"/>
      <c r="AH150" s="599"/>
      <c r="AI150" s="607" t="str">
        <f ca="1">IF(AA78&gt;0,AF78&amp;Language!$E$80&amp;AE78,"")</f>
        <v>1-1</v>
      </c>
    </row>
    <row r="151" spans="25:35" x14ac:dyDescent="0.2">
      <c r="Y151" s="64" t="s">
        <v>30</v>
      </c>
      <c r="Z151" s="33" t="str">
        <f t="shared" ca="1" si="70"/>
        <v>Inter MailandVFB Essenheim</v>
      </c>
      <c r="AA151" s="12">
        <f t="shared" ca="1" si="69"/>
        <v>1</v>
      </c>
      <c r="AB151" s="12" t="str">
        <f ca="1">IF(AA151&gt;0,(Y79+AH79)&amp;Language!$E$80&amp;(X79+AG79),"")</f>
        <v>50-38</v>
      </c>
      <c r="AC151" s="2"/>
      <c r="AD151" s="141"/>
      <c r="AE151" s="598"/>
      <c r="AF151" s="599"/>
      <c r="AG151" s="599"/>
      <c r="AH151" s="599"/>
      <c r="AI151" s="607" t="str">
        <f ca="1">IF(AA79&gt;0,AF79&amp;Language!$E$80&amp;AE79,"")</f>
        <v>2-0</v>
      </c>
    </row>
    <row r="152" spans="25:35" x14ac:dyDescent="0.2">
      <c r="Y152" s="64" t="s">
        <v>31</v>
      </c>
      <c r="Z152" s="33" t="str">
        <f t="shared" ca="1" si="70"/>
        <v>FC Grönlingen1. FC Riedwald</v>
      </c>
      <c r="AA152" s="12">
        <f t="shared" ca="1" si="69"/>
        <v>1</v>
      </c>
      <c r="AB152" s="12" t="str">
        <f ca="1">IF(AA152&gt;0,(Y80+AH80)&amp;Language!$E$80&amp;(X80+AG80),"")</f>
        <v>39-50</v>
      </c>
      <c r="AC152" s="2"/>
      <c r="AD152" s="141"/>
      <c r="AE152" s="598"/>
      <c r="AF152" s="599"/>
      <c r="AG152" s="599"/>
      <c r="AH152" s="599"/>
      <c r="AI152" s="607" t="str">
        <f ca="1">IF(AA80&gt;0,AF80&amp;Language!$E$80&amp;AE80,"")</f>
        <v>0-2</v>
      </c>
    </row>
    <row r="153" spans="25:35" ht="12.75" thickBot="1" x14ac:dyDescent="0.25">
      <c r="Y153" s="311" t="s">
        <v>32</v>
      </c>
      <c r="Z153" s="313" t="str">
        <f t="shared" ca="1" si="70"/>
        <v>Mainz 05Maibach 1822 eV</v>
      </c>
      <c r="AA153" s="312">
        <f t="shared" ca="1" si="69"/>
        <v>1</v>
      </c>
      <c r="AB153" s="312" t="str">
        <f ca="1">IF(AA153&gt;0,(Y81+AH81)&amp;Language!$E$80&amp;(X81+AG81),"")</f>
        <v>33-50</v>
      </c>
      <c r="AC153" s="314"/>
      <c r="AD153" s="315"/>
      <c r="AE153" s="601"/>
      <c r="AF153" s="595"/>
      <c r="AG153" s="595"/>
      <c r="AH153" s="595"/>
      <c r="AI153" s="608" t="str">
        <f ca="1">IF(AA81&gt;0,AF81&amp;Language!$E$80&amp;AE81,"")</f>
        <v>0-2</v>
      </c>
    </row>
    <row r="154" spans="25:35" ht="12.75" thickTop="1" x14ac:dyDescent="0.2">
      <c r="Y154" s="64" t="s">
        <v>33</v>
      </c>
      <c r="Z154" s="33" t="str">
        <f>""</f>
        <v/>
      </c>
      <c r="AA154" s="12">
        <v>0</v>
      </c>
      <c r="AB154" s="12" t="str">
        <f>""</f>
        <v/>
      </c>
      <c r="AC154" s="2"/>
      <c r="AD154" s="141"/>
      <c r="AE154" s="598"/>
      <c r="AF154" s="599"/>
      <c r="AG154" s="599"/>
      <c r="AH154" s="599"/>
      <c r="AI154" s="607"/>
    </row>
    <row r="155" spans="25:35" x14ac:dyDescent="0.2">
      <c r="Y155" s="64" t="s">
        <v>34</v>
      </c>
      <c r="Z155" s="33" t="str">
        <f>""</f>
        <v/>
      </c>
      <c r="AA155" s="12">
        <v>0</v>
      </c>
      <c r="AB155" s="12" t="str">
        <f>""</f>
        <v/>
      </c>
      <c r="AC155" s="2"/>
      <c r="AD155" s="141"/>
      <c r="AE155" s="598"/>
      <c r="AF155" s="599"/>
      <c r="AG155" s="599"/>
      <c r="AH155" s="599"/>
      <c r="AI155" s="607"/>
    </row>
    <row r="156" spans="25:35" x14ac:dyDescent="0.2">
      <c r="Y156" s="64" t="s">
        <v>35</v>
      </c>
      <c r="Z156" s="33" t="str">
        <f>""</f>
        <v/>
      </c>
      <c r="AA156" s="12">
        <v>0</v>
      </c>
      <c r="AB156" s="12" t="str">
        <f>""</f>
        <v/>
      </c>
      <c r="AC156" s="2"/>
      <c r="AD156" s="141"/>
      <c r="AE156" s="598"/>
      <c r="AF156" s="599"/>
      <c r="AG156" s="599"/>
      <c r="AH156" s="599"/>
      <c r="AI156" s="607"/>
    </row>
    <row r="157" spans="25:35" x14ac:dyDescent="0.2">
      <c r="Y157" s="64" t="s">
        <v>36</v>
      </c>
      <c r="Z157" s="33" t="str">
        <f>""</f>
        <v/>
      </c>
      <c r="AA157" s="12">
        <v>0</v>
      </c>
      <c r="AB157" s="12" t="str">
        <f>""</f>
        <v/>
      </c>
      <c r="AC157" s="2"/>
      <c r="AD157" s="141"/>
      <c r="AE157" s="598"/>
      <c r="AF157" s="599"/>
      <c r="AG157" s="599"/>
      <c r="AH157" s="599"/>
      <c r="AI157" s="607"/>
    </row>
    <row r="158" spans="25:35" x14ac:dyDescent="0.2">
      <c r="Y158" s="64" t="s">
        <v>37</v>
      </c>
      <c r="Z158" s="33" t="str">
        <f>""</f>
        <v/>
      </c>
      <c r="AA158" s="12">
        <v>0</v>
      </c>
      <c r="AB158" s="12" t="str">
        <f>""</f>
        <v/>
      </c>
      <c r="AC158" s="2"/>
      <c r="AD158" s="141"/>
      <c r="AE158" s="598"/>
      <c r="AF158" s="599"/>
      <c r="AG158" s="599"/>
      <c r="AH158" s="599"/>
      <c r="AI158" s="607"/>
    </row>
    <row r="159" spans="25:35" x14ac:dyDescent="0.2">
      <c r="Y159" s="64" t="s">
        <v>38</v>
      </c>
      <c r="Z159" s="33" t="str">
        <f>""</f>
        <v/>
      </c>
      <c r="AA159" s="12">
        <v>0</v>
      </c>
      <c r="AB159" s="12" t="str">
        <f>""</f>
        <v/>
      </c>
      <c r="AC159" s="2"/>
      <c r="AD159" s="141"/>
      <c r="AE159" s="598"/>
      <c r="AF159" s="599"/>
      <c r="AG159" s="599"/>
      <c r="AH159" s="599"/>
      <c r="AI159" s="607"/>
    </row>
    <row r="160" spans="25:35" x14ac:dyDescent="0.2">
      <c r="Y160" s="64" t="s">
        <v>39</v>
      </c>
      <c r="Z160" s="33" t="str">
        <f>""</f>
        <v/>
      </c>
      <c r="AA160" s="12">
        <v>0</v>
      </c>
      <c r="AB160" s="12" t="str">
        <f>""</f>
        <v/>
      </c>
      <c r="AC160" s="2"/>
      <c r="AD160" s="141"/>
      <c r="AE160" s="598"/>
      <c r="AF160" s="599"/>
      <c r="AG160" s="599"/>
      <c r="AH160" s="599"/>
      <c r="AI160" s="607"/>
    </row>
    <row r="161" spans="25:35" x14ac:dyDescent="0.2">
      <c r="Y161" s="64" t="s">
        <v>40</v>
      </c>
      <c r="Z161" s="33" t="str">
        <f>""</f>
        <v/>
      </c>
      <c r="AA161" s="12">
        <v>0</v>
      </c>
      <c r="AB161" s="12" t="str">
        <f>""</f>
        <v/>
      </c>
      <c r="AC161" s="2"/>
      <c r="AD161" s="141"/>
      <c r="AE161" s="598"/>
      <c r="AF161" s="599"/>
      <c r="AG161" s="599"/>
      <c r="AH161" s="599"/>
      <c r="AI161" s="607"/>
    </row>
    <row r="162" spans="25:35" x14ac:dyDescent="0.2">
      <c r="Y162" s="64" t="s">
        <v>41</v>
      </c>
      <c r="Z162" s="33" t="str">
        <f>""</f>
        <v/>
      </c>
      <c r="AA162" s="12">
        <v>0</v>
      </c>
      <c r="AB162" s="12" t="str">
        <f>""</f>
        <v/>
      </c>
      <c r="AC162" s="2"/>
      <c r="AD162" s="141"/>
      <c r="AE162" s="598"/>
      <c r="AF162" s="599"/>
      <c r="AG162" s="599"/>
      <c r="AH162" s="599"/>
      <c r="AI162" s="607"/>
    </row>
    <row r="163" spans="25:35" x14ac:dyDescent="0.2">
      <c r="Y163" s="64" t="s">
        <v>42</v>
      </c>
      <c r="Z163" s="33" t="str">
        <f>""</f>
        <v/>
      </c>
      <c r="AA163" s="12">
        <v>0</v>
      </c>
      <c r="AB163" s="12" t="str">
        <f>""</f>
        <v/>
      </c>
      <c r="AC163" s="2"/>
      <c r="AD163" s="141"/>
      <c r="AE163" s="598"/>
      <c r="AF163" s="599"/>
      <c r="AG163" s="599"/>
      <c r="AH163" s="599"/>
      <c r="AI163" s="607"/>
    </row>
    <row r="164" spans="25:35" x14ac:dyDescent="0.2">
      <c r="Y164" s="64" t="s">
        <v>43</v>
      </c>
      <c r="Z164" s="33" t="str">
        <f>""</f>
        <v/>
      </c>
      <c r="AA164" s="12">
        <v>0</v>
      </c>
      <c r="AB164" s="12" t="str">
        <f>""</f>
        <v/>
      </c>
      <c r="AC164" s="2"/>
      <c r="AD164" s="141"/>
      <c r="AE164" s="598"/>
      <c r="AF164" s="599"/>
      <c r="AG164" s="599"/>
      <c r="AH164" s="599"/>
      <c r="AI164" s="607"/>
    </row>
    <row r="165" spans="25:35" x14ac:dyDescent="0.2">
      <c r="Y165" s="64" t="s">
        <v>44</v>
      </c>
      <c r="Z165" s="33" t="str">
        <f>""</f>
        <v/>
      </c>
      <c r="AA165" s="12">
        <v>0</v>
      </c>
      <c r="AB165" s="12" t="str">
        <f>""</f>
        <v/>
      </c>
      <c r="AC165" s="2"/>
      <c r="AD165" s="141"/>
      <c r="AE165" s="598"/>
      <c r="AF165" s="599"/>
      <c r="AG165" s="599"/>
      <c r="AH165" s="599"/>
      <c r="AI165" s="607"/>
    </row>
    <row r="166" spans="25:35" x14ac:dyDescent="0.2">
      <c r="Y166" s="64" t="s">
        <v>45</v>
      </c>
      <c r="Z166" s="33" t="str">
        <f>""</f>
        <v/>
      </c>
      <c r="AA166" s="12">
        <v>0</v>
      </c>
      <c r="AB166" s="12" t="str">
        <f>""</f>
        <v/>
      </c>
      <c r="AC166" s="2"/>
      <c r="AD166" s="141"/>
      <c r="AE166" s="598"/>
      <c r="AF166" s="599"/>
      <c r="AG166" s="599"/>
      <c r="AH166" s="599"/>
      <c r="AI166" s="607"/>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333</v>
      </c>
      <c r="K2" s="1"/>
      <c r="L2" s="1"/>
      <c r="M2" s="1"/>
      <c r="N2" s="12"/>
      <c r="O2" s="1"/>
      <c r="P2" s="1"/>
      <c r="Q2" s="1"/>
      <c r="W2" s="2" t="s">
        <v>150</v>
      </c>
    </row>
    <row r="3" spans="1:44"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74">
        <f ca="1">IF($O$4&lt;10,$O$4,0)</f>
        <v>0</v>
      </c>
      <c r="X3" s="975"/>
      <c r="Y3" s="975"/>
      <c r="Z3" s="975"/>
      <c r="AA3" s="975"/>
      <c r="AB3" s="974">
        <f ca="1">IF($P$4&lt;10,$P$4,0)</f>
        <v>0</v>
      </c>
      <c r="AC3" s="975"/>
      <c r="AD3" s="975"/>
      <c r="AE3" s="975"/>
      <c r="AF3" s="975"/>
      <c r="AG3" s="974">
        <f ca="1">IF($Q$4&lt;10,$Q$4,0)</f>
        <v>0</v>
      </c>
      <c r="AH3" s="975"/>
      <c r="AI3" s="975"/>
      <c r="AJ3" s="975"/>
      <c r="AK3" s="975"/>
      <c r="AL3" s="974">
        <f ca="1">IF($R$4&lt;10,$R$4,0)</f>
        <v>0</v>
      </c>
      <c r="AM3" s="975"/>
      <c r="AN3" s="975"/>
      <c r="AO3" s="975"/>
      <c r="AP3" s="975"/>
    </row>
    <row r="4" spans="1:44" s="2" customFormat="1" ht="12.75" thickTop="1" x14ac:dyDescent="0.2">
      <c r="A4" s="239"/>
      <c r="B4" s="1">
        <v>1</v>
      </c>
      <c r="C4" s="20">
        <f t="shared" ref="C4:C12" ca="1" si="1">RANK(D4,$D$4:$D$12,1)</f>
        <v>1</v>
      </c>
      <c r="D4" s="12">
        <f t="shared" ref="D4:D12" ca="1" si="2">E4+ROW()/1000+(F4="")*10</f>
        <v>1.004</v>
      </c>
      <c r="E4" s="252">
        <f t="shared" ref="E4:E12" ca="1" si="3">IF($AI$15,RANK(AH17,AH$17:AH$25,1),RANK(X17,X$17:X$25,1))</f>
        <v>1</v>
      </c>
      <c r="F4" s="1" t="str">
        <f ca="1">$Q64</f>
        <v>1. FC Riedwald</v>
      </c>
      <c r="G4" s="1">
        <f t="shared" ref="G4:G12" ca="1" si="4">SUMIFS($X$64:$X$135,$V$64:$V$135,$F4)+SUMIFS($Y$64:$Y$135,$W$64:$W$135,$F4)+SUMIFS($AG$64:$AG$135,$V$64:$V$135,$F4)+SUMIFS($AH$64:$AH$135,$W$64:$W$135,$F4)</f>
        <v>136</v>
      </c>
      <c r="H4" s="1">
        <f t="shared" ref="H4:H12" ca="1" si="5">SUMIFS($Y$64:$Y$135,$V$64:$V$135,$F4)+SUMIFS($X$64:$X$135,$W$64:$W$135,$F4)+SUMIFS($AH$64:$AH$135,$V$64:$V$135,$F4)+SUMIFS($AG$64:$AG$135,$W$64:$W$135,$F4)</f>
        <v>121</v>
      </c>
      <c r="I4" s="12">
        <f ca="1">IF(Settings!$G$7,G4-H4,IF(H4=0,IF(G4=0,0,Settings!$F$7),G4/H4))</f>
        <v>15</v>
      </c>
      <c r="J4" s="1">
        <f t="shared" ref="J4:J7" ca="1" si="6">SUMPRODUCT(($V$64:$V$135=F4)*$AE$64:$AE$135*$AA$64:$AA$135)+SUMPRODUCT(($W$64:$W$135=F4)*$AF$64:$AF$135*$AA$64:$AA$135)</f>
        <v>4</v>
      </c>
      <c r="K4" s="1">
        <f t="shared" ref="K4:K12" ca="1" si="7">SUMPRODUCT(($V$64:$V$135=F4)*$AA$64:$AA$135)+SUMPRODUCT(($W$64:$W$135=F4)*$AA$64:$AA$135)</f>
        <v>3</v>
      </c>
      <c r="L4" s="1">
        <f t="shared" ref="L4:L12" ca="1" si="8">K4-M4-N4</f>
        <v>1</v>
      </c>
      <c r="M4" s="1">
        <f t="shared" ref="M4:M12" ca="1" si="9">SUMPRODUCT(($V$64:$W$135=F4)*($AE$64:$AE$135=$AF$64:$AF$135)*$AA$64:$AA$135)</f>
        <v>2</v>
      </c>
      <c r="N4" s="1">
        <f t="shared" ref="N4:N12" ca="1" si="10">SUMPRODUCT(($V$64:$V$135=F4)*($AE$64:$AE$135&lt;$AF$64:$AF$135)*$AA$64:$AA$135)+SUMPRODUCT(($W$64:$W$135=F4)*($AE$64:$AE$135&gt;$AF$64:$AF$135)*$AA$64:$AA$135)</f>
        <v>0</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1.0504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1.0504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1.0504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1.0504</v>
      </c>
      <c r="AP4" s="578">
        <f t="shared" ref="AP4:AP12" ca="1" si="30">RANK($AO4,$AO$4:$AO$12,1)</f>
        <v>1</v>
      </c>
      <c r="AR4" s="2">
        <f ca="1">IF(Settings!$G$7,$I4,ROUND($I4,Settings!$H$7))</f>
        <v>15</v>
      </c>
    </row>
    <row r="5" spans="1:44" s="2" customFormat="1" x14ac:dyDescent="0.2">
      <c r="A5" s="239"/>
      <c r="B5" s="1">
        <v>2</v>
      </c>
      <c r="C5" s="21">
        <f t="shared" ca="1" si="1"/>
        <v>3</v>
      </c>
      <c r="D5" s="12">
        <f t="shared" ca="1" si="2"/>
        <v>3.0049999999999999</v>
      </c>
      <c r="E5" s="252">
        <f t="shared" ca="1" si="3"/>
        <v>3</v>
      </c>
      <c r="F5" s="1" t="str">
        <f t="shared" ref="F5:F12" ca="1" si="31">$Q65</f>
        <v>FC Grönlingen</v>
      </c>
      <c r="G5" s="1">
        <f t="shared" ca="1" si="4"/>
        <v>136</v>
      </c>
      <c r="H5" s="1">
        <f t="shared" ca="1" si="5"/>
        <v>139</v>
      </c>
      <c r="I5" s="12">
        <f ca="1">IF(Settings!$G$7,G5-H5,IF(H5=0,IF(G5=0,0,Settings!$F$7),G5/H5))</f>
        <v>-3</v>
      </c>
      <c r="J5" s="1">
        <f t="shared" ca="1" si="6"/>
        <v>3</v>
      </c>
      <c r="K5" s="1">
        <f t="shared" ca="1" si="7"/>
        <v>3</v>
      </c>
      <c r="L5" s="1">
        <f t="shared" ca="1" si="8"/>
        <v>1</v>
      </c>
      <c r="M5" s="1">
        <f t="shared" ca="1" si="9"/>
        <v>1</v>
      </c>
      <c r="N5" s="1">
        <f t="shared" ca="1" si="10"/>
        <v>1</v>
      </c>
      <c r="O5" s="23"/>
      <c r="P5" s="24"/>
      <c r="V5" s="1"/>
      <c r="W5" s="575" t="str">
        <f t="shared" ca="1" si="11"/>
        <v/>
      </c>
      <c r="X5" s="576" t="str">
        <f t="shared" ca="1" si="12"/>
        <v/>
      </c>
      <c r="Y5" s="573">
        <f t="shared" ca="1" si="13"/>
        <v>99999</v>
      </c>
      <c r="Z5" s="573">
        <f t="shared" ca="1" si="14"/>
        <v>1.0505</v>
      </c>
      <c r="AA5" s="578">
        <f t="shared" ca="1" si="15"/>
        <v>2</v>
      </c>
      <c r="AB5" s="575" t="str">
        <f t="shared" ca="1" si="16"/>
        <v/>
      </c>
      <c r="AC5" s="576" t="str">
        <f t="shared" ca="1" si="17"/>
        <v/>
      </c>
      <c r="AD5" s="577">
        <f t="shared" ca="1" si="18"/>
        <v>99999</v>
      </c>
      <c r="AE5" s="573">
        <f t="shared" ca="1" si="19"/>
        <v>1.0505</v>
      </c>
      <c r="AF5" s="573">
        <f t="shared" ca="1" si="20"/>
        <v>2</v>
      </c>
      <c r="AG5" s="575" t="str">
        <f t="shared" ca="1" si="21"/>
        <v/>
      </c>
      <c r="AH5" s="576" t="str">
        <f t="shared" ca="1" si="22"/>
        <v/>
      </c>
      <c r="AI5" s="577">
        <f t="shared" ca="1" si="23"/>
        <v>99999</v>
      </c>
      <c r="AJ5" s="573">
        <f t="shared" ca="1" si="24"/>
        <v>1.0505</v>
      </c>
      <c r="AK5" s="578">
        <f t="shared" ca="1" si="25"/>
        <v>2</v>
      </c>
      <c r="AL5" s="576" t="str">
        <f t="shared" ca="1" si="26"/>
        <v/>
      </c>
      <c r="AM5" s="576" t="str">
        <f t="shared" ca="1" si="27"/>
        <v/>
      </c>
      <c r="AN5" s="577">
        <f t="shared" ca="1" si="28"/>
        <v>99999</v>
      </c>
      <c r="AO5" s="573">
        <f t="shared" ca="1" si="29"/>
        <v>1.0505</v>
      </c>
      <c r="AP5" s="578">
        <f t="shared" ca="1" si="30"/>
        <v>2</v>
      </c>
      <c r="AR5" s="2">
        <f ca="1">IF(Settings!$G$7,$I5,ROUND($I5,Settings!$H$7))</f>
        <v>-3</v>
      </c>
    </row>
    <row r="6" spans="1:44" s="2" customFormat="1" x14ac:dyDescent="0.2">
      <c r="A6" s="239"/>
      <c r="B6" s="1">
        <v>3</v>
      </c>
      <c r="C6" s="21">
        <f t="shared" ca="1" si="1"/>
        <v>4</v>
      </c>
      <c r="D6" s="12">
        <f t="shared" ca="1" si="2"/>
        <v>4.0060000000000002</v>
      </c>
      <c r="E6" s="252">
        <f t="shared" ca="1" si="3"/>
        <v>4</v>
      </c>
      <c r="F6" s="1" t="str">
        <f t="shared" ca="1" si="31"/>
        <v>FC Barcelona</v>
      </c>
      <c r="G6" s="1">
        <f t="shared" ca="1" si="4"/>
        <v>120</v>
      </c>
      <c r="H6" s="1">
        <f t="shared" ca="1" si="5"/>
        <v>142</v>
      </c>
      <c r="I6" s="12">
        <f ca="1">IF(Settings!$G$7,G6-H6,IF(H6=0,IF(G6=0,0,Settings!$F$7),G6/H6))</f>
        <v>-22</v>
      </c>
      <c r="J6" s="1">
        <f t="shared" ca="1" si="6"/>
        <v>2</v>
      </c>
      <c r="K6" s="1">
        <f t="shared" ca="1" si="7"/>
        <v>3</v>
      </c>
      <c r="L6" s="1">
        <f t="shared" ca="1" si="8"/>
        <v>0</v>
      </c>
      <c r="M6" s="1">
        <f t="shared" ca="1" si="9"/>
        <v>2</v>
      </c>
      <c r="N6" s="1">
        <f t="shared" ca="1" si="10"/>
        <v>1</v>
      </c>
      <c r="O6" s="23"/>
      <c r="P6" s="24"/>
      <c r="V6" s="1"/>
      <c r="W6" s="575" t="str">
        <f t="shared" ca="1" si="11"/>
        <v/>
      </c>
      <c r="X6" s="576" t="str">
        <f t="shared" ca="1" si="12"/>
        <v/>
      </c>
      <c r="Y6" s="573">
        <f t="shared" ca="1" si="13"/>
        <v>99999</v>
      </c>
      <c r="Z6" s="573">
        <f t="shared" ca="1" si="14"/>
        <v>1.0506</v>
      </c>
      <c r="AA6" s="578">
        <f t="shared" ca="1" si="15"/>
        <v>3</v>
      </c>
      <c r="AB6" s="575" t="str">
        <f t="shared" ca="1" si="16"/>
        <v/>
      </c>
      <c r="AC6" s="576" t="str">
        <f t="shared" ca="1" si="17"/>
        <v/>
      </c>
      <c r="AD6" s="577">
        <f t="shared" ca="1" si="18"/>
        <v>99999</v>
      </c>
      <c r="AE6" s="573">
        <f t="shared" ca="1" si="19"/>
        <v>1.0506</v>
      </c>
      <c r="AF6" s="573">
        <f t="shared" ca="1" si="20"/>
        <v>3</v>
      </c>
      <c r="AG6" s="575" t="str">
        <f t="shared" ca="1" si="21"/>
        <v/>
      </c>
      <c r="AH6" s="576" t="str">
        <f t="shared" ca="1" si="22"/>
        <v/>
      </c>
      <c r="AI6" s="577">
        <f t="shared" ca="1" si="23"/>
        <v>99999</v>
      </c>
      <c r="AJ6" s="573">
        <f t="shared" ca="1" si="24"/>
        <v>1.0506</v>
      </c>
      <c r="AK6" s="578">
        <f t="shared" ca="1" si="25"/>
        <v>3</v>
      </c>
      <c r="AL6" s="576" t="str">
        <f t="shared" ca="1" si="26"/>
        <v/>
      </c>
      <c r="AM6" s="576" t="str">
        <f t="shared" ca="1" si="27"/>
        <v/>
      </c>
      <c r="AN6" s="577">
        <f t="shared" ca="1" si="28"/>
        <v>99999</v>
      </c>
      <c r="AO6" s="573">
        <f t="shared" ca="1" si="29"/>
        <v>1.0506</v>
      </c>
      <c r="AP6" s="578">
        <f t="shared" ca="1" si="30"/>
        <v>3</v>
      </c>
      <c r="AR6" s="2">
        <f ca="1">IF(Settings!$G$7,$I6,ROUND($I6,Settings!$H$7))</f>
        <v>-22</v>
      </c>
    </row>
    <row r="7" spans="1:44" s="2" customFormat="1" x14ac:dyDescent="0.2">
      <c r="A7" s="239"/>
      <c r="B7" s="1">
        <v>4</v>
      </c>
      <c r="C7" s="21">
        <f t="shared" ca="1" si="1"/>
        <v>2</v>
      </c>
      <c r="D7" s="12">
        <f t="shared" ca="1" si="2"/>
        <v>2.0070000000000001</v>
      </c>
      <c r="E7" s="252">
        <f t="shared" ca="1" si="3"/>
        <v>2</v>
      </c>
      <c r="F7" s="1" t="str">
        <f t="shared" ca="1" si="31"/>
        <v>SSV Wildbach</v>
      </c>
      <c r="G7" s="1">
        <f t="shared" ca="1" si="4"/>
        <v>138</v>
      </c>
      <c r="H7" s="1">
        <f t="shared" ca="1" si="5"/>
        <v>128</v>
      </c>
      <c r="I7" s="12">
        <f ca="1">IF(Settings!$G$7,G7-H7,IF(H7=0,IF(G7=0,0,Settings!$F$7),G7/H7))</f>
        <v>10</v>
      </c>
      <c r="J7" s="1">
        <f t="shared" ca="1" si="6"/>
        <v>3</v>
      </c>
      <c r="K7" s="1">
        <f t="shared" ca="1" si="7"/>
        <v>3</v>
      </c>
      <c r="L7" s="1">
        <f t="shared" ca="1" si="8"/>
        <v>0</v>
      </c>
      <c r="M7" s="1">
        <f t="shared" ca="1" si="9"/>
        <v>3</v>
      </c>
      <c r="N7" s="1">
        <f t="shared" ca="1" si="10"/>
        <v>0</v>
      </c>
      <c r="O7" s="23"/>
      <c r="P7" s="24"/>
      <c r="V7" s="1"/>
      <c r="W7" s="575" t="str">
        <f t="shared" ca="1" si="11"/>
        <v/>
      </c>
      <c r="X7" s="576" t="str">
        <f t="shared" ca="1" si="12"/>
        <v/>
      </c>
      <c r="Y7" s="573">
        <f t="shared" ca="1" si="13"/>
        <v>99999</v>
      </c>
      <c r="Z7" s="573">
        <f t="shared" ca="1" si="14"/>
        <v>1.0507</v>
      </c>
      <c r="AA7" s="578">
        <f t="shared" ca="1" si="15"/>
        <v>4</v>
      </c>
      <c r="AB7" s="575" t="str">
        <f t="shared" ca="1" si="16"/>
        <v/>
      </c>
      <c r="AC7" s="576" t="str">
        <f t="shared" ca="1" si="17"/>
        <v/>
      </c>
      <c r="AD7" s="577">
        <f t="shared" ca="1" si="18"/>
        <v>99999</v>
      </c>
      <c r="AE7" s="573">
        <f t="shared" ca="1" si="19"/>
        <v>1.0507</v>
      </c>
      <c r="AF7" s="573">
        <f t="shared" ca="1" si="20"/>
        <v>4</v>
      </c>
      <c r="AG7" s="575" t="str">
        <f t="shared" ca="1" si="21"/>
        <v/>
      </c>
      <c r="AH7" s="576" t="str">
        <f t="shared" ca="1" si="22"/>
        <v/>
      </c>
      <c r="AI7" s="577">
        <f t="shared" ca="1" si="23"/>
        <v>99999</v>
      </c>
      <c r="AJ7" s="573">
        <f t="shared" ca="1" si="24"/>
        <v>1.0507</v>
      </c>
      <c r="AK7" s="578">
        <f t="shared" ca="1" si="25"/>
        <v>4</v>
      </c>
      <c r="AL7" s="576" t="str">
        <f t="shared" ca="1" si="26"/>
        <v/>
      </c>
      <c r="AM7" s="576" t="str">
        <f t="shared" ca="1" si="27"/>
        <v/>
      </c>
      <c r="AN7" s="577">
        <f t="shared" ca="1" si="28"/>
        <v>99999</v>
      </c>
      <c r="AO7" s="573">
        <f t="shared" ca="1" si="29"/>
        <v>1.0507</v>
      </c>
      <c r="AP7" s="578">
        <f t="shared" ca="1" si="30"/>
        <v>4</v>
      </c>
      <c r="AR7" s="2">
        <f ca="1">IF(Settings!$G$7,$I7,ROUND($I7,Settings!$H$7))</f>
        <v>10</v>
      </c>
    </row>
    <row r="8" spans="1:44" s="2" customFormat="1" x14ac:dyDescent="0.2">
      <c r="A8" s="239"/>
      <c r="B8" s="1">
        <v>5</v>
      </c>
      <c r="C8" s="21">
        <f t="shared" ca="1" si="1"/>
        <v>5</v>
      </c>
      <c r="D8" s="12">
        <f t="shared" ca="1" si="2"/>
        <v>15.007999999999999</v>
      </c>
      <c r="E8" s="252">
        <f t="shared" ca="1" si="3"/>
        <v>5</v>
      </c>
      <c r="F8" s="1" t="str">
        <f t="shared" si="31"/>
        <v/>
      </c>
      <c r="G8" s="1">
        <f t="shared" ca="1" si="4"/>
        <v>0</v>
      </c>
      <c r="H8" s="1">
        <f t="shared" ca="1" si="5"/>
        <v>0</v>
      </c>
      <c r="I8" s="12">
        <f ca="1">IF(Settings!$G$7,G8-H8,IF(H8=0,IF(G8=0,0,Settings!$F$7),G8/H8))</f>
        <v>0</v>
      </c>
      <c r="J8" s="1">
        <f ca="1">SUMPRODUCT(($V$64:$V$135=F8)*$AE$64:$AE$135*$AA$64:$AA$135)+SUMPRODUCT(($W$64:$W$135=F8)*$AF$64:$AF$135*$AA$64:$AA$135)</f>
        <v>0</v>
      </c>
      <c r="K8" s="1">
        <f t="shared" ca="1" si="7"/>
        <v>0</v>
      </c>
      <c r="L8" s="1">
        <f t="shared" ca="1" si="8"/>
        <v>0</v>
      </c>
      <c r="M8" s="1">
        <f t="shared" ca="1" si="9"/>
        <v>0</v>
      </c>
      <c r="N8" s="1">
        <f t="shared" ca="1" si="10"/>
        <v>0</v>
      </c>
      <c r="P8" s="24"/>
      <c r="W8" s="575" t="str">
        <f t="shared" ca="1" si="11"/>
        <v/>
      </c>
      <c r="X8" s="576" t="str">
        <f t="shared" ca="1" si="12"/>
        <v/>
      </c>
      <c r="Y8" s="573">
        <f t="shared" ca="1" si="13"/>
        <v>99999</v>
      </c>
      <c r="Z8" s="573">
        <f t="shared" ca="1" si="14"/>
        <v>1.0508</v>
      </c>
      <c r="AA8" s="578">
        <f t="shared" ca="1" si="15"/>
        <v>5</v>
      </c>
      <c r="AB8" s="575" t="str">
        <f t="shared" ca="1" si="16"/>
        <v/>
      </c>
      <c r="AC8" s="576" t="str">
        <f t="shared" ca="1" si="17"/>
        <v/>
      </c>
      <c r="AD8" s="577">
        <f t="shared" ca="1" si="18"/>
        <v>99999</v>
      </c>
      <c r="AE8" s="573">
        <f t="shared" ca="1" si="19"/>
        <v>1.0508</v>
      </c>
      <c r="AF8" s="573">
        <f t="shared" ca="1" si="20"/>
        <v>5</v>
      </c>
      <c r="AG8" s="575" t="str">
        <f t="shared" ca="1" si="21"/>
        <v/>
      </c>
      <c r="AH8" s="576" t="str">
        <f t="shared" ca="1" si="22"/>
        <v/>
      </c>
      <c r="AI8" s="577">
        <f t="shared" ca="1" si="23"/>
        <v>99999</v>
      </c>
      <c r="AJ8" s="573">
        <f t="shared" ca="1" si="24"/>
        <v>1.0508</v>
      </c>
      <c r="AK8" s="578">
        <f t="shared" ca="1" si="25"/>
        <v>5</v>
      </c>
      <c r="AL8" s="576" t="str">
        <f t="shared" ca="1" si="26"/>
        <v/>
      </c>
      <c r="AM8" s="576" t="str">
        <f t="shared" ca="1" si="27"/>
        <v/>
      </c>
      <c r="AN8" s="577">
        <f t="shared" ca="1" si="28"/>
        <v>99999</v>
      </c>
      <c r="AO8" s="573">
        <f t="shared" ca="1" si="29"/>
        <v>1.0508</v>
      </c>
      <c r="AP8" s="578">
        <f t="shared" ca="1" si="30"/>
        <v>5</v>
      </c>
      <c r="AR8" s="2">
        <f ca="1">IF(Settings!$G$7,$I8,ROUND($I8,Settings!$H$7))</f>
        <v>0</v>
      </c>
    </row>
    <row r="9" spans="1:44" s="2" customFormat="1" x14ac:dyDescent="0.2">
      <c r="A9" s="239"/>
      <c r="B9" s="1">
        <v>6</v>
      </c>
      <c r="C9" s="21">
        <f t="shared" ca="1" si="1"/>
        <v>6</v>
      </c>
      <c r="D9" s="12">
        <f t="shared" ca="1" si="2"/>
        <v>15.009</v>
      </c>
      <c r="E9" s="252">
        <f t="shared" ca="1" si="3"/>
        <v>5</v>
      </c>
      <c r="F9" s="1" t="str">
        <f t="shared" si="31"/>
        <v/>
      </c>
      <c r="G9" s="1">
        <f t="shared" ca="1" si="4"/>
        <v>0</v>
      </c>
      <c r="H9" s="1">
        <f t="shared" ca="1" si="5"/>
        <v>0</v>
      </c>
      <c r="I9" s="12">
        <f ca="1">IF(Settings!$G$7,G9-H9,IF(H9=0,IF(G9=0,0,Settings!$F$7),G9/H9))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1.0508999999999999</v>
      </c>
      <c r="AA9" s="578">
        <f t="shared" ca="1" si="15"/>
        <v>6</v>
      </c>
      <c r="AB9" s="575" t="str">
        <f t="shared" ca="1" si="16"/>
        <v/>
      </c>
      <c r="AC9" s="576" t="str">
        <f t="shared" ca="1" si="17"/>
        <v/>
      </c>
      <c r="AD9" s="577">
        <f t="shared" ca="1" si="18"/>
        <v>99999</v>
      </c>
      <c r="AE9" s="573">
        <f t="shared" ca="1" si="19"/>
        <v>1.0508999999999999</v>
      </c>
      <c r="AF9" s="573">
        <f t="shared" ca="1" si="20"/>
        <v>6</v>
      </c>
      <c r="AG9" s="575" t="str">
        <f t="shared" ca="1" si="21"/>
        <v/>
      </c>
      <c r="AH9" s="576" t="str">
        <f t="shared" ca="1" si="22"/>
        <v/>
      </c>
      <c r="AI9" s="577">
        <f t="shared" ca="1" si="23"/>
        <v>99999</v>
      </c>
      <c r="AJ9" s="573">
        <f t="shared" ca="1" si="24"/>
        <v>1.0508999999999999</v>
      </c>
      <c r="AK9" s="578">
        <f t="shared" ca="1" si="25"/>
        <v>6</v>
      </c>
      <c r="AL9" s="576" t="str">
        <f t="shared" ca="1" si="26"/>
        <v/>
      </c>
      <c r="AM9" s="576" t="str">
        <f t="shared" ca="1" si="27"/>
        <v/>
      </c>
      <c r="AN9" s="577">
        <f t="shared" ca="1" si="28"/>
        <v>99999</v>
      </c>
      <c r="AO9" s="573">
        <f t="shared" ca="1" si="29"/>
        <v>1.0508999999999999</v>
      </c>
      <c r="AP9" s="578">
        <f t="shared" ca="1" si="30"/>
        <v>6</v>
      </c>
      <c r="AR9" s="2">
        <f ca="1">IF(Settings!$G$7,$I9,ROUND($I9,Settings!$H$7))</f>
        <v>0</v>
      </c>
    </row>
    <row r="10" spans="1:44" s="2" customFormat="1" x14ac:dyDescent="0.2">
      <c r="A10" s="239"/>
      <c r="B10" s="1">
        <v>7</v>
      </c>
      <c r="C10" s="21">
        <f t="shared" ca="1" si="1"/>
        <v>7</v>
      </c>
      <c r="D10" s="12">
        <f t="shared" ca="1" si="2"/>
        <v>15.01</v>
      </c>
      <c r="E10" s="252">
        <f t="shared" ca="1" si="3"/>
        <v>5</v>
      </c>
      <c r="F10" s="1" t="str">
        <f t="shared" si="31"/>
        <v/>
      </c>
      <c r="G10" s="1">
        <f t="shared" ca="1" si="4"/>
        <v>0</v>
      </c>
      <c r="H10" s="1">
        <f t="shared" ca="1" si="5"/>
        <v>0</v>
      </c>
      <c r="I10" s="12">
        <f ca="1">IF(Settings!$G$7,G10-H10,IF(H10=0,IF(G10=0,0,Settings!$F$7),G10/H10))</f>
        <v>0</v>
      </c>
      <c r="J10" s="1">
        <f t="shared" ca="1" si="32"/>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1.0509999999999999</v>
      </c>
      <c r="AA10" s="578">
        <f t="shared" ca="1" si="15"/>
        <v>7</v>
      </c>
      <c r="AB10" s="575" t="str">
        <f t="shared" ca="1" si="16"/>
        <v/>
      </c>
      <c r="AC10" s="576" t="str">
        <f t="shared" ca="1" si="17"/>
        <v/>
      </c>
      <c r="AD10" s="577">
        <f t="shared" ca="1" si="18"/>
        <v>99999</v>
      </c>
      <c r="AE10" s="573">
        <f t="shared" ca="1" si="19"/>
        <v>1.0509999999999999</v>
      </c>
      <c r="AF10" s="573">
        <f t="shared" ca="1" si="20"/>
        <v>7</v>
      </c>
      <c r="AG10" s="575" t="str">
        <f t="shared" ca="1" si="21"/>
        <v/>
      </c>
      <c r="AH10" s="576" t="str">
        <f t="shared" ca="1" si="22"/>
        <v/>
      </c>
      <c r="AI10" s="577">
        <f t="shared" ca="1" si="23"/>
        <v>99999</v>
      </c>
      <c r="AJ10" s="573">
        <f t="shared" ca="1" si="24"/>
        <v>1.0509999999999999</v>
      </c>
      <c r="AK10" s="578">
        <f t="shared" ca="1" si="25"/>
        <v>7</v>
      </c>
      <c r="AL10" s="576" t="str">
        <f t="shared" ca="1" si="26"/>
        <v/>
      </c>
      <c r="AM10" s="576" t="str">
        <f t="shared" ca="1" si="27"/>
        <v/>
      </c>
      <c r="AN10" s="577">
        <f t="shared" ca="1" si="28"/>
        <v>99999</v>
      </c>
      <c r="AO10" s="573">
        <f t="shared" ca="1" si="29"/>
        <v>1.0509999999999999</v>
      </c>
      <c r="AP10" s="578">
        <f t="shared" ca="1" si="30"/>
        <v>7</v>
      </c>
      <c r="AR10" s="2">
        <f ca="1">IF(Settings!$G$7,$I10,ROUND($I10,Settings!$H$7))</f>
        <v>0</v>
      </c>
    </row>
    <row r="11" spans="1:44" s="2" customFormat="1" x14ac:dyDescent="0.2">
      <c r="A11" s="239"/>
      <c r="B11" s="1">
        <v>8</v>
      </c>
      <c r="C11" s="21">
        <f t="shared" ca="1" si="1"/>
        <v>8</v>
      </c>
      <c r="D11" s="12">
        <f t="shared" ca="1" si="2"/>
        <v>15.010999999999999</v>
      </c>
      <c r="E11" s="252">
        <f t="shared" ca="1" si="3"/>
        <v>5</v>
      </c>
      <c r="F11" s="1" t="str">
        <f t="shared" si="31"/>
        <v/>
      </c>
      <c r="G11" s="1">
        <f t="shared" ca="1" si="4"/>
        <v>0</v>
      </c>
      <c r="H11" s="1">
        <f t="shared" ca="1" si="5"/>
        <v>0</v>
      </c>
      <c r="I11" s="12">
        <f ca="1">IF(Settings!$G$7,G11-H11,IF(H11=0,IF(G11=0,0,Settings!$F$7),G11/H11))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1.0511000000000001</v>
      </c>
      <c r="AA11" s="578">
        <f t="shared" ca="1" si="15"/>
        <v>8</v>
      </c>
      <c r="AB11" s="575" t="str">
        <f t="shared" ca="1" si="16"/>
        <v/>
      </c>
      <c r="AC11" s="576" t="str">
        <f t="shared" ca="1" si="17"/>
        <v/>
      </c>
      <c r="AD11" s="577">
        <f t="shared" ca="1" si="18"/>
        <v>99999</v>
      </c>
      <c r="AE11" s="573">
        <f t="shared" ca="1" si="19"/>
        <v>1.0511000000000001</v>
      </c>
      <c r="AF11" s="573">
        <f t="shared" ca="1" si="20"/>
        <v>8</v>
      </c>
      <c r="AG11" s="575" t="str">
        <f t="shared" ca="1" si="21"/>
        <v/>
      </c>
      <c r="AH11" s="576" t="str">
        <f t="shared" ca="1" si="22"/>
        <v/>
      </c>
      <c r="AI11" s="577">
        <f t="shared" ca="1" si="23"/>
        <v>99999</v>
      </c>
      <c r="AJ11" s="573">
        <f t="shared" ca="1" si="24"/>
        <v>1.0511000000000001</v>
      </c>
      <c r="AK11" s="578">
        <f t="shared" ca="1" si="25"/>
        <v>8</v>
      </c>
      <c r="AL11" s="576" t="str">
        <f t="shared" ca="1" si="26"/>
        <v/>
      </c>
      <c r="AM11" s="576" t="str">
        <f t="shared" ca="1" si="27"/>
        <v/>
      </c>
      <c r="AN11" s="577">
        <f t="shared" ca="1" si="28"/>
        <v>99999</v>
      </c>
      <c r="AO11" s="573">
        <f t="shared" ca="1" si="29"/>
        <v>1.0511000000000001</v>
      </c>
      <c r="AP11" s="578">
        <f t="shared" ca="1" si="30"/>
        <v>8</v>
      </c>
      <c r="AR11" s="2">
        <f ca="1">IF(Settings!$G$7,$I11,ROUND($I11,Settings!$H$7))</f>
        <v>0</v>
      </c>
    </row>
    <row r="12" spans="1:44" s="2" customFormat="1" ht="12.75" thickBot="1" x14ac:dyDescent="0.25">
      <c r="A12" s="239"/>
      <c r="B12" s="1">
        <v>9</v>
      </c>
      <c r="C12" s="22">
        <f t="shared" ca="1" si="1"/>
        <v>9</v>
      </c>
      <c r="D12" s="12">
        <f t="shared" ca="1" si="2"/>
        <v>15.012</v>
      </c>
      <c r="E12" s="252">
        <f t="shared" ca="1" si="3"/>
        <v>5</v>
      </c>
      <c r="F12" s="1" t="str">
        <f t="shared" si="31"/>
        <v/>
      </c>
      <c r="G12" s="1">
        <f t="shared" ca="1" si="4"/>
        <v>0</v>
      </c>
      <c r="H12" s="1">
        <f t="shared" ca="1" si="5"/>
        <v>0</v>
      </c>
      <c r="I12" s="12">
        <f ca="1">IF(Settings!$G$7,G12-H12,IF(H12=0,IF(G12=0,0,Settings!$F$7),G12/H12))</f>
        <v>0</v>
      </c>
      <c r="J12" s="1">
        <f t="shared" ca="1" si="32"/>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1.0512000000000001</v>
      </c>
      <c r="AA12" s="582">
        <f t="shared" ca="1" si="15"/>
        <v>9</v>
      </c>
      <c r="AB12" s="579" t="str">
        <f t="shared" ca="1" si="16"/>
        <v/>
      </c>
      <c r="AC12" s="580" t="str">
        <f t="shared" ca="1" si="17"/>
        <v/>
      </c>
      <c r="AD12" s="583">
        <f t="shared" ca="1" si="18"/>
        <v>99999</v>
      </c>
      <c r="AE12" s="581">
        <f t="shared" ca="1" si="19"/>
        <v>1.0512000000000001</v>
      </c>
      <c r="AF12" s="581">
        <f t="shared" ca="1" si="20"/>
        <v>9</v>
      </c>
      <c r="AG12" s="579" t="str">
        <f t="shared" ca="1" si="21"/>
        <v/>
      </c>
      <c r="AH12" s="580" t="str">
        <f t="shared" ca="1" si="22"/>
        <v/>
      </c>
      <c r="AI12" s="583">
        <f t="shared" ca="1" si="23"/>
        <v>99999</v>
      </c>
      <c r="AJ12" s="581">
        <f t="shared" ca="1" si="24"/>
        <v>1.0512000000000001</v>
      </c>
      <c r="AK12" s="582">
        <f t="shared" ca="1" si="25"/>
        <v>9</v>
      </c>
      <c r="AL12" s="580" t="str">
        <f t="shared" ca="1" si="26"/>
        <v/>
      </c>
      <c r="AM12" s="580" t="str">
        <f t="shared" ca="1" si="27"/>
        <v/>
      </c>
      <c r="AN12" s="583">
        <f t="shared" ca="1" si="28"/>
        <v>99999</v>
      </c>
      <c r="AO12" s="581">
        <f t="shared" ca="1" si="29"/>
        <v>1.0512000000000001</v>
      </c>
      <c r="AP12" s="582">
        <f t="shared" ca="1" si="30"/>
        <v>9</v>
      </c>
      <c r="AR12" s="2">
        <f ca="1">IF(Settings!$G$7,$I12,ROUND($I12,Settings!$H$7))</f>
        <v>0</v>
      </c>
    </row>
    <row r="13" spans="1:44" s="2" customFormat="1" ht="12.75" thickTop="1" x14ac:dyDescent="0.2">
      <c r="B13" s="12">
        <f ca="1">$F$13*($F$13-1)</f>
        <v>12</v>
      </c>
      <c r="C13" s="12"/>
      <c r="D13" s="12"/>
      <c r="E13" s="12"/>
      <c r="F13" s="12">
        <f ca="1">9-COUNTBLANK($F$4:$F$12)</f>
        <v>4</v>
      </c>
      <c r="G13" s="12"/>
      <c r="H13" s="12"/>
      <c r="I13" s="12"/>
      <c r="J13" s="12"/>
      <c r="K13" s="26">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76" t="s">
        <v>182</v>
      </c>
      <c r="AE15" s="977"/>
      <c r="AF15" s="977"/>
      <c r="AG15" s="977"/>
      <c r="AH15" s="978"/>
      <c r="AI15" s="2" t="b">
        <f>(Settings!$B$7=Language!$E$108)</f>
        <v>0</v>
      </c>
      <c r="AK15" s="239"/>
    </row>
    <row r="16" spans="1:44" s="2" customFormat="1" ht="15.75" thickBot="1" x14ac:dyDescent="0.25">
      <c r="B16" s="12" t="s">
        <v>5</v>
      </c>
      <c r="C16" s="681" t="s">
        <v>97</v>
      </c>
      <c r="D16" s="681" t="s">
        <v>102</v>
      </c>
      <c r="E16" s="681" t="s">
        <v>103</v>
      </c>
      <c r="F16" s="681" t="s">
        <v>104</v>
      </c>
      <c r="G16" s="681" t="s">
        <v>105</v>
      </c>
      <c r="H16" s="681" t="s">
        <v>106</v>
      </c>
      <c r="I16" s="681" t="s">
        <v>107</v>
      </c>
      <c r="J16" s="681" t="s">
        <v>108</v>
      </c>
      <c r="K16" s="681" t="s">
        <v>109</v>
      </c>
      <c r="L16" s="10" t="s">
        <v>334</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1. FC Riedwald</v>
      </c>
      <c r="D17" s="1">
        <f t="shared" ref="D17:G25" ca="1" si="33">K4</f>
        <v>3</v>
      </c>
      <c r="E17" s="1">
        <f t="shared" ca="1" si="33"/>
        <v>1</v>
      </c>
      <c r="F17" s="1">
        <f t="shared" ca="1" si="33"/>
        <v>2</v>
      </c>
      <c r="G17" s="1">
        <f t="shared" ca="1" si="33"/>
        <v>0</v>
      </c>
      <c r="H17" s="1">
        <f t="shared" ref="H17:K25" ca="1" si="34">G4</f>
        <v>136</v>
      </c>
      <c r="I17" s="1">
        <f t="shared" ca="1" si="34"/>
        <v>121</v>
      </c>
      <c r="J17" s="12">
        <f t="shared" ca="1" si="34"/>
        <v>15</v>
      </c>
      <c r="K17" s="1">
        <f t="shared" ca="1" si="34"/>
        <v>4</v>
      </c>
      <c r="L17" s="28">
        <f ca="1">K17*$F$64+(J17+$H$65)*$F$65</f>
        <v>4515000</v>
      </c>
      <c r="M17" s="13">
        <f ca="1">IF($AI$15,COUNTIF($K$17:$K$25,K17),COUNTIF($L$17:$L$25,L17))</f>
        <v>1</v>
      </c>
      <c r="N17" s="13">
        <f t="array" aca="1" ref="N17" ca="1">IF($AI$15,SUM(($K$17:$K$25&gt;=K17)/COUNTIF($K$17:$K$25,$K$17:$K$25)),SUM(($L$17:$L$25&gt;=L17)/COUNTIF($L$17:$L$25,$L$17:$L$25)))</f>
        <v>1</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1.0108999999999999</v>
      </c>
      <c r="Y17" s="12">
        <f ca="1">'Finals 4'!$AJ19</f>
        <v>0</v>
      </c>
      <c r="Z17" s="1">
        <f ca="1">RANK($W17,$W$17:$W$25)+(9-$Y17)/10</f>
        <v>1.9</v>
      </c>
      <c r="AA17" s="1">
        <f ca="1">SUM(E30:BP30)</f>
        <v>0</v>
      </c>
      <c r="AB17" s="1">
        <f ca="1">SUM(E41:BP41)</f>
        <v>0</v>
      </c>
      <c r="AC17" s="1"/>
      <c r="AD17" s="246">
        <f ca="1">RANK($K17,$K$17:$K$25)</f>
        <v>1</v>
      </c>
      <c r="AE17" s="28">
        <f ca="1">(J17+$H$65)*$F$65</f>
        <v>515000</v>
      </c>
      <c r="AF17" s="1">
        <f ca="1">RANK($AE17,$AE$17:$AE$25)</f>
        <v>1</v>
      </c>
      <c r="AG17" s="1">
        <f ca="1">RANK($W17,$W$17:$W$25)</f>
        <v>1</v>
      </c>
      <c r="AH17" s="248">
        <f ca="1">AD17+AG17/100+AF17/10000+(10-Y17)/1000000</f>
        <v>1.0101100000000001</v>
      </c>
      <c r="AI17" s="1"/>
    </row>
    <row r="18" spans="2:80" s="2" customFormat="1" x14ac:dyDescent="0.2">
      <c r="C18" s="2" t="str">
        <f t="shared" ref="C18:C25" ca="1" si="43">$Q65</f>
        <v>FC Grönlingen</v>
      </c>
      <c r="D18" s="1">
        <f t="shared" ca="1" si="33"/>
        <v>3</v>
      </c>
      <c r="E18" s="1">
        <f t="shared" ca="1" si="33"/>
        <v>1</v>
      </c>
      <c r="F18" s="1">
        <f t="shared" ca="1" si="33"/>
        <v>1</v>
      </c>
      <c r="G18" s="1">
        <f t="shared" ca="1" si="33"/>
        <v>1</v>
      </c>
      <c r="H18" s="1">
        <f t="shared" ca="1" si="34"/>
        <v>136</v>
      </c>
      <c r="I18" s="1">
        <f t="shared" ca="1" si="34"/>
        <v>139</v>
      </c>
      <c r="J18" s="12">
        <f t="shared" ca="1" si="34"/>
        <v>-3</v>
      </c>
      <c r="K18" s="1">
        <f t="shared" ca="1" si="34"/>
        <v>3</v>
      </c>
      <c r="L18" s="28">
        <f t="shared" ref="L18:L25" ca="1" si="44">K18*$F$64+(J18+$H$65)*$F$65</f>
        <v>3497000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3.0108999999999999</v>
      </c>
      <c r="Y18" s="12">
        <f ca="1">'Finals 4'!$AJ20</f>
        <v>0</v>
      </c>
      <c r="Z18" s="1">
        <f t="shared" ref="Z18:Z25" ca="1" si="48">RANK($W18,$W$17:$W$25)+(9-$Y18)/10</f>
        <v>1.9</v>
      </c>
      <c r="AA18" s="1">
        <f t="shared" ref="AA18:AA25" ca="1" si="49">SUM(E31:BP31)</f>
        <v>0</v>
      </c>
      <c r="AB18" s="1">
        <f t="shared" ref="AB18:AB25" ca="1" si="50">SUM(E42:BP42)</f>
        <v>0</v>
      </c>
      <c r="AC18" s="1"/>
      <c r="AD18" s="246">
        <f t="shared" ref="AD18:AD25" ca="1" si="51">RANK($K18,$K$17:$K$25)</f>
        <v>2</v>
      </c>
      <c r="AE18" s="28">
        <f t="shared" ref="AE18:AE25" ca="1" si="52">(J18+$H$65)*$F$65</f>
        <v>497000</v>
      </c>
      <c r="AF18" s="1">
        <f t="shared" ref="AF18:AF25" ca="1" si="53">RANK($AE18,$AE$17:$AE$25)</f>
        <v>8</v>
      </c>
      <c r="AG18" s="1">
        <f t="shared" ref="AG18:AG25" ca="1" si="54">RANK($W18,$W$17:$W$25)</f>
        <v>1</v>
      </c>
      <c r="AH18" s="249">
        <f t="shared" ref="AH18:AH25" ca="1" si="55">AD18+AG18/100+AF18/10000+(10-Y18)/1000000</f>
        <v>2.0108099999999998</v>
      </c>
      <c r="AI18" s="1"/>
    </row>
    <row r="19" spans="2:80" s="2" customFormat="1" x14ac:dyDescent="0.2">
      <c r="C19" s="2" t="str">
        <f t="shared" ca="1" si="43"/>
        <v>FC Barcelona</v>
      </c>
      <c r="D19" s="1">
        <f t="shared" ca="1" si="33"/>
        <v>3</v>
      </c>
      <c r="E19" s="1">
        <f t="shared" ca="1" si="33"/>
        <v>0</v>
      </c>
      <c r="F19" s="1">
        <f t="shared" ca="1" si="33"/>
        <v>2</v>
      </c>
      <c r="G19" s="1">
        <f t="shared" ca="1" si="33"/>
        <v>1</v>
      </c>
      <c r="H19" s="1">
        <f t="shared" ca="1" si="34"/>
        <v>120</v>
      </c>
      <c r="I19" s="1">
        <f t="shared" ca="1" si="34"/>
        <v>142</v>
      </c>
      <c r="J19" s="12">
        <f t="shared" ca="1" si="34"/>
        <v>-22</v>
      </c>
      <c r="K19" s="1">
        <f t="shared" ca="1" si="34"/>
        <v>2</v>
      </c>
      <c r="L19" s="28">
        <f t="shared" ca="1" si="44"/>
        <v>2478000</v>
      </c>
      <c r="M19" s="13">
        <f t="shared" ca="1" si="45"/>
        <v>1</v>
      </c>
      <c r="N19" s="13">
        <f t="array" aca="1" ref="N19" ca="1">IF($AI$15,SUM(($K$17:$K$25&gt;=K19)/COUNTIF($K$17:$K$25,$K$17:$K$25)),SUM(($L$17:$L$25&gt;=L19)/COUNTIF($L$17:$L$25,$L$17:$L$25)))</f>
        <v>4</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4.0108999999999995</v>
      </c>
      <c r="Y19" s="12">
        <f ca="1">'Finals 4'!$AJ21</f>
        <v>0</v>
      </c>
      <c r="Z19" s="1">
        <f t="shared" ca="1" si="48"/>
        <v>1.9</v>
      </c>
      <c r="AA19" s="1">
        <f t="shared" ca="1" si="49"/>
        <v>0</v>
      </c>
      <c r="AB19" s="1">
        <f t="shared" ca="1" si="50"/>
        <v>0</v>
      </c>
      <c r="AC19" s="1"/>
      <c r="AD19" s="246">
        <f t="shared" ca="1" si="51"/>
        <v>4</v>
      </c>
      <c r="AE19" s="28">
        <f t="shared" ca="1" si="52"/>
        <v>478000</v>
      </c>
      <c r="AF19" s="1">
        <f t="shared" ca="1" si="53"/>
        <v>9</v>
      </c>
      <c r="AG19" s="1">
        <f t="shared" ca="1" si="54"/>
        <v>1</v>
      </c>
      <c r="AH19" s="249">
        <f t="shared" ca="1" si="55"/>
        <v>4.0109099999999991</v>
      </c>
      <c r="AI19" s="1"/>
    </row>
    <row r="20" spans="2:80" s="2" customFormat="1" x14ac:dyDescent="0.2">
      <c r="C20" s="2" t="str">
        <f t="shared" ca="1" si="43"/>
        <v>SSV Wildbach</v>
      </c>
      <c r="D20" s="1">
        <f t="shared" ca="1" si="33"/>
        <v>3</v>
      </c>
      <c r="E20" s="1">
        <f t="shared" ca="1" si="33"/>
        <v>0</v>
      </c>
      <c r="F20" s="1">
        <f t="shared" ca="1" si="33"/>
        <v>3</v>
      </c>
      <c r="G20" s="1">
        <f t="shared" ca="1" si="33"/>
        <v>0</v>
      </c>
      <c r="H20" s="1">
        <f t="shared" ca="1" si="34"/>
        <v>138</v>
      </c>
      <c r="I20" s="1">
        <f t="shared" ca="1" si="34"/>
        <v>128</v>
      </c>
      <c r="J20" s="12">
        <f t="shared" ca="1" si="34"/>
        <v>10</v>
      </c>
      <c r="K20" s="1">
        <f t="shared" ca="1" si="34"/>
        <v>3</v>
      </c>
      <c r="L20" s="28">
        <f t="shared" ca="1" si="44"/>
        <v>3510000</v>
      </c>
      <c r="M20" s="13">
        <f t="shared" ca="1" si="45"/>
        <v>1</v>
      </c>
      <c r="N20" s="13">
        <f t="array" aca="1" ref="N20" ca="1">IF($AI$15,SUM(($K$17:$K$25&gt;=K20)/COUNTIF($K$17:$K$25,$K$17:$K$25)),SUM(($L$17:$L$25&gt;=L20)/COUNTIF($L$17:$L$25,$L$17:$L$25)))</f>
        <v>2</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2.0108999999999999</v>
      </c>
      <c r="Y20" s="12">
        <f ca="1">'Finals 4'!$AJ22</f>
        <v>0</v>
      </c>
      <c r="Z20" s="1">
        <f t="shared" ca="1" si="48"/>
        <v>1.9</v>
      </c>
      <c r="AA20" s="1">
        <f t="shared" ca="1" si="49"/>
        <v>0</v>
      </c>
      <c r="AB20" s="1">
        <f t="shared" ca="1" si="50"/>
        <v>0</v>
      </c>
      <c r="AC20" s="1"/>
      <c r="AD20" s="246">
        <f t="shared" ca="1" si="51"/>
        <v>2</v>
      </c>
      <c r="AE20" s="28">
        <f t="shared" ca="1" si="52"/>
        <v>510000</v>
      </c>
      <c r="AF20" s="1">
        <f t="shared" ca="1" si="53"/>
        <v>2</v>
      </c>
      <c r="AG20" s="1">
        <f t="shared" ca="1" si="54"/>
        <v>1</v>
      </c>
      <c r="AH20" s="249">
        <f t="shared" ca="1" si="55"/>
        <v>2.0102099999999998</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5</v>
      </c>
      <c r="N21" s="13">
        <f t="array" aca="1" ref="N21" ca="1">IF($AI$15,SUM(($K$17:$K$25&gt;=K21)/COUNTIF($K$17:$K$25,$K$17:$K$25)),SUM(($L$17:$L$25&gt;=L21)/COUNTIF($L$17:$L$25,$L$17:$L$25)))</f>
        <v>5.0000000000000009</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5.0108999999999995</v>
      </c>
      <c r="Y21" s="12">
        <v>0</v>
      </c>
      <c r="Z21" s="1">
        <f t="shared" ca="1" si="48"/>
        <v>1.9</v>
      </c>
      <c r="AA21" s="1">
        <f t="shared" ca="1" si="49"/>
        <v>0</v>
      </c>
      <c r="AB21" s="1">
        <f t="shared" ca="1" si="50"/>
        <v>0</v>
      </c>
      <c r="AC21" s="1"/>
      <c r="AD21" s="246">
        <f t="shared" ca="1" si="51"/>
        <v>5</v>
      </c>
      <c r="AE21" s="28">
        <f t="shared" ca="1" si="52"/>
        <v>500000</v>
      </c>
      <c r="AF21" s="1">
        <f t="shared" ca="1" si="53"/>
        <v>3</v>
      </c>
      <c r="AG21" s="1">
        <f t="shared" ca="1" si="54"/>
        <v>1</v>
      </c>
      <c r="AH21" s="249">
        <f t="shared" ca="1" si="55"/>
        <v>5.0103099999999996</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5</v>
      </c>
      <c r="N22" s="13">
        <f t="array" aca="1" ref="N22" ca="1">IF($AI$15,SUM(($K$17:$K$25&gt;=K22)/COUNTIF($K$17:$K$25,$K$17:$K$25)),SUM(($L$17:$L$25&gt;=L22)/COUNTIF($L$17:$L$25,$L$17:$L$25)))</f>
        <v>5.0000000000000009</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5.0108999999999995</v>
      </c>
      <c r="Y22" s="12">
        <v>0</v>
      </c>
      <c r="Z22" s="1">
        <f t="shared" ca="1" si="48"/>
        <v>1.9</v>
      </c>
      <c r="AA22" s="1">
        <f t="shared" ca="1" si="49"/>
        <v>0</v>
      </c>
      <c r="AB22" s="1">
        <f t="shared" ca="1" si="50"/>
        <v>0</v>
      </c>
      <c r="AC22" s="1"/>
      <c r="AD22" s="246">
        <f t="shared" ca="1" si="51"/>
        <v>5</v>
      </c>
      <c r="AE22" s="28">
        <f t="shared" ca="1" si="52"/>
        <v>500000</v>
      </c>
      <c r="AF22" s="1">
        <f t="shared" ca="1" si="53"/>
        <v>3</v>
      </c>
      <c r="AG22" s="1">
        <f t="shared" ca="1" si="54"/>
        <v>1</v>
      </c>
      <c r="AH22" s="249">
        <f t="shared" ca="1" si="55"/>
        <v>5.0103099999999996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5</v>
      </c>
      <c r="N23" s="13">
        <f t="array" aca="1" ref="N23" ca="1">IF($AI$15,SUM(($K$17:$K$25&gt;=K23)/COUNTIF($K$17:$K$25,$K$17:$K$25)),SUM(($L$17:$L$25&gt;=L23)/COUNTIF($L$17:$L$25,$L$17:$L$25)))</f>
        <v>5.0000000000000009</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5.0108999999999995</v>
      </c>
      <c r="Y23" s="12">
        <v>0</v>
      </c>
      <c r="Z23" s="1">
        <f t="shared" ca="1" si="48"/>
        <v>1.9</v>
      </c>
      <c r="AA23" s="1">
        <f t="shared" ca="1" si="49"/>
        <v>0</v>
      </c>
      <c r="AB23" s="1">
        <f t="shared" ca="1" si="50"/>
        <v>0</v>
      </c>
      <c r="AC23" s="1"/>
      <c r="AD23" s="246">
        <f t="shared" ca="1" si="51"/>
        <v>5</v>
      </c>
      <c r="AE23" s="28">
        <f t="shared" ca="1" si="52"/>
        <v>500000</v>
      </c>
      <c r="AF23" s="1">
        <f t="shared" ca="1" si="53"/>
        <v>3</v>
      </c>
      <c r="AG23" s="1">
        <f t="shared" ca="1" si="54"/>
        <v>1</v>
      </c>
      <c r="AH23" s="249">
        <f t="shared" ca="1" si="55"/>
        <v>5.0103099999999996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5</v>
      </c>
      <c r="N24" s="13">
        <f t="array" aca="1" ref="N24" ca="1">IF($AI$15,SUM(($K$17:$K$25&gt;=K24)/COUNTIF($K$17:$K$25,$K$17:$K$25)),SUM(($L$17:$L$25&gt;=L24)/COUNTIF($L$17:$L$25,$L$17:$L$25)))</f>
        <v>5.0000000000000009</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5.0108999999999995</v>
      </c>
      <c r="Y24" s="12">
        <v>0</v>
      </c>
      <c r="Z24" s="1">
        <f t="shared" ca="1" si="48"/>
        <v>1.9</v>
      </c>
      <c r="AA24" s="1">
        <f t="shared" ca="1" si="49"/>
        <v>0</v>
      </c>
      <c r="AB24" s="1">
        <f t="shared" ca="1" si="50"/>
        <v>0</v>
      </c>
      <c r="AC24" s="1"/>
      <c r="AD24" s="246">
        <f t="shared" ca="1" si="51"/>
        <v>5</v>
      </c>
      <c r="AE24" s="28">
        <f t="shared" ca="1" si="52"/>
        <v>500000</v>
      </c>
      <c r="AF24" s="1">
        <f t="shared" ca="1" si="53"/>
        <v>3</v>
      </c>
      <c r="AG24" s="1">
        <f t="shared" ca="1" si="54"/>
        <v>1</v>
      </c>
      <c r="AH24" s="249">
        <f t="shared" ca="1" si="55"/>
        <v>5.0103099999999996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5</v>
      </c>
      <c r="N25" s="13">
        <f t="array" aca="1" ref="N25" ca="1">IF($AI$15,SUM(($K$17:$K$25&gt;=K25)/COUNTIF($K$17:$K$25,$K$17:$K$25)),SUM(($L$17:$L$25&gt;=L25)/COUNTIF($L$17:$L$25,$L$17:$L$25)))</f>
        <v>5.0000000000000009</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5.0108999999999995</v>
      </c>
      <c r="Y25" s="12">
        <v>0</v>
      </c>
      <c r="Z25" s="1">
        <f t="shared" ca="1" si="48"/>
        <v>1.9</v>
      </c>
      <c r="AA25" s="1">
        <f t="shared" ca="1" si="49"/>
        <v>0</v>
      </c>
      <c r="AB25" s="1">
        <f t="shared" ca="1" si="50"/>
        <v>0</v>
      </c>
      <c r="AC25" s="1"/>
      <c r="AD25" s="246">
        <f t="shared" ca="1" si="51"/>
        <v>5</v>
      </c>
      <c r="AE25" s="28">
        <f t="shared" ca="1" si="52"/>
        <v>500000</v>
      </c>
      <c r="AF25" s="1">
        <f t="shared" ca="1" si="53"/>
        <v>3</v>
      </c>
      <c r="AG25" s="1">
        <f t="shared" ca="1" si="54"/>
        <v>1</v>
      </c>
      <c r="AH25" s="250">
        <f t="shared" ca="1" si="55"/>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2">
        <v>1</v>
      </c>
      <c r="F29" s="969"/>
      <c r="G29" s="969"/>
      <c r="H29" s="969"/>
      <c r="I29" s="969"/>
      <c r="J29" s="969"/>
      <c r="K29" s="969"/>
      <c r="L29" s="971"/>
      <c r="M29" s="968">
        <v>2</v>
      </c>
      <c r="N29" s="969"/>
      <c r="O29" s="969"/>
      <c r="P29" s="969"/>
      <c r="Q29" s="969"/>
      <c r="R29" s="969"/>
      <c r="S29" s="969"/>
      <c r="T29" s="971"/>
      <c r="U29" s="968">
        <v>3</v>
      </c>
      <c r="V29" s="969"/>
      <c r="W29" s="969"/>
      <c r="X29" s="969"/>
      <c r="Y29" s="969"/>
      <c r="Z29" s="969"/>
      <c r="AA29" s="969"/>
      <c r="AB29" s="971"/>
      <c r="AC29" s="968">
        <v>4</v>
      </c>
      <c r="AD29" s="969"/>
      <c r="AE29" s="969"/>
      <c r="AF29" s="969"/>
      <c r="AG29" s="969"/>
      <c r="AH29" s="969"/>
      <c r="AI29" s="969"/>
      <c r="AJ29" s="971"/>
      <c r="AK29" s="968">
        <v>5</v>
      </c>
      <c r="AL29" s="969"/>
      <c r="AM29" s="969"/>
      <c r="AN29" s="969"/>
      <c r="AO29" s="969"/>
      <c r="AP29" s="969"/>
      <c r="AQ29" s="969"/>
      <c r="AR29" s="971"/>
      <c r="AS29" s="968">
        <v>6</v>
      </c>
      <c r="AT29" s="969"/>
      <c r="AU29" s="969"/>
      <c r="AV29" s="969"/>
      <c r="AW29" s="969"/>
      <c r="AX29" s="969"/>
      <c r="AY29" s="969"/>
      <c r="AZ29" s="971"/>
      <c r="BA29" s="968">
        <v>7</v>
      </c>
      <c r="BB29" s="969"/>
      <c r="BC29" s="969"/>
      <c r="BD29" s="969"/>
      <c r="BE29" s="969"/>
      <c r="BF29" s="969"/>
      <c r="BG29" s="969"/>
      <c r="BH29" s="971"/>
      <c r="BI29" s="968">
        <v>8</v>
      </c>
      <c r="BJ29" s="969"/>
      <c r="BK29" s="969"/>
      <c r="BL29" s="969"/>
      <c r="BM29" s="969"/>
      <c r="BN29" s="969"/>
      <c r="BO29" s="969"/>
      <c r="BP29" s="970"/>
      <c r="BQ29" s="12"/>
      <c r="BR29" s="4" t="s">
        <v>94</v>
      </c>
      <c r="BS29" s="2" t="str">
        <f ca="1">$F$4</f>
        <v>1. FC Riedwald</v>
      </c>
      <c r="BT29" s="2" t="str">
        <f ca="1">$F$5</f>
        <v>FC Grönlingen</v>
      </c>
      <c r="BU29" s="2" t="str">
        <f ca="1">$F$6</f>
        <v>FC Barcelona</v>
      </c>
      <c r="BV29" s="2" t="str">
        <f ca="1">$F$7</f>
        <v>SSV Wildbach</v>
      </c>
      <c r="BW29" s="2" t="str">
        <f>$F$8</f>
        <v/>
      </c>
      <c r="BX29" s="2" t="str">
        <f>$F$9</f>
        <v/>
      </c>
      <c r="BY29" s="2" t="str">
        <f>$F$10</f>
        <v/>
      </c>
      <c r="BZ29" s="2" t="str">
        <f>$F$11</f>
        <v/>
      </c>
      <c r="CA29" s="2" t="str">
        <f>$F$12</f>
        <v/>
      </c>
      <c r="CB29" s="50"/>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1. FC Riedwald</v>
      </c>
      <c r="BS30" s="6"/>
      <c r="BT30" s="7">
        <f t="shared" ref="BT30:CA37" ca="1" si="57">SUMIFS($X$64:$X$135,$V$64:$V$135,$BR30,$W$64:$W$135,BT$29)+SUMIFS($Y$64:$Y$135,$W$64:$W$135,$BR30,$V$64:$V$135,BT$29)+SUMIFS($AG$64:$AG$135,$V$64:$V$135,$BR30,$W$64:$W$135,BT$29)+SUMIFS($AH$64:$AH$135,$W$64:$W$135,$BR30,$V$64:$V$135,BT$29)</f>
        <v>50</v>
      </c>
      <c r="BU30" s="7">
        <f t="shared" ca="1" si="57"/>
        <v>44</v>
      </c>
      <c r="BV30" s="7">
        <f t="shared" ca="1" si="57"/>
        <v>42</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FC Grönlingen</v>
      </c>
      <c r="BS31" s="8">
        <f ca="1">SUMIFS($X$64:$X$135,$V$64:$V$135,$BR31,$W$64:$W$135,BS$29)+SUMIFS($Y$64:$Y$135,$W$64:$W$135,$BR31,$V$64:$V$135,BS$29)+SUMIFS($AG$64:$AG$135,$V$64:$V$135,$BR31,$W$64:$W$135,BS$29)+SUMIFS($AH$64:$AH$135,$W$64:$W$135,$BR31,$V$64:$V$135,BS$29)</f>
        <v>39</v>
      </c>
      <c r="BT31" s="6"/>
      <c r="BU31" s="7">
        <f ca="1">SUMIFS($X$64:$X$135,$V$64:$V$135,$BR31,$W$64:$W$135,BU$29)+SUMIFS($Y$64:$Y$135,$W$64:$W$135,$BR31,$V$64:$V$135,BU$29)+SUMIFS($AG$64:$AG$135,$V$64:$V$135,$BR31,$W$64:$W$135,BU$29)+SUMIFS($AH$64:$AH$135,$W$64:$W$135,$BR31,$V$64:$V$135,BU$29)</f>
        <v>50</v>
      </c>
      <c r="BV31" s="7">
        <f t="shared" ca="1" si="57"/>
        <v>47</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FC Barcelona</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FC Barcelona</v>
      </c>
      <c r="BS32" s="8">
        <f t="shared" ref="BS32:BY38" ca="1" si="59">SUMIFS($X$64:$X$135,$V$64:$V$135,$BR32,$W$64:$W$135,BS$29)+SUMIFS($Y$64:$Y$135,$W$64:$W$135,$BR32,$V$64:$V$135,BS$29)+SUMIFS($AG$64:$AG$135,$V$64:$V$135,$BR32,$W$64:$W$135,BS$29)+SUMIFS($AH$64:$AH$135,$W$64:$W$135,$BR32,$V$64:$V$135,BS$29)</f>
        <v>37</v>
      </c>
      <c r="BT32" s="8">
        <f t="shared" ca="1" si="59"/>
        <v>44</v>
      </c>
      <c r="BU32" s="6"/>
      <c r="BV32" s="7">
        <f t="shared" ca="1" si="57"/>
        <v>39</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SSV Wildbach</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SSV Wildbach</v>
      </c>
      <c r="BS33" s="8">
        <f t="shared" ca="1" si="59"/>
        <v>45</v>
      </c>
      <c r="BT33" s="8">
        <f t="shared" ca="1" si="59"/>
        <v>45</v>
      </c>
      <c r="BU33" s="8">
        <f t="shared" ca="1" si="59"/>
        <v>48</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1. FC Riedwald</v>
      </c>
      <c r="BT40" s="2" t="str">
        <f ca="1">$F$5</f>
        <v>FC Grönlingen</v>
      </c>
      <c r="BU40" s="2" t="str">
        <f ca="1">$F$6</f>
        <v>FC Barcelona</v>
      </c>
      <c r="BV40" s="2" t="str">
        <f ca="1">$F$7</f>
        <v>SSV Wildbach</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1. FC Riedwald</v>
      </c>
      <c r="BS41" s="6"/>
      <c r="BT41" s="7">
        <f ca="1">BT30-BS31</f>
        <v>11</v>
      </c>
      <c r="BU41" s="7">
        <f ca="1">BU30-BS32</f>
        <v>7</v>
      </c>
      <c r="BV41" s="7">
        <f ca="1">BV30-BS33</f>
        <v>-3</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FC Grönlingen</v>
      </c>
      <c r="BS42" s="8">
        <f ca="1">IF(BT41="","",-1*BT41)</f>
        <v>-11</v>
      </c>
      <c r="BT42" s="6"/>
      <c r="BU42" s="7">
        <f ca="1">BU31-BT32</f>
        <v>6</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FC Barcelona</v>
      </c>
      <c r="BS43" s="8">
        <f ca="1">IF(BU41="","",-1*BU41)</f>
        <v>-7</v>
      </c>
      <c r="BT43" s="8">
        <f ca="1">IF(BU42="","",-1*BU42)</f>
        <v>-6</v>
      </c>
      <c r="BU43" s="6"/>
      <c r="BV43" s="7">
        <f ca="1">BV32-BU33</f>
        <v>-9</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SSV Wildbach</v>
      </c>
      <c r="BS44" s="8">
        <f ca="1">IF(BV41="","",-1*BV41)</f>
        <v>3</v>
      </c>
      <c r="BT44" s="8">
        <f ca="1">IF(BV42="","",-1*BV42)</f>
        <v>-2</v>
      </c>
      <c r="BU44" s="8">
        <f ca="1">IF(BV43="","",-1*BV43)</f>
        <v>9</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FC Grönlingen</v>
      </c>
      <c r="BU51" s="2" t="str">
        <f ca="1">$F$6</f>
        <v>FC Barcelona</v>
      </c>
      <c r="BV51" s="2" t="str">
        <f ca="1">$F$7</f>
        <v>SSV Wildbach</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1. FC Riedwald</v>
      </c>
      <c r="BS52" s="6"/>
      <c r="BT52" s="7">
        <f t="shared" ref="BT52:CA58" ca="1" si="63">SUMIFS($AE$64:$AE$135,$V$64:$V$135,$BR52,$W$64:$W$135,BT$51)+SUMIFS($AF$64:$AF$135,$W$64:$W$135,$BR52,$V$64:$V$135,BT$51)</f>
        <v>2</v>
      </c>
      <c r="BU52" s="7">
        <f t="shared" ca="1" si="63"/>
        <v>1</v>
      </c>
      <c r="BV52" s="7">
        <f t="shared" ca="1" si="63"/>
        <v>1</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FC Grönlingen</v>
      </c>
      <c r="BS53" s="8">
        <f t="shared" ref="BS53:BU60" ca="1" si="64">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FC Barcelona</v>
      </c>
      <c r="BS54" s="8">
        <f t="shared" ca="1" si="64"/>
        <v>1</v>
      </c>
      <c r="BT54" s="8">
        <f t="shared" ca="1" si="64"/>
        <v>0</v>
      </c>
      <c r="BU54" s="6"/>
      <c r="BV54" s="7">
        <f ca="1">SUMIFS($AE$64:$AE$135,$V$64:$V$135,$BR54,$W$64:$W$135,BV$51)+SUMIFS($AF$64:$AF$135,$W$64:$W$135,$BR54,$V$64:$V$135,BV$51)</f>
        <v>1</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SSV Wildbach</v>
      </c>
      <c r="BS55" s="8">
        <f t="shared" ca="1" si="64"/>
        <v>1</v>
      </c>
      <c r="BT55" s="8">
        <f t="shared" ca="1" si="64"/>
        <v>1</v>
      </c>
      <c r="BU55" s="8">
        <f t="shared" ca="1" si="64"/>
        <v>1</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9" t="s">
        <v>323</v>
      </c>
      <c r="Y63" s="979"/>
      <c r="Z63" s="161" t="s">
        <v>155</v>
      </c>
      <c r="AA63" s="161" t="s">
        <v>15</v>
      </c>
      <c r="AB63" s="161" t="s">
        <v>153</v>
      </c>
      <c r="AC63" s="680" t="s">
        <v>156</v>
      </c>
      <c r="AD63" s="161" t="s">
        <v>154</v>
      </c>
      <c r="AE63" s="973" t="s">
        <v>331</v>
      </c>
      <c r="AF63" s="973"/>
      <c r="AG63" s="980" t="s">
        <v>325</v>
      </c>
      <c r="AH63" s="980"/>
      <c r="AI63" s="681" t="s">
        <v>332</v>
      </c>
      <c r="AJ63" s="3"/>
      <c r="AK63" s="3"/>
      <c r="AL63" s="3"/>
      <c r="AM63" s="3"/>
      <c r="AN63" s="3"/>
      <c r="AO63" s="3"/>
      <c r="AP63" s="3"/>
      <c r="AQ63" s="3"/>
      <c r="AR63" s="3"/>
    </row>
    <row r="64" spans="5:80" s="2" customFormat="1" ht="14.25" thickTop="1" thickBot="1" x14ac:dyDescent="0.25">
      <c r="F64" s="190">
        <v>1000000</v>
      </c>
      <c r="G64" s="191" t="s">
        <v>109</v>
      </c>
      <c r="P64" s="43" t="s">
        <v>6</v>
      </c>
      <c r="Q64" s="58" t="str">
        <f ca="1">IF('Finals 4'!$AI19="","",'Finals 4'!$AI19)</f>
        <v>1. FC Riedwald</v>
      </c>
      <c r="U64" s="63" t="s">
        <v>6</v>
      </c>
      <c r="V64" s="38" t="str">
        <f ca="1">'Finals 4'!$I12</f>
        <v>VFB Essenheim</v>
      </c>
      <c r="W64" s="31" t="str">
        <f ca="1">'Finals 4'!$K12</f>
        <v/>
      </c>
      <c r="X64" s="31" t="str">
        <f ca="1">IF($AA64=1,'Finals 4'!$L12,"")</f>
        <v/>
      </c>
      <c r="Y64" s="32" t="str">
        <f ca="1">IF($AA64=1,'Finals 4'!$N12,"")</f>
        <v/>
      </c>
      <c r="Z64" s="30" t="str">
        <f ca="1">V64&amp;W64</f>
        <v>VFB Essenheim</v>
      </c>
      <c r="AA64" s="31">
        <f ca="1">IF(AND('Finals 4'!$L12&lt;&gt;"",'Finals 4'!$N12&lt;&gt;"",'Finals 4'!$L12&lt;&gt;'Finals 4'!$N12,OR(AND('Finals 4'!$O12="",'Finals 4'!$Q12=""),AND('Finals 4'!$O12&lt;&gt;"",'Finals 4'!$Q12&lt;&gt;"",'Finals 4'!$O12&lt;&gt;'Finals 4'!$Q12)),'Finals 4'!$I12&lt;&gt;"",'Finals 4'!$K12&lt;&gt;"",'Finals 4'!$I12&lt;&gt;'Finals 4'!$K12),1,0)</f>
        <v>0</v>
      </c>
      <c r="AB64" s="139" t="str">
        <f ca="1">IF(AA64&gt;0,(X64+AG64)&amp;Language!$E$80&amp;(Y64+AH64),"")</f>
        <v/>
      </c>
      <c r="AD64" s="140"/>
      <c r="AE64" s="145">
        <f ca="1">IF($AA64=0,0,IF($X64&gt;$Y64,1,0)+IF($AG64&gt;$AH64,1,0))</f>
        <v>0</v>
      </c>
      <c r="AF64" s="140">
        <f ca="1">IF($AA64=0,0,IF($X64&lt;$Y64,1,0)+IF($AG64&lt;$AH64,1,0))</f>
        <v>0</v>
      </c>
      <c r="AG64" s="145" t="str">
        <f ca="1">IF($AA64=1,'Finals 4'!$O12,"")</f>
        <v/>
      </c>
      <c r="AH64" s="139" t="str">
        <f ca="1">IF($AA64=1,'Finals 4'!$Q12,"")</f>
        <v/>
      </c>
      <c r="AI64" s="590" t="str">
        <f ca="1">IF(AA64&gt;0,AE64&amp;Language!$E$80&amp;AF64,"")</f>
        <v/>
      </c>
      <c r="AJ64" s="3"/>
      <c r="AK64" s="3"/>
      <c r="AL64" s="3"/>
      <c r="AM64" s="3"/>
      <c r="AN64" s="3"/>
      <c r="AO64" s="3"/>
      <c r="AP64" s="3"/>
      <c r="AQ64" s="3"/>
      <c r="AR64" s="3"/>
    </row>
    <row r="65" spans="2:43" s="2" customFormat="1" ht="13.5" thickBot="1" x14ac:dyDescent="0.25">
      <c r="F65" s="192">
        <v>1000</v>
      </c>
      <c r="G65" s="193" t="s">
        <v>108</v>
      </c>
      <c r="H65" s="197">
        <v>500</v>
      </c>
      <c r="I65" s="196" t="s">
        <v>301</v>
      </c>
      <c r="P65" s="44" t="s">
        <v>7</v>
      </c>
      <c r="Q65" s="59" t="str">
        <f ca="1">IF('Finals 4'!$AI20="","",'Finals 4'!$AI20)</f>
        <v>FC Grönlingen</v>
      </c>
      <c r="U65" s="64" t="s">
        <v>7</v>
      </c>
      <c r="V65" s="39" t="str">
        <f ca="1">'Finals 4'!$I13</f>
        <v>1. FC Riedwald</v>
      </c>
      <c r="W65" s="12" t="str">
        <f ca="1">'Finals 4'!$K13</f>
        <v>SSV Wildbach</v>
      </c>
      <c r="X65" s="12">
        <f ca="1">IF($AA65=1,'Finals 4'!$L13,"")</f>
        <v>25</v>
      </c>
      <c r="Y65" s="34">
        <f ca="1">IF($AA65=1,'Finals 4'!$N13,"")</f>
        <v>20</v>
      </c>
      <c r="Z65" s="33" t="str">
        <f t="shared" ref="Z65:Z73" ca="1" si="65">V65&amp;W65</f>
        <v>1. FC RiedwaldSSV Wildbach</v>
      </c>
      <c r="AA65" s="12">
        <f ca="1">IF(AND('Finals 4'!$L13&lt;&gt;"",'Finals 4'!$N13&lt;&gt;"",'Finals 4'!$L13&lt;&gt;'Finals 4'!$N13,OR(AND('Finals 4'!$O13="",'Finals 4'!$Q13=""),AND('Finals 4'!$O13&lt;&gt;"",'Finals 4'!$Q13&lt;&gt;"",'Finals 4'!$O13&lt;&gt;'Finals 4'!$Q13)),'Finals 4'!$I13&lt;&gt;"",'Finals 4'!$K13&lt;&gt;"",'Finals 4'!$I13&lt;&gt;'Finals 4'!$K13),1,0)</f>
        <v>1</v>
      </c>
      <c r="AB65" s="12" t="str">
        <f ca="1">IF(AA65&gt;0,(X65+AG65)&amp;Language!$E$80&amp;(Y65+AH65),"")</f>
        <v>42-45</v>
      </c>
      <c r="AD65" s="141"/>
      <c r="AE65" s="146">
        <f t="shared" ref="AE65:AE81" ca="1" si="66">IF($AA65=0,0,IF($X65&gt;$Y65,1,0)+IF($AG65&gt;$AH65,1,0))</f>
        <v>1</v>
      </c>
      <c r="AF65" s="141">
        <f t="shared" ref="AF65:AF81" ca="1" si="67">IF($AA65=0,0,IF($X65&lt;$Y65,1,0)+IF($AG65&lt;$AH65,1,0))</f>
        <v>1</v>
      </c>
      <c r="AG65" s="146">
        <f ca="1">IF($AA65=1,'Finals 4'!$O13,"")</f>
        <v>17</v>
      </c>
      <c r="AH65" s="12">
        <f ca="1">IF($AA65=1,'Finals 4'!$Q13,"")</f>
        <v>25</v>
      </c>
      <c r="AI65" s="591" t="str">
        <f ca="1">IF(AA65&gt;0,AE65&amp;Language!$E$80&amp;AF65,"")</f>
        <v>1-1</v>
      </c>
      <c r="AJ65" s="12"/>
      <c r="AK65" s="12"/>
      <c r="AL65" s="12"/>
      <c r="AM65" s="12"/>
      <c r="AN65" s="12"/>
      <c r="AO65" s="12"/>
      <c r="AP65" s="12"/>
      <c r="AQ65" s="12"/>
    </row>
    <row r="66" spans="2:43" s="2" customFormat="1" ht="13.5" thickBot="1" x14ac:dyDescent="0.25">
      <c r="F66" s="194">
        <v>1</v>
      </c>
      <c r="G66" s="195" t="s">
        <v>106</v>
      </c>
      <c r="P66" s="44" t="s">
        <v>8</v>
      </c>
      <c r="Q66" s="59" t="str">
        <f ca="1">IF('Finals 4'!$AI21="","",'Finals 4'!$AI21)</f>
        <v>FC Barcelona</v>
      </c>
      <c r="U66" s="64" t="s">
        <v>8</v>
      </c>
      <c r="V66" s="39" t="str">
        <f ca="1">'Finals 4'!$I14</f>
        <v>Maibach 1822 eV</v>
      </c>
      <c r="W66" s="12" t="str">
        <f ca="1">'Finals 4'!$K14</f>
        <v>Manchester City</v>
      </c>
      <c r="X66" s="12">
        <f ca="1">IF($AA66=1,'Finals 4'!$L14,"")</f>
        <v>19</v>
      </c>
      <c r="Y66" s="34">
        <f ca="1">IF($AA66=1,'Finals 4'!$N14,"")</f>
        <v>25</v>
      </c>
      <c r="Z66" s="33" t="str">
        <f t="shared" ca="1" si="65"/>
        <v>Maibach 1822 eVManchester City</v>
      </c>
      <c r="AA66" s="12">
        <f ca="1">IF(AND('Finals 4'!$L14&lt;&gt;"",'Finals 4'!$N14&lt;&gt;"",'Finals 4'!$L14&lt;&gt;'Finals 4'!$N14,OR(AND('Finals 4'!$O14="",'Finals 4'!$Q14=""),AND('Finals 4'!$O14&lt;&gt;"",'Finals 4'!$Q14&lt;&gt;"",'Finals 4'!$O14&lt;&gt;'Finals 4'!$Q14)),'Finals 4'!$I14&lt;&gt;"",'Finals 4'!$K14&lt;&gt;"",'Finals 4'!$I14&lt;&gt;'Finals 4'!$K14),1,0)</f>
        <v>1</v>
      </c>
      <c r="AB66" s="12" t="str">
        <f ca="1">IF(AA66&gt;0,(X66+AG66)&amp;Language!$E$80&amp;(Y66+AH66),"")</f>
        <v>35-50</v>
      </c>
      <c r="AD66" s="141"/>
      <c r="AE66" s="146">
        <f t="shared" ca="1" si="66"/>
        <v>0</v>
      </c>
      <c r="AF66" s="141">
        <f t="shared" ca="1" si="67"/>
        <v>2</v>
      </c>
      <c r="AG66" s="146">
        <f ca="1">IF($AA66=1,'Finals 4'!$O14,"")</f>
        <v>16</v>
      </c>
      <c r="AH66" s="12">
        <f ca="1">IF($AA66=1,'Finals 4'!$Q14,"")</f>
        <v>25</v>
      </c>
      <c r="AI66" s="591" t="str">
        <f ca="1">IF(AA66&gt;0,AE66&amp;Language!$E$80&amp;AF66,"")</f>
        <v>0-2</v>
      </c>
      <c r="AJ66" s="3"/>
      <c r="AK66" s="12"/>
      <c r="AL66" s="12"/>
      <c r="AM66" s="12"/>
      <c r="AN66" s="12"/>
      <c r="AO66" s="12"/>
      <c r="AP66" s="12"/>
      <c r="AQ66" s="12"/>
    </row>
    <row r="67" spans="2:43" s="2" customFormat="1" x14ac:dyDescent="0.2">
      <c r="P67" s="44" t="s">
        <v>9</v>
      </c>
      <c r="Q67" s="59" t="str">
        <f ca="1">IF('Finals 4'!$AI22="","",'Finals 4'!$AI22)</f>
        <v>SSV Wildbach</v>
      </c>
      <c r="U67" s="64" t="s">
        <v>9</v>
      </c>
      <c r="V67" s="39" t="str">
        <f ca="1">'Finals 4'!$I15</f>
        <v>Inter Mailand</v>
      </c>
      <c r="W67" s="12" t="str">
        <f ca="1">'Finals 4'!$K15</f>
        <v/>
      </c>
      <c r="X67" s="12" t="str">
        <f ca="1">IF($AA67=1,'Finals 4'!$L15,"")</f>
        <v/>
      </c>
      <c r="Y67" s="34" t="str">
        <f ca="1">IF($AA67=1,'Finals 4'!$N15,"")</f>
        <v/>
      </c>
      <c r="Z67" s="33" t="str">
        <f t="shared" ca="1" si="65"/>
        <v>Inter Mailand</v>
      </c>
      <c r="AA67" s="12">
        <f ca="1">IF(AND('Finals 4'!$L15&lt;&gt;"",'Finals 4'!$N15&lt;&gt;"",'Finals 4'!$L15&lt;&gt;'Finals 4'!$N15,OR(AND('Finals 4'!$O15="",'Finals 4'!$Q15=""),AND('Finals 4'!$O15&lt;&gt;"",'Finals 4'!$Q15&lt;&gt;"",'Finals 4'!$O15&lt;&gt;'Finals 4'!$Q15)),'Finals 4'!$I15&lt;&gt;"",'Finals 4'!$K15&lt;&gt;"",'Finals 4'!$I15&lt;&gt;'Finals 4'!$K15),1,0)</f>
        <v>0</v>
      </c>
      <c r="AB67" s="12" t="str">
        <f ca="1">IF(AA67&gt;0,(X67+AG67)&amp;Language!$E$80&amp;(Y67+AH67),"")</f>
        <v/>
      </c>
      <c r="AD67" s="141"/>
      <c r="AE67" s="146">
        <f t="shared" ca="1" si="66"/>
        <v>0</v>
      </c>
      <c r="AF67" s="141">
        <f t="shared" ca="1" si="67"/>
        <v>0</v>
      </c>
      <c r="AG67" s="146" t="str">
        <f ca="1">IF($AA67=1,'Finals 4'!$O15,"")</f>
        <v/>
      </c>
      <c r="AH67" s="12" t="str">
        <f ca="1">IF($AA67=1,'Finals 4'!$Q15,"")</f>
        <v/>
      </c>
      <c r="AI67" s="591" t="str">
        <f ca="1">IF(AA67&gt;0,AE67&amp;Language!$E$80&amp;AF67,"")</f>
        <v/>
      </c>
      <c r="AJ67" s="12"/>
      <c r="AK67" s="3"/>
      <c r="AL67" s="12"/>
      <c r="AM67" s="12"/>
      <c r="AN67" s="12"/>
      <c r="AO67" s="12"/>
      <c r="AP67" s="12"/>
      <c r="AQ67" s="12"/>
    </row>
    <row r="68" spans="2:43" s="2" customFormat="1" x14ac:dyDescent="0.2">
      <c r="P68" s="44"/>
      <c r="Q68" s="59" t="str">
        <f>""</f>
        <v/>
      </c>
      <c r="U68" s="64" t="s">
        <v>10</v>
      </c>
      <c r="V68" s="39" t="str">
        <f ca="1">'Finals 4'!$I16</f>
        <v>FC Grönlingen</v>
      </c>
      <c r="W68" s="12" t="str">
        <f ca="1">'Finals 4'!$K16</f>
        <v>FC Barcelona</v>
      </c>
      <c r="X68" s="12">
        <f ca="1">IF($AA68=1,'Finals 4'!$L16,"")</f>
        <v>25</v>
      </c>
      <c r="Y68" s="34">
        <f ca="1">IF($AA68=1,'Finals 4'!$N16,"")</f>
        <v>23</v>
      </c>
      <c r="Z68" s="33" t="str">
        <f t="shared" ca="1" si="65"/>
        <v>FC GrönlingenFC Barcelona</v>
      </c>
      <c r="AA68" s="12">
        <f ca="1">IF(AND('Finals 4'!$L16&lt;&gt;"",'Finals 4'!$N16&lt;&gt;"",'Finals 4'!$L16&lt;&gt;'Finals 4'!$N16,OR(AND('Finals 4'!$O16="",'Finals 4'!$Q16=""),AND('Finals 4'!$O16&lt;&gt;"",'Finals 4'!$Q16&lt;&gt;"",'Finals 4'!$O16&lt;&gt;'Finals 4'!$Q16)),'Finals 4'!$I16&lt;&gt;"",'Finals 4'!$K16&lt;&gt;"",'Finals 4'!$I16&lt;&gt;'Finals 4'!$K16),1,0)</f>
        <v>1</v>
      </c>
      <c r="AB68" s="12" t="str">
        <f ca="1">IF(AA68&gt;0,(X68+AG68)&amp;Language!$E$80&amp;(Y68+AH68),"")</f>
        <v>50-44</v>
      </c>
      <c r="AD68" s="141"/>
      <c r="AE68" s="146">
        <f t="shared" ca="1" si="66"/>
        <v>2</v>
      </c>
      <c r="AF68" s="141">
        <f t="shared" ca="1" si="67"/>
        <v>0</v>
      </c>
      <c r="AG68" s="146">
        <f ca="1">IF($AA68=1,'Finals 4'!$O16,"")</f>
        <v>25</v>
      </c>
      <c r="AH68" s="12">
        <f ca="1">IF($AA68=1,'Finals 4'!$Q16,"")</f>
        <v>21</v>
      </c>
      <c r="AI68" s="591" t="str">
        <f ca="1">IF(AA68&gt;0,AE68&amp;Language!$E$80&amp;AF68,"")</f>
        <v>2-0</v>
      </c>
      <c r="AJ68" s="12"/>
      <c r="AK68" s="12"/>
      <c r="AL68" s="3"/>
      <c r="AM68" s="12"/>
      <c r="AN68" s="12"/>
      <c r="AO68" s="12"/>
      <c r="AP68" s="12"/>
      <c r="AQ68" s="12"/>
    </row>
    <row r="69" spans="2:43" s="2" customFormat="1" x14ac:dyDescent="0.2">
      <c r="P69" s="44"/>
      <c r="Q69" s="59" t="str">
        <f>""</f>
        <v/>
      </c>
      <c r="U69" s="64" t="s">
        <v>11</v>
      </c>
      <c r="V69" s="39" t="str">
        <f ca="1">'Finals 4'!$I17</f>
        <v>Mainz 05</v>
      </c>
      <c r="W69" s="12" t="str">
        <f ca="1">'Finals 4'!$K17</f>
        <v>Eintracht Frankfurt</v>
      </c>
      <c r="X69" s="12">
        <f ca="1">IF($AA69=1,'Finals 4'!$L17,"")</f>
        <v>25</v>
      </c>
      <c r="Y69" s="34">
        <f ca="1">IF($AA69=1,'Finals 4'!$N17,"")</f>
        <v>17</v>
      </c>
      <c r="Z69" s="33" t="str">
        <f t="shared" ca="1" si="65"/>
        <v>Mainz 05Eintracht Frankfurt</v>
      </c>
      <c r="AA69" s="12">
        <f ca="1">IF(AND('Finals 4'!$L17&lt;&gt;"",'Finals 4'!$N17&lt;&gt;"",'Finals 4'!$L17&lt;&gt;'Finals 4'!$N17,OR(AND('Finals 4'!$O17="",'Finals 4'!$Q17=""),AND('Finals 4'!$O17&lt;&gt;"",'Finals 4'!$Q17&lt;&gt;"",'Finals 4'!$O17&lt;&gt;'Finals 4'!$Q17)),'Finals 4'!$I17&lt;&gt;"",'Finals 4'!$K17&lt;&gt;"",'Finals 4'!$I17&lt;&gt;'Finals 4'!$K17),1,0)</f>
        <v>1</v>
      </c>
      <c r="AB69" s="12" t="str">
        <f ca="1">IF(AA69&gt;0,(X69+AG69)&amp;Language!$E$80&amp;(Y69+AH69),"")</f>
        <v>50-39</v>
      </c>
      <c r="AD69" s="141"/>
      <c r="AE69" s="146">
        <f t="shared" ca="1" si="66"/>
        <v>2</v>
      </c>
      <c r="AF69" s="141">
        <f t="shared" ca="1" si="67"/>
        <v>0</v>
      </c>
      <c r="AG69" s="146">
        <f ca="1">IF($AA69=1,'Finals 4'!$O17,"")</f>
        <v>25</v>
      </c>
      <c r="AH69" s="12">
        <f ca="1">IF($AA69=1,'Finals 4'!$Q17,"")</f>
        <v>22</v>
      </c>
      <c r="AI69" s="591" t="str">
        <f ca="1">IF(AA69&gt;0,AE69&amp;Language!$E$80&amp;AF69,"")</f>
        <v>2-0</v>
      </c>
      <c r="AJ69" s="12"/>
      <c r="AK69" s="12"/>
      <c r="AL69" s="12"/>
      <c r="AM69" s="3"/>
      <c r="AN69" s="12"/>
      <c r="AO69" s="12"/>
      <c r="AP69" s="12"/>
      <c r="AQ69" s="12"/>
    </row>
    <row r="70" spans="2:43" s="2" customFormat="1" x14ac:dyDescent="0.2">
      <c r="P70" s="44"/>
      <c r="Q70" s="59" t="str">
        <f>""</f>
        <v/>
      </c>
      <c r="U70" s="64" t="s">
        <v>16</v>
      </c>
      <c r="V70" s="39" t="str">
        <f ca="1">'Finals 4'!$I18</f>
        <v>VFB Essenheim</v>
      </c>
      <c r="W70" s="12" t="str">
        <f ca="1">'Finals 4'!$K18</f>
        <v/>
      </c>
      <c r="X70" s="12" t="str">
        <f ca="1">IF($AA70=1,'Finals 4'!$L18,"")</f>
        <v/>
      </c>
      <c r="Y70" s="34" t="str">
        <f ca="1">IF($AA70=1,'Finals 4'!$N18,"")</f>
        <v/>
      </c>
      <c r="Z70" s="33" t="str">
        <f t="shared" ca="1" si="65"/>
        <v>VFB Essenheim</v>
      </c>
      <c r="AA70" s="12">
        <f ca="1">IF(AND('Finals 4'!$L18&lt;&gt;"",'Finals 4'!$N18&lt;&gt;"",'Finals 4'!$L18&lt;&gt;'Finals 4'!$N18,OR(AND('Finals 4'!$O18="",'Finals 4'!$Q18=""),AND('Finals 4'!$O18&lt;&gt;"",'Finals 4'!$Q18&lt;&gt;"",'Finals 4'!$O18&lt;&gt;'Finals 4'!$Q18)),'Finals 4'!$I18&lt;&gt;"",'Finals 4'!$K18&lt;&gt;"",'Finals 4'!$I18&lt;&gt;'Finals 4'!$K18),1,0)</f>
        <v>0</v>
      </c>
      <c r="AB70" s="12" t="str">
        <f ca="1">IF(AA70&gt;0,(X70+AG70)&amp;Language!$E$80&amp;(Y70+AH70),"")</f>
        <v/>
      </c>
      <c r="AD70" s="141"/>
      <c r="AE70" s="146">
        <f t="shared" ca="1" si="66"/>
        <v>0</v>
      </c>
      <c r="AF70" s="141">
        <f t="shared" ca="1" si="67"/>
        <v>0</v>
      </c>
      <c r="AG70" s="146" t="str">
        <f ca="1">IF($AA70=1,'Finals 4'!$O18,"")</f>
        <v/>
      </c>
      <c r="AH70" s="12" t="str">
        <f ca="1">IF($AA70=1,'Finals 4'!$Q18,"")</f>
        <v/>
      </c>
      <c r="AI70" s="591" t="str">
        <f ca="1">IF(AA70&gt;0,AE70&amp;Language!$E$80&amp;AF70,"")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'Finals 4'!$I19</f>
        <v>1. FC Riedwald</v>
      </c>
      <c r="W71" s="12" t="str">
        <f ca="1">'Finals 4'!$K19</f>
        <v>FC Barcelona</v>
      </c>
      <c r="X71" s="12">
        <f ca="1">IF($AA71=1,'Finals 4'!$L19,"")</f>
        <v>19</v>
      </c>
      <c r="Y71" s="34">
        <f ca="1">IF($AA71=1,'Finals 4'!$N19,"")</f>
        <v>25</v>
      </c>
      <c r="Z71" s="33" t="str">
        <f t="shared" ca="1" si="65"/>
        <v>1. FC RiedwaldFC Barcelona</v>
      </c>
      <c r="AA71" s="12">
        <f ca="1">IF(AND('Finals 4'!$L19&lt;&gt;"",'Finals 4'!$N19&lt;&gt;"",'Finals 4'!$L19&lt;&gt;'Finals 4'!$N19,OR(AND('Finals 4'!$O19="",'Finals 4'!$Q19=""),AND('Finals 4'!$O19&lt;&gt;"",'Finals 4'!$Q19&lt;&gt;"",'Finals 4'!$O19&lt;&gt;'Finals 4'!$Q19)),'Finals 4'!$I19&lt;&gt;"",'Finals 4'!$K19&lt;&gt;"",'Finals 4'!$I19&lt;&gt;'Finals 4'!$K19),1,0)</f>
        <v>1</v>
      </c>
      <c r="AB71" s="12" t="str">
        <f ca="1">IF(AA71&gt;0,(X71+AG71)&amp;Language!$E$80&amp;(Y71+AH71),"")</f>
        <v>44-37</v>
      </c>
      <c r="AD71" s="141"/>
      <c r="AE71" s="146">
        <f t="shared" ca="1" si="66"/>
        <v>1</v>
      </c>
      <c r="AF71" s="141">
        <f t="shared" ca="1" si="67"/>
        <v>1</v>
      </c>
      <c r="AG71" s="146">
        <f ca="1">IF($AA71=1,'Finals 4'!$O19,"")</f>
        <v>25</v>
      </c>
      <c r="AH71" s="12">
        <f ca="1">IF($AA71=1,'Finals 4'!$Q19,"")</f>
        <v>12</v>
      </c>
      <c r="AI71" s="591" t="str">
        <f ca="1">IF(AA71&gt;0,AE71&amp;Language!$E$80&amp;AF71,"")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'Finals 4'!$I20</f>
        <v>Maibach 1822 eV</v>
      </c>
      <c r="W72" s="12" t="str">
        <f ca="1">'Finals 4'!$K20</f>
        <v>Eintracht Frankfurt</v>
      </c>
      <c r="X72" s="12">
        <f ca="1">IF($AA72=1,'Finals 4'!$L20,"")</f>
        <v>13</v>
      </c>
      <c r="Y72" s="34">
        <f ca="1">IF($AA72=1,'Finals 4'!$N20,"")</f>
        <v>25</v>
      </c>
      <c r="Z72" s="33" t="str">
        <f t="shared" ca="1" si="65"/>
        <v>Maibach 1822 eVEintracht Frankfurt</v>
      </c>
      <c r="AA72" s="12">
        <f ca="1">IF(AND('Finals 4'!$L20&lt;&gt;"",'Finals 4'!$N20&lt;&gt;"",'Finals 4'!$L20&lt;&gt;'Finals 4'!$N20,OR(AND('Finals 4'!$O20="",'Finals 4'!$Q20=""),AND('Finals 4'!$O20&lt;&gt;"",'Finals 4'!$Q20&lt;&gt;"",'Finals 4'!$O20&lt;&gt;'Finals 4'!$Q20)),'Finals 4'!$I20&lt;&gt;"",'Finals 4'!$K20&lt;&gt;"",'Finals 4'!$I20&lt;&gt;'Finals 4'!$K20),1,0)</f>
        <v>1</v>
      </c>
      <c r="AB72" s="12" t="str">
        <f ca="1">IF(AA72&gt;0,(X72+AG72)&amp;Language!$E$80&amp;(Y72+AH72),"")</f>
        <v>31-50</v>
      </c>
      <c r="AD72" s="141"/>
      <c r="AE72" s="146">
        <f t="shared" ca="1" si="66"/>
        <v>0</v>
      </c>
      <c r="AF72" s="141">
        <f t="shared" ca="1" si="67"/>
        <v>2</v>
      </c>
      <c r="AG72" s="146">
        <f ca="1">IF($AA72=1,'Finals 4'!$O20,"")</f>
        <v>18</v>
      </c>
      <c r="AH72" s="12">
        <f ca="1">IF($AA72=1,'Finals 4'!$Q20,"")</f>
        <v>25</v>
      </c>
      <c r="AI72" s="591" t="str">
        <f ca="1">IF(AA72&gt;0,AE72&amp;Language!$E$80&amp;AF72,"")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'Finals 4'!$I21</f>
        <v>Inter Mailand</v>
      </c>
      <c r="W73" s="12" t="str">
        <f ca="1">'Finals 4'!$K21</f>
        <v/>
      </c>
      <c r="X73" s="12" t="str">
        <f ca="1">IF($AA73=1,'Finals 4'!$L21,"")</f>
        <v/>
      </c>
      <c r="Y73" s="34" t="str">
        <f ca="1">IF($AA73=1,'Finals 4'!$N21,"")</f>
        <v/>
      </c>
      <c r="Z73" s="33" t="str">
        <f t="shared" ca="1" si="65"/>
        <v>Inter Mailand</v>
      </c>
      <c r="AA73" s="12">
        <f ca="1">IF(AND('Finals 4'!$L21&lt;&gt;"",'Finals 4'!$N21&lt;&gt;"",'Finals 4'!$L21&lt;&gt;'Finals 4'!$N21,OR(AND('Finals 4'!$O21="",'Finals 4'!$Q21=""),AND('Finals 4'!$O21&lt;&gt;"",'Finals 4'!$Q21&lt;&gt;"",'Finals 4'!$O21&lt;&gt;'Finals 4'!$Q21)),'Finals 4'!$I21&lt;&gt;"",'Finals 4'!$K21&lt;&gt;"",'Finals 4'!$I21&lt;&gt;'Finals 4'!$K21),1,0)</f>
        <v>0</v>
      </c>
      <c r="AB73" s="12" t="str">
        <f ca="1">IF(AA73&gt;0,(X73+AG73)&amp;Language!$E$80&amp;(Y73+AH73),"")</f>
        <v/>
      </c>
      <c r="AD73" s="141"/>
      <c r="AE73" s="146">
        <f t="shared" ca="1" si="66"/>
        <v>0</v>
      </c>
      <c r="AF73" s="141">
        <f t="shared" ca="1" si="67"/>
        <v>0</v>
      </c>
      <c r="AG73" s="146" t="str">
        <f ca="1">IF($AA73=1,'Finals 4'!$O21,"")</f>
        <v/>
      </c>
      <c r="AH73" s="12" t="str">
        <f ca="1">IF($AA73=1,'Finals 4'!$Q21,"")</f>
        <v/>
      </c>
      <c r="AI73" s="591" t="str">
        <f ca="1">IF(AA73&gt;0,AE73&amp;Language!$E$80&amp;AF73,"")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'Finals 4'!$I22</f>
        <v>FC Grönlingen</v>
      </c>
      <c r="W74" s="12" t="str">
        <f ca="1">'Finals 4'!$K22</f>
        <v>SSV Wildbach</v>
      </c>
      <c r="X74" s="12">
        <f ca="1">IF($AA74=1,'Finals 4'!$L22,"")</f>
        <v>22</v>
      </c>
      <c r="Y74" s="34">
        <f ca="1">IF($AA74=1,'Finals 4'!$N22,"")</f>
        <v>25</v>
      </c>
      <c r="Z74" s="33" t="str">
        <f ca="1">V74&amp;W74</f>
        <v>FC GrönlingenSSV Wildbach</v>
      </c>
      <c r="AA74" s="12">
        <f ca="1">IF(AND('Finals 4'!$L22&lt;&gt;"",'Finals 4'!$N22&lt;&gt;"",'Finals 4'!$L22&lt;&gt;'Finals 4'!$N22,OR(AND('Finals 4'!$O22="",'Finals 4'!$Q22=""),AND('Finals 4'!$O22&lt;&gt;"",'Finals 4'!$Q22&lt;&gt;"",'Finals 4'!$O22&lt;&gt;'Finals 4'!$Q22)),'Finals 4'!$I22&lt;&gt;"",'Finals 4'!$K22&lt;&gt;"",'Finals 4'!$I22&lt;&gt;'Finals 4'!$K22),1,0)</f>
        <v>1</v>
      </c>
      <c r="AB74" s="12" t="str">
        <f ca="1">IF(AA74&gt;0,(X74+AG74)&amp;Language!$E$80&amp;(Y74+AH74),"")</f>
        <v>47-45</v>
      </c>
      <c r="AD74" s="141"/>
      <c r="AE74" s="146">
        <f t="shared" ca="1" si="66"/>
        <v>1</v>
      </c>
      <c r="AF74" s="141">
        <f t="shared" ca="1" si="67"/>
        <v>1</v>
      </c>
      <c r="AG74" s="146">
        <f ca="1">IF($AA74=1,'Finals 4'!$O22,"")</f>
        <v>25</v>
      </c>
      <c r="AH74" s="12">
        <f ca="1">IF($AA74=1,'Finals 4'!$Q22,"")</f>
        <v>20</v>
      </c>
      <c r="AI74" s="591" t="str">
        <f ca="1">IF(AA74&gt;0,AE74&amp;Language!$E$80&amp;AF74,"")</f>
        <v>1-1</v>
      </c>
    </row>
    <row r="75" spans="2:43" s="2" customFormat="1" x14ac:dyDescent="0.2">
      <c r="B75" s="3"/>
      <c r="C75" s="3"/>
      <c r="D75" s="3"/>
      <c r="E75" s="3"/>
      <c r="F75" s="12"/>
      <c r="G75" s="12"/>
      <c r="H75" s="12"/>
      <c r="I75" s="12"/>
      <c r="J75" s="12"/>
      <c r="K75" s="12"/>
      <c r="L75" s="12"/>
      <c r="M75" s="12"/>
      <c r="U75" s="64" t="s">
        <v>26</v>
      </c>
      <c r="V75" s="39" t="str">
        <f ca="1">'Finals 4'!$I23</f>
        <v>Mainz 05</v>
      </c>
      <c r="W75" s="12" t="str">
        <f ca="1">'Finals 4'!$K23</f>
        <v>Manchester City</v>
      </c>
      <c r="X75" s="12">
        <f ca="1">IF($AA75=1,'Finals 4'!$L23,"")</f>
        <v>19</v>
      </c>
      <c r="Y75" s="34">
        <f ca="1">IF($AA75=1,'Finals 4'!$N23,"")</f>
        <v>25</v>
      </c>
      <c r="Z75" s="33" t="str">
        <f t="shared" ref="Z75:Z81" ca="1" si="68">V75&amp;W75</f>
        <v>Mainz 05Manchester City</v>
      </c>
      <c r="AA75" s="12">
        <f ca="1">IF(AND('Finals 4'!$L23&lt;&gt;"",'Finals 4'!$N23&lt;&gt;"",'Finals 4'!$L23&lt;&gt;'Finals 4'!$N23,OR(AND('Finals 4'!$O23="",'Finals 4'!$Q23=""),AND('Finals 4'!$O23&lt;&gt;"",'Finals 4'!$Q23&lt;&gt;"",'Finals 4'!$O23&lt;&gt;'Finals 4'!$Q23)),'Finals 4'!$I23&lt;&gt;"",'Finals 4'!$K23&lt;&gt;"",'Finals 4'!$I23&lt;&gt;'Finals 4'!$K23),1,0)</f>
        <v>1</v>
      </c>
      <c r="AB75" s="12" t="str">
        <f ca="1">IF(AA75&gt;0,(X75+AG75)&amp;Language!$E$80&amp;(Y75+AH75),"")</f>
        <v>44-44</v>
      </c>
      <c r="AD75" s="141"/>
      <c r="AE75" s="146">
        <f t="shared" ca="1" si="66"/>
        <v>1</v>
      </c>
      <c r="AF75" s="141">
        <f t="shared" ca="1" si="67"/>
        <v>1</v>
      </c>
      <c r="AG75" s="146">
        <f ca="1">IF($AA75=1,'Finals 4'!$O23,"")</f>
        <v>25</v>
      </c>
      <c r="AH75" s="12">
        <f ca="1">IF($AA75=1,'Finals 4'!$Q23,"")</f>
        <v>19</v>
      </c>
      <c r="AI75" s="591" t="str">
        <f ca="1">IF(AA75&gt;0,AE75&amp;Language!$E$80&amp;AF75,"")</f>
        <v>1-1</v>
      </c>
    </row>
    <row r="76" spans="2:43" s="2" customFormat="1" x14ac:dyDescent="0.2">
      <c r="B76" s="3"/>
      <c r="C76" s="3"/>
      <c r="D76" s="3"/>
      <c r="E76" s="3"/>
      <c r="F76" s="12"/>
      <c r="G76" s="12"/>
      <c r="H76" s="12"/>
      <c r="I76" s="12"/>
      <c r="J76" s="12"/>
      <c r="K76" s="12"/>
      <c r="L76" s="12"/>
      <c r="M76" s="12"/>
      <c r="U76" s="64" t="s">
        <v>27</v>
      </c>
      <c r="V76" s="39" t="str">
        <f ca="1">'Finals 4'!$I24</f>
        <v/>
      </c>
      <c r="W76" s="12" t="str">
        <f ca="1">'Finals 4'!$K24</f>
        <v/>
      </c>
      <c r="X76" s="12" t="str">
        <f ca="1">IF($AA76=1,'Finals 4'!$L24,"")</f>
        <v/>
      </c>
      <c r="Y76" s="34" t="str">
        <f ca="1">IF($AA76=1,'Finals 4'!$N24,"")</f>
        <v/>
      </c>
      <c r="Z76" s="33" t="str">
        <f t="shared" ca="1" si="68"/>
        <v/>
      </c>
      <c r="AA76" s="12">
        <f ca="1">IF(AND('Finals 4'!$L24&lt;&gt;"",'Finals 4'!$N24&lt;&gt;"",'Finals 4'!$L24&lt;&gt;'Finals 4'!$N24,OR(AND('Finals 4'!$O24="",'Finals 4'!$Q24=""),AND('Finals 4'!$O24&lt;&gt;"",'Finals 4'!$Q24&lt;&gt;"",'Finals 4'!$O24&lt;&gt;'Finals 4'!$Q24)),'Finals 4'!$I24&lt;&gt;"",'Finals 4'!$K24&lt;&gt;"",'Finals 4'!$I24&lt;&gt;'Finals 4'!$K24),1,0)</f>
        <v>0</v>
      </c>
      <c r="AB76" s="12" t="str">
        <f ca="1">IF(AA76&gt;0,(X76+AG76)&amp;Language!$E$80&amp;(Y76+AH76),"")</f>
        <v/>
      </c>
      <c r="AD76" s="141"/>
      <c r="AE76" s="146">
        <f t="shared" ca="1" si="66"/>
        <v>0</v>
      </c>
      <c r="AF76" s="141">
        <f t="shared" ca="1" si="67"/>
        <v>0</v>
      </c>
      <c r="AG76" s="146" t="str">
        <f ca="1">IF($AA76=1,'Finals 4'!$O24,"")</f>
        <v/>
      </c>
      <c r="AH76" s="12" t="str">
        <f ca="1">IF($AA76=1,'Finals 4'!$Q24,"")</f>
        <v/>
      </c>
      <c r="AI76" s="591" t="str">
        <f ca="1">IF(AA76&gt;0,AE76&amp;Language!$E$80&amp;AF76,"")</f>
        <v/>
      </c>
    </row>
    <row r="77" spans="2:43" s="2" customFormat="1" x14ac:dyDescent="0.2">
      <c r="B77" s="3"/>
      <c r="C77" s="3"/>
      <c r="D77" s="3"/>
      <c r="E77" s="3"/>
      <c r="F77" s="12"/>
      <c r="G77" s="12"/>
      <c r="H77" s="12"/>
      <c r="I77" s="12"/>
      <c r="J77" s="12"/>
      <c r="K77" s="12"/>
      <c r="L77" s="12"/>
      <c r="M77" s="12"/>
      <c r="U77" s="64" t="s">
        <v>28</v>
      </c>
      <c r="V77" s="39" t="str">
        <f ca="1">'Finals 4'!$I25</f>
        <v>FC Barcelona</v>
      </c>
      <c r="W77" s="12" t="str">
        <f ca="1">'Finals 4'!$K25</f>
        <v>SSV Wildbach</v>
      </c>
      <c r="X77" s="12">
        <f ca="1">IF($AA77=1,'Finals 4'!$L25,"")</f>
        <v>14</v>
      </c>
      <c r="Y77" s="34">
        <f ca="1">IF($AA77=1,'Finals 4'!$N25,"")</f>
        <v>25</v>
      </c>
      <c r="Z77" s="33" t="str">
        <f t="shared" ca="1" si="68"/>
        <v>FC BarcelonaSSV Wildbach</v>
      </c>
      <c r="AA77" s="12">
        <f ca="1">IF(AND('Finals 4'!$L25&lt;&gt;"",'Finals 4'!$N25&lt;&gt;"",'Finals 4'!$L25&lt;&gt;'Finals 4'!$N25,OR(AND('Finals 4'!$O25="",'Finals 4'!$Q25=""),AND('Finals 4'!$O25&lt;&gt;"",'Finals 4'!$Q25&lt;&gt;"",'Finals 4'!$O25&lt;&gt;'Finals 4'!$Q25)),'Finals 4'!$I25&lt;&gt;"",'Finals 4'!$K25&lt;&gt;"",'Finals 4'!$I25&lt;&gt;'Finals 4'!$K25),1,0)</f>
        <v>1</v>
      </c>
      <c r="AB77" s="12" t="str">
        <f ca="1">IF(AA77&gt;0,(X77+AG77)&amp;Language!$E$80&amp;(Y77+AH77),"")</f>
        <v>39-48</v>
      </c>
      <c r="AD77" s="141"/>
      <c r="AE77" s="146">
        <f t="shared" ca="1" si="66"/>
        <v>1</v>
      </c>
      <c r="AF77" s="141">
        <f t="shared" ca="1" si="67"/>
        <v>1</v>
      </c>
      <c r="AG77" s="146">
        <f ca="1">IF($AA77=1,'Finals 4'!$O25,"")</f>
        <v>25</v>
      </c>
      <c r="AH77" s="12">
        <f ca="1">IF($AA77=1,'Finals 4'!$Q25,"")</f>
        <v>23</v>
      </c>
      <c r="AI77" s="591" t="str">
        <f ca="1">IF(AA77&gt;0,AE77&amp;Language!$E$80&amp;AF77,"")</f>
        <v>1-1</v>
      </c>
    </row>
    <row r="78" spans="2:43" s="2" customFormat="1" x14ac:dyDescent="0.2">
      <c r="B78" s="3"/>
      <c r="C78" s="3"/>
      <c r="D78" s="3"/>
      <c r="E78" s="3"/>
      <c r="F78" s="12"/>
      <c r="G78" s="12"/>
      <c r="H78" s="12"/>
      <c r="I78" s="12"/>
      <c r="J78" s="12"/>
      <c r="K78" s="12"/>
      <c r="L78" s="12"/>
      <c r="M78" s="12"/>
      <c r="U78" s="64" t="s">
        <v>29</v>
      </c>
      <c r="V78" s="39" t="str">
        <f ca="1">'Finals 4'!$I26</f>
        <v>Eintracht Frankfurt</v>
      </c>
      <c r="W78" s="12" t="str">
        <f ca="1">'Finals 4'!$K26</f>
        <v>Manchester City</v>
      </c>
      <c r="X78" s="12">
        <f ca="1">IF($AA78=1,'Finals 4'!$L26,"")</f>
        <v>21</v>
      </c>
      <c r="Y78" s="34">
        <f ca="1">IF($AA78=1,'Finals 4'!$N26,"")</f>
        <v>25</v>
      </c>
      <c r="Z78" s="33" t="str">
        <f t="shared" ca="1" si="68"/>
        <v>Eintracht FrankfurtManchester City</v>
      </c>
      <c r="AA78" s="12">
        <f ca="1">IF(AND('Finals 4'!$L26&lt;&gt;"",'Finals 4'!$N26&lt;&gt;"",'Finals 4'!$L26&lt;&gt;'Finals 4'!$N26,OR(AND('Finals 4'!$O26="",'Finals 4'!$Q26=""),AND('Finals 4'!$O26&lt;&gt;"",'Finals 4'!$Q26&lt;&gt;"",'Finals 4'!$O26&lt;&gt;'Finals 4'!$Q26)),'Finals 4'!$I26&lt;&gt;"",'Finals 4'!$K26&lt;&gt;"",'Finals 4'!$I26&lt;&gt;'Finals 4'!$K26),1,0)</f>
        <v>1</v>
      </c>
      <c r="AB78" s="12" t="str">
        <f ca="1">IF(AA78&gt;0,(X78+AG78)&amp;Language!$E$80&amp;(Y78+AH78),"")</f>
        <v>46-42</v>
      </c>
      <c r="AD78" s="141"/>
      <c r="AE78" s="146">
        <f t="shared" ca="1" si="66"/>
        <v>1</v>
      </c>
      <c r="AF78" s="141">
        <f t="shared" ca="1" si="67"/>
        <v>1</v>
      </c>
      <c r="AG78" s="146">
        <f ca="1">IF($AA78=1,'Finals 4'!$O26,"")</f>
        <v>25</v>
      </c>
      <c r="AH78" s="12">
        <f ca="1">IF($AA78=1,'Finals 4'!$Q26,"")</f>
        <v>17</v>
      </c>
      <c r="AI78" s="591" t="str">
        <f ca="1">IF(AA78&gt;0,AE78&amp;Language!$E$80&amp;AF78,"")</f>
        <v>1-1</v>
      </c>
    </row>
    <row r="79" spans="2:43" s="2" customFormat="1" x14ac:dyDescent="0.2">
      <c r="B79" s="3"/>
      <c r="C79" s="3"/>
      <c r="D79" s="3"/>
      <c r="E79" s="3"/>
      <c r="F79" s="12"/>
      <c r="G79" s="12"/>
      <c r="H79" s="12"/>
      <c r="I79" s="12"/>
      <c r="J79" s="12"/>
      <c r="K79" s="12"/>
      <c r="L79" s="12"/>
      <c r="M79" s="12"/>
      <c r="U79" s="64" t="s">
        <v>30</v>
      </c>
      <c r="V79" s="39" t="str">
        <f ca="1">'Finals 4'!$I27</f>
        <v>VFB Essenheim</v>
      </c>
      <c r="W79" s="12" t="str">
        <f ca="1">'Finals 4'!$K27</f>
        <v>Inter Mailand</v>
      </c>
      <c r="X79" s="12">
        <f ca="1">IF($AA79=1,'Finals 4'!$L27,"")</f>
        <v>20</v>
      </c>
      <c r="Y79" s="34">
        <f ca="1">IF($AA79=1,'Finals 4'!$N27,"")</f>
        <v>25</v>
      </c>
      <c r="Z79" s="33" t="str">
        <f t="shared" ca="1" si="68"/>
        <v>VFB EssenheimInter Mailand</v>
      </c>
      <c r="AA79" s="12">
        <f ca="1">IF(AND('Finals 4'!$L27&lt;&gt;"",'Finals 4'!$N27&lt;&gt;"",'Finals 4'!$L27&lt;&gt;'Finals 4'!$N27,OR(AND('Finals 4'!$O27="",'Finals 4'!$Q27=""),AND('Finals 4'!$O27&lt;&gt;"",'Finals 4'!$Q27&lt;&gt;"",'Finals 4'!$O27&lt;&gt;'Finals 4'!$Q27)),'Finals 4'!$I27&lt;&gt;"",'Finals 4'!$K27&lt;&gt;"",'Finals 4'!$I27&lt;&gt;'Finals 4'!$K27),1,0)</f>
        <v>1</v>
      </c>
      <c r="AB79" s="12" t="str">
        <f ca="1">IF(AA79&gt;0,(X79+AG79)&amp;Language!$E$80&amp;(Y79+AH79),"")</f>
        <v>38-50</v>
      </c>
      <c r="AD79" s="141"/>
      <c r="AE79" s="146">
        <f t="shared" ca="1" si="66"/>
        <v>0</v>
      </c>
      <c r="AF79" s="141">
        <f t="shared" ca="1" si="67"/>
        <v>2</v>
      </c>
      <c r="AG79" s="146">
        <f ca="1">IF($AA79=1,'Finals 4'!$O27,"")</f>
        <v>18</v>
      </c>
      <c r="AH79" s="12">
        <f ca="1">IF($AA79=1,'Finals 4'!$Q27,"")</f>
        <v>25</v>
      </c>
      <c r="AI79" s="591" t="str">
        <f ca="1">IF(AA79&gt;0,AE79&amp;Language!$E$80&amp;AF79,"")</f>
        <v>0-2</v>
      </c>
    </row>
    <row r="80" spans="2:43" s="2" customFormat="1" x14ac:dyDescent="0.2">
      <c r="B80" s="3"/>
      <c r="C80" s="3"/>
      <c r="D80" s="3"/>
      <c r="E80" s="3"/>
      <c r="F80" s="12"/>
      <c r="G80" s="12"/>
      <c r="H80" s="12"/>
      <c r="I80" s="12"/>
      <c r="J80" s="12"/>
      <c r="K80" s="12"/>
      <c r="L80" s="12"/>
      <c r="M80" s="12"/>
      <c r="U80" s="64" t="s">
        <v>31</v>
      </c>
      <c r="V80" s="39" t="str">
        <f ca="1">'Finals 4'!$I28</f>
        <v>1. FC Riedwald</v>
      </c>
      <c r="W80" s="12" t="str">
        <f ca="1">'Finals 4'!$K28</f>
        <v>FC Grönlingen</v>
      </c>
      <c r="X80" s="12">
        <f ca="1">IF($AA80=1,'Finals 4'!$L28,"")</f>
        <v>25</v>
      </c>
      <c r="Y80" s="34">
        <f ca="1">IF($AA80=1,'Finals 4'!$N28,"")</f>
        <v>20</v>
      </c>
      <c r="Z80" s="33" t="str">
        <f t="shared" ca="1" si="68"/>
        <v>1. FC RiedwaldFC Grönlingen</v>
      </c>
      <c r="AA80" s="12">
        <f ca="1">IF(AND('Finals 4'!$L28&lt;&gt;"",'Finals 4'!$N28&lt;&gt;"",'Finals 4'!$L28&lt;&gt;'Finals 4'!$N28,OR(AND('Finals 4'!$O28="",'Finals 4'!$Q28=""),AND('Finals 4'!$O28&lt;&gt;"",'Finals 4'!$Q28&lt;&gt;"",'Finals 4'!$O28&lt;&gt;'Finals 4'!$Q28)),'Finals 4'!$I28&lt;&gt;"",'Finals 4'!$K28&lt;&gt;"",'Finals 4'!$I28&lt;&gt;'Finals 4'!$K28),1,0)</f>
        <v>1</v>
      </c>
      <c r="AB80" s="12" t="str">
        <f ca="1">IF(AA80&gt;0,(X80+AG80)&amp;Language!$E$80&amp;(Y80+AH80),"")</f>
        <v>50-39</v>
      </c>
      <c r="AD80" s="141"/>
      <c r="AE80" s="146">
        <f t="shared" ca="1" si="66"/>
        <v>2</v>
      </c>
      <c r="AF80" s="141">
        <f t="shared" ca="1" si="67"/>
        <v>0</v>
      </c>
      <c r="AG80" s="146">
        <f ca="1">IF($AA80=1,'Finals 4'!$O28,"")</f>
        <v>25</v>
      </c>
      <c r="AH80" s="12">
        <f ca="1">IF($AA80=1,'Finals 4'!$Q28,"")</f>
        <v>19</v>
      </c>
      <c r="AI80" s="591" t="str">
        <f ca="1">IF(AA80&gt;0,AE80&amp;Language!$E$80&amp;AF80,"")</f>
        <v>2-0</v>
      </c>
    </row>
    <row r="81" spans="2:35" s="2" customFormat="1" ht="12.75" thickBot="1" x14ac:dyDescent="0.25">
      <c r="B81" s="3"/>
      <c r="C81" s="3"/>
      <c r="D81" s="3"/>
      <c r="E81" s="3"/>
      <c r="F81" s="12"/>
      <c r="G81" s="12"/>
      <c r="H81" s="12"/>
      <c r="I81" s="12"/>
      <c r="J81" s="12"/>
      <c r="K81" s="12"/>
      <c r="L81" s="12"/>
      <c r="M81" s="12"/>
      <c r="U81" s="311" t="s">
        <v>32</v>
      </c>
      <c r="V81" s="702" t="str">
        <f ca="1">'Finals 4'!$I29</f>
        <v>Maibach 1822 eV</v>
      </c>
      <c r="W81" s="312" t="str">
        <f ca="1">'Finals 4'!$K29</f>
        <v>Mainz 05</v>
      </c>
      <c r="X81" s="312">
        <f ca="1">IF($AA81=1,'Finals 4'!$L29,"")</f>
        <v>25</v>
      </c>
      <c r="Y81" s="703">
        <f ca="1">IF($AA81=1,'Finals 4'!$N29,"")</f>
        <v>13</v>
      </c>
      <c r="Z81" s="313" t="str">
        <f t="shared" ca="1" si="68"/>
        <v>Maibach 1822 eVMainz 05</v>
      </c>
      <c r="AA81" s="312">
        <f ca="1">IF(AND('Finals 4'!$L29&lt;&gt;"",'Finals 4'!$N29&lt;&gt;"",'Finals 4'!$L29&lt;&gt;'Finals 4'!$N29,OR(AND('Finals 4'!$O29="",'Finals 4'!$Q29=""),AND('Finals 4'!$O29&lt;&gt;"",'Finals 4'!$Q29&lt;&gt;"",'Finals 4'!$O29&lt;&gt;'Finals 4'!$Q29)),'Finals 4'!$I29&lt;&gt;"",'Finals 4'!$K29&lt;&gt;"",'Finals 4'!$I29&lt;&gt;'Finals 4'!$K29),1,0)</f>
        <v>1</v>
      </c>
      <c r="AB81" s="312" t="str">
        <f ca="1">IF(AA81&gt;0,(X81+AG81)&amp;Language!$E$80&amp;(Y81+AH81),"")</f>
        <v>50-33</v>
      </c>
      <c r="AC81" s="314"/>
      <c r="AD81" s="315"/>
      <c r="AE81" s="316">
        <f t="shared" ca="1" si="66"/>
        <v>2</v>
      </c>
      <c r="AF81" s="315">
        <f t="shared" ca="1" si="67"/>
        <v>0</v>
      </c>
      <c r="AG81" s="316">
        <f ca="1">IF($AA81=1,'Finals 4'!$O29,"")</f>
        <v>25</v>
      </c>
      <c r="AH81" s="312">
        <f ca="1">IF($AA81=1,'Finals 4'!$Q29,"")</f>
        <v>20</v>
      </c>
      <c r="AI81" s="592" t="str">
        <f ca="1">IF(AA81&gt;0,AE81&amp;Language!$E$80&amp;AF81,"")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1"/>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1"/>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1"/>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1"/>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1"/>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1"/>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1"/>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1"/>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1"/>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1"/>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1"/>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1"/>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IF(AA136&gt;0,(Y64+AH64)&amp;Language!$E$80&amp;(X64+AG64),"")</f>
        <v/>
      </c>
      <c r="AD136" s="141"/>
      <c r="AE136" s="596"/>
      <c r="AF136" s="597"/>
      <c r="AG136" s="597"/>
      <c r="AH136" s="597"/>
      <c r="AI136" s="140" t="str">
        <f ca="1">IF(AA64&gt;0,AF64&amp;Language!$E$80&amp;AE64,"")</f>
        <v/>
      </c>
    </row>
    <row r="137" spans="2:35" x14ac:dyDescent="0.2">
      <c r="Y137" s="64" t="s">
        <v>7</v>
      </c>
      <c r="Z137" s="33" t="str">
        <f ca="1">W65&amp;V65</f>
        <v>SSV Wildbach1. FC Riedwald</v>
      </c>
      <c r="AA137" s="12">
        <f t="shared" ref="AA137:AA153" ca="1" si="69">AA65</f>
        <v>1</v>
      </c>
      <c r="AB137" s="12" t="str">
        <f ca="1">IF(AA137&gt;0,(Y65+AH65)&amp;Language!$E$80&amp;(X65+AG65),"")</f>
        <v>45-42</v>
      </c>
      <c r="AC137" s="2"/>
      <c r="AD137" s="141"/>
      <c r="AE137" s="598"/>
      <c r="AF137" s="599"/>
      <c r="AG137" s="599"/>
      <c r="AH137" s="599"/>
      <c r="AI137" s="607" t="str">
        <f ca="1">IF(AA65&gt;0,AF65&amp;Language!$E$80&amp;AE65,"")</f>
        <v>1-1</v>
      </c>
    </row>
    <row r="138" spans="2:35" x14ac:dyDescent="0.2">
      <c r="Y138" s="64" t="s">
        <v>8</v>
      </c>
      <c r="Z138" s="33" t="str">
        <f t="shared" ref="Z138:Z153" ca="1" si="70">W66&amp;V66</f>
        <v>Manchester CityMaibach 1822 eV</v>
      </c>
      <c r="AA138" s="12">
        <f t="shared" ca="1" si="69"/>
        <v>1</v>
      </c>
      <c r="AB138" s="12" t="str">
        <f ca="1">IF(AA138&gt;0,(Y66+AH66)&amp;Language!$E$80&amp;(X66+AG66),"")</f>
        <v>50-35</v>
      </c>
      <c r="AC138" s="2"/>
      <c r="AD138" s="141"/>
      <c r="AE138" s="598"/>
      <c r="AF138" s="599"/>
      <c r="AG138" s="599"/>
      <c r="AH138" s="599"/>
      <c r="AI138" s="607" t="str">
        <f ca="1">IF(AA66&gt;0,AF66&amp;Language!$E$80&amp;AE66,"")</f>
        <v>2-0</v>
      </c>
    </row>
    <row r="139" spans="2:35" x14ac:dyDescent="0.2">
      <c r="Y139" s="64" t="s">
        <v>9</v>
      </c>
      <c r="Z139" s="33" t="str">
        <f t="shared" ca="1" si="70"/>
        <v>Inter Mailand</v>
      </c>
      <c r="AA139" s="12">
        <f t="shared" ca="1" si="69"/>
        <v>0</v>
      </c>
      <c r="AB139" s="12" t="str">
        <f ca="1">IF(AA139&gt;0,(Y67+AH67)&amp;Language!$E$80&amp;(X67+AG67),"")</f>
        <v/>
      </c>
      <c r="AC139" s="2"/>
      <c r="AD139" s="141"/>
      <c r="AE139" s="598"/>
      <c r="AF139" s="599"/>
      <c r="AG139" s="599"/>
      <c r="AH139" s="599"/>
      <c r="AI139" s="607" t="str">
        <f ca="1">IF(AA67&gt;0,AF67&amp;Language!$E$80&amp;AE67,"")</f>
        <v/>
      </c>
    </row>
    <row r="140" spans="2:35" x14ac:dyDescent="0.2">
      <c r="Y140" s="64" t="s">
        <v>10</v>
      </c>
      <c r="Z140" s="33" t="str">
        <f t="shared" ca="1" si="70"/>
        <v>FC BarcelonaFC Grönlingen</v>
      </c>
      <c r="AA140" s="12">
        <f t="shared" ca="1" si="69"/>
        <v>1</v>
      </c>
      <c r="AB140" s="12" t="str">
        <f ca="1">IF(AA140&gt;0,(Y68+AH68)&amp;Language!$E$80&amp;(X68+AG68),"")</f>
        <v>44-50</v>
      </c>
      <c r="AC140" s="2"/>
      <c r="AD140" s="141"/>
      <c r="AE140" s="598"/>
      <c r="AF140" s="599"/>
      <c r="AG140" s="599"/>
      <c r="AH140" s="599"/>
      <c r="AI140" s="607" t="str">
        <f ca="1">IF(AA68&gt;0,AF68&amp;Language!$E$80&amp;AE68,"")</f>
        <v>0-2</v>
      </c>
    </row>
    <row r="141" spans="2:35" x14ac:dyDescent="0.2">
      <c r="Y141" s="64" t="s">
        <v>11</v>
      </c>
      <c r="Z141" s="33" t="str">
        <f t="shared" ca="1" si="70"/>
        <v>Eintracht FrankfurtMainz 05</v>
      </c>
      <c r="AA141" s="12">
        <f t="shared" ca="1" si="69"/>
        <v>1</v>
      </c>
      <c r="AB141" s="12" t="str">
        <f ca="1">IF(AA141&gt;0,(Y69+AH69)&amp;Language!$E$80&amp;(X69+AG69),"")</f>
        <v>39-50</v>
      </c>
      <c r="AC141" s="2"/>
      <c r="AD141" s="141"/>
      <c r="AE141" s="598"/>
      <c r="AF141" s="599"/>
      <c r="AG141" s="599"/>
      <c r="AH141" s="599"/>
      <c r="AI141" s="607" t="str">
        <f ca="1">IF(AA69&gt;0,AF69&amp;Language!$E$80&amp;AE69,"")</f>
        <v>0-2</v>
      </c>
    </row>
    <row r="142" spans="2:35" x14ac:dyDescent="0.2">
      <c r="Y142" s="64" t="s">
        <v>16</v>
      </c>
      <c r="Z142" s="33" t="str">
        <f t="shared" ca="1" si="70"/>
        <v>VFB Essenheim</v>
      </c>
      <c r="AA142" s="12">
        <f t="shared" ca="1" si="69"/>
        <v>0</v>
      </c>
      <c r="AB142" s="12" t="str">
        <f ca="1">IF(AA142&gt;0,(Y70+AH70)&amp;Language!$E$80&amp;(X70+AG70),"")</f>
        <v/>
      </c>
      <c r="AC142" s="2"/>
      <c r="AD142" s="141"/>
      <c r="AE142" s="598"/>
      <c r="AF142" s="599"/>
      <c r="AG142" s="599"/>
      <c r="AH142" s="599"/>
      <c r="AI142" s="607" t="str">
        <f ca="1">IF(AA70&gt;0,AF70&amp;Language!$E$80&amp;AE70,"")</f>
        <v/>
      </c>
    </row>
    <row r="143" spans="2:35" x14ac:dyDescent="0.2">
      <c r="Y143" s="64" t="s">
        <v>17</v>
      </c>
      <c r="Z143" s="33" t="str">
        <f t="shared" ca="1" si="70"/>
        <v>FC Barcelona1. FC Riedwald</v>
      </c>
      <c r="AA143" s="12">
        <f t="shared" ca="1" si="69"/>
        <v>1</v>
      </c>
      <c r="AB143" s="12" t="str">
        <f ca="1">IF(AA143&gt;0,(Y71+AH71)&amp;Language!$E$80&amp;(X71+AG71),"")</f>
        <v>37-44</v>
      </c>
      <c r="AC143" s="2"/>
      <c r="AD143" s="141"/>
      <c r="AE143" s="598"/>
      <c r="AF143" s="599"/>
      <c r="AG143" s="599"/>
      <c r="AH143" s="599"/>
      <c r="AI143" s="607" t="str">
        <f ca="1">IF(AA71&gt;0,AF71&amp;Language!$E$80&amp;AE71,"")</f>
        <v>1-1</v>
      </c>
    </row>
    <row r="144" spans="2:35" x14ac:dyDescent="0.2">
      <c r="Y144" s="64" t="s">
        <v>18</v>
      </c>
      <c r="Z144" s="33" t="str">
        <f t="shared" ca="1" si="70"/>
        <v>Eintracht FrankfurtMaibach 1822 eV</v>
      </c>
      <c r="AA144" s="12">
        <f t="shared" ca="1" si="69"/>
        <v>1</v>
      </c>
      <c r="AB144" s="12" t="str">
        <f ca="1">IF(AA144&gt;0,(Y72+AH72)&amp;Language!$E$80&amp;(X72+AG72),"")</f>
        <v>50-31</v>
      </c>
      <c r="AC144" s="2"/>
      <c r="AD144" s="141"/>
      <c r="AE144" s="598"/>
      <c r="AF144" s="599"/>
      <c r="AG144" s="599"/>
      <c r="AH144" s="599"/>
      <c r="AI144" s="607" t="str">
        <f ca="1">IF(AA72&gt;0,AF72&amp;Language!$E$80&amp;AE72,"")</f>
        <v>2-0</v>
      </c>
    </row>
    <row r="145" spans="25:35" x14ac:dyDescent="0.2">
      <c r="Y145" s="64" t="s">
        <v>24</v>
      </c>
      <c r="Z145" s="33" t="str">
        <f t="shared" ca="1" si="70"/>
        <v>Inter Mailand</v>
      </c>
      <c r="AA145" s="12">
        <f t="shared" ca="1" si="69"/>
        <v>0</v>
      </c>
      <c r="AB145" s="12" t="str">
        <f ca="1">IF(AA145&gt;0,(Y73+AH73)&amp;Language!$E$80&amp;(X73+AG73),"")</f>
        <v/>
      </c>
      <c r="AC145" s="2"/>
      <c r="AD145" s="141"/>
      <c r="AE145" s="598"/>
      <c r="AF145" s="599"/>
      <c r="AG145" s="599"/>
      <c r="AH145" s="599"/>
      <c r="AI145" s="607" t="str">
        <f ca="1">IF(AA73&gt;0,AF73&amp;Language!$E$80&amp;AE73,"")</f>
        <v/>
      </c>
    </row>
    <row r="146" spans="25:35" x14ac:dyDescent="0.2">
      <c r="Y146" s="64" t="s">
        <v>25</v>
      </c>
      <c r="Z146" s="33" t="str">
        <f t="shared" ca="1" si="70"/>
        <v>SSV WildbachFC Grönlingen</v>
      </c>
      <c r="AA146" s="12">
        <f t="shared" ca="1" si="69"/>
        <v>1</v>
      </c>
      <c r="AB146" s="12" t="str">
        <f ca="1">IF(AA146&gt;0,(Y74+AH74)&amp;Language!$E$80&amp;(X74+AG74),"")</f>
        <v>45-47</v>
      </c>
      <c r="AC146" s="2"/>
      <c r="AD146" s="141"/>
      <c r="AE146" s="598"/>
      <c r="AF146" s="599"/>
      <c r="AG146" s="599"/>
      <c r="AH146" s="599"/>
      <c r="AI146" s="607" t="str">
        <f ca="1">IF(AA74&gt;0,AF74&amp;Language!$E$80&amp;AE74,"")</f>
        <v>1-1</v>
      </c>
    </row>
    <row r="147" spans="25:35" x14ac:dyDescent="0.2">
      <c r="Y147" s="64" t="s">
        <v>26</v>
      </c>
      <c r="Z147" s="33" t="str">
        <f t="shared" ca="1" si="70"/>
        <v>Manchester CityMainz 05</v>
      </c>
      <c r="AA147" s="12">
        <f t="shared" ca="1" si="69"/>
        <v>1</v>
      </c>
      <c r="AB147" s="12" t="str">
        <f ca="1">IF(AA147&gt;0,(Y75+AH75)&amp;Language!$E$80&amp;(X75+AG75),"")</f>
        <v>44-44</v>
      </c>
      <c r="AC147" s="2"/>
      <c r="AD147" s="141"/>
      <c r="AE147" s="598"/>
      <c r="AF147" s="599"/>
      <c r="AG147" s="599"/>
      <c r="AH147" s="599"/>
      <c r="AI147" s="607" t="str">
        <f ca="1">IF(AA75&gt;0,AF75&amp;Language!$E$80&amp;AE75,"")</f>
        <v>1-1</v>
      </c>
    </row>
    <row r="148" spans="25:35" x14ac:dyDescent="0.2">
      <c r="Y148" s="64" t="s">
        <v>27</v>
      </c>
      <c r="Z148" s="33" t="str">
        <f t="shared" ca="1" si="70"/>
        <v/>
      </c>
      <c r="AA148" s="12">
        <f t="shared" ca="1" si="69"/>
        <v>0</v>
      </c>
      <c r="AB148" s="12" t="str">
        <f ca="1">IF(AA148&gt;0,(Y76+AH76)&amp;Language!$E$80&amp;(X76+AG76),"")</f>
        <v/>
      </c>
      <c r="AC148" s="2"/>
      <c r="AD148" s="141"/>
      <c r="AE148" s="598"/>
      <c r="AF148" s="599"/>
      <c r="AG148" s="599"/>
      <c r="AH148" s="599"/>
      <c r="AI148" s="607" t="str">
        <f ca="1">IF(AA76&gt;0,AF76&amp;Language!$E$80&amp;AE76,"")</f>
        <v/>
      </c>
    </row>
    <row r="149" spans="25:35" x14ac:dyDescent="0.2">
      <c r="Y149" s="64" t="s">
        <v>28</v>
      </c>
      <c r="Z149" s="33" t="str">
        <f t="shared" ca="1" si="70"/>
        <v>SSV WildbachFC Barcelona</v>
      </c>
      <c r="AA149" s="12">
        <f t="shared" ca="1" si="69"/>
        <v>1</v>
      </c>
      <c r="AB149" s="12" t="str">
        <f ca="1">IF(AA149&gt;0,(Y77+AH77)&amp;Language!$E$80&amp;(X77+AG77),"")</f>
        <v>48-39</v>
      </c>
      <c r="AC149" s="2"/>
      <c r="AD149" s="141"/>
      <c r="AE149" s="598"/>
      <c r="AF149" s="599"/>
      <c r="AG149" s="599"/>
      <c r="AH149" s="599"/>
      <c r="AI149" s="607" t="str">
        <f ca="1">IF(AA77&gt;0,AF77&amp;Language!$E$80&amp;AE77,"")</f>
        <v>1-1</v>
      </c>
    </row>
    <row r="150" spans="25:35" x14ac:dyDescent="0.2">
      <c r="Y150" s="64" t="s">
        <v>29</v>
      </c>
      <c r="Z150" s="33" t="str">
        <f t="shared" ca="1" si="70"/>
        <v>Manchester CityEintracht Frankfurt</v>
      </c>
      <c r="AA150" s="12">
        <f t="shared" ca="1" si="69"/>
        <v>1</v>
      </c>
      <c r="AB150" s="12" t="str">
        <f ca="1">IF(AA150&gt;0,(Y78+AH78)&amp;Language!$E$80&amp;(X78+AG78),"")</f>
        <v>42-46</v>
      </c>
      <c r="AC150" s="2"/>
      <c r="AD150" s="141"/>
      <c r="AE150" s="598"/>
      <c r="AF150" s="599"/>
      <c r="AG150" s="599"/>
      <c r="AH150" s="599"/>
      <c r="AI150" s="607" t="str">
        <f ca="1">IF(AA78&gt;0,AF78&amp;Language!$E$80&amp;AE78,"")</f>
        <v>1-1</v>
      </c>
    </row>
    <row r="151" spans="25:35" x14ac:dyDescent="0.2">
      <c r="Y151" s="64" t="s">
        <v>30</v>
      </c>
      <c r="Z151" s="33" t="str">
        <f t="shared" ca="1" si="70"/>
        <v>Inter MailandVFB Essenheim</v>
      </c>
      <c r="AA151" s="12">
        <f t="shared" ca="1" si="69"/>
        <v>1</v>
      </c>
      <c r="AB151" s="12" t="str">
        <f ca="1">IF(AA151&gt;0,(Y79+AH79)&amp;Language!$E$80&amp;(X79+AG79),"")</f>
        <v>50-38</v>
      </c>
      <c r="AC151" s="2"/>
      <c r="AD151" s="141"/>
      <c r="AE151" s="598"/>
      <c r="AF151" s="599"/>
      <c r="AG151" s="599"/>
      <c r="AH151" s="599"/>
      <c r="AI151" s="607" t="str">
        <f ca="1">IF(AA79&gt;0,AF79&amp;Language!$E$80&amp;AE79,"")</f>
        <v>2-0</v>
      </c>
    </row>
    <row r="152" spans="25:35" x14ac:dyDescent="0.2">
      <c r="Y152" s="64" t="s">
        <v>31</v>
      </c>
      <c r="Z152" s="33" t="str">
        <f t="shared" ca="1" si="70"/>
        <v>FC Grönlingen1. FC Riedwald</v>
      </c>
      <c r="AA152" s="12">
        <f t="shared" ca="1" si="69"/>
        <v>1</v>
      </c>
      <c r="AB152" s="12" t="str">
        <f ca="1">IF(AA152&gt;0,(Y80+AH80)&amp;Language!$E$80&amp;(X80+AG80),"")</f>
        <v>39-50</v>
      </c>
      <c r="AC152" s="2"/>
      <c r="AD152" s="141"/>
      <c r="AE152" s="598"/>
      <c r="AF152" s="599"/>
      <c r="AG152" s="599"/>
      <c r="AH152" s="599"/>
      <c r="AI152" s="607" t="str">
        <f ca="1">IF(AA80&gt;0,AF80&amp;Language!$E$80&amp;AE80,"")</f>
        <v>0-2</v>
      </c>
    </row>
    <row r="153" spans="25:35" ht="12.75" thickBot="1" x14ac:dyDescent="0.25">
      <c r="Y153" s="311" t="s">
        <v>32</v>
      </c>
      <c r="Z153" s="313" t="str">
        <f t="shared" ca="1" si="70"/>
        <v>Mainz 05Maibach 1822 eV</v>
      </c>
      <c r="AA153" s="312">
        <f t="shared" ca="1" si="69"/>
        <v>1</v>
      </c>
      <c r="AB153" s="312" t="str">
        <f ca="1">IF(AA153&gt;0,(Y81+AH81)&amp;Language!$E$80&amp;(X81+AG81),"")</f>
        <v>33-50</v>
      </c>
      <c r="AC153" s="314"/>
      <c r="AD153" s="315"/>
      <c r="AE153" s="601"/>
      <c r="AF153" s="595"/>
      <c r="AG153" s="595"/>
      <c r="AH153" s="595"/>
      <c r="AI153" s="608" t="str">
        <f ca="1">IF(AA81&gt;0,AF81&amp;Language!$E$80&amp;AE81,"")</f>
        <v>0-2</v>
      </c>
    </row>
    <row r="154" spans="25:35" ht="12.75" thickTop="1" x14ac:dyDescent="0.2">
      <c r="Y154" s="64" t="s">
        <v>33</v>
      </c>
      <c r="Z154" s="33" t="str">
        <f>""</f>
        <v/>
      </c>
      <c r="AA154" s="12">
        <v>0</v>
      </c>
      <c r="AB154" s="12" t="str">
        <f>""</f>
        <v/>
      </c>
      <c r="AC154" s="2"/>
      <c r="AD154" s="141"/>
      <c r="AE154" s="598"/>
      <c r="AF154" s="599"/>
      <c r="AG154" s="599"/>
      <c r="AH154" s="599"/>
      <c r="AI154" s="607"/>
    </row>
    <row r="155" spans="25:35" x14ac:dyDescent="0.2">
      <c r="Y155" s="64" t="s">
        <v>34</v>
      </c>
      <c r="Z155" s="33" t="str">
        <f>""</f>
        <v/>
      </c>
      <c r="AA155" s="12">
        <v>0</v>
      </c>
      <c r="AB155" s="12" t="str">
        <f>""</f>
        <v/>
      </c>
      <c r="AC155" s="2"/>
      <c r="AD155" s="141"/>
      <c r="AE155" s="598"/>
      <c r="AF155" s="599"/>
      <c r="AG155" s="599"/>
      <c r="AH155" s="599"/>
      <c r="AI155" s="607"/>
    </row>
    <row r="156" spans="25:35" x14ac:dyDescent="0.2">
      <c r="Y156" s="64" t="s">
        <v>35</v>
      </c>
      <c r="Z156" s="33" t="str">
        <f>""</f>
        <v/>
      </c>
      <c r="AA156" s="12">
        <v>0</v>
      </c>
      <c r="AB156" s="12" t="str">
        <f>""</f>
        <v/>
      </c>
      <c r="AC156" s="2"/>
      <c r="AD156" s="141"/>
      <c r="AE156" s="598"/>
      <c r="AF156" s="599"/>
      <c r="AG156" s="599"/>
      <c r="AH156" s="599"/>
      <c r="AI156" s="607"/>
    </row>
    <row r="157" spans="25:35" x14ac:dyDescent="0.2">
      <c r="Y157" s="64" t="s">
        <v>36</v>
      </c>
      <c r="Z157" s="33" t="str">
        <f>""</f>
        <v/>
      </c>
      <c r="AA157" s="12">
        <v>0</v>
      </c>
      <c r="AB157" s="12" t="str">
        <f>""</f>
        <v/>
      </c>
      <c r="AC157" s="2"/>
      <c r="AD157" s="141"/>
      <c r="AE157" s="598"/>
      <c r="AF157" s="599"/>
      <c r="AG157" s="599"/>
      <c r="AH157" s="599"/>
      <c r="AI157" s="607"/>
    </row>
    <row r="158" spans="25:35" x14ac:dyDescent="0.2">
      <c r="Y158" s="64" t="s">
        <v>37</v>
      </c>
      <c r="Z158" s="33" t="str">
        <f>""</f>
        <v/>
      </c>
      <c r="AA158" s="12">
        <v>0</v>
      </c>
      <c r="AB158" s="12" t="str">
        <f>""</f>
        <v/>
      </c>
      <c r="AC158" s="2"/>
      <c r="AD158" s="141"/>
      <c r="AE158" s="598"/>
      <c r="AF158" s="599"/>
      <c r="AG158" s="599"/>
      <c r="AH158" s="599"/>
      <c r="AI158" s="607"/>
    </row>
    <row r="159" spans="25:35" x14ac:dyDescent="0.2">
      <c r="Y159" s="64" t="s">
        <v>38</v>
      </c>
      <c r="Z159" s="33" t="str">
        <f>""</f>
        <v/>
      </c>
      <c r="AA159" s="12">
        <v>0</v>
      </c>
      <c r="AB159" s="12" t="str">
        <f>""</f>
        <v/>
      </c>
      <c r="AC159" s="2"/>
      <c r="AD159" s="141"/>
      <c r="AE159" s="598"/>
      <c r="AF159" s="599"/>
      <c r="AG159" s="599"/>
      <c r="AH159" s="599"/>
      <c r="AI159" s="607"/>
    </row>
    <row r="160" spans="25:35" x14ac:dyDescent="0.2">
      <c r="Y160" s="64" t="s">
        <v>39</v>
      </c>
      <c r="Z160" s="33" t="str">
        <f>""</f>
        <v/>
      </c>
      <c r="AA160" s="12">
        <v>0</v>
      </c>
      <c r="AB160" s="12" t="str">
        <f>""</f>
        <v/>
      </c>
      <c r="AC160" s="2"/>
      <c r="AD160" s="141"/>
      <c r="AE160" s="598"/>
      <c r="AF160" s="599"/>
      <c r="AG160" s="599"/>
      <c r="AH160" s="599"/>
      <c r="AI160" s="607"/>
    </row>
    <row r="161" spans="25:35" x14ac:dyDescent="0.2">
      <c r="Y161" s="64" t="s">
        <v>40</v>
      </c>
      <c r="Z161" s="33" t="str">
        <f>""</f>
        <v/>
      </c>
      <c r="AA161" s="12">
        <v>0</v>
      </c>
      <c r="AB161" s="12" t="str">
        <f>""</f>
        <v/>
      </c>
      <c r="AC161" s="2"/>
      <c r="AD161" s="141"/>
      <c r="AE161" s="598"/>
      <c r="AF161" s="599"/>
      <c r="AG161" s="599"/>
      <c r="AH161" s="599"/>
      <c r="AI161" s="607"/>
    </row>
    <row r="162" spans="25:35" x14ac:dyDescent="0.2">
      <c r="Y162" s="64" t="s">
        <v>41</v>
      </c>
      <c r="Z162" s="33" t="str">
        <f>""</f>
        <v/>
      </c>
      <c r="AA162" s="12">
        <v>0</v>
      </c>
      <c r="AB162" s="12" t="str">
        <f>""</f>
        <v/>
      </c>
      <c r="AC162" s="2"/>
      <c r="AD162" s="141"/>
      <c r="AE162" s="598"/>
      <c r="AF162" s="599"/>
      <c r="AG162" s="599"/>
      <c r="AH162" s="599"/>
      <c r="AI162" s="607"/>
    </row>
    <row r="163" spans="25:35" x14ac:dyDescent="0.2">
      <c r="Y163" s="64" t="s">
        <v>42</v>
      </c>
      <c r="Z163" s="33" t="str">
        <f>""</f>
        <v/>
      </c>
      <c r="AA163" s="12">
        <v>0</v>
      </c>
      <c r="AB163" s="12" t="str">
        <f>""</f>
        <v/>
      </c>
      <c r="AC163" s="2"/>
      <c r="AD163" s="141"/>
      <c r="AE163" s="598"/>
      <c r="AF163" s="599"/>
      <c r="AG163" s="599"/>
      <c r="AH163" s="599"/>
      <c r="AI163" s="607"/>
    </row>
    <row r="164" spans="25:35" x14ac:dyDescent="0.2">
      <c r="Y164" s="64" t="s">
        <v>43</v>
      </c>
      <c r="Z164" s="33" t="str">
        <f>""</f>
        <v/>
      </c>
      <c r="AA164" s="12">
        <v>0</v>
      </c>
      <c r="AB164" s="12" t="str">
        <f>""</f>
        <v/>
      </c>
      <c r="AC164" s="2"/>
      <c r="AD164" s="141"/>
      <c r="AE164" s="598"/>
      <c r="AF164" s="599"/>
      <c r="AG164" s="599"/>
      <c r="AH164" s="599"/>
      <c r="AI164" s="607"/>
    </row>
    <row r="165" spans="25:35" x14ac:dyDescent="0.2">
      <c r="Y165" s="64" t="s">
        <v>44</v>
      </c>
      <c r="Z165" s="33" t="str">
        <f>""</f>
        <v/>
      </c>
      <c r="AA165" s="12">
        <v>0</v>
      </c>
      <c r="AB165" s="12" t="str">
        <f>""</f>
        <v/>
      </c>
      <c r="AC165" s="2"/>
      <c r="AD165" s="141"/>
      <c r="AE165" s="598"/>
      <c r="AF165" s="599"/>
      <c r="AG165" s="599"/>
      <c r="AH165" s="599"/>
      <c r="AI165" s="607"/>
    </row>
    <row r="166" spans="25:35" x14ac:dyDescent="0.2">
      <c r="Y166" s="64" t="s">
        <v>45</v>
      </c>
      <c r="Z166" s="33" t="str">
        <f>""</f>
        <v/>
      </c>
      <c r="AA166" s="12">
        <v>0</v>
      </c>
      <c r="AB166" s="12" t="str">
        <f>""</f>
        <v/>
      </c>
      <c r="AC166" s="2"/>
      <c r="AD166" s="141"/>
      <c r="AE166" s="598"/>
      <c r="AF166" s="599"/>
      <c r="AG166" s="599"/>
      <c r="AH166" s="599"/>
      <c r="AI166" s="607"/>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333</v>
      </c>
      <c r="K2" s="1"/>
      <c r="L2" s="1"/>
      <c r="M2" s="1"/>
      <c r="N2" s="12"/>
      <c r="O2" s="1"/>
      <c r="P2" s="1"/>
      <c r="Q2" s="1"/>
      <c r="W2" s="2" t="s">
        <v>150</v>
      </c>
    </row>
    <row r="3" spans="1:44"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74">
        <f ca="1">IF($O$4&lt;10,$O$4,0)</f>
        <v>0</v>
      </c>
      <c r="X3" s="975"/>
      <c r="Y3" s="975"/>
      <c r="Z3" s="975"/>
      <c r="AA3" s="975"/>
      <c r="AB3" s="974">
        <f ca="1">IF($P$4&lt;10,$P$4,0)</f>
        <v>0</v>
      </c>
      <c r="AC3" s="975"/>
      <c r="AD3" s="975"/>
      <c r="AE3" s="975"/>
      <c r="AF3" s="975"/>
      <c r="AG3" s="974">
        <f ca="1">IF($Q$4&lt;10,$Q$4,0)</f>
        <v>0</v>
      </c>
      <c r="AH3" s="975"/>
      <c r="AI3" s="975"/>
      <c r="AJ3" s="975"/>
      <c r="AK3" s="975"/>
      <c r="AL3" s="974">
        <f ca="1">IF($R$4&lt;10,$R$4,0)</f>
        <v>0</v>
      </c>
      <c r="AM3" s="975"/>
      <c r="AN3" s="975"/>
      <c r="AO3" s="975"/>
      <c r="AP3" s="975"/>
    </row>
    <row r="4" spans="1:44" s="2" customFormat="1" ht="12.75" thickTop="1" x14ac:dyDescent="0.2">
      <c r="A4" s="239"/>
      <c r="B4" s="1">
        <v>1</v>
      </c>
      <c r="C4" s="20">
        <f t="shared" ref="C4:C12" ca="1" si="1">RANK(D4,$D$4:$D$12,1)</f>
        <v>2</v>
      </c>
      <c r="D4" s="12">
        <f t="shared" ref="D4:D12" ca="1" si="2">E4+ROW()/1000+(F4="")*10</f>
        <v>9.0039999999999996</v>
      </c>
      <c r="E4" s="252">
        <f t="shared" ref="E4:E12" ca="1" si="3">IF($AI$15,RANK(AH17,AH$17:AH$25,1),RANK(X17,X$17:X$25,1))</f>
        <v>9</v>
      </c>
      <c r="F4" s="1" t="str">
        <f ca="1">$Q64</f>
        <v>VFB Essenheim</v>
      </c>
      <c r="G4" s="1">
        <f t="shared" ref="G4:G12" ca="1" si="4">SUMIFS($X$64:$X$135,$V$64:$V$135,$F4)+SUMIFS($Y$64:$Y$135,$W$64:$W$135,$F4)+SUMIFS($AG$64:$AG$135,$V$64:$V$135,$F4)+SUMIFS($AH$64:$AH$135,$W$64:$W$135,$F4)</f>
        <v>38</v>
      </c>
      <c r="H4" s="1">
        <f t="shared" ref="H4:H12" ca="1" si="5">SUMIFS($Y$64:$Y$135,$V$64:$V$135,$F4)+SUMIFS($X$64:$X$135,$W$64:$W$135,$F4)+SUMIFS($AH$64:$AH$135,$V$64:$V$135,$F4)+SUMIFS($AG$64:$AG$135,$W$64:$W$135,$F4)</f>
        <v>50</v>
      </c>
      <c r="I4" s="12">
        <f ca="1">IF(Settings!$G$7,G4-H4,IF(H4=0,IF(G4=0,0,Settings!$F$7),G4/H4))</f>
        <v>-12</v>
      </c>
      <c r="J4" s="1">
        <f t="shared" ref="J4:J7" ca="1" si="6">SUMPRODUCT(($V$64:$V$135=F4)*$AE$64:$AE$135*$AA$64:$AA$135)+SUMPRODUCT(($W$64:$W$135=F4)*$AF$64:$AF$135*$AA$64:$AA$135)</f>
        <v>0</v>
      </c>
      <c r="K4" s="1">
        <f t="shared" ref="K4:K12" ca="1" si="7">SUMPRODUCT(($V$64:$V$135=F4)*$AA$64:$AA$135)+SUMPRODUCT(($W$64:$W$135=F4)*$AA$64:$AA$135)</f>
        <v>1</v>
      </c>
      <c r="L4" s="1">
        <f t="shared" ref="L4:L12" ca="1" si="8">K4-M4-N4</f>
        <v>0</v>
      </c>
      <c r="M4" s="1">
        <f t="shared" ref="M4:M12" ca="1" si="9">SUMPRODUCT(($V$64:$W$135=F4)*($AE$64:$AE$135=$AF$64:$AF$135)*$AA$64:$AA$135)</f>
        <v>0</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1.0204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1.0204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1.0204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1.0204</v>
      </c>
      <c r="AP4" s="578">
        <f t="shared" ref="AP4:AP12" ca="1" si="30">RANK($AO4,$AO$4:$AO$12,1)</f>
        <v>1</v>
      </c>
      <c r="AR4" s="2">
        <f ca="1">IF(Settings!$G$7,$I4,ROUND($I4,Settings!$H$7))</f>
        <v>-12</v>
      </c>
    </row>
    <row r="5" spans="1:44" s="2" customFormat="1" x14ac:dyDescent="0.2">
      <c r="A5" s="239"/>
      <c r="B5" s="1">
        <v>2</v>
      </c>
      <c r="C5" s="21">
        <f t="shared" ca="1" si="1"/>
        <v>1</v>
      </c>
      <c r="D5" s="12">
        <f t="shared" ca="1" si="2"/>
        <v>1.0049999999999999</v>
      </c>
      <c r="E5" s="252">
        <f t="shared" ca="1" si="3"/>
        <v>1</v>
      </c>
      <c r="F5" s="1" t="str">
        <f t="shared" ref="F5:F12" ca="1" si="31">$Q65</f>
        <v>Inter Mailand</v>
      </c>
      <c r="G5" s="1">
        <f t="shared" ca="1" si="4"/>
        <v>50</v>
      </c>
      <c r="H5" s="1">
        <f t="shared" ca="1" si="5"/>
        <v>38</v>
      </c>
      <c r="I5" s="12">
        <f ca="1">IF(Settings!$G$7,G5-H5,IF(H5=0,IF(G5=0,0,Settings!$F$7),G5/H5))</f>
        <v>12</v>
      </c>
      <c r="J5" s="1">
        <f t="shared" ca="1" si="6"/>
        <v>2</v>
      </c>
      <c r="K5" s="1">
        <f t="shared" ca="1" si="7"/>
        <v>1</v>
      </c>
      <c r="L5" s="1">
        <f t="shared" ca="1" si="8"/>
        <v>1</v>
      </c>
      <c r="M5" s="1">
        <f t="shared" ca="1" si="9"/>
        <v>0</v>
      </c>
      <c r="N5" s="1">
        <f t="shared" ca="1" si="10"/>
        <v>0</v>
      </c>
      <c r="O5" s="23"/>
      <c r="P5" s="24"/>
      <c r="V5" s="1"/>
      <c r="W5" s="575" t="str">
        <f t="shared" ca="1" si="11"/>
        <v/>
      </c>
      <c r="X5" s="576" t="str">
        <f t="shared" ca="1" si="12"/>
        <v/>
      </c>
      <c r="Y5" s="573">
        <f t="shared" ca="1" si="13"/>
        <v>99999</v>
      </c>
      <c r="Z5" s="573">
        <f t="shared" ca="1" si="14"/>
        <v>1.0205</v>
      </c>
      <c r="AA5" s="578">
        <f t="shared" ca="1" si="15"/>
        <v>2</v>
      </c>
      <c r="AB5" s="575" t="str">
        <f t="shared" ca="1" si="16"/>
        <v/>
      </c>
      <c r="AC5" s="576" t="str">
        <f t="shared" ca="1" si="17"/>
        <v/>
      </c>
      <c r="AD5" s="577">
        <f t="shared" ca="1" si="18"/>
        <v>99999</v>
      </c>
      <c r="AE5" s="573">
        <f t="shared" ca="1" si="19"/>
        <v>1.0205</v>
      </c>
      <c r="AF5" s="573">
        <f t="shared" ca="1" si="20"/>
        <v>2</v>
      </c>
      <c r="AG5" s="575" t="str">
        <f t="shared" ca="1" si="21"/>
        <v/>
      </c>
      <c r="AH5" s="576" t="str">
        <f t="shared" ca="1" si="22"/>
        <v/>
      </c>
      <c r="AI5" s="577">
        <f t="shared" ca="1" si="23"/>
        <v>99999</v>
      </c>
      <c r="AJ5" s="573">
        <f t="shared" ca="1" si="24"/>
        <v>1.0205</v>
      </c>
      <c r="AK5" s="578">
        <f t="shared" ca="1" si="25"/>
        <v>2</v>
      </c>
      <c r="AL5" s="576" t="str">
        <f t="shared" ca="1" si="26"/>
        <v/>
      </c>
      <c r="AM5" s="576" t="str">
        <f t="shared" ca="1" si="27"/>
        <v/>
      </c>
      <c r="AN5" s="577">
        <f t="shared" ca="1" si="28"/>
        <v>99999</v>
      </c>
      <c r="AO5" s="573">
        <f t="shared" ca="1" si="29"/>
        <v>1.0205</v>
      </c>
      <c r="AP5" s="578">
        <f t="shared" ca="1" si="30"/>
        <v>2</v>
      </c>
      <c r="AR5" s="2">
        <f ca="1">IF(Settings!$G$7,$I5,ROUND($I5,Settings!$H$7))</f>
        <v>12</v>
      </c>
    </row>
    <row r="6" spans="1:44" s="2" customFormat="1" x14ac:dyDescent="0.2">
      <c r="A6" s="239"/>
      <c r="B6" s="1">
        <v>3</v>
      </c>
      <c r="C6" s="21">
        <f t="shared" ca="1" si="1"/>
        <v>3</v>
      </c>
      <c r="D6" s="12">
        <f t="shared" ca="1" si="2"/>
        <v>12.006</v>
      </c>
      <c r="E6" s="252">
        <f t="shared" ca="1" si="3"/>
        <v>2</v>
      </c>
      <c r="F6" s="1" t="str">
        <f t="shared" ca="1" si="31"/>
        <v/>
      </c>
      <c r="G6" s="1">
        <f t="shared" ca="1" si="4"/>
        <v>0</v>
      </c>
      <c r="H6" s="1">
        <f t="shared" ca="1" si="5"/>
        <v>0</v>
      </c>
      <c r="I6" s="12">
        <f ca="1">IF(Settings!$G$7,G6-H6,IF(H6=0,IF(G6=0,0,Settings!$F$7),G6/H6))</f>
        <v>0</v>
      </c>
      <c r="J6" s="1">
        <f t="shared" ca="1" si="6"/>
        <v>0</v>
      </c>
      <c r="K6" s="1">
        <f t="shared" ca="1" si="7"/>
        <v>0</v>
      </c>
      <c r="L6" s="1">
        <f t="shared" ca="1" si="8"/>
        <v>0</v>
      </c>
      <c r="M6" s="1">
        <f t="shared" ca="1" si="9"/>
        <v>0</v>
      </c>
      <c r="N6" s="1">
        <f t="shared" ca="1" si="10"/>
        <v>0</v>
      </c>
      <c r="O6" s="23"/>
      <c r="P6" s="24"/>
      <c r="V6" s="1"/>
      <c r="W6" s="575" t="str">
        <f t="shared" ca="1" si="11"/>
        <v/>
      </c>
      <c r="X6" s="576" t="str">
        <f t="shared" ca="1" si="12"/>
        <v/>
      </c>
      <c r="Y6" s="573">
        <f t="shared" ca="1" si="13"/>
        <v>99999</v>
      </c>
      <c r="Z6" s="573">
        <f t="shared" ca="1" si="14"/>
        <v>1.0206</v>
      </c>
      <c r="AA6" s="578">
        <f t="shared" ca="1" si="15"/>
        <v>3</v>
      </c>
      <c r="AB6" s="575" t="str">
        <f t="shared" ca="1" si="16"/>
        <v/>
      </c>
      <c r="AC6" s="576" t="str">
        <f t="shared" ca="1" si="17"/>
        <v/>
      </c>
      <c r="AD6" s="577">
        <f t="shared" ca="1" si="18"/>
        <v>99999</v>
      </c>
      <c r="AE6" s="573">
        <f t="shared" ca="1" si="19"/>
        <v>1.0206</v>
      </c>
      <c r="AF6" s="573">
        <f t="shared" ca="1" si="20"/>
        <v>3</v>
      </c>
      <c r="AG6" s="575" t="str">
        <f t="shared" ca="1" si="21"/>
        <v/>
      </c>
      <c r="AH6" s="576" t="str">
        <f t="shared" ca="1" si="22"/>
        <v/>
      </c>
      <c r="AI6" s="577">
        <f t="shared" ca="1" si="23"/>
        <v>99999</v>
      </c>
      <c r="AJ6" s="573">
        <f t="shared" ca="1" si="24"/>
        <v>1.0206</v>
      </c>
      <c r="AK6" s="578">
        <f t="shared" ca="1" si="25"/>
        <v>3</v>
      </c>
      <c r="AL6" s="576" t="str">
        <f t="shared" ca="1" si="26"/>
        <v/>
      </c>
      <c r="AM6" s="576" t="str">
        <f t="shared" ca="1" si="27"/>
        <v/>
      </c>
      <c r="AN6" s="577">
        <f t="shared" ca="1" si="28"/>
        <v>99999</v>
      </c>
      <c r="AO6" s="573">
        <f t="shared" ca="1" si="29"/>
        <v>1.0206</v>
      </c>
      <c r="AP6" s="578">
        <f t="shared" ca="1" si="30"/>
        <v>3</v>
      </c>
      <c r="AR6" s="2">
        <f ca="1">IF(Settings!$G$7,$I6,ROUND($I6,Settings!$H$7))</f>
        <v>0</v>
      </c>
    </row>
    <row r="7" spans="1:44" s="2" customFormat="1" x14ac:dyDescent="0.2">
      <c r="A7" s="239"/>
      <c r="B7" s="1">
        <v>4</v>
      </c>
      <c r="C7" s="21">
        <f t="shared" ca="1" si="1"/>
        <v>4</v>
      </c>
      <c r="D7" s="12">
        <f t="shared" ca="1" si="2"/>
        <v>12.007</v>
      </c>
      <c r="E7" s="252">
        <f t="shared" ca="1" si="3"/>
        <v>2</v>
      </c>
      <c r="F7" s="1" t="str">
        <f t="shared" ca="1" si="31"/>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75" t="str">
        <f t="shared" ca="1" si="11"/>
        <v/>
      </c>
      <c r="X7" s="576" t="str">
        <f t="shared" ca="1" si="12"/>
        <v/>
      </c>
      <c r="Y7" s="573">
        <f t="shared" ca="1" si="13"/>
        <v>99999</v>
      </c>
      <c r="Z7" s="573">
        <f t="shared" ca="1" si="14"/>
        <v>1.0206999999999999</v>
      </c>
      <c r="AA7" s="578">
        <f t="shared" ca="1" si="15"/>
        <v>4</v>
      </c>
      <c r="AB7" s="575" t="str">
        <f t="shared" ca="1" si="16"/>
        <v/>
      </c>
      <c r="AC7" s="576" t="str">
        <f t="shared" ca="1" si="17"/>
        <v/>
      </c>
      <c r="AD7" s="577">
        <f t="shared" ca="1" si="18"/>
        <v>99999</v>
      </c>
      <c r="AE7" s="573">
        <f t="shared" ca="1" si="19"/>
        <v>1.0206999999999999</v>
      </c>
      <c r="AF7" s="573">
        <f t="shared" ca="1" si="20"/>
        <v>4</v>
      </c>
      <c r="AG7" s="575" t="str">
        <f t="shared" ca="1" si="21"/>
        <v/>
      </c>
      <c r="AH7" s="576" t="str">
        <f t="shared" ca="1" si="22"/>
        <v/>
      </c>
      <c r="AI7" s="577">
        <f t="shared" ca="1" si="23"/>
        <v>99999</v>
      </c>
      <c r="AJ7" s="573">
        <f t="shared" ca="1" si="24"/>
        <v>1.0206999999999999</v>
      </c>
      <c r="AK7" s="578">
        <f t="shared" ca="1" si="25"/>
        <v>4</v>
      </c>
      <c r="AL7" s="576" t="str">
        <f t="shared" ca="1" si="26"/>
        <v/>
      </c>
      <c r="AM7" s="576" t="str">
        <f t="shared" ca="1" si="27"/>
        <v/>
      </c>
      <c r="AN7" s="577">
        <f t="shared" ca="1" si="28"/>
        <v>99999</v>
      </c>
      <c r="AO7" s="573">
        <f t="shared" ca="1" si="29"/>
        <v>1.0206999999999999</v>
      </c>
      <c r="AP7" s="578">
        <f t="shared" ca="1" si="30"/>
        <v>4</v>
      </c>
      <c r="AR7" s="2">
        <f ca="1">IF(Settings!$G$7,$I7,ROUND($I7,Settings!$H$7))</f>
        <v>0</v>
      </c>
    </row>
    <row r="8" spans="1:44" s="2" customFormat="1" x14ac:dyDescent="0.2">
      <c r="A8" s="239"/>
      <c r="B8" s="1">
        <v>5</v>
      </c>
      <c r="C8" s="21">
        <f t="shared" ca="1" si="1"/>
        <v>5</v>
      </c>
      <c r="D8" s="12">
        <f t="shared" ca="1" si="2"/>
        <v>12.007999999999999</v>
      </c>
      <c r="E8" s="252">
        <f t="shared" ca="1" si="3"/>
        <v>2</v>
      </c>
      <c r="F8" s="1" t="str">
        <f t="shared" si="31"/>
        <v/>
      </c>
      <c r="G8" s="1">
        <f t="shared" ca="1" si="4"/>
        <v>0</v>
      </c>
      <c r="H8" s="1">
        <f t="shared" ca="1" si="5"/>
        <v>0</v>
      </c>
      <c r="I8" s="12">
        <f ca="1">IF(Settings!$G$7,G8-H8,IF(H8=0,IF(G8=0,0,Settings!$F$7),G8/H8))</f>
        <v>0</v>
      </c>
      <c r="J8" s="1">
        <f ca="1">SUMPRODUCT(($V$64:$V$135=F8)*$AE$64:$AE$135*$AA$64:$AA$135)+SUMPRODUCT(($W$64:$W$135=F8)*$AF$64:$AF$135*$AA$64:$AA$135)</f>
        <v>0</v>
      </c>
      <c r="K8" s="1">
        <f t="shared" ca="1" si="7"/>
        <v>0</v>
      </c>
      <c r="L8" s="1">
        <f t="shared" ca="1" si="8"/>
        <v>0</v>
      </c>
      <c r="M8" s="1">
        <f t="shared" ca="1" si="9"/>
        <v>0</v>
      </c>
      <c r="N8" s="1">
        <f t="shared" ca="1" si="10"/>
        <v>0</v>
      </c>
      <c r="P8" s="24"/>
      <c r="W8" s="575" t="str">
        <f t="shared" ca="1" si="11"/>
        <v/>
      </c>
      <c r="X8" s="576" t="str">
        <f t="shared" ca="1" si="12"/>
        <v/>
      </c>
      <c r="Y8" s="573">
        <f t="shared" ca="1" si="13"/>
        <v>99999</v>
      </c>
      <c r="Z8" s="573">
        <f t="shared" ca="1" si="14"/>
        <v>1.0207999999999999</v>
      </c>
      <c r="AA8" s="578">
        <f t="shared" ca="1" si="15"/>
        <v>5</v>
      </c>
      <c r="AB8" s="575" t="str">
        <f t="shared" ca="1" si="16"/>
        <v/>
      </c>
      <c r="AC8" s="576" t="str">
        <f t="shared" ca="1" si="17"/>
        <v/>
      </c>
      <c r="AD8" s="577">
        <f t="shared" ca="1" si="18"/>
        <v>99999</v>
      </c>
      <c r="AE8" s="573">
        <f t="shared" ca="1" si="19"/>
        <v>1.0207999999999999</v>
      </c>
      <c r="AF8" s="573">
        <f t="shared" ca="1" si="20"/>
        <v>5</v>
      </c>
      <c r="AG8" s="575" t="str">
        <f t="shared" ca="1" si="21"/>
        <v/>
      </c>
      <c r="AH8" s="576" t="str">
        <f t="shared" ca="1" si="22"/>
        <v/>
      </c>
      <c r="AI8" s="577">
        <f t="shared" ca="1" si="23"/>
        <v>99999</v>
      </c>
      <c r="AJ8" s="573">
        <f t="shared" ca="1" si="24"/>
        <v>1.0207999999999999</v>
      </c>
      <c r="AK8" s="578">
        <f t="shared" ca="1" si="25"/>
        <v>5</v>
      </c>
      <c r="AL8" s="576" t="str">
        <f t="shared" ca="1" si="26"/>
        <v/>
      </c>
      <c r="AM8" s="576" t="str">
        <f t="shared" ca="1" si="27"/>
        <v/>
      </c>
      <c r="AN8" s="577">
        <f t="shared" ca="1" si="28"/>
        <v>99999</v>
      </c>
      <c r="AO8" s="573">
        <f t="shared" ca="1" si="29"/>
        <v>1.0207999999999999</v>
      </c>
      <c r="AP8" s="578">
        <f t="shared" ca="1" si="30"/>
        <v>5</v>
      </c>
      <c r="AR8" s="2">
        <f ca="1">IF(Settings!$G$7,$I8,ROUND($I8,Settings!$H$7))</f>
        <v>0</v>
      </c>
    </row>
    <row r="9" spans="1:44" s="2" customFormat="1" x14ac:dyDescent="0.2">
      <c r="A9" s="239"/>
      <c r="B9" s="1">
        <v>6</v>
      </c>
      <c r="C9" s="21">
        <f t="shared" ca="1" si="1"/>
        <v>6</v>
      </c>
      <c r="D9" s="12">
        <f t="shared" ca="1" si="2"/>
        <v>12.009</v>
      </c>
      <c r="E9" s="252">
        <f t="shared" ca="1" si="3"/>
        <v>2</v>
      </c>
      <c r="F9" s="1" t="str">
        <f t="shared" si="31"/>
        <v/>
      </c>
      <c r="G9" s="1">
        <f t="shared" ca="1" si="4"/>
        <v>0</v>
      </c>
      <c r="H9" s="1">
        <f t="shared" ca="1" si="5"/>
        <v>0</v>
      </c>
      <c r="I9" s="12">
        <f ca="1">IF(Settings!$G$7,G9-H9,IF(H9=0,IF(G9=0,0,Settings!$F$7),G9/H9))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1.0208999999999999</v>
      </c>
      <c r="AA9" s="578">
        <f t="shared" ca="1" si="15"/>
        <v>6</v>
      </c>
      <c r="AB9" s="575" t="str">
        <f t="shared" ca="1" si="16"/>
        <v/>
      </c>
      <c r="AC9" s="576" t="str">
        <f t="shared" ca="1" si="17"/>
        <v/>
      </c>
      <c r="AD9" s="577">
        <f t="shared" ca="1" si="18"/>
        <v>99999</v>
      </c>
      <c r="AE9" s="573">
        <f t="shared" ca="1" si="19"/>
        <v>1.0208999999999999</v>
      </c>
      <c r="AF9" s="573">
        <f t="shared" ca="1" si="20"/>
        <v>6</v>
      </c>
      <c r="AG9" s="575" t="str">
        <f t="shared" ca="1" si="21"/>
        <v/>
      </c>
      <c r="AH9" s="576" t="str">
        <f t="shared" ca="1" si="22"/>
        <v/>
      </c>
      <c r="AI9" s="577">
        <f t="shared" ca="1" si="23"/>
        <v>99999</v>
      </c>
      <c r="AJ9" s="573">
        <f t="shared" ca="1" si="24"/>
        <v>1.0208999999999999</v>
      </c>
      <c r="AK9" s="578">
        <f t="shared" ca="1" si="25"/>
        <v>6</v>
      </c>
      <c r="AL9" s="576" t="str">
        <f t="shared" ca="1" si="26"/>
        <v/>
      </c>
      <c r="AM9" s="576" t="str">
        <f t="shared" ca="1" si="27"/>
        <v/>
      </c>
      <c r="AN9" s="577">
        <f t="shared" ca="1" si="28"/>
        <v>99999</v>
      </c>
      <c r="AO9" s="573">
        <f t="shared" ca="1" si="29"/>
        <v>1.0208999999999999</v>
      </c>
      <c r="AP9" s="578">
        <f t="shared" ca="1" si="30"/>
        <v>6</v>
      </c>
      <c r="AR9" s="2">
        <f ca="1">IF(Settings!$G$7,$I9,ROUND($I9,Settings!$H$7))</f>
        <v>0</v>
      </c>
    </row>
    <row r="10" spans="1:44" s="2" customFormat="1" x14ac:dyDescent="0.2">
      <c r="A10" s="239"/>
      <c r="B10" s="1">
        <v>7</v>
      </c>
      <c r="C10" s="21">
        <f t="shared" ca="1" si="1"/>
        <v>7</v>
      </c>
      <c r="D10" s="12">
        <f t="shared" ca="1" si="2"/>
        <v>12.01</v>
      </c>
      <c r="E10" s="252">
        <f t="shared" ca="1" si="3"/>
        <v>2</v>
      </c>
      <c r="F10" s="1" t="str">
        <f t="shared" si="31"/>
        <v/>
      </c>
      <c r="G10" s="1">
        <f t="shared" ca="1" si="4"/>
        <v>0</v>
      </c>
      <c r="H10" s="1">
        <f t="shared" ca="1" si="5"/>
        <v>0</v>
      </c>
      <c r="I10" s="12">
        <f ca="1">IF(Settings!$G$7,G10-H10,IF(H10=0,IF(G10=0,0,Settings!$F$7),G10/H10))</f>
        <v>0</v>
      </c>
      <c r="J10" s="1">
        <f t="shared" ca="1" si="32"/>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1.0209999999999999</v>
      </c>
      <c r="AA10" s="578">
        <f t="shared" ca="1" si="15"/>
        <v>7</v>
      </c>
      <c r="AB10" s="575" t="str">
        <f t="shared" ca="1" si="16"/>
        <v/>
      </c>
      <c r="AC10" s="576" t="str">
        <f t="shared" ca="1" si="17"/>
        <v/>
      </c>
      <c r="AD10" s="577">
        <f t="shared" ca="1" si="18"/>
        <v>99999</v>
      </c>
      <c r="AE10" s="573">
        <f t="shared" ca="1" si="19"/>
        <v>1.0209999999999999</v>
      </c>
      <c r="AF10" s="573">
        <f t="shared" ca="1" si="20"/>
        <v>7</v>
      </c>
      <c r="AG10" s="575" t="str">
        <f t="shared" ca="1" si="21"/>
        <v/>
      </c>
      <c r="AH10" s="576" t="str">
        <f t="shared" ca="1" si="22"/>
        <v/>
      </c>
      <c r="AI10" s="577">
        <f t="shared" ca="1" si="23"/>
        <v>99999</v>
      </c>
      <c r="AJ10" s="573">
        <f t="shared" ca="1" si="24"/>
        <v>1.0209999999999999</v>
      </c>
      <c r="AK10" s="578">
        <f t="shared" ca="1" si="25"/>
        <v>7</v>
      </c>
      <c r="AL10" s="576" t="str">
        <f t="shared" ca="1" si="26"/>
        <v/>
      </c>
      <c r="AM10" s="576" t="str">
        <f t="shared" ca="1" si="27"/>
        <v/>
      </c>
      <c r="AN10" s="577">
        <f t="shared" ca="1" si="28"/>
        <v>99999</v>
      </c>
      <c r="AO10" s="573">
        <f t="shared" ca="1" si="29"/>
        <v>1.0209999999999999</v>
      </c>
      <c r="AP10" s="578">
        <f t="shared" ca="1" si="30"/>
        <v>7</v>
      </c>
      <c r="AR10" s="2">
        <f ca="1">IF(Settings!$G$7,$I10,ROUND($I10,Settings!$H$7))</f>
        <v>0</v>
      </c>
    </row>
    <row r="11" spans="1:44" s="2" customFormat="1" x14ac:dyDescent="0.2">
      <c r="A11" s="239"/>
      <c r="B11" s="1">
        <v>8</v>
      </c>
      <c r="C11" s="21">
        <f t="shared" ca="1" si="1"/>
        <v>8</v>
      </c>
      <c r="D11" s="12">
        <f t="shared" ca="1" si="2"/>
        <v>12.010999999999999</v>
      </c>
      <c r="E11" s="252">
        <f t="shared" ca="1" si="3"/>
        <v>2</v>
      </c>
      <c r="F11" s="1" t="str">
        <f t="shared" si="31"/>
        <v/>
      </c>
      <c r="G11" s="1">
        <f t="shared" ca="1" si="4"/>
        <v>0</v>
      </c>
      <c r="H11" s="1">
        <f t="shared" ca="1" si="5"/>
        <v>0</v>
      </c>
      <c r="I11" s="12">
        <f ca="1">IF(Settings!$G$7,G11-H11,IF(H11=0,IF(G11=0,0,Settings!$F$7),G11/H11))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1.0211000000000001</v>
      </c>
      <c r="AA11" s="578">
        <f t="shared" ca="1" si="15"/>
        <v>8</v>
      </c>
      <c r="AB11" s="575" t="str">
        <f t="shared" ca="1" si="16"/>
        <v/>
      </c>
      <c r="AC11" s="576" t="str">
        <f t="shared" ca="1" si="17"/>
        <v/>
      </c>
      <c r="AD11" s="577">
        <f t="shared" ca="1" si="18"/>
        <v>99999</v>
      </c>
      <c r="AE11" s="573">
        <f t="shared" ca="1" si="19"/>
        <v>1.0211000000000001</v>
      </c>
      <c r="AF11" s="573">
        <f t="shared" ca="1" si="20"/>
        <v>8</v>
      </c>
      <c r="AG11" s="575" t="str">
        <f t="shared" ca="1" si="21"/>
        <v/>
      </c>
      <c r="AH11" s="576" t="str">
        <f t="shared" ca="1" si="22"/>
        <v/>
      </c>
      <c r="AI11" s="577">
        <f t="shared" ca="1" si="23"/>
        <v>99999</v>
      </c>
      <c r="AJ11" s="573">
        <f t="shared" ca="1" si="24"/>
        <v>1.0211000000000001</v>
      </c>
      <c r="AK11" s="578">
        <f t="shared" ca="1" si="25"/>
        <v>8</v>
      </c>
      <c r="AL11" s="576" t="str">
        <f t="shared" ca="1" si="26"/>
        <v/>
      </c>
      <c r="AM11" s="576" t="str">
        <f t="shared" ca="1" si="27"/>
        <v/>
      </c>
      <c r="AN11" s="577">
        <f t="shared" ca="1" si="28"/>
        <v>99999</v>
      </c>
      <c r="AO11" s="573">
        <f t="shared" ca="1" si="29"/>
        <v>1.0211000000000001</v>
      </c>
      <c r="AP11" s="578">
        <f t="shared" ca="1" si="30"/>
        <v>8</v>
      </c>
      <c r="AR11" s="2">
        <f ca="1">IF(Settings!$G$7,$I11,ROUND($I11,Settings!$H$7))</f>
        <v>0</v>
      </c>
    </row>
    <row r="12" spans="1:44" s="2" customFormat="1" ht="12.75" thickBot="1" x14ac:dyDescent="0.25">
      <c r="A12" s="239"/>
      <c r="B12" s="1">
        <v>9</v>
      </c>
      <c r="C12" s="22">
        <f t="shared" ca="1" si="1"/>
        <v>9</v>
      </c>
      <c r="D12" s="12">
        <f t="shared" ca="1" si="2"/>
        <v>12.012</v>
      </c>
      <c r="E12" s="252">
        <f t="shared" ca="1" si="3"/>
        <v>2</v>
      </c>
      <c r="F12" s="1" t="str">
        <f t="shared" si="31"/>
        <v/>
      </c>
      <c r="G12" s="1">
        <f t="shared" ca="1" si="4"/>
        <v>0</v>
      </c>
      <c r="H12" s="1">
        <f t="shared" ca="1" si="5"/>
        <v>0</v>
      </c>
      <c r="I12" s="12">
        <f ca="1">IF(Settings!$G$7,G12-H12,IF(H12=0,IF(G12=0,0,Settings!$F$7),G12/H12))</f>
        <v>0</v>
      </c>
      <c r="J12" s="1">
        <f t="shared" ca="1" si="32"/>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1.0212000000000001</v>
      </c>
      <c r="AA12" s="582">
        <f t="shared" ca="1" si="15"/>
        <v>9</v>
      </c>
      <c r="AB12" s="579" t="str">
        <f t="shared" ca="1" si="16"/>
        <v/>
      </c>
      <c r="AC12" s="580" t="str">
        <f t="shared" ca="1" si="17"/>
        <v/>
      </c>
      <c r="AD12" s="583">
        <f t="shared" ca="1" si="18"/>
        <v>99999</v>
      </c>
      <c r="AE12" s="581">
        <f t="shared" ca="1" si="19"/>
        <v>1.0212000000000001</v>
      </c>
      <c r="AF12" s="581">
        <f t="shared" ca="1" si="20"/>
        <v>9</v>
      </c>
      <c r="AG12" s="579" t="str">
        <f t="shared" ca="1" si="21"/>
        <v/>
      </c>
      <c r="AH12" s="580" t="str">
        <f t="shared" ca="1" si="22"/>
        <v/>
      </c>
      <c r="AI12" s="583">
        <f t="shared" ca="1" si="23"/>
        <v>99999</v>
      </c>
      <c r="AJ12" s="581">
        <f t="shared" ca="1" si="24"/>
        <v>1.0212000000000001</v>
      </c>
      <c r="AK12" s="582">
        <f t="shared" ca="1" si="25"/>
        <v>9</v>
      </c>
      <c r="AL12" s="580" t="str">
        <f t="shared" ca="1" si="26"/>
        <v/>
      </c>
      <c r="AM12" s="580" t="str">
        <f t="shared" ca="1" si="27"/>
        <v/>
      </c>
      <c r="AN12" s="583">
        <f t="shared" ca="1" si="28"/>
        <v>99999</v>
      </c>
      <c r="AO12" s="581">
        <f t="shared" ca="1" si="29"/>
        <v>1.0212000000000001</v>
      </c>
      <c r="AP12" s="582">
        <f t="shared" ca="1" si="30"/>
        <v>9</v>
      </c>
      <c r="AR12" s="2">
        <f ca="1">IF(Settings!$G$7,$I12,ROUND($I12,Settings!$H$7))</f>
        <v>0</v>
      </c>
    </row>
    <row r="13" spans="1:44" s="2" customFormat="1" ht="12.75" thickTop="1" x14ac:dyDescent="0.2">
      <c r="B13" s="12">
        <f ca="1">$F$13*($F$13-1)</f>
        <v>2</v>
      </c>
      <c r="C13" s="12"/>
      <c r="D13" s="12"/>
      <c r="E13" s="12"/>
      <c r="F13" s="12">
        <f ca="1">9-COUNTBLANK($F$4:$F$12)</f>
        <v>2</v>
      </c>
      <c r="G13" s="12"/>
      <c r="H13" s="12"/>
      <c r="I13" s="12"/>
      <c r="J13" s="12"/>
      <c r="K13" s="26">
        <f ca="1">QUOTIENT(SUM(K4:K12),2)</f>
        <v>1</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76" t="s">
        <v>182</v>
      </c>
      <c r="AE15" s="977"/>
      <c r="AF15" s="977"/>
      <c r="AG15" s="977"/>
      <c r="AH15" s="978"/>
      <c r="AI15" s="2" t="b">
        <f>(Settings!$B$7=Language!$E$108)</f>
        <v>0</v>
      </c>
      <c r="AK15" s="239"/>
    </row>
    <row r="16" spans="1:44" s="2" customFormat="1" ht="15.75" thickBot="1" x14ac:dyDescent="0.25">
      <c r="B16" s="12" t="s">
        <v>5</v>
      </c>
      <c r="C16" s="681" t="s">
        <v>97</v>
      </c>
      <c r="D16" s="681" t="s">
        <v>102</v>
      </c>
      <c r="E16" s="681" t="s">
        <v>103</v>
      </c>
      <c r="F16" s="681" t="s">
        <v>104</v>
      </c>
      <c r="G16" s="681" t="s">
        <v>105</v>
      </c>
      <c r="H16" s="681" t="s">
        <v>106</v>
      </c>
      <c r="I16" s="681" t="s">
        <v>107</v>
      </c>
      <c r="J16" s="681" t="s">
        <v>108</v>
      </c>
      <c r="K16" s="681" t="s">
        <v>109</v>
      </c>
      <c r="L16" s="10" t="s">
        <v>334</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VFB Essenheim</v>
      </c>
      <c r="D17" s="1">
        <f t="shared" ref="D17:G25" ca="1" si="33">K4</f>
        <v>1</v>
      </c>
      <c r="E17" s="1">
        <f t="shared" ca="1" si="33"/>
        <v>0</v>
      </c>
      <c r="F17" s="1">
        <f t="shared" ca="1" si="33"/>
        <v>0</v>
      </c>
      <c r="G17" s="1">
        <f t="shared" ca="1" si="33"/>
        <v>1</v>
      </c>
      <c r="H17" s="1">
        <f t="shared" ref="H17:K25" ca="1" si="34">G4</f>
        <v>38</v>
      </c>
      <c r="I17" s="1">
        <f t="shared" ca="1" si="34"/>
        <v>50</v>
      </c>
      <c r="J17" s="12">
        <f t="shared" ca="1" si="34"/>
        <v>-12</v>
      </c>
      <c r="K17" s="1">
        <f t="shared" ca="1" si="34"/>
        <v>0</v>
      </c>
      <c r="L17" s="28">
        <f ca="1">K17*$F$64+(J17+$H$65)*$F$65</f>
        <v>488000</v>
      </c>
      <c r="M17" s="13">
        <f ca="1">IF($AI$15,COUNTIF($K$17:$K$25,K17),COUNTIF($L$17:$L$25,L17))</f>
        <v>1</v>
      </c>
      <c r="N17" s="13">
        <f t="array" aca="1" ref="N17" ca="1">IF($AI$15,SUM(($K$17:$K$25&gt;=K17)/COUNTIF($K$17:$K$25,$K$17:$K$25)),SUM(($L$17:$L$25&gt;=L17)/COUNTIF($L$17:$L$25,$L$17:$L$25)))</f>
        <v>2.9999999999999996</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9.0108999999999995</v>
      </c>
      <c r="Y17" s="12">
        <f ca="1">'Finals 4'!$AJ26</f>
        <v>0</v>
      </c>
      <c r="Z17" s="1">
        <f ca="1">RANK($W17,$W$17:$W$25)+(9-$Y17)/10</f>
        <v>1.9</v>
      </c>
      <c r="AA17" s="1">
        <f ca="1">SUM(E30:BP30)</f>
        <v>0</v>
      </c>
      <c r="AB17" s="1">
        <f ca="1">SUM(E41:BP41)</f>
        <v>0</v>
      </c>
      <c r="AC17" s="1"/>
      <c r="AD17" s="246">
        <f ca="1">RANK($K17,$K$17:$K$25)</f>
        <v>2</v>
      </c>
      <c r="AE17" s="28">
        <f ca="1">(J17+$H$65)*$F$65</f>
        <v>488000</v>
      </c>
      <c r="AF17" s="1">
        <f ca="1">RANK($AE17,$AE$17:$AE$25)</f>
        <v>9</v>
      </c>
      <c r="AG17" s="1">
        <f ca="1">RANK($W17,$W$17:$W$25)</f>
        <v>1</v>
      </c>
      <c r="AH17" s="248">
        <f ca="1">AD17+AG17/100+AF17/10000+(10-Y17)/1000000</f>
        <v>2.01091</v>
      </c>
      <c r="AI17" s="1"/>
    </row>
    <row r="18" spans="2:80" s="2" customFormat="1" x14ac:dyDescent="0.2">
      <c r="C18" s="2" t="str">
        <f t="shared" ref="C18:C25" ca="1" si="43">$Q65</f>
        <v>Inter Mailand</v>
      </c>
      <c r="D18" s="1">
        <f t="shared" ca="1" si="33"/>
        <v>1</v>
      </c>
      <c r="E18" s="1">
        <f t="shared" ca="1" si="33"/>
        <v>1</v>
      </c>
      <c r="F18" s="1">
        <f t="shared" ca="1" si="33"/>
        <v>0</v>
      </c>
      <c r="G18" s="1">
        <f t="shared" ca="1" si="33"/>
        <v>0</v>
      </c>
      <c r="H18" s="1">
        <f t="shared" ca="1" si="34"/>
        <v>50</v>
      </c>
      <c r="I18" s="1">
        <f t="shared" ca="1" si="34"/>
        <v>38</v>
      </c>
      <c r="J18" s="12">
        <f t="shared" ca="1" si="34"/>
        <v>12</v>
      </c>
      <c r="K18" s="1">
        <f t="shared" ca="1" si="34"/>
        <v>2</v>
      </c>
      <c r="L18" s="28">
        <f t="shared" ref="L18:L25" ca="1" si="44">K18*$F$64+(J18+$H$65)*$F$65</f>
        <v>2512000</v>
      </c>
      <c r="M18" s="13">
        <f t="shared" ref="M18:M25" ca="1" si="45">IF($AI$15,COUNTIF($K$17:$K$25,K18),COUNTIF($L$17:$L$25,L18))</f>
        <v>1</v>
      </c>
      <c r="N18" s="13">
        <f t="array" aca="1" ref="N18" ca="1">IF($AI$15,SUM(($K$17:$K$25&gt;=K18)/COUNTIF($K$17:$K$25,$K$17:$K$25)),SUM(($L$17:$L$25&gt;=L18)/COUNTIF($L$17:$L$25,$L$17:$L$25)))</f>
        <v>1</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1.0108999999999999</v>
      </c>
      <c r="Y18" s="12">
        <f ca="1">'Finals 4'!$AJ27</f>
        <v>0</v>
      </c>
      <c r="Z18" s="1">
        <f t="shared" ref="Z18:Z25" ca="1" si="48">RANK($W18,$W$17:$W$25)+(9-$Y18)/10</f>
        <v>1.9</v>
      </c>
      <c r="AA18" s="1">
        <f t="shared" ref="AA18:AA25" ca="1" si="49">SUM(E31:BP31)</f>
        <v>0</v>
      </c>
      <c r="AB18" s="1">
        <f t="shared" ref="AB18:AB25" ca="1" si="50">SUM(E42:BP42)</f>
        <v>0</v>
      </c>
      <c r="AC18" s="1"/>
      <c r="AD18" s="246">
        <f t="shared" ref="AD18:AD25" ca="1" si="51">RANK($K18,$K$17:$K$25)</f>
        <v>1</v>
      </c>
      <c r="AE18" s="28">
        <f t="shared" ref="AE18:AE25" ca="1" si="52">(J18+$H$65)*$F$65</f>
        <v>512000</v>
      </c>
      <c r="AF18" s="1">
        <f t="shared" ref="AF18:AF25" ca="1" si="53">RANK($AE18,$AE$17:$AE$25)</f>
        <v>1</v>
      </c>
      <c r="AG18" s="1">
        <f t="shared" ref="AG18:AG25" ca="1" si="54">RANK($W18,$W$17:$W$25)</f>
        <v>1</v>
      </c>
      <c r="AH18" s="249">
        <f t="shared" ref="AH18:AH25" ca="1" si="55">AD18+AG18/100+AF18/10000+(10-Y18)/1000000</f>
        <v>1.0101100000000001</v>
      </c>
      <c r="AI18" s="1"/>
    </row>
    <row r="19" spans="2:80" s="2" customFormat="1" x14ac:dyDescent="0.2">
      <c r="C19" s="2" t="str">
        <f t="shared" ca="1" si="43"/>
        <v/>
      </c>
      <c r="D19" s="1">
        <f t="shared" ca="1" si="33"/>
        <v>0</v>
      </c>
      <c r="E19" s="1">
        <f t="shared" ca="1" si="33"/>
        <v>0</v>
      </c>
      <c r="F19" s="1">
        <f t="shared" ca="1" si="33"/>
        <v>0</v>
      </c>
      <c r="G19" s="1">
        <f t="shared" ca="1" si="33"/>
        <v>0</v>
      </c>
      <c r="H19" s="1">
        <f t="shared" ca="1" si="34"/>
        <v>0</v>
      </c>
      <c r="I19" s="1">
        <f t="shared" ca="1" si="34"/>
        <v>0</v>
      </c>
      <c r="J19" s="12">
        <f t="shared" ca="1" si="34"/>
        <v>0</v>
      </c>
      <c r="K19" s="1">
        <f t="shared" ca="1" si="34"/>
        <v>0</v>
      </c>
      <c r="L19" s="28">
        <f t="shared" ca="1" si="44"/>
        <v>500000</v>
      </c>
      <c r="M19" s="13">
        <f t="shared" ca="1" si="45"/>
        <v>7</v>
      </c>
      <c r="N19" s="13">
        <f t="array" aca="1" ref="N19" ca="1">IF($AI$15,SUM(($K$17:$K$25&gt;=K19)/COUNTIF($K$17:$K$25,$K$17:$K$25)),SUM(($L$17:$L$25&gt;=L19)/COUNTIF($L$17:$L$25,$L$17:$L$25)))</f>
        <v>1.9999999999999996</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2.0108999999999999</v>
      </c>
      <c r="Y19" s="12">
        <f ca="1">'Finals 4'!$AJ28</f>
        <v>0</v>
      </c>
      <c r="Z19" s="1">
        <f t="shared" ca="1" si="48"/>
        <v>1.9</v>
      </c>
      <c r="AA19" s="1">
        <f t="shared" ca="1" si="49"/>
        <v>0</v>
      </c>
      <c r="AB19" s="1">
        <f t="shared" ca="1" si="50"/>
        <v>0</v>
      </c>
      <c r="AC19" s="1"/>
      <c r="AD19" s="246">
        <f t="shared" ca="1" si="51"/>
        <v>2</v>
      </c>
      <c r="AE19" s="28">
        <f t="shared" ca="1" si="52"/>
        <v>500000</v>
      </c>
      <c r="AF19" s="1">
        <f t="shared" ca="1" si="53"/>
        <v>2</v>
      </c>
      <c r="AG19" s="1">
        <f t="shared" ca="1" si="54"/>
        <v>1</v>
      </c>
      <c r="AH19" s="249">
        <f t="shared" ca="1" si="55"/>
        <v>2.0102099999999998</v>
      </c>
      <c r="AI19" s="1"/>
    </row>
    <row r="20" spans="2:80" s="2" customFormat="1" x14ac:dyDescent="0.2">
      <c r="C20" s="2" t="str">
        <f t="shared" ca="1" si="43"/>
        <v/>
      </c>
      <c r="D20" s="1">
        <f t="shared" ca="1" si="33"/>
        <v>0</v>
      </c>
      <c r="E20" s="1">
        <f t="shared" ca="1" si="33"/>
        <v>0</v>
      </c>
      <c r="F20" s="1">
        <f t="shared" ca="1" si="33"/>
        <v>0</v>
      </c>
      <c r="G20" s="1">
        <f t="shared" ca="1" si="33"/>
        <v>0</v>
      </c>
      <c r="H20" s="1">
        <f t="shared" ca="1" si="34"/>
        <v>0</v>
      </c>
      <c r="I20" s="1">
        <f t="shared" ca="1" si="34"/>
        <v>0</v>
      </c>
      <c r="J20" s="12">
        <f t="shared" ca="1" si="34"/>
        <v>0</v>
      </c>
      <c r="K20" s="1">
        <f t="shared" ca="1" si="34"/>
        <v>0</v>
      </c>
      <c r="L20" s="28">
        <f t="shared" ca="1" si="44"/>
        <v>500000</v>
      </c>
      <c r="M20" s="13">
        <f t="shared" ca="1" si="45"/>
        <v>7</v>
      </c>
      <c r="N20" s="13">
        <f t="array" aca="1" ref="N20" ca="1">IF($AI$15,SUM(($K$17:$K$25&gt;=K20)/COUNTIF($K$17:$K$25,$K$17:$K$25)),SUM(($L$17:$L$25&gt;=L20)/COUNTIF($L$17:$L$25,$L$17:$L$25)))</f>
        <v>1.9999999999999996</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2.0108999999999999</v>
      </c>
      <c r="Y20" s="12">
        <f ca="1">'Finals 4'!$AJ29</f>
        <v>0</v>
      </c>
      <c r="Z20" s="1">
        <f t="shared" ca="1" si="48"/>
        <v>1.9</v>
      </c>
      <c r="AA20" s="1">
        <f t="shared" ca="1" si="49"/>
        <v>0</v>
      </c>
      <c r="AB20" s="1">
        <f t="shared" ca="1" si="50"/>
        <v>0</v>
      </c>
      <c r="AC20" s="1"/>
      <c r="AD20" s="246">
        <f t="shared" ca="1" si="51"/>
        <v>2</v>
      </c>
      <c r="AE20" s="28">
        <f t="shared" ca="1" si="52"/>
        <v>500000</v>
      </c>
      <c r="AF20" s="1">
        <f t="shared" ca="1" si="53"/>
        <v>2</v>
      </c>
      <c r="AG20" s="1">
        <f t="shared" ca="1" si="54"/>
        <v>1</v>
      </c>
      <c r="AH20" s="249">
        <f t="shared" ca="1" si="55"/>
        <v>2.0102099999999998</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7</v>
      </c>
      <c r="N21" s="13">
        <f t="array" aca="1" ref="N21" ca="1">IF($AI$15,SUM(($K$17:$K$25&gt;=K21)/COUNTIF($K$17:$K$25,$K$17:$K$25)),SUM(($L$17:$L$25&gt;=L21)/COUNTIF($L$17:$L$25,$L$17:$L$25)))</f>
        <v>1.9999999999999996</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2.0108999999999999</v>
      </c>
      <c r="Y21" s="12">
        <v>0</v>
      </c>
      <c r="Z21" s="1">
        <f t="shared" ca="1" si="48"/>
        <v>1.9</v>
      </c>
      <c r="AA21" s="1">
        <f t="shared" ca="1" si="49"/>
        <v>0</v>
      </c>
      <c r="AB21" s="1">
        <f t="shared" ca="1" si="50"/>
        <v>0</v>
      </c>
      <c r="AC21" s="1"/>
      <c r="AD21" s="246">
        <f t="shared" ca="1" si="51"/>
        <v>2</v>
      </c>
      <c r="AE21" s="28">
        <f t="shared" ca="1" si="52"/>
        <v>500000</v>
      </c>
      <c r="AF21" s="1">
        <f t="shared" ca="1" si="53"/>
        <v>2</v>
      </c>
      <c r="AG21" s="1">
        <f t="shared" ca="1" si="54"/>
        <v>1</v>
      </c>
      <c r="AH21" s="249">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7</v>
      </c>
      <c r="N22" s="13">
        <f t="array" aca="1" ref="N22" ca="1">IF($AI$15,SUM(($K$17:$K$25&gt;=K22)/COUNTIF($K$17:$K$25,$K$17:$K$25)),SUM(($L$17:$L$25&gt;=L22)/COUNTIF($L$17:$L$25,$L$17:$L$25)))</f>
        <v>1.9999999999999996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2.0108999999999999</v>
      </c>
      <c r="Y22" s="12">
        <v>0</v>
      </c>
      <c r="Z22" s="1">
        <f t="shared" ca="1" si="48"/>
        <v>1.9</v>
      </c>
      <c r="AA22" s="1">
        <f t="shared" ca="1" si="49"/>
        <v>0</v>
      </c>
      <c r="AB22" s="1">
        <f t="shared" ca="1" si="50"/>
        <v>0</v>
      </c>
      <c r="AC22" s="1"/>
      <c r="AD22" s="246">
        <f t="shared" ca="1" si="51"/>
        <v>2</v>
      </c>
      <c r="AE22" s="28">
        <f t="shared" ca="1" si="52"/>
        <v>500000</v>
      </c>
      <c r="AF22" s="1">
        <f t="shared" ca="1" si="53"/>
        <v>2</v>
      </c>
      <c r="AG22" s="1">
        <f t="shared" ca="1" si="54"/>
        <v>1</v>
      </c>
      <c r="AH22" s="249">
        <f t="shared" ca="1" si="55"/>
        <v>2.0102099999999998</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7</v>
      </c>
      <c r="N23" s="13">
        <f t="array" aca="1" ref="N23" ca="1">IF($AI$15,SUM(($K$17:$K$25&gt;=K23)/COUNTIF($K$17:$K$25,$K$17:$K$25)),SUM(($L$17:$L$25&gt;=L23)/COUNTIF($L$17:$L$25,$L$17:$L$25)))</f>
        <v>1.9999999999999996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2.0108999999999999</v>
      </c>
      <c r="Y23" s="12">
        <v>0</v>
      </c>
      <c r="Z23" s="1">
        <f t="shared" ca="1" si="48"/>
        <v>1.9</v>
      </c>
      <c r="AA23" s="1">
        <f t="shared" ca="1" si="49"/>
        <v>0</v>
      </c>
      <c r="AB23" s="1">
        <f t="shared" ca="1" si="50"/>
        <v>0</v>
      </c>
      <c r="AC23" s="1"/>
      <c r="AD23" s="246">
        <f t="shared" ca="1" si="51"/>
        <v>2</v>
      </c>
      <c r="AE23" s="28">
        <f t="shared" ca="1" si="52"/>
        <v>500000</v>
      </c>
      <c r="AF23" s="1">
        <f t="shared" ca="1" si="53"/>
        <v>2</v>
      </c>
      <c r="AG23" s="1">
        <f t="shared" ca="1" si="54"/>
        <v>1</v>
      </c>
      <c r="AH23" s="249">
        <f t="shared" ca="1" si="55"/>
        <v>2.0102099999999998</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7</v>
      </c>
      <c r="N24" s="13">
        <f t="array" aca="1" ref="N24" ca="1">IF($AI$15,SUM(($K$17:$K$25&gt;=K24)/COUNTIF($K$17:$K$25,$K$17:$K$25)),SUM(($L$17:$L$25&gt;=L24)/COUNTIF($L$17:$L$25,$L$17:$L$25)))</f>
        <v>1.9999999999999996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2.0108999999999999</v>
      </c>
      <c r="Y24" s="12">
        <v>0</v>
      </c>
      <c r="Z24" s="1">
        <f t="shared" ca="1" si="48"/>
        <v>1.9</v>
      </c>
      <c r="AA24" s="1">
        <f t="shared" ca="1" si="49"/>
        <v>0</v>
      </c>
      <c r="AB24" s="1">
        <f t="shared" ca="1" si="50"/>
        <v>0</v>
      </c>
      <c r="AC24" s="1"/>
      <c r="AD24" s="246">
        <f t="shared" ca="1" si="51"/>
        <v>2</v>
      </c>
      <c r="AE24" s="28">
        <f t="shared" ca="1" si="52"/>
        <v>500000</v>
      </c>
      <c r="AF24" s="1">
        <f t="shared" ca="1" si="53"/>
        <v>2</v>
      </c>
      <c r="AG24" s="1">
        <f t="shared" ca="1" si="54"/>
        <v>1</v>
      </c>
      <c r="AH24" s="249">
        <f t="shared" ca="1" si="55"/>
        <v>2.0102099999999998</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7</v>
      </c>
      <c r="N25" s="13">
        <f t="array" aca="1" ref="N25" ca="1">IF($AI$15,SUM(($K$17:$K$25&gt;=K25)/COUNTIF($K$17:$K$25,$K$17:$K$25)),SUM(($L$17:$L$25&gt;=L25)/COUNTIF($L$17:$L$25,$L$17:$L$25)))</f>
        <v>1.9999999999999996</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2.0108999999999999</v>
      </c>
      <c r="Y25" s="12">
        <v>0</v>
      </c>
      <c r="Z25" s="1">
        <f t="shared" ca="1" si="48"/>
        <v>1.9</v>
      </c>
      <c r="AA25" s="1">
        <f t="shared" ca="1" si="49"/>
        <v>0</v>
      </c>
      <c r="AB25" s="1">
        <f t="shared" ca="1" si="50"/>
        <v>0</v>
      </c>
      <c r="AC25" s="1"/>
      <c r="AD25" s="246">
        <f t="shared" ca="1" si="51"/>
        <v>2</v>
      </c>
      <c r="AE25" s="28">
        <f t="shared" ca="1" si="52"/>
        <v>500000</v>
      </c>
      <c r="AF25" s="1">
        <f t="shared" ca="1" si="53"/>
        <v>2</v>
      </c>
      <c r="AG25" s="1">
        <f t="shared" ca="1" si="54"/>
        <v>1</v>
      </c>
      <c r="AH25" s="250">
        <f t="shared" ca="1" si="55"/>
        <v>2.0102099999999998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2">
        <v>1</v>
      </c>
      <c r="F29" s="969"/>
      <c r="G29" s="969"/>
      <c r="H29" s="969"/>
      <c r="I29" s="969"/>
      <c r="J29" s="969"/>
      <c r="K29" s="969"/>
      <c r="L29" s="971"/>
      <c r="M29" s="968">
        <v>2</v>
      </c>
      <c r="N29" s="969"/>
      <c r="O29" s="969"/>
      <c r="P29" s="969"/>
      <c r="Q29" s="969"/>
      <c r="R29" s="969"/>
      <c r="S29" s="969"/>
      <c r="T29" s="971"/>
      <c r="U29" s="968">
        <v>3</v>
      </c>
      <c r="V29" s="969"/>
      <c r="W29" s="969"/>
      <c r="X29" s="969"/>
      <c r="Y29" s="969"/>
      <c r="Z29" s="969"/>
      <c r="AA29" s="969"/>
      <c r="AB29" s="971"/>
      <c r="AC29" s="968">
        <v>4</v>
      </c>
      <c r="AD29" s="969"/>
      <c r="AE29" s="969"/>
      <c r="AF29" s="969"/>
      <c r="AG29" s="969"/>
      <c r="AH29" s="969"/>
      <c r="AI29" s="969"/>
      <c r="AJ29" s="971"/>
      <c r="AK29" s="968">
        <v>5</v>
      </c>
      <c r="AL29" s="969"/>
      <c r="AM29" s="969"/>
      <c r="AN29" s="969"/>
      <c r="AO29" s="969"/>
      <c r="AP29" s="969"/>
      <c r="AQ29" s="969"/>
      <c r="AR29" s="971"/>
      <c r="AS29" s="968">
        <v>6</v>
      </c>
      <c r="AT29" s="969"/>
      <c r="AU29" s="969"/>
      <c r="AV29" s="969"/>
      <c r="AW29" s="969"/>
      <c r="AX29" s="969"/>
      <c r="AY29" s="969"/>
      <c r="AZ29" s="971"/>
      <c r="BA29" s="968">
        <v>7</v>
      </c>
      <c r="BB29" s="969"/>
      <c r="BC29" s="969"/>
      <c r="BD29" s="969"/>
      <c r="BE29" s="969"/>
      <c r="BF29" s="969"/>
      <c r="BG29" s="969"/>
      <c r="BH29" s="971"/>
      <c r="BI29" s="968">
        <v>8</v>
      </c>
      <c r="BJ29" s="969"/>
      <c r="BK29" s="969"/>
      <c r="BL29" s="969"/>
      <c r="BM29" s="969"/>
      <c r="BN29" s="969"/>
      <c r="BO29" s="969"/>
      <c r="BP29" s="970"/>
      <c r="BQ29" s="12"/>
      <c r="BR29" s="4" t="s">
        <v>94</v>
      </c>
      <c r="BS29" s="2" t="str">
        <f ca="1">$F$4</f>
        <v>VFB Essenheim</v>
      </c>
      <c r="BT29" s="2" t="str">
        <f ca="1">$F$5</f>
        <v>Inter Mailand</v>
      </c>
      <c r="BU29" s="2" t="str">
        <f ca="1">$F$6</f>
        <v/>
      </c>
      <c r="BV29" s="2" t="str">
        <f ca="1">$F$7</f>
        <v/>
      </c>
      <c r="BW29" s="2" t="str">
        <f>$F$8</f>
        <v/>
      </c>
      <c r="BX29" s="2" t="str">
        <f>$F$9</f>
        <v/>
      </c>
      <c r="BY29" s="2" t="str">
        <f>$F$10</f>
        <v/>
      </c>
      <c r="BZ29" s="2" t="str">
        <f>$F$11</f>
        <v/>
      </c>
      <c r="CA29" s="2" t="str">
        <f>$F$12</f>
        <v/>
      </c>
      <c r="CB29" s="50"/>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VFB Essenheim</v>
      </c>
      <c r="BS30" s="6"/>
      <c r="BT30" s="7">
        <f t="shared" ref="BT30:CA37" ca="1" si="57">SUMIFS($X$64:$X$135,$V$64:$V$135,$BR30,$W$64:$W$135,BT$29)+SUMIFS($Y$64:$Y$135,$W$64:$W$135,$BR30,$V$64:$V$135,BT$29)+SUMIFS($AG$64:$AG$135,$V$64:$V$135,$BR30,$W$64:$W$135,BT$29)+SUMIFS($AH$64:$AH$135,$W$64:$W$135,$BR30,$V$64:$V$135,BT$29)</f>
        <v>38</v>
      </c>
      <c r="BU30" s="7">
        <f t="shared" ca="1" si="57"/>
        <v>0</v>
      </c>
      <c r="BV30" s="7">
        <f t="shared" ca="1" si="57"/>
        <v>0</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Inter Mailand</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0</v>
      </c>
      <c r="BV31" s="7">
        <f t="shared" ca="1" si="57"/>
        <v>0</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
      </c>
      <c r="BS32" s="8">
        <f t="shared" ref="BS32:BY38" ca="1" si="59">SUMIFS($X$64:$X$135,$V$64:$V$135,$BR32,$W$64:$W$135,BS$29)+SUMIFS($Y$64:$Y$135,$W$64:$W$135,$BR32,$V$64:$V$135,BS$29)+SUMIFS($AG$64:$AG$135,$V$64:$V$135,$BR32,$W$64:$W$135,BS$29)+SUMIFS($AH$64:$AH$135,$W$64:$W$135,$BR32,$V$64:$V$135,BS$29)</f>
        <v>0</v>
      </c>
      <c r="BT32" s="8">
        <f t="shared" ca="1" si="59"/>
        <v>0</v>
      </c>
      <c r="BU32" s="6"/>
      <c r="BV32" s="7">
        <f t="shared" ca="1" si="57"/>
        <v>0</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
      </c>
      <c r="BS33" s="8">
        <f t="shared" ca="1" si="59"/>
        <v>0</v>
      </c>
      <c r="BT33" s="8">
        <f t="shared" ca="1" si="59"/>
        <v>0</v>
      </c>
      <c r="BU33" s="8">
        <f t="shared" ca="1" si="59"/>
        <v>0</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VFB Essenheim</v>
      </c>
      <c r="BT40" s="2" t="str">
        <f ca="1">$F$5</f>
        <v>Inter Mailand</v>
      </c>
      <c r="BU40" s="2" t="str">
        <f ca="1">$F$6</f>
        <v/>
      </c>
      <c r="BV40" s="2" t="str">
        <f ca="1">$F$7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VFB Essenheim</v>
      </c>
      <c r="BS41" s="6"/>
      <c r="BT41" s="7">
        <f ca="1">BT30-BS31</f>
        <v>-12</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Inter Mailand</v>
      </c>
      <c r="BS42" s="8">
        <f ca="1">IF(BT41="","",-1*BT41)</f>
        <v>12</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Inter Mailand</v>
      </c>
      <c r="BU51" s="2" t="str">
        <f ca="1">$F$6</f>
        <v/>
      </c>
      <c r="BV51" s="2" t="str">
        <f ca="1">$F$7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VFB Essenheim</v>
      </c>
      <c r="BS52" s="6"/>
      <c r="BT52" s="7">
        <f t="shared" ref="BT52:CA58" ca="1" si="63">SUMIFS($AE$64:$AE$135,$V$64:$V$135,$BR52,$W$64:$W$135,BT$51)+SUMIFS($AF$64:$AF$135,$W$64:$W$135,$BR52,$V$64:$V$135,BT$51)</f>
        <v>0</v>
      </c>
      <c r="BU52" s="7">
        <f t="shared" ca="1" si="63"/>
        <v>0</v>
      </c>
      <c r="BV52" s="7">
        <f t="shared" ca="1" si="63"/>
        <v>0</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Inter Mailand</v>
      </c>
      <c r="BS53" s="8">
        <f t="shared" ref="BS53:BU60" ca="1" si="64">SUMIFS($AE$64:$AE$135,$V$64:$V$135,$BR53,$W$64:$W$135,BS$51)+SUMIFS($AF$64:$AF$135,$W$64:$W$135,$BR53,$V$64:$V$135,BS$51)</f>
        <v>2</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
      </c>
      <c r="BS54" s="8">
        <f t="shared" ca="1" si="64"/>
        <v>0</v>
      </c>
      <c r="BT54" s="8">
        <f t="shared" ca="1" si="64"/>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
      </c>
      <c r="BS55" s="8">
        <f t="shared" ca="1" si="64"/>
        <v>0</v>
      </c>
      <c r="BT55" s="8">
        <f t="shared" ca="1" si="64"/>
        <v>0</v>
      </c>
      <c r="BU55" s="8">
        <f t="shared" ca="1" si="64"/>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9" t="s">
        <v>323</v>
      </c>
      <c r="Y63" s="979"/>
      <c r="Z63" s="161" t="s">
        <v>155</v>
      </c>
      <c r="AA63" s="161" t="s">
        <v>15</v>
      </c>
      <c r="AB63" s="161" t="s">
        <v>153</v>
      </c>
      <c r="AC63" s="680" t="s">
        <v>156</v>
      </c>
      <c r="AD63" s="161" t="s">
        <v>154</v>
      </c>
      <c r="AE63" s="973" t="s">
        <v>331</v>
      </c>
      <c r="AF63" s="973"/>
      <c r="AG63" s="980" t="s">
        <v>325</v>
      </c>
      <c r="AH63" s="980"/>
      <c r="AI63" s="681" t="s">
        <v>332</v>
      </c>
      <c r="AJ63" s="3"/>
      <c r="AK63" s="3"/>
      <c r="AL63" s="3"/>
      <c r="AM63" s="3"/>
      <c r="AN63" s="3"/>
      <c r="AO63" s="3"/>
      <c r="AP63" s="3"/>
      <c r="AQ63" s="3"/>
      <c r="AR63" s="3"/>
    </row>
    <row r="64" spans="5:80" s="2" customFormat="1" ht="14.25" thickTop="1" thickBot="1" x14ac:dyDescent="0.25">
      <c r="F64" s="190">
        <v>1000000</v>
      </c>
      <c r="G64" s="191" t="s">
        <v>109</v>
      </c>
      <c r="P64" s="43" t="s">
        <v>6</v>
      </c>
      <c r="Q64" s="58" t="str">
        <f ca="1">IF('Finals 4'!$AI26="","",'Finals 4'!$AI26)</f>
        <v>VFB Essenheim</v>
      </c>
      <c r="U64" s="63" t="s">
        <v>6</v>
      </c>
      <c r="V64" s="38" t="str">
        <f ca="1">'Finals 4'!$I12</f>
        <v>VFB Essenheim</v>
      </c>
      <c r="W64" s="31" t="str">
        <f ca="1">'Finals 4'!$K12</f>
        <v/>
      </c>
      <c r="X64" s="31" t="str">
        <f ca="1">IF($AA64=1,'Finals 4'!$L12,"")</f>
        <v/>
      </c>
      <c r="Y64" s="32" t="str">
        <f ca="1">IF($AA64=1,'Finals 4'!$N12,"")</f>
        <v/>
      </c>
      <c r="Z64" s="30" t="str">
        <f ca="1">V64&amp;W64</f>
        <v>VFB Essenheim</v>
      </c>
      <c r="AA64" s="31">
        <f ca="1">IF(AND('Finals 4'!$L12&lt;&gt;"",'Finals 4'!$N12&lt;&gt;"",'Finals 4'!$L12&lt;&gt;'Finals 4'!$N12,OR(AND('Finals 4'!$O12="",'Finals 4'!$Q12=""),AND('Finals 4'!$O12&lt;&gt;"",'Finals 4'!$Q12&lt;&gt;"",'Finals 4'!$O12&lt;&gt;'Finals 4'!$Q12)),'Finals 4'!$I12&lt;&gt;"",'Finals 4'!$K12&lt;&gt;"",'Finals 4'!$I12&lt;&gt;'Finals 4'!$K12),1,0)</f>
        <v>0</v>
      </c>
      <c r="AB64" s="139" t="str">
        <f ca="1">IF(AA64&gt;0,(X64+AG64)&amp;Language!$E$80&amp;(Y64+AH64),"")</f>
        <v/>
      </c>
      <c r="AD64" s="140"/>
      <c r="AE64" s="145">
        <f ca="1">IF($AA64=0,0,IF($X64&gt;$Y64,1,0)+IF($AG64&gt;$AH64,1,0))</f>
        <v>0</v>
      </c>
      <c r="AF64" s="140">
        <f ca="1">IF($AA64=0,0,IF($X64&lt;$Y64,1,0)+IF($AG64&lt;$AH64,1,0))</f>
        <v>0</v>
      </c>
      <c r="AG64" s="145" t="str">
        <f ca="1">IF($AA64=1,'Finals 4'!$O12,"")</f>
        <v/>
      </c>
      <c r="AH64" s="139" t="str">
        <f ca="1">IF($AA64=1,'Finals 4'!$Q12,"")</f>
        <v/>
      </c>
      <c r="AI64" s="590" t="str">
        <f ca="1">IF(AA64&gt;0,AE64&amp;Language!$E$80&amp;AF64,"")</f>
        <v/>
      </c>
      <c r="AJ64" s="3"/>
      <c r="AK64" s="3"/>
      <c r="AL64" s="3"/>
      <c r="AM64" s="3"/>
      <c r="AN64" s="3"/>
      <c r="AO64" s="3"/>
      <c r="AP64" s="3"/>
      <c r="AQ64" s="3"/>
      <c r="AR64" s="3"/>
    </row>
    <row r="65" spans="2:43" s="2" customFormat="1" ht="13.5" thickBot="1" x14ac:dyDescent="0.25">
      <c r="F65" s="192">
        <v>1000</v>
      </c>
      <c r="G65" s="193" t="s">
        <v>108</v>
      </c>
      <c r="H65" s="197">
        <v>500</v>
      </c>
      <c r="I65" s="196" t="s">
        <v>301</v>
      </c>
      <c r="P65" s="44" t="s">
        <v>7</v>
      </c>
      <c r="Q65" s="59" t="str">
        <f ca="1">IF('Finals 4'!$AI27="","",'Finals 4'!$AI27)</f>
        <v>Inter Mailand</v>
      </c>
      <c r="U65" s="64" t="s">
        <v>7</v>
      </c>
      <c r="V65" s="39" t="str">
        <f ca="1">'Finals 4'!$I13</f>
        <v>1. FC Riedwald</v>
      </c>
      <c r="W65" s="12" t="str">
        <f ca="1">'Finals 4'!$K13</f>
        <v>SSV Wildbach</v>
      </c>
      <c r="X65" s="12">
        <f ca="1">IF($AA65=1,'Finals 4'!$L13,"")</f>
        <v>25</v>
      </c>
      <c r="Y65" s="34">
        <f ca="1">IF($AA65=1,'Finals 4'!$N13,"")</f>
        <v>20</v>
      </c>
      <c r="Z65" s="33" t="str">
        <f t="shared" ref="Z65:Z73" ca="1" si="65">V65&amp;W65</f>
        <v>1. FC RiedwaldSSV Wildbach</v>
      </c>
      <c r="AA65" s="12">
        <f ca="1">IF(AND('Finals 4'!$L13&lt;&gt;"",'Finals 4'!$N13&lt;&gt;"",'Finals 4'!$L13&lt;&gt;'Finals 4'!$N13,OR(AND('Finals 4'!$O13="",'Finals 4'!$Q13=""),AND('Finals 4'!$O13&lt;&gt;"",'Finals 4'!$Q13&lt;&gt;"",'Finals 4'!$O13&lt;&gt;'Finals 4'!$Q13)),'Finals 4'!$I13&lt;&gt;"",'Finals 4'!$K13&lt;&gt;"",'Finals 4'!$I13&lt;&gt;'Finals 4'!$K13),1,0)</f>
        <v>1</v>
      </c>
      <c r="AB65" s="12" t="str">
        <f ca="1">IF(AA65&gt;0,(X65+AG65)&amp;Language!$E$80&amp;(Y65+AH65),"")</f>
        <v>42-45</v>
      </c>
      <c r="AD65" s="141"/>
      <c r="AE65" s="146">
        <f t="shared" ref="AE65:AE81" ca="1" si="66">IF($AA65=0,0,IF($X65&gt;$Y65,1,0)+IF($AG65&gt;$AH65,1,0))</f>
        <v>1</v>
      </c>
      <c r="AF65" s="141">
        <f t="shared" ref="AF65:AF81" ca="1" si="67">IF($AA65=0,0,IF($X65&lt;$Y65,1,0)+IF($AG65&lt;$AH65,1,0))</f>
        <v>1</v>
      </c>
      <c r="AG65" s="146">
        <f ca="1">IF($AA65=1,'Finals 4'!$O13,"")</f>
        <v>17</v>
      </c>
      <c r="AH65" s="12">
        <f ca="1">IF($AA65=1,'Finals 4'!$Q13,"")</f>
        <v>25</v>
      </c>
      <c r="AI65" s="591" t="str">
        <f ca="1">IF(AA65&gt;0,AE65&amp;Language!$E$80&amp;AF65,"")</f>
        <v>1-1</v>
      </c>
      <c r="AJ65" s="12"/>
      <c r="AK65" s="12"/>
      <c r="AL65" s="12"/>
      <c r="AM65" s="12"/>
      <c r="AN65" s="12"/>
      <c r="AO65" s="12"/>
      <c r="AP65" s="12"/>
      <c r="AQ65" s="12"/>
    </row>
    <row r="66" spans="2:43" s="2" customFormat="1" ht="13.5" thickBot="1" x14ac:dyDescent="0.25">
      <c r="F66" s="194">
        <v>1</v>
      </c>
      <c r="G66" s="195" t="s">
        <v>106</v>
      </c>
      <c r="P66" s="44" t="s">
        <v>8</v>
      </c>
      <c r="Q66" s="59" t="str">
        <f ca="1">IF('Finals 4'!$AI28="","",'Finals 4'!$AI28)</f>
        <v/>
      </c>
      <c r="U66" s="64" t="s">
        <v>8</v>
      </c>
      <c r="V66" s="39" t="str">
        <f ca="1">'Finals 4'!$I14</f>
        <v>Maibach 1822 eV</v>
      </c>
      <c r="W66" s="12" t="str">
        <f ca="1">'Finals 4'!$K14</f>
        <v>Manchester City</v>
      </c>
      <c r="X66" s="12">
        <f ca="1">IF($AA66=1,'Finals 4'!$L14,"")</f>
        <v>19</v>
      </c>
      <c r="Y66" s="34">
        <f ca="1">IF($AA66=1,'Finals 4'!$N14,"")</f>
        <v>25</v>
      </c>
      <c r="Z66" s="33" t="str">
        <f t="shared" ca="1" si="65"/>
        <v>Maibach 1822 eVManchester City</v>
      </c>
      <c r="AA66" s="12">
        <f ca="1">IF(AND('Finals 4'!$L14&lt;&gt;"",'Finals 4'!$N14&lt;&gt;"",'Finals 4'!$L14&lt;&gt;'Finals 4'!$N14,OR(AND('Finals 4'!$O14="",'Finals 4'!$Q14=""),AND('Finals 4'!$O14&lt;&gt;"",'Finals 4'!$Q14&lt;&gt;"",'Finals 4'!$O14&lt;&gt;'Finals 4'!$Q14)),'Finals 4'!$I14&lt;&gt;"",'Finals 4'!$K14&lt;&gt;"",'Finals 4'!$I14&lt;&gt;'Finals 4'!$K14),1,0)</f>
        <v>1</v>
      </c>
      <c r="AB66" s="12" t="str">
        <f ca="1">IF(AA66&gt;0,(X66+AG66)&amp;Language!$E$80&amp;(Y66+AH66),"")</f>
        <v>35-50</v>
      </c>
      <c r="AD66" s="141"/>
      <c r="AE66" s="146">
        <f t="shared" ca="1" si="66"/>
        <v>0</v>
      </c>
      <c r="AF66" s="141">
        <f t="shared" ca="1" si="67"/>
        <v>2</v>
      </c>
      <c r="AG66" s="146">
        <f ca="1">IF($AA66=1,'Finals 4'!$O14,"")</f>
        <v>16</v>
      </c>
      <c r="AH66" s="12">
        <f ca="1">IF($AA66=1,'Finals 4'!$Q14,"")</f>
        <v>25</v>
      </c>
      <c r="AI66" s="591" t="str">
        <f ca="1">IF(AA66&gt;0,AE66&amp;Language!$E$80&amp;AF66,"")</f>
        <v>0-2</v>
      </c>
      <c r="AJ66" s="3"/>
      <c r="AK66" s="12"/>
      <c r="AL66" s="12"/>
      <c r="AM66" s="12"/>
      <c r="AN66" s="12"/>
      <c r="AO66" s="12"/>
      <c r="AP66" s="12"/>
      <c r="AQ66" s="12"/>
    </row>
    <row r="67" spans="2:43" s="2" customFormat="1" x14ac:dyDescent="0.2">
      <c r="P67" s="44" t="s">
        <v>9</v>
      </c>
      <c r="Q67" s="59" t="str">
        <f ca="1">IF('Finals 4'!$AI29="","",'Finals 4'!$AI29)</f>
        <v/>
      </c>
      <c r="U67" s="64" t="s">
        <v>9</v>
      </c>
      <c r="V67" s="39" t="str">
        <f ca="1">'Finals 4'!$I15</f>
        <v>Inter Mailand</v>
      </c>
      <c r="W67" s="12" t="str">
        <f ca="1">'Finals 4'!$K15</f>
        <v/>
      </c>
      <c r="X67" s="12" t="str">
        <f ca="1">IF($AA67=1,'Finals 4'!$L15,"")</f>
        <v/>
      </c>
      <c r="Y67" s="34" t="str">
        <f ca="1">IF($AA67=1,'Finals 4'!$N15,"")</f>
        <v/>
      </c>
      <c r="Z67" s="33" t="str">
        <f t="shared" ca="1" si="65"/>
        <v>Inter Mailand</v>
      </c>
      <c r="AA67" s="12">
        <f ca="1">IF(AND('Finals 4'!$L15&lt;&gt;"",'Finals 4'!$N15&lt;&gt;"",'Finals 4'!$L15&lt;&gt;'Finals 4'!$N15,OR(AND('Finals 4'!$O15="",'Finals 4'!$Q15=""),AND('Finals 4'!$O15&lt;&gt;"",'Finals 4'!$Q15&lt;&gt;"",'Finals 4'!$O15&lt;&gt;'Finals 4'!$Q15)),'Finals 4'!$I15&lt;&gt;"",'Finals 4'!$K15&lt;&gt;"",'Finals 4'!$I15&lt;&gt;'Finals 4'!$K15),1,0)</f>
        <v>0</v>
      </c>
      <c r="AB67" s="12" t="str">
        <f ca="1">IF(AA67&gt;0,(X67+AG67)&amp;Language!$E$80&amp;(Y67+AH67),"")</f>
        <v/>
      </c>
      <c r="AD67" s="141"/>
      <c r="AE67" s="146">
        <f t="shared" ca="1" si="66"/>
        <v>0</v>
      </c>
      <c r="AF67" s="141">
        <f t="shared" ca="1" si="67"/>
        <v>0</v>
      </c>
      <c r="AG67" s="146" t="str">
        <f ca="1">IF($AA67=1,'Finals 4'!$O15,"")</f>
        <v/>
      </c>
      <c r="AH67" s="12" t="str">
        <f ca="1">IF($AA67=1,'Finals 4'!$Q15,"")</f>
        <v/>
      </c>
      <c r="AI67" s="591" t="str">
        <f ca="1">IF(AA67&gt;0,AE67&amp;Language!$E$80&amp;AF67,"")</f>
        <v/>
      </c>
      <c r="AJ67" s="12"/>
      <c r="AK67" s="3"/>
      <c r="AL67" s="12"/>
      <c r="AM67" s="12"/>
      <c r="AN67" s="12"/>
      <c r="AO67" s="12"/>
      <c r="AP67" s="12"/>
      <c r="AQ67" s="12"/>
    </row>
    <row r="68" spans="2:43" s="2" customFormat="1" x14ac:dyDescent="0.2">
      <c r="P68" s="44"/>
      <c r="Q68" s="59" t="str">
        <f>""</f>
        <v/>
      </c>
      <c r="U68" s="64" t="s">
        <v>10</v>
      </c>
      <c r="V68" s="39" t="str">
        <f ca="1">'Finals 4'!$I16</f>
        <v>FC Grönlingen</v>
      </c>
      <c r="W68" s="12" t="str">
        <f ca="1">'Finals 4'!$K16</f>
        <v>FC Barcelona</v>
      </c>
      <c r="X68" s="12">
        <f ca="1">IF($AA68=1,'Finals 4'!$L16,"")</f>
        <v>25</v>
      </c>
      <c r="Y68" s="34">
        <f ca="1">IF($AA68=1,'Finals 4'!$N16,"")</f>
        <v>23</v>
      </c>
      <c r="Z68" s="33" t="str">
        <f t="shared" ca="1" si="65"/>
        <v>FC GrönlingenFC Barcelona</v>
      </c>
      <c r="AA68" s="12">
        <f ca="1">IF(AND('Finals 4'!$L16&lt;&gt;"",'Finals 4'!$N16&lt;&gt;"",'Finals 4'!$L16&lt;&gt;'Finals 4'!$N16,OR(AND('Finals 4'!$O16="",'Finals 4'!$Q16=""),AND('Finals 4'!$O16&lt;&gt;"",'Finals 4'!$Q16&lt;&gt;"",'Finals 4'!$O16&lt;&gt;'Finals 4'!$Q16)),'Finals 4'!$I16&lt;&gt;"",'Finals 4'!$K16&lt;&gt;"",'Finals 4'!$I16&lt;&gt;'Finals 4'!$K16),1,0)</f>
        <v>1</v>
      </c>
      <c r="AB68" s="12" t="str">
        <f ca="1">IF(AA68&gt;0,(X68+AG68)&amp;Language!$E$80&amp;(Y68+AH68),"")</f>
        <v>50-44</v>
      </c>
      <c r="AD68" s="141"/>
      <c r="AE68" s="146">
        <f t="shared" ca="1" si="66"/>
        <v>2</v>
      </c>
      <c r="AF68" s="141">
        <f t="shared" ca="1" si="67"/>
        <v>0</v>
      </c>
      <c r="AG68" s="146">
        <f ca="1">IF($AA68=1,'Finals 4'!$O16,"")</f>
        <v>25</v>
      </c>
      <c r="AH68" s="12">
        <f ca="1">IF($AA68=1,'Finals 4'!$Q16,"")</f>
        <v>21</v>
      </c>
      <c r="AI68" s="591" t="str">
        <f ca="1">IF(AA68&gt;0,AE68&amp;Language!$E$80&amp;AF68,"")</f>
        <v>2-0</v>
      </c>
      <c r="AJ68" s="12"/>
      <c r="AK68" s="12"/>
      <c r="AL68" s="3"/>
      <c r="AM68" s="12"/>
      <c r="AN68" s="12"/>
      <c r="AO68" s="12"/>
      <c r="AP68" s="12"/>
      <c r="AQ68" s="12"/>
    </row>
    <row r="69" spans="2:43" s="2" customFormat="1" x14ac:dyDescent="0.2">
      <c r="P69" s="44"/>
      <c r="Q69" s="59" t="str">
        <f>""</f>
        <v/>
      </c>
      <c r="U69" s="64" t="s">
        <v>11</v>
      </c>
      <c r="V69" s="39" t="str">
        <f ca="1">'Finals 4'!$I17</f>
        <v>Mainz 05</v>
      </c>
      <c r="W69" s="12" t="str">
        <f ca="1">'Finals 4'!$K17</f>
        <v>Eintracht Frankfurt</v>
      </c>
      <c r="X69" s="12">
        <f ca="1">IF($AA69=1,'Finals 4'!$L17,"")</f>
        <v>25</v>
      </c>
      <c r="Y69" s="34">
        <f ca="1">IF($AA69=1,'Finals 4'!$N17,"")</f>
        <v>17</v>
      </c>
      <c r="Z69" s="33" t="str">
        <f t="shared" ca="1" si="65"/>
        <v>Mainz 05Eintracht Frankfurt</v>
      </c>
      <c r="AA69" s="12">
        <f ca="1">IF(AND('Finals 4'!$L17&lt;&gt;"",'Finals 4'!$N17&lt;&gt;"",'Finals 4'!$L17&lt;&gt;'Finals 4'!$N17,OR(AND('Finals 4'!$O17="",'Finals 4'!$Q17=""),AND('Finals 4'!$O17&lt;&gt;"",'Finals 4'!$Q17&lt;&gt;"",'Finals 4'!$O17&lt;&gt;'Finals 4'!$Q17)),'Finals 4'!$I17&lt;&gt;"",'Finals 4'!$K17&lt;&gt;"",'Finals 4'!$I17&lt;&gt;'Finals 4'!$K17),1,0)</f>
        <v>1</v>
      </c>
      <c r="AB69" s="12" t="str">
        <f ca="1">IF(AA69&gt;0,(X69+AG69)&amp;Language!$E$80&amp;(Y69+AH69),"")</f>
        <v>50-39</v>
      </c>
      <c r="AD69" s="141"/>
      <c r="AE69" s="146">
        <f t="shared" ca="1" si="66"/>
        <v>2</v>
      </c>
      <c r="AF69" s="141">
        <f t="shared" ca="1" si="67"/>
        <v>0</v>
      </c>
      <c r="AG69" s="146">
        <f ca="1">IF($AA69=1,'Finals 4'!$O17,"")</f>
        <v>25</v>
      </c>
      <c r="AH69" s="12">
        <f ca="1">IF($AA69=1,'Finals 4'!$Q17,"")</f>
        <v>22</v>
      </c>
      <c r="AI69" s="591" t="str">
        <f ca="1">IF(AA69&gt;0,AE69&amp;Language!$E$80&amp;AF69,"")</f>
        <v>2-0</v>
      </c>
      <c r="AJ69" s="12"/>
      <c r="AK69" s="12"/>
      <c r="AL69" s="12"/>
      <c r="AM69" s="3"/>
      <c r="AN69" s="12"/>
      <c r="AO69" s="12"/>
      <c r="AP69" s="12"/>
      <c r="AQ69" s="12"/>
    </row>
    <row r="70" spans="2:43" s="2" customFormat="1" x14ac:dyDescent="0.2">
      <c r="P70" s="44"/>
      <c r="Q70" s="59" t="str">
        <f>""</f>
        <v/>
      </c>
      <c r="U70" s="64" t="s">
        <v>16</v>
      </c>
      <c r="V70" s="39" t="str">
        <f ca="1">'Finals 4'!$I18</f>
        <v>VFB Essenheim</v>
      </c>
      <c r="W70" s="12" t="str">
        <f ca="1">'Finals 4'!$K18</f>
        <v/>
      </c>
      <c r="X70" s="12" t="str">
        <f ca="1">IF($AA70=1,'Finals 4'!$L18,"")</f>
        <v/>
      </c>
      <c r="Y70" s="34" t="str">
        <f ca="1">IF($AA70=1,'Finals 4'!$N18,"")</f>
        <v/>
      </c>
      <c r="Z70" s="33" t="str">
        <f t="shared" ca="1" si="65"/>
        <v>VFB Essenheim</v>
      </c>
      <c r="AA70" s="12">
        <f ca="1">IF(AND('Finals 4'!$L18&lt;&gt;"",'Finals 4'!$N18&lt;&gt;"",'Finals 4'!$L18&lt;&gt;'Finals 4'!$N18,OR(AND('Finals 4'!$O18="",'Finals 4'!$Q18=""),AND('Finals 4'!$O18&lt;&gt;"",'Finals 4'!$Q18&lt;&gt;"",'Finals 4'!$O18&lt;&gt;'Finals 4'!$Q18)),'Finals 4'!$I18&lt;&gt;"",'Finals 4'!$K18&lt;&gt;"",'Finals 4'!$I18&lt;&gt;'Finals 4'!$K18),1,0)</f>
        <v>0</v>
      </c>
      <c r="AB70" s="12" t="str">
        <f ca="1">IF(AA70&gt;0,(X70+AG70)&amp;Language!$E$80&amp;(Y70+AH70),"")</f>
        <v/>
      </c>
      <c r="AD70" s="141"/>
      <c r="AE70" s="146">
        <f t="shared" ca="1" si="66"/>
        <v>0</v>
      </c>
      <c r="AF70" s="141">
        <f t="shared" ca="1" si="67"/>
        <v>0</v>
      </c>
      <c r="AG70" s="146" t="str">
        <f ca="1">IF($AA70=1,'Finals 4'!$O18,"")</f>
        <v/>
      </c>
      <c r="AH70" s="12" t="str">
        <f ca="1">IF($AA70=1,'Finals 4'!$Q18,"")</f>
        <v/>
      </c>
      <c r="AI70" s="591" t="str">
        <f ca="1">IF(AA70&gt;0,AE70&amp;Language!$E$80&amp;AF70,"")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'Finals 4'!$I19</f>
        <v>1. FC Riedwald</v>
      </c>
      <c r="W71" s="12" t="str">
        <f ca="1">'Finals 4'!$K19</f>
        <v>FC Barcelona</v>
      </c>
      <c r="X71" s="12">
        <f ca="1">IF($AA71=1,'Finals 4'!$L19,"")</f>
        <v>19</v>
      </c>
      <c r="Y71" s="34">
        <f ca="1">IF($AA71=1,'Finals 4'!$N19,"")</f>
        <v>25</v>
      </c>
      <c r="Z71" s="33" t="str">
        <f t="shared" ca="1" si="65"/>
        <v>1. FC RiedwaldFC Barcelona</v>
      </c>
      <c r="AA71" s="12">
        <f ca="1">IF(AND('Finals 4'!$L19&lt;&gt;"",'Finals 4'!$N19&lt;&gt;"",'Finals 4'!$L19&lt;&gt;'Finals 4'!$N19,OR(AND('Finals 4'!$O19="",'Finals 4'!$Q19=""),AND('Finals 4'!$O19&lt;&gt;"",'Finals 4'!$Q19&lt;&gt;"",'Finals 4'!$O19&lt;&gt;'Finals 4'!$Q19)),'Finals 4'!$I19&lt;&gt;"",'Finals 4'!$K19&lt;&gt;"",'Finals 4'!$I19&lt;&gt;'Finals 4'!$K19),1,0)</f>
        <v>1</v>
      </c>
      <c r="AB71" s="12" t="str">
        <f ca="1">IF(AA71&gt;0,(X71+AG71)&amp;Language!$E$80&amp;(Y71+AH71),"")</f>
        <v>44-37</v>
      </c>
      <c r="AD71" s="141"/>
      <c r="AE71" s="146">
        <f t="shared" ca="1" si="66"/>
        <v>1</v>
      </c>
      <c r="AF71" s="141">
        <f t="shared" ca="1" si="67"/>
        <v>1</v>
      </c>
      <c r="AG71" s="146">
        <f ca="1">IF($AA71=1,'Finals 4'!$O19,"")</f>
        <v>25</v>
      </c>
      <c r="AH71" s="12">
        <f ca="1">IF($AA71=1,'Finals 4'!$Q19,"")</f>
        <v>12</v>
      </c>
      <c r="AI71" s="591" t="str">
        <f ca="1">IF(AA71&gt;0,AE71&amp;Language!$E$80&amp;AF71,"")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'Finals 4'!$I20</f>
        <v>Maibach 1822 eV</v>
      </c>
      <c r="W72" s="12" t="str">
        <f ca="1">'Finals 4'!$K20</f>
        <v>Eintracht Frankfurt</v>
      </c>
      <c r="X72" s="12">
        <f ca="1">IF($AA72=1,'Finals 4'!$L20,"")</f>
        <v>13</v>
      </c>
      <c r="Y72" s="34">
        <f ca="1">IF($AA72=1,'Finals 4'!$N20,"")</f>
        <v>25</v>
      </c>
      <c r="Z72" s="33" t="str">
        <f t="shared" ca="1" si="65"/>
        <v>Maibach 1822 eVEintracht Frankfurt</v>
      </c>
      <c r="AA72" s="12">
        <f ca="1">IF(AND('Finals 4'!$L20&lt;&gt;"",'Finals 4'!$N20&lt;&gt;"",'Finals 4'!$L20&lt;&gt;'Finals 4'!$N20,OR(AND('Finals 4'!$O20="",'Finals 4'!$Q20=""),AND('Finals 4'!$O20&lt;&gt;"",'Finals 4'!$Q20&lt;&gt;"",'Finals 4'!$O20&lt;&gt;'Finals 4'!$Q20)),'Finals 4'!$I20&lt;&gt;"",'Finals 4'!$K20&lt;&gt;"",'Finals 4'!$I20&lt;&gt;'Finals 4'!$K20),1,0)</f>
        <v>1</v>
      </c>
      <c r="AB72" s="12" t="str">
        <f ca="1">IF(AA72&gt;0,(X72+AG72)&amp;Language!$E$80&amp;(Y72+AH72),"")</f>
        <v>31-50</v>
      </c>
      <c r="AD72" s="141"/>
      <c r="AE72" s="146">
        <f t="shared" ca="1" si="66"/>
        <v>0</v>
      </c>
      <c r="AF72" s="141">
        <f t="shared" ca="1" si="67"/>
        <v>2</v>
      </c>
      <c r="AG72" s="146">
        <f ca="1">IF($AA72=1,'Finals 4'!$O20,"")</f>
        <v>18</v>
      </c>
      <c r="AH72" s="12">
        <f ca="1">IF($AA72=1,'Finals 4'!$Q20,"")</f>
        <v>25</v>
      </c>
      <c r="AI72" s="591" t="str">
        <f ca="1">IF(AA72&gt;0,AE72&amp;Language!$E$80&amp;AF72,"")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'Finals 4'!$I21</f>
        <v>Inter Mailand</v>
      </c>
      <c r="W73" s="12" t="str">
        <f ca="1">'Finals 4'!$K21</f>
        <v/>
      </c>
      <c r="X73" s="12" t="str">
        <f ca="1">IF($AA73=1,'Finals 4'!$L21,"")</f>
        <v/>
      </c>
      <c r="Y73" s="34" t="str">
        <f ca="1">IF($AA73=1,'Finals 4'!$N21,"")</f>
        <v/>
      </c>
      <c r="Z73" s="33" t="str">
        <f t="shared" ca="1" si="65"/>
        <v>Inter Mailand</v>
      </c>
      <c r="AA73" s="12">
        <f ca="1">IF(AND('Finals 4'!$L21&lt;&gt;"",'Finals 4'!$N21&lt;&gt;"",'Finals 4'!$L21&lt;&gt;'Finals 4'!$N21,OR(AND('Finals 4'!$O21="",'Finals 4'!$Q21=""),AND('Finals 4'!$O21&lt;&gt;"",'Finals 4'!$Q21&lt;&gt;"",'Finals 4'!$O21&lt;&gt;'Finals 4'!$Q21)),'Finals 4'!$I21&lt;&gt;"",'Finals 4'!$K21&lt;&gt;"",'Finals 4'!$I21&lt;&gt;'Finals 4'!$K21),1,0)</f>
        <v>0</v>
      </c>
      <c r="AB73" s="12" t="str">
        <f ca="1">IF(AA73&gt;0,(X73+AG73)&amp;Language!$E$80&amp;(Y73+AH73),"")</f>
        <v/>
      </c>
      <c r="AD73" s="141"/>
      <c r="AE73" s="146">
        <f t="shared" ca="1" si="66"/>
        <v>0</v>
      </c>
      <c r="AF73" s="141">
        <f t="shared" ca="1" si="67"/>
        <v>0</v>
      </c>
      <c r="AG73" s="146" t="str">
        <f ca="1">IF($AA73=1,'Finals 4'!$O21,"")</f>
        <v/>
      </c>
      <c r="AH73" s="12" t="str">
        <f ca="1">IF($AA73=1,'Finals 4'!$Q21,"")</f>
        <v/>
      </c>
      <c r="AI73" s="591" t="str">
        <f ca="1">IF(AA73&gt;0,AE73&amp;Language!$E$80&amp;AF73,"")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'Finals 4'!$I22</f>
        <v>FC Grönlingen</v>
      </c>
      <c r="W74" s="12" t="str">
        <f ca="1">'Finals 4'!$K22</f>
        <v>SSV Wildbach</v>
      </c>
      <c r="X74" s="12">
        <f ca="1">IF($AA74=1,'Finals 4'!$L22,"")</f>
        <v>22</v>
      </c>
      <c r="Y74" s="34">
        <f ca="1">IF($AA74=1,'Finals 4'!$N22,"")</f>
        <v>25</v>
      </c>
      <c r="Z74" s="33" t="str">
        <f ca="1">V74&amp;W74</f>
        <v>FC GrönlingenSSV Wildbach</v>
      </c>
      <c r="AA74" s="12">
        <f ca="1">IF(AND('Finals 4'!$L22&lt;&gt;"",'Finals 4'!$N22&lt;&gt;"",'Finals 4'!$L22&lt;&gt;'Finals 4'!$N22,OR(AND('Finals 4'!$O22="",'Finals 4'!$Q22=""),AND('Finals 4'!$O22&lt;&gt;"",'Finals 4'!$Q22&lt;&gt;"",'Finals 4'!$O22&lt;&gt;'Finals 4'!$Q22)),'Finals 4'!$I22&lt;&gt;"",'Finals 4'!$K22&lt;&gt;"",'Finals 4'!$I22&lt;&gt;'Finals 4'!$K22),1,0)</f>
        <v>1</v>
      </c>
      <c r="AB74" s="12" t="str">
        <f ca="1">IF(AA74&gt;0,(X74+AG74)&amp;Language!$E$80&amp;(Y74+AH74),"")</f>
        <v>47-45</v>
      </c>
      <c r="AD74" s="141"/>
      <c r="AE74" s="146">
        <f t="shared" ca="1" si="66"/>
        <v>1</v>
      </c>
      <c r="AF74" s="141">
        <f t="shared" ca="1" si="67"/>
        <v>1</v>
      </c>
      <c r="AG74" s="146">
        <f ca="1">IF($AA74=1,'Finals 4'!$O22,"")</f>
        <v>25</v>
      </c>
      <c r="AH74" s="12">
        <f ca="1">IF($AA74=1,'Finals 4'!$Q22,"")</f>
        <v>20</v>
      </c>
      <c r="AI74" s="591" t="str">
        <f ca="1">IF(AA74&gt;0,AE74&amp;Language!$E$80&amp;AF74,"")</f>
        <v>1-1</v>
      </c>
    </row>
    <row r="75" spans="2:43" s="2" customFormat="1" x14ac:dyDescent="0.2">
      <c r="B75" s="3"/>
      <c r="C75" s="3"/>
      <c r="D75" s="3"/>
      <c r="E75" s="3"/>
      <c r="F75" s="12"/>
      <c r="G75" s="12"/>
      <c r="H75" s="12"/>
      <c r="I75" s="12"/>
      <c r="J75" s="12"/>
      <c r="K75" s="12"/>
      <c r="L75" s="12"/>
      <c r="M75" s="12"/>
      <c r="U75" s="64" t="s">
        <v>26</v>
      </c>
      <c r="V75" s="39" t="str">
        <f ca="1">'Finals 4'!$I23</f>
        <v>Mainz 05</v>
      </c>
      <c r="W75" s="12" t="str">
        <f ca="1">'Finals 4'!$K23</f>
        <v>Manchester City</v>
      </c>
      <c r="X75" s="12">
        <f ca="1">IF($AA75=1,'Finals 4'!$L23,"")</f>
        <v>19</v>
      </c>
      <c r="Y75" s="34">
        <f ca="1">IF($AA75=1,'Finals 4'!$N23,"")</f>
        <v>25</v>
      </c>
      <c r="Z75" s="33" t="str">
        <f t="shared" ref="Z75:Z81" ca="1" si="68">V75&amp;W75</f>
        <v>Mainz 05Manchester City</v>
      </c>
      <c r="AA75" s="12">
        <f ca="1">IF(AND('Finals 4'!$L23&lt;&gt;"",'Finals 4'!$N23&lt;&gt;"",'Finals 4'!$L23&lt;&gt;'Finals 4'!$N23,OR(AND('Finals 4'!$O23="",'Finals 4'!$Q23=""),AND('Finals 4'!$O23&lt;&gt;"",'Finals 4'!$Q23&lt;&gt;"",'Finals 4'!$O23&lt;&gt;'Finals 4'!$Q23)),'Finals 4'!$I23&lt;&gt;"",'Finals 4'!$K23&lt;&gt;"",'Finals 4'!$I23&lt;&gt;'Finals 4'!$K23),1,0)</f>
        <v>1</v>
      </c>
      <c r="AB75" s="12" t="str">
        <f ca="1">IF(AA75&gt;0,(X75+AG75)&amp;Language!$E$80&amp;(Y75+AH75),"")</f>
        <v>44-44</v>
      </c>
      <c r="AD75" s="141"/>
      <c r="AE75" s="146">
        <f t="shared" ca="1" si="66"/>
        <v>1</v>
      </c>
      <c r="AF75" s="141">
        <f t="shared" ca="1" si="67"/>
        <v>1</v>
      </c>
      <c r="AG75" s="146">
        <f ca="1">IF($AA75=1,'Finals 4'!$O23,"")</f>
        <v>25</v>
      </c>
      <c r="AH75" s="12">
        <f ca="1">IF($AA75=1,'Finals 4'!$Q23,"")</f>
        <v>19</v>
      </c>
      <c r="AI75" s="591" t="str">
        <f ca="1">IF(AA75&gt;0,AE75&amp;Language!$E$80&amp;AF75,"")</f>
        <v>1-1</v>
      </c>
    </row>
    <row r="76" spans="2:43" s="2" customFormat="1" x14ac:dyDescent="0.2">
      <c r="B76" s="3"/>
      <c r="C76" s="3"/>
      <c r="D76" s="3"/>
      <c r="E76" s="3"/>
      <c r="F76" s="12"/>
      <c r="G76" s="12"/>
      <c r="H76" s="12"/>
      <c r="I76" s="12"/>
      <c r="J76" s="12"/>
      <c r="K76" s="12"/>
      <c r="L76" s="12"/>
      <c r="M76" s="12"/>
      <c r="U76" s="64" t="s">
        <v>27</v>
      </c>
      <c r="V76" s="39" t="str">
        <f ca="1">'Finals 4'!$I24</f>
        <v/>
      </c>
      <c r="W76" s="12" t="str">
        <f ca="1">'Finals 4'!$K24</f>
        <v/>
      </c>
      <c r="X76" s="12" t="str">
        <f ca="1">IF($AA76=1,'Finals 4'!$L24,"")</f>
        <v/>
      </c>
      <c r="Y76" s="34" t="str">
        <f ca="1">IF($AA76=1,'Finals 4'!$N24,"")</f>
        <v/>
      </c>
      <c r="Z76" s="33" t="str">
        <f t="shared" ca="1" si="68"/>
        <v/>
      </c>
      <c r="AA76" s="12">
        <f ca="1">IF(AND('Finals 4'!$L24&lt;&gt;"",'Finals 4'!$N24&lt;&gt;"",'Finals 4'!$L24&lt;&gt;'Finals 4'!$N24,OR(AND('Finals 4'!$O24="",'Finals 4'!$Q24=""),AND('Finals 4'!$O24&lt;&gt;"",'Finals 4'!$Q24&lt;&gt;"",'Finals 4'!$O24&lt;&gt;'Finals 4'!$Q24)),'Finals 4'!$I24&lt;&gt;"",'Finals 4'!$K24&lt;&gt;"",'Finals 4'!$I24&lt;&gt;'Finals 4'!$K24),1,0)</f>
        <v>0</v>
      </c>
      <c r="AB76" s="12" t="str">
        <f ca="1">IF(AA76&gt;0,(X76+AG76)&amp;Language!$E$80&amp;(Y76+AH76),"")</f>
        <v/>
      </c>
      <c r="AD76" s="141"/>
      <c r="AE76" s="146">
        <f t="shared" ca="1" si="66"/>
        <v>0</v>
      </c>
      <c r="AF76" s="141">
        <f t="shared" ca="1" si="67"/>
        <v>0</v>
      </c>
      <c r="AG76" s="146" t="str">
        <f ca="1">IF($AA76=1,'Finals 4'!$O24,"")</f>
        <v/>
      </c>
      <c r="AH76" s="12" t="str">
        <f ca="1">IF($AA76=1,'Finals 4'!$Q24,"")</f>
        <v/>
      </c>
      <c r="AI76" s="591" t="str">
        <f ca="1">IF(AA76&gt;0,AE76&amp;Language!$E$80&amp;AF76,"")</f>
        <v/>
      </c>
    </row>
    <row r="77" spans="2:43" s="2" customFormat="1" x14ac:dyDescent="0.2">
      <c r="B77" s="3"/>
      <c r="C77" s="3"/>
      <c r="D77" s="3"/>
      <c r="E77" s="3"/>
      <c r="F77" s="12"/>
      <c r="G77" s="12"/>
      <c r="H77" s="12"/>
      <c r="I77" s="12"/>
      <c r="J77" s="12"/>
      <c r="K77" s="12"/>
      <c r="L77" s="12"/>
      <c r="M77" s="12"/>
      <c r="U77" s="64" t="s">
        <v>28</v>
      </c>
      <c r="V77" s="39" t="str">
        <f ca="1">'Finals 4'!$I25</f>
        <v>FC Barcelona</v>
      </c>
      <c r="W77" s="12" t="str">
        <f ca="1">'Finals 4'!$K25</f>
        <v>SSV Wildbach</v>
      </c>
      <c r="X77" s="12">
        <f ca="1">IF($AA77=1,'Finals 4'!$L25,"")</f>
        <v>14</v>
      </c>
      <c r="Y77" s="34">
        <f ca="1">IF($AA77=1,'Finals 4'!$N25,"")</f>
        <v>25</v>
      </c>
      <c r="Z77" s="33" t="str">
        <f t="shared" ca="1" si="68"/>
        <v>FC BarcelonaSSV Wildbach</v>
      </c>
      <c r="AA77" s="12">
        <f ca="1">IF(AND('Finals 4'!$L25&lt;&gt;"",'Finals 4'!$N25&lt;&gt;"",'Finals 4'!$L25&lt;&gt;'Finals 4'!$N25,OR(AND('Finals 4'!$O25="",'Finals 4'!$Q25=""),AND('Finals 4'!$O25&lt;&gt;"",'Finals 4'!$Q25&lt;&gt;"",'Finals 4'!$O25&lt;&gt;'Finals 4'!$Q25)),'Finals 4'!$I25&lt;&gt;"",'Finals 4'!$K25&lt;&gt;"",'Finals 4'!$I25&lt;&gt;'Finals 4'!$K25),1,0)</f>
        <v>1</v>
      </c>
      <c r="AB77" s="12" t="str">
        <f ca="1">IF(AA77&gt;0,(X77+AG77)&amp;Language!$E$80&amp;(Y77+AH77),"")</f>
        <v>39-48</v>
      </c>
      <c r="AD77" s="141"/>
      <c r="AE77" s="146">
        <f t="shared" ca="1" si="66"/>
        <v>1</v>
      </c>
      <c r="AF77" s="141">
        <f t="shared" ca="1" si="67"/>
        <v>1</v>
      </c>
      <c r="AG77" s="146">
        <f ca="1">IF($AA77=1,'Finals 4'!$O25,"")</f>
        <v>25</v>
      </c>
      <c r="AH77" s="12">
        <f ca="1">IF($AA77=1,'Finals 4'!$Q25,"")</f>
        <v>23</v>
      </c>
      <c r="AI77" s="591" t="str">
        <f ca="1">IF(AA77&gt;0,AE77&amp;Language!$E$80&amp;AF77,"")</f>
        <v>1-1</v>
      </c>
    </row>
    <row r="78" spans="2:43" s="2" customFormat="1" x14ac:dyDescent="0.2">
      <c r="B78" s="3"/>
      <c r="C78" s="3"/>
      <c r="D78" s="3"/>
      <c r="E78" s="3"/>
      <c r="F78" s="12"/>
      <c r="G78" s="12"/>
      <c r="H78" s="12"/>
      <c r="I78" s="12"/>
      <c r="J78" s="12"/>
      <c r="K78" s="12"/>
      <c r="L78" s="12"/>
      <c r="M78" s="12"/>
      <c r="U78" s="64" t="s">
        <v>29</v>
      </c>
      <c r="V78" s="39" t="str">
        <f ca="1">'Finals 4'!$I26</f>
        <v>Eintracht Frankfurt</v>
      </c>
      <c r="W78" s="12" t="str">
        <f ca="1">'Finals 4'!$K26</f>
        <v>Manchester City</v>
      </c>
      <c r="X78" s="12">
        <f ca="1">IF($AA78=1,'Finals 4'!$L26,"")</f>
        <v>21</v>
      </c>
      <c r="Y78" s="34">
        <f ca="1">IF($AA78=1,'Finals 4'!$N26,"")</f>
        <v>25</v>
      </c>
      <c r="Z78" s="33" t="str">
        <f t="shared" ca="1" si="68"/>
        <v>Eintracht FrankfurtManchester City</v>
      </c>
      <c r="AA78" s="12">
        <f ca="1">IF(AND('Finals 4'!$L26&lt;&gt;"",'Finals 4'!$N26&lt;&gt;"",'Finals 4'!$L26&lt;&gt;'Finals 4'!$N26,OR(AND('Finals 4'!$O26="",'Finals 4'!$Q26=""),AND('Finals 4'!$O26&lt;&gt;"",'Finals 4'!$Q26&lt;&gt;"",'Finals 4'!$O26&lt;&gt;'Finals 4'!$Q26)),'Finals 4'!$I26&lt;&gt;"",'Finals 4'!$K26&lt;&gt;"",'Finals 4'!$I26&lt;&gt;'Finals 4'!$K26),1,0)</f>
        <v>1</v>
      </c>
      <c r="AB78" s="12" t="str">
        <f ca="1">IF(AA78&gt;0,(X78+AG78)&amp;Language!$E$80&amp;(Y78+AH78),"")</f>
        <v>46-42</v>
      </c>
      <c r="AD78" s="141"/>
      <c r="AE78" s="146">
        <f t="shared" ca="1" si="66"/>
        <v>1</v>
      </c>
      <c r="AF78" s="141">
        <f t="shared" ca="1" si="67"/>
        <v>1</v>
      </c>
      <c r="AG78" s="146">
        <f ca="1">IF($AA78=1,'Finals 4'!$O26,"")</f>
        <v>25</v>
      </c>
      <c r="AH78" s="12">
        <f ca="1">IF($AA78=1,'Finals 4'!$Q26,"")</f>
        <v>17</v>
      </c>
      <c r="AI78" s="591" t="str">
        <f ca="1">IF(AA78&gt;0,AE78&amp;Language!$E$80&amp;AF78,"")</f>
        <v>1-1</v>
      </c>
    </row>
    <row r="79" spans="2:43" s="2" customFormat="1" x14ac:dyDescent="0.2">
      <c r="B79" s="3"/>
      <c r="C79" s="3"/>
      <c r="D79" s="3"/>
      <c r="E79" s="3"/>
      <c r="F79" s="12"/>
      <c r="G79" s="12"/>
      <c r="H79" s="12"/>
      <c r="I79" s="12"/>
      <c r="J79" s="12"/>
      <c r="K79" s="12"/>
      <c r="L79" s="12"/>
      <c r="M79" s="12"/>
      <c r="U79" s="64" t="s">
        <v>30</v>
      </c>
      <c r="V79" s="39" t="str">
        <f ca="1">'Finals 4'!$I27</f>
        <v>VFB Essenheim</v>
      </c>
      <c r="W79" s="12" t="str">
        <f ca="1">'Finals 4'!$K27</f>
        <v>Inter Mailand</v>
      </c>
      <c r="X79" s="12">
        <f ca="1">IF($AA79=1,'Finals 4'!$L27,"")</f>
        <v>20</v>
      </c>
      <c r="Y79" s="34">
        <f ca="1">IF($AA79=1,'Finals 4'!$N27,"")</f>
        <v>25</v>
      </c>
      <c r="Z79" s="33" t="str">
        <f t="shared" ca="1" si="68"/>
        <v>VFB EssenheimInter Mailand</v>
      </c>
      <c r="AA79" s="12">
        <f ca="1">IF(AND('Finals 4'!$L27&lt;&gt;"",'Finals 4'!$N27&lt;&gt;"",'Finals 4'!$L27&lt;&gt;'Finals 4'!$N27,OR(AND('Finals 4'!$O27="",'Finals 4'!$Q27=""),AND('Finals 4'!$O27&lt;&gt;"",'Finals 4'!$Q27&lt;&gt;"",'Finals 4'!$O27&lt;&gt;'Finals 4'!$Q27)),'Finals 4'!$I27&lt;&gt;"",'Finals 4'!$K27&lt;&gt;"",'Finals 4'!$I27&lt;&gt;'Finals 4'!$K27),1,0)</f>
        <v>1</v>
      </c>
      <c r="AB79" s="12" t="str">
        <f ca="1">IF(AA79&gt;0,(X79+AG79)&amp;Language!$E$80&amp;(Y79+AH79),"")</f>
        <v>38-50</v>
      </c>
      <c r="AD79" s="141"/>
      <c r="AE79" s="146">
        <f t="shared" ca="1" si="66"/>
        <v>0</v>
      </c>
      <c r="AF79" s="141">
        <f t="shared" ca="1" si="67"/>
        <v>2</v>
      </c>
      <c r="AG79" s="146">
        <f ca="1">IF($AA79=1,'Finals 4'!$O27,"")</f>
        <v>18</v>
      </c>
      <c r="AH79" s="12">
        <f ca="1">IF($AA79=1,'Finals 4'!$Q27,"")</f>
        <v>25</v>
      </c>
      <c r="AI79" s="591" t="str">
        <f ca="1">IF(AA79&gt;0,AE79&amp;Language!$E$80&amp;AF79,"")</f>
        <v>0-2</v>
      </c>
    </row>
    <row r="80" spans="2:43" s="2" customFormat="1" x14ac:dyDescent="0.2">
      <c r="B80" s="3"/>
      <c r="C80" s="3"/>
      <c r="D80" s="3"/>
      <c r="E80" s="3"/>
      <c r="F80" s="12"/>
      <c r="G80" s="12"/>
      <c r="H80" s="12"/>
      <c r="I80" s="12"/>
      <c r="J80" s="12"/>
      <c r="K80" s="12"/>
      <c r="L80" s="12"/>
      <c r="M80" s="12"/>
      <c r="U80" s="64" t="s">
        <v>31</v>
      </c>
      <c r="V80" s="39" t="str">
        <f ca="1">'Finals 4'!$I28</f>
        <v>1. FC Riedwald</v>
      </c>
      <c r="W80" s="12" t="str">
        <f ca="1">'Finals 4'!$K28</f>
        <v>FC Grönlingen</v>
      </c>
      <c r="X80" s="12">
        <f ca="1">IF($AA80=1,'Finals 4'!$L28,"")</f>
        <v>25</v>
      </c>
      <c r="Y80" s="34">
        <f ca="1">IF($AA80=1,'Finals 4'!$N28,"")</f>
        <v>20</v>
      </c>
      <c r="Z80" s="33" t="str">
        <f t="shared" ca="1" si="68"/>
        <v>1. FC RiedwaldFC Grönlingen</v>
      </c>
      <c r="AA80" s="12">
        <f ca="1">IF(AND('Finals 4'!$L28&lt;&gt;"",'Finals 4'!$N28&lt;&gt;"",'Finals 4'!$L28&lt;&gt;'Finals 4'!$N28,OR(AND('Finals 4'!$O28="",'Finals 4'!$Q28=""),AND('Finals 4'!$O28&lt;&gt;"",'Finals 4'!$Q28&lt;&gt;"",'Finals 4'!$O28&lt;&gt;'Finals 4'!$Q28)),'Finals 4'!$I28&lt;&gt;"",'Finals 4'!$K28&lt;&gt;"",'Finals 4'!$I28&lt;&gt;'Finals 4'!$K28),1,0)</f>
        <v>1</v>
      </c>
      <c r="AB80" s="12" t="str">
        <f ca="1">IF(AA80&gt;0,(X80+AG80)&amp;Language!$E$80&amp;(Y80+AH80),"")</f>
        <v>50-39</v>
      </c>
      <c r="AD80" s="141"/>
      <c r="AE80" s="146">
        <f t="shared" ca="1" si="66"/>
        <v>2</v>
      </c>
      <c r="AF80" s="141">
        <f t="shared" ca="1" si="67"/>
        <v>0</v>
      </c>
      <c r="AG80" s="146">
        <f ca="1">IF($AA80=1,'Finals 4'!$O28,"")</f>
        <v>25</v>
      </c>
      <c r="AH80" s="12">
        <f ca="1">IF($AA80=1,'Finals 4'!$Q28,"")</f>
        <v>19</v>
      </c>
      <c r="AI80" s="591" t="str">
        <f ca="1">IF(AA80&gt;0,AE80&amp;Language!$E$80&amp;AF80,"")</f>
        <v>2-0</v>
      </c>
    </row>
    <row r="81" spans="2:35" s="2" customFormat="1" ht="12.75" thickBot="1" x14ac:dyDescent="0.25">
      <c r="B81" s="3"/>
      <c r="C81" s="3"/>
      <c r="D81" s="3"/>
      <c r="E81" s="3"/>
      <c r="F81" s="12"/>
      <c r="G81" s="12"/>
      <c r="H81" s="12"/>
      <c r="I81" s="12"/>
      <c r="J81" s="12"/>
      <c r="K81" s="12"/>
      <c r="L81" s="12"/>
      <c r="M81" s="12"/>
      <c r="U81" s="311" t="s">
        <v>32</v>
      </c>
      <c r="V81" s="702" t="str">
        <f ca="1">'Finals 4'!$I29</f>
        <v>Maibach 1822 eV</v>
      </c>
      <c r="W81" s="312" t="str">
        <f ca="1">'Finals 4'!$K29</f>
        <v>Mainz 05</v>
      </c>
      <c r="X81" s="312">
        <f ca="1">IF($AA81=1,'Finals 4'!$L29,"")</f>
        <v>25</v>
      </c>
      <c r="Y81" s="703">
        <f ca="1">IF($AA81=1,'Finals 4'!$N29,"")</f>
        <v>13</v>
      </c>
      <c r="Z81" s="313" t="str">
        <f t="shared" ca="1" si="68"/>
        <v>Maibach 1822 eVMainz 05</v>
      </c>
      <c r="AA81" s="312">
        <f ca="1">IF(AND('Finals 4'!$L29&lt;&gt;"",'Finals 4'!$N29&lt;&gt;"",'Finals 4'!$L29&lt;&gt;'Finals 4'!$N29,OR(AND('Finals 4'!$O29="",'Finals 4'!$Q29=""),AND('Finals 4'!$O29&lt;&gt;"",'Finals 4'!$Q29&lt;&gt;"",'Finals 4'!$O29&lt;&gt;'Finals 4'!$Q29)),'Finals 4'!$I29&lt;&gt;"",'Finals 4'!$K29&lt;&gt;"",'Finals 4'!$I29&lt;&gt;'Finals 4'!$K29),1,0)</f>
        <v>1</v>
      </c>
      <c r="AB81" s="312" t="str">
        <f ca="1">IF(AA81&gt;0,(X81+AG81)&amp;Language!$E$80&amp;(Y81+AH81),"")</f>
        <v>50-33</v>
      </c>
      <c r="AC81" s="314"/>
      <c r="AD81" s="315"/>
      <c r="AE81" s="316">
        <f t="shared" ca="1" si="66"/>
        <v>2</v>
      </c>
      <c r="AF81" s="315">
        <f t="shared" ca="1" si="67"/>
        <v>0</v>
      </c>
      <c r="AG81" s="316">
        <f ca="1">IF($AA81=1,'Finals 4'!$O29,"")</f>
        <v>25</v>
      </c>
      <c r="AH81" s="312">
        <f ca="1">IF($AA81=1,'Finals 4'!$Q29,"")</f>
        <v>20</v>
      </c>
      <c r="AI81" s="592" t="str">
        <f ca="1">IF(AA81&gt;0,AE81&amp;Language!$E$80&amp;AF81,"")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1"/>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1"/>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1"/>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1"/>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1"/>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1"/>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1"/>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1"/>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1"/>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1"/>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1"/>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1"/>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IF(AA136&gt;0,(Y64+AH64)&amp;Language!$E$80&amp;(X64+AG64),"")</f>
        <v/>
      </c>
      <c r="AD136" s="141"/>
      <c r="AE136" s="596"/>
      <c r="AF136" s="597"/>
      <c r="AG136" s="597"/>
      <c r="AH136" s="597"/>
      <c r="AI136" s="140" t="str">
        <f ca="1">IF(AA64&gt;0,AF64&amp;Language!$E$80&amp;AE64,"")</f>
        <v/>
      </c>
    </row>
    <row r="137" spans="2:35" x14ac:dyDescent="0.2">
      <c r="Y137" s="64" t="s">
        <v>7</v>
      </c>
      <c r="Z137" s="33" t="str">
        <f ca="1">W65&amp;V65</f>
        <v>SSV Wildbach1. FC Riedwald</v>
      </c>
      <c r="AA137" s="12">
        <f t="shared" ref="AA137:AA153" ca="1" si="69">AA65</f>
        <v>1</v>
      </c>
      <c r="AB137" s="12" t="str">
        <f ca="1">IF(AA137&gt;0,(Y65+AH65)&amp;Language!$E$80&amp;(X65+AG65),"")</f>
        <v>45-42</v>
      </c>
      <c r="AC137" s="2"/>
      <c r="AD137" s="141"/>
      <c r="AE137" s="598"/>
      <c r="AF137" s="599"/>
      <c r="AG137" s="599"/>
      <c r="AH137" s="599"/>
      <c r="AI137" s="607" t="str">
        <f ca="1">IF(AA65&gt;0,AF65&amp;Language!$E$80&amp;AE65,"")</f>
        <v>1-1</v>
      </c>
    </row>
    <row r="138" spans="2:35" x14ac:dyDescent="0.2">
      <c r="Y138" s="64" t="s">
        <v>8</v>
      </c>
      <c r="Z138" s="33" t="str">
        <f t="shared" ref="Z138:Z153" ca="1" si="70">W66&amp;V66</f>
        <v>Manchester CityMaibach 1822 eV</v>
      </c>
      <c r="AA138" s="12">
        <f t="shared" ca="1" si="69"/>
        <v>1</v>
      </c>
      <c r="AB138" s="12" t="str">
        <f ca="1">IF(AA138&gt;0,(Y66+AH66)&amp;Language!$E$80&amp;(X66+AG66),"")</f>
        <v>50-35</v>
      </c>
      <c r="AC138" s="2"/>
      <c r="AD138" s="141"/>
      <c r="AE138" s="598"/>
      <c r="AF138" s="599"/>
      <c r="AG138" s="599"/>
      <c r="AH138" s="599"/>
      <c r="AI138" s="607" t="str">
        <f ca="1">IF(AA66&gt;0,AF66&amp;Language!$E$80&amp;AE66,"")</f>
        <v>2-0</v>
      </c>
    </row>
    <row r="139" spans="2:35" x14ac:dyDescent="0.2">
      <c r="Y139" s="64" t="s">
        <v>9</v>
      </c>
      <c r="Z139" s="33" t="str">
        <f t="shared" ca="1" si="70"/>
        <v>Inter Mailand</v>
      </c>
      <c r="AA139" s="12">
        <f t="shared" ca="1" si="69"/>
        <v>0</v>
      </c>
      <c r="AB139" s="12" t="str">
        <f ca="1">IF(AA139&gt;0,(Y67+AH67)&amp;Language!$E$80&amp;(X67+AG67),"")</f>
        <v/>
      </c>
      <c r="AC139" s="2"/>
      <c r="AD139" s="141"/>
      <c r="AE139" s="598"/>
      <c r="AF139" s="599"/>
      <c r="AG139" s="599"/>
      <c r="AH139" s="599"/>
      <c r="AI139" s="607" t="str">
        <f ca="1">IF(AA67&gt;0,AF67&amp;Language!$E$80&amp;AE67,"")</f>
        <v/>
      </c>
    </row>
    <row r="140" spans="2:35" x14ac:dyDescent="0.2">
      <c r="Y140" s="64" t="s">
        <v>10</v>
      </c>
      <c r="Z140" s="33" t="str">
        <f t="shared" ca="1" si="70"/>
        <v>FC BarcelonaFC Grönlingen</v>
      </c>
      <c r="AA140" s="12">
        <f t="shared" ca="1" si="69"/>
        <v>1</v>
      </c>
      <c r="AB140" s="12" t="str">
        <f ca="1">IF(AA140&gt;0,(Y68+AH68)&amp;Language!$E$80&amp;(X68+AG68),"")</f>
        <v>44-50</v>
      </c>
      <c r="AC140" s="2"/>
      <c r="AD140" s="141"/>
      <c r="AE140" s="598"/>
      <c r="AF140" s="599"/>
      <c r="AG140" s="599"/>
      <c r="AH140" s="599"/>
      <c r="AI140" s="607" t="str">
        <f ca="1">IF(AA68&gt;0,AF68&amp;Language!$E$80&amp;AE68,"")</f>
        <v>0-2</v>
      </c>
    </row>
    <row r="141" spans="2:35" x14ac:dyDescent="0.2">
      <c r="Y141" s="64" t="s">
        <v>11</v>
      </c>
      <c r="Z141" s="33" t="str">
        <f t="shared" ca="1" si="70"/>
        <v>Eintracht FrankfurtMainz 05</v>
      </c>
      <c r="AA141" s="12">
        <f t="shared" ca="1" si="69"/>
        <v>1</v>
      </c>
      <c r="AB141" s="12" t="str">
        <f ca="1">IF(AA141&gt;0,(Y69+AH69)&amp;Language!$E$80&amp;(X69+AG69),"")</f>
        <v>39-50</v>
      </c>
      <c r="AC141" s="2"/>
      <c r="AD141" s="141"/>
      <c r="AE141" s="598"/>
      <c r="AF141" s="599"/>
      <c r="AG141" s="599"/>
      <c r="AH141" s="599"/>
      <c r="AI141" s="607" t="str">
        <f ca="1">IF(AA69&gt;0,AF69&amp;Language!$E$80&amp;AE69,"")</f>
        <v>0-2</v>
      </c>
    </row>
    <row r="142" spans="2:35" x14ac:dyDescent="0.2">
      <c r="Y142" s="64" t="s">
        <v>16</v>
      </c>
      <c r="Z142" s="33" t="str">
        <f t="shared" ca="1" si="70"/>
        <v>VFB Essenheim</v>
      </c>
      <c r="AA142" s="12">
        <f t="shared" ca="1" si="69"/>
        <v>0</v>
      </c>
      <c r="AB142" s="12" t="str">
        <f ca="1">IF(AA142&gt;0,(Y70+AH70)&amp;Language!$E$80&amp;(X70+AG70),"")</f>
        <v/>
      </c>
      <c r="AC142" s="2"/>
      <c r="AD142" s="141"/>
      <c r="AE142" s="598"/>
      <c r="AF142" s="599"/>
      <c r="AG142" s="599"/>
      <c r="AH142" s="599"/>
      <c r="AI142" s="607" t="str">
        <f ca="1">IF(AA70&gt;0,AF70&amp;Language!$E$80&amp;AE70,"")</f>
        <v/>
      </c>
    </row>
    <row r="143" spans="2:35" x14ac:dyDescent="0.2">
      <c r="Y143" s="64" t="s">
        <v>17</v>
      </c>
      <c r="Z143" s="33" t="str">
        <f t="shared" ca="1" si="70"/>
        <v>FC Barcelona1. FC Riedwald</v>
      </c>
      <c r="AA143" s="12">
        <f t="shared" ca="1" si="69"/>
        <v>1</v>
      </c>
      <c r="AB143" s="12" t="str">
        <f ca="1">IF(AA143&gt;0,(Y71+AH71)&amp;Language!$E$80&amp;(X71+AG71),"")</f>
        <v>37-44</v>
      </c>
      <c r="AC143" s="2"/>
      <c r="AD143" s="141"/>
      <c r="AE143" s="598"/>
      <c r="AF143" s="599"/>
      <c r="AG143" s="599"/>
      <c r="AH143" s="599"/>
      <c r="AI143" s="607" t="str">
        <f ca="1">IF(AA71&gt;0,AF71&amp;Language!$E$80&amp;AE71,"")</f>
        <v>1-1</v>
      </c>
    </row>
    <row r="144" spans="2:35" x14ac:dyDescent="0.2">
      <c r="Y144" s="64" t="s">
        <v>18</v>
      </c>
      <c r="Z144" s="33" t="str">
        <f t="shared" ca="1" si="70"/>
        <v>Eintracht FrankfurtMaibach 1822 eV</v>
      </c>
      <c r="AA144" s="12">
        <f t="shared" ca="1" si="69"/>
        <v>1</v>
      </c>
      <c r="AB144" s="12" t="str">
        <f ca="1">IF(AA144&gt;0,(Y72+AH72)&amp;Language!$E$80&amp;(X72+AG72),"")</f>
        <v>50-31</v>
      </c>
      <c r="AC144" s="2"/>
      <c r="AD144" s="141"/>
      <c r="AE144" s="598"/>
      <c r="AF144" s="599"/>
      <c r="AG144" s="599"/>
      <c r="AH144" s="599"/>
      <c r="AI144" s="607" t="str">
        <f ca="1">IF(AA72&gt;0,AF72&amp;Language!$E$80&amp;AE72,"")</f>
        <v>2-0</v>
      </c>
    </row>
    <row r="145" spans="25:35" x14ac:dyDescent="0.2">
      <c r="Y145" s="64" t="s">
        <v>24</v>
      </c>
      <c r="Z145" s="33" t="str">
        <f t="shared" ca="1" si="70"/>
        <v>Inter Mailand</v>
      </c>
      <c r="AA145" s="12">
        <f t="shared" ca="1" si="69"/>
        <v>0</v>
      </c>
      <c r="AB145" s="12" t="str">
        <f ca="1">IF(AA145&gt;0,(Y73+AH73)&amp;Language!$E$80&amp;(X73+AG73),"")</f>
        <v/>
      </c>
      <c r="AC145" s="2"/>
      <c r="AD145" s="141"/>
      <c r="AE145" s="598"/>
      <c r="AF145" s="599"/>
      <c r="AG145" s="599"/>
      <c r="AH145" s="599"/>
      <c r="AI145" s="607" t="str">
        <f ca="1">IF(AA73&gt;0,AF73&amp;Language!$E$80&amp;AE73,"")</f>
        <v/>
      </c>
    </row>
    <row r="146" spans="25:35" x14ac:dyDescent="0.2">
      <c r="Y146" s="64" t="s">
        <v>25</v>
      </c>
      <c r="Z146" s="33" t="str">
        <f t="shared" ca="1" si="70"/>
        <v>SSV WildbachFC Grönlingen</v>
      </c>
      <c r="AA146" s="12">
        <f t="shared" ca="1" si="69"/>
        <v>1</v>
      </c>
      <c r="AB146" s="12" t="str">
        <f ca="1">IF(AA146&gt;0,(Y74+AH74)&amp;Language!$E$80&amp;(X74+AG74),"")</f>
        <v>45-47</v>
      </c>
      <c r="AC146" s="2"/>
      <c r="AD146" s="141"/>
      <c r="AE146" s="598"/>
      <c r="AF146" s="599"/>
      <c r="AG146" s="599"/>
      <c r="AH146" s="599"/>
      <c r="AI146" s="607" t="str">
        <f ca="1">IF(AA74&gt;0,AF74&amp;Language!$E$80&amp;AE74,"")</f>
        <v>1-1</v>
      </c>
    </row>
    <row r="147" spans="25:35" x14ac:dyDescent="0.2">
      <c r="Y147" s="64" t="s">
        <v>26</v>
      </c>
      <c r="Z147" s="33" t="str">
        <f t="shared" ca="1" si="70"/>
        <v>Manchester CityMainz 05</v>
      </c>
      <c r="AA147" s="12">
        <f t="shared" ca="1" si="69"/>
        <v>1</v>
      </c>
      <c r="AB147" s="12" t="str">
        <f ca="1">IF(AA147&gt;0,(Y75+AH75)&amp;Language!$E$80&amp;(X75+AG75),"")</f>
        <v>44-44</v>
      </c>
      <c r="AC147" s="2"/>
      <c r="AD147" s="141"/>
      <c r="AE147" s="598"/>
      <c r="AF147" s="599"/>
      <c r="AG147" s="599"/>
      <c r="AH147" s="599"/>
      <c r="AI147" s="607" t="str">
        <f ca="1">IF(AA75&gt;0,AF75&amp;Language!$E$80&amp;AE75,"")</f>
        <v>1-1</v>
      </c>
    </row>
    <row r="148" spans="25:35" x14ac:dyDescent="0.2">
      <c r="Y148" s="64" t="s">
        <v>27</v>
      </c>
      <c r="Z148" s="33" t="str">
        <f t="shared" ca="1" si="70"/>
        <v/>
      </c>
      <c r="AA148" s="12">
        <f t="shared" ca="1" si="69"/>
        <v>0</v>
      </c>
      <c r="AB148" s="12" t="str">
        <f ca="1">IF(AA148&gt;0,(Y76+AH76)&amp;Language!$E$80&amp;(X76+AG76),"")</f>
        <v/>
      </c>
      <c r="AC148" s="2"/>
      <c r="AD148" s="141"/>
      <c r="AE148" s="598"/>
      <c r="AF148" s="599"/>
      <c r="AG148" s="599"/>
      <c r="AH148" s="599"/>
      <c r="AI148" s="607" t="str">
        <f ca="1">IF(AA76&gt;0,AF76&amp;Language!$E$80&amp;AE76,"")</f>
        <v/>
      </c>
    </row>
    <row r="149" spans="25:35" x14ac:dyDescent="0.2">
      <c r="Y149" s="64" t="s">
        <v>28</v>
      </c>
      <c r="Z149" s="33" t="str">
        <f t="shared" ca="1" si="70"/>
        <v>SSV WildbachFC Barcelona</v>
      </c>
      <c r="AA149" s="12">
        <f t="shared" ca="1" si="69"/>
        <v>1</v>
      </c>
      <c r="AB149" s="12" t="str">
        <f ca="1">IF(AA149&gt;0,(Y77+AH77)&amp;Language!$E$80&amp;(X77+AG77),"")</f>
        <v>48-39</v>
      </c>
      <c r="AC149" s="2"/>
      <c r="AD149" s="141"/>
      <c r="AE149" s="598"/>
      <c r="AF149" s="599"/>
      <c r="AG149" s="599"/>
      <c r="AH149" s="599"/>
      <c r="AI149" s="607" t="str">
        <f ca="1">IF(AA77&gt;0,AF77&amp;Language!$E$80&amp;AE77,"")</f>
        <v>1-1</v>
      </c>
    </row>
    <row r="150" spans="25:35" x14ac:dyDescent="0.2">
      <c r="Y150" s="64" t="s">
        <v>29</v>
      </c>
      <c r="Z150" s="33" t="str">
        <f t="shared" ca="1" si="70"/>
        <v>Manchester CityEintracht Frankfurt</v>
      </c>
      <c r="AA150" s="12">
        <f t="shared" ca="1" si="69"/>
        <v>1</v>
      </c>
      <c r="AB150" s="12" t="str">
        <f ca="1">IF(AA150&gt;0,(Y78+AH78)&amp;Language!$E$80&amp;(X78+AG78),"")</f>
        <v>42-46</v>
      </c>
      <c r="AC150" s="2"/>
      <c r="AD150" s="141"/>
      <c r="AE150" s="598"/>
      <c r="AF150" s="599"/>
      <c r="AG150" s="599"/>
      <c r="AH150" s="599"/>
      <c r="AI150" s="607" t="str">
        <f ca="1">IF(AA78&gt;0,AF78&amp;Language!$E$80&amp;AE78,"")</f>
        <v>1-1</v>
      </c>
    </row>
    <row r="151" spans="25:35" x14ac:dyDescent="0.2">
      <c r="Y151" s="64" t="s">
        <v>30</v>
      </c>
      <c r="Z151" s="33" t="str">
        <f t="shared" ca="1" si="70"/>
        <v>Inter MailandVFB Essenheim</v>
      </c>
      <c r="AA151" s="12">
        <f t="shared" ca="1" si="69"/>
        <v>1</v>
      </c>
      <c r="AB151" s="12" t="str">
        <f ca="1">IF(AA151&gt;0,(Y79+AH79)&amp;Language!$E$80&amp;(X79+AG79),"")</f>
        <v>50-38</v>
      </c>
      <c r="AC151" s="2"/>
      <c r="AD151" s="141"/>
      <c r="AE151" s="598"/>
      <c r="AF151" s="599"/>
      <c r="AG151" s="599"/>
      <c r="AH151" s="599"/>
      <c r="AI151" s="607" t="str">
        <f ca="1">IF(AA79&gt;0,AF79&amp;Language!$E$80&amp;AE79,"")</f>
        <v>2-0</v>
      </c>
    </row>
    <row r="152" spans="25:35" x14ac:dyDescent="0.2">
      <c r="Y152" s="64" t="s">
        <v>31</v>
      </c>
      <c r="Z152" s="33" t="str">
        <f t="shared" ca="1" si="70"/>
        <v>FC Grönlingen1. FC Riedwald</v>
      </c>
      <c r="AA152" s="12">
        <f t="shared" ca="1" si="69"/>
        <v>1</v>
      </c>
      <c r="AB152" s="12" t="str">
        <f ca="1">IF(AA152&gt;0,(Y80+AH80)&amp;Language!$E$80&amp;(X80+AG80),"")</f>
        <v>39-50</v>
      </c>
      <c r="AC152" s="2"/>
      <c r="AD152" s="141"/>
      <c r="AE152" s="598"/>
      <c r="AF152" s="599"/>
      <c r="AG152" s="599"/>
      <c r="AH152" s="599"/>
      <c r="AI152" s="607" t="str">
        <f ca="1">IF(AA80&gt;0,AF80&amp;Language!$E$80&amp;AE80,"")</f>
        <v>0-2</v>
      </c>
    </row>
    <row r="153" spans="25:35" ht="12.75" thickBot="1" x14ac:dyDescent="0.25">
      <c r="Y153" s="311" t="s">
        <v>32</v>
      </c>
      <c r="Z153" s="313" t="str">
        <f t="shared" ca="1" si="70"/>
        <v>Mainz 05Maibach 1822 eV</v>
      </c>
      <c r="AA153" s="312">
        <f t="shared" ca="1" si="69"/>
        <v>1</v>
      </c>
      <c r="AB153" s="312" t="str">
        <f ca="1">IF(AA153&gt;0,(Y81+AH81)&amp;Language!$E$80&amp;(X81+AG81),"")</f>
        <v>33-50</v>
      </c>
      <c r="AC153" s="314"/>
      <c r="AD153" s="315"/>
      <c r="AE153" s="601"/>
      <c r="AF153" s="595"/>
      <c r="AG153" s="595"/>
      <c r="AH153" s="595"/>
      <c r="AI153" s="608" t="str">
        <f ca="1">IF(AA81&gt;0,AF81&amp;Language!$E$80&amp;AE81,"")</f>
        <v>0-2</v>
      </c>
    </row>
    <row r="154" spans="25:35" ht="12.75" thickTop="1" x14ac:dyDescent="0.2">
      <c r="Y154" s="64" t="s">
        <v>33</v>
      </c>
      <c r="Z154" s="33" t="str">
        <f>""</f>
        <v/>
      </c>
      <c r="AA154" s="12">
        <v>0</v>
      </c>
      <c r="AB154" s="12" t="str">
        <f>""</f>
        <v/>
      </c>
      <c r="AC154" s="2"/>
      <c r="AD154" s="141"/>
      <c r="AE154" s="598"/>
      <c r="AF154" s="599"/>
      <c r="AG154" s="599"/>
      <c r="AH154" s="599"/>
      <c r="AI154" s="607"/>
    </row>
    <row r="155" spans="25:35" x14ac:dyDescent="0.2">
      <c r="Y155" s="64" t="s">
        <v>34</v>
      </c>
      <c r="Z155" s="33" t="str">
        <f>""</f>
        <v/>
      </c>
      <c r="AA155" s="12">
        <v>0</v>
      </c>
      <c r="AB155" s="12" t="str">
        <f>""</f>
        <v/>
      </c>
      <c r="AC155" s="2"/>
      <c r="AD155" s="141"/>
      <c r="AE155" s="598"/>
      <c r="AF155" s="599"/>
      <c r="AG155" s="599"/>
      <c r="AH155" s="599"/>
      <c r="AI155" s="607"/>
    </row>
    <row r="156" spans="25:35" x14ac:dyDescent="0.2">
      <c r="Y156" s="64" t="s">
        <v>35</v>
      </c>
      <c r="Z156" s="33" t="str">
        <f>""</f>
        <v/>
      </c>
      <c r="AA156" s="12">
        <v>0</v>
      </c>
      <c r="AB156" s="12" t="str">
        <f>""</f>
        <v/>
      </c>
      <c r="AC156" s="2"/>
      <c r="AD156" s="141"/>
      <c r="AE156" s="598"/>
      <c r="AF156" s="599"/>
      <c r="AG156" s="599"/>
      <c r="AH156" s="599"/>
      <c r="AI156" s="607"/>
    </row>
    <row r="157" spans="25:35" x14ac:dyDescent="0.2">
      <c r="Y157" s="64" t="s">
        <v>36</v>
      </c>
      <c r="Z157" s="33" t="str">
        <f>""</f>
        <v/>
      </c>
      <c r="AA157" s="12">
        <v>0</v>
      </c>
      <c r="AB157" s="12" t="str">
        <f>""</f>
        <v/>
      </c>
      <c r="AC157" s="2"/>
      <c r="AD157" s="141"/>
      <c r="AE157" s="598"/>
      <c r="AF157" s="599"/>
      <c r="AG157" s="599"/>
      <c r="AH157" s="599"/>
      <c r="AI157" s="607"/>
    </row>
    <row r="158" spans="25:35" x14ac:dyDescent="0.2">
      <c r="Y158" s="64" t="s">
        <v>37</v>
      </c>
      <c r="Z158" s="33" t="str">
        <f>""</f>
        <v/>
      </c>
      <c r="AA158" s="12">
        <v>0</v>
      </c>
      <c r="AB158" s="12" t="str">
        <f>""</f>
        <v/>
      </c>
      <c r="AC158" s="2"/>
      <c r="AD158" s="141"/>
      <c r="AE158" s="598"/>
      <c r="AF158" s="599"/>
      <c r="AG158" s="599"/>
      <c r="AH158" s="599"/>
      <c r="AI158" s="607"/>
    </row>
    <row r="159" spans="25:35" x14ac:dyDescent="0.2">
      <c r="Y159" s="64" t="s">
        <v>38</v>
      </c>
      <c r="Z159" s="33" t="str">
        <f>""</f>
        <v/>
      </c>
      <c r="AA159" s="12">
        <v>0</v>
      </c>
      <c r="AB159" s="12" t="str">
        <f>""</f>
        <v/>
      </c>
      <c r="AC159" s="2"/>
      <c r="AD159" s="141"/>
      <c r="AE159" s="598"/>
      <c r="AF159" s="599"/>
      <c r="AG159" s="599"/>
      <c r="AH159" s="599"/>
      <c r="AI159" s="607"/>
    </row>
    <row r="160" spans="25:35" x14ac:dyDescent="0.2">
      <c r="Y160" s="64" t="s">
        <v>39</v>
      </c>
      <c r="Z160" s="33" t="str">
        <f>""</f>
        <v/>
      </c>
      <c r="AA160" s="12">
        <v>0</v>
      </c>
      <c r="AB160" s="12" t="str">
        <f>""</f>
        <v/>
      </c>
      <c r="AC160" s="2"/>
      <c r="AD160" s="141"/>
      <c r="AE160" s="598"/>
      <c r="AF160" s="599"/>
      <c r="AG160" s="599"/>
      <c r="AH160" s="599"/>
      <c r="AI160" s="607"/>
    </row>
    <row r="161" spans="25:35" x14ac:dyDescent="0.2">
      <c r="Y161" s="64" t="s">
        <v>40</v>
      </c>
      <c r="Z161" s="33" t="str">
        <f>""</f>
        <v/>
      </c>
      <c r="AA161" s="12">
        <v>0</v>
      </c>
      <c r="AB161" s="12" t="str">
        <f>""</f>
        <v/>
      </c>
      <c r="AC161" s="2"/>
      <c r="AD161" s="141"/>
      <c r="AE161" s="598"/>
      <c r="AF161" s="599"/>
      <c r="AG161" s="599"/>
      <c r="AH161" s="599"/>
      <c r="AI161" s="607"/>
    </row>
    <row r="162" spans="25:35" x14ac:dyDescent="0.2">
      <c r="Y162" s="64" t="s">
        <v>41</v>
      </c>
      <c r="Z162" s="33" t="str">
        <f>""</f>
        <v/>
      </c>
      <c r="AA162" s="12">
        <v>0</v>
      </c>
      <c r="AB162" s="12" t="str">
        <f>""</f>
        <v/>
      </c>
      <c r="AC162" s="2"/>
      <c r="AD162" s="141"/>
      <c r="AE162" s="598"/>
      <c r="AF162" s="599"/>
      <c r="AG162" s="599"/>
      <c r="AH162" s="599"/>
      <c r="AI162" s="607"/>
    </row>
    <row r="163" spans="25:35" x14ac:dyDescent="0.2">
      <c r="Y163" s="64" t="s">
        <v>42</v>
      </c>
      <c r="Z163" s="33" t="str">
        <f>""</f>
        <v/>
      </c>
      <c r="AA163" s="12">
        <v>0</v>
      </c>
      <c r="AB163" s="12" t="str">
        <f>""</f>
        <v/>
      </c>
      <c r="AC163" s="2"/>
      <c r="AD163" s="141"/>
      <c r="AE163" s="598"/>
      <c r="AF163" s="599"/>
      <c r="AG163" s="599"/>
      <c r="AH163" s="599"/>
      <c r="AI163" s="607"/>
    </row>
    <row r="164" spans="25:35" x14ac:dyDescent="0.2">
      <c r="Y164" s="64" t="s">
        <v>43</v>
      </c>
      <c r="Z164" s="33" t="str">
        <f>""</f>
        <v/>
      </c>
      <c r="AA164" s="12">
        <v>0</v>
      </c>
      <c r="AB164" s="12" t="str">
        <f>""</f>
        <v/>
      </c>
      <c r="AC164" s="2"/>
      <c r="AD164" s="141"/>
      <c r="AE164" s="598"/>
      <c r="AF164" s="599"/>
      <c r="AG164" s="599"/>
      <c r="AH164" s="599"/>
      <c r="AI164" s="607"/>
    </row>
    <row r="165" spans="25:35" x14ac:dyDescent="0.2">
      <c r="Y165" s="64" t="s">
        <v>44</v>
      </c>
      <c r="Z165" s="33" t="str">
        <f>""</f>
        <v/>
      </c>
      <c r="AA165" s="12">
        <v>0</v>
      </c>
      <c r="AB165" s="12" t="str">
        <f>""</f>
        <v/>
      </c>
      <c r="AC165" s="2"/>
      <c r="AD165" s="141"/>
      <c r="AE165" s="598"/>
      <c r="AF165" s="599"/>
      <c r="AG165" s="599"/>
      <c r="AH165" s="599"/>
      <c r="AI165" s="607"/>
    </row>
    <row r="166" spans="25:35" x14ac:dyDescent="0.2">
      <c r="Y166" s="64" t="s">
        <v>45</v>
      </c>
      <c r="Z166" s="33" t="str">
        <f>""</f>
        <v/>
      </c>
      <c r="AA166" s="12">
        <v>0</v>
      </c>
      <c r="AB166" s="12" t="str">
        <f>""</f>
        <v/>
      </c>
      <c r="AC166" s="2"/>
      <c r="AD166" s="141"/>
      <c r="AE166" s="598"/>
      <c r="AF166" s="599"/>
      <c r="AG166" s="599"/>
      <c r="AH166" s="599"/>
      <c r="AI166" s="607"/>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vt:i4>
      </vt:variant>
    </vt:vector>
  </HeadingPairs>
  <TitlesOfParts>
    <vt:vector size="21" baseType="lpstr">
      <vt:lpstr>Planning</vt:lpstr>
      <vt:lpstr>proof</vt:lpstr>
      <vt:lpstr>Pairings</vt:lpstr>
      <vt:lpstr>PreliminaryRound</vt:lpstr>
      <vt:lpstr>TieBreak</vt:lpstr>
      <vt:lpstr>Finals 1</vt:lpstr>
      <vt:lpstr>Finals 2</vt:lpstr>
      <vt:lpstr>DirComp_A</vt:lpstr>
      <vt:lpstr>DirComp_B</vt:lpstr>
      <vt:lpstr>Finals 3</vt:lpstr>
      <vt:lpstr>Finals 4</vt:lpstr>
      <vt:lpstr>Match_times_finals_4</vt:lpstr>
      <vt:lpstr>Language</vt:lpstr>
      <vt:lpstr>Settings</vt:lpstr>
      <vt:lpstr>Help</vt:lpstr>
      <vt:lpstr>Calc1</vt:lpstr>
      <vt:lpstr>Calc2</vt:lpstr>
      <vt:lpstr>CalcE1</vt:lpstr>
      <vt:lpstr>CalcE2</vt:lpstr>
      <vt:lpstr>CalcE3</vt:lpstr>
      <vt:lpstr>Match_times_finals_4!Druckbereich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2025-04-13T11:09:01Z</cp:lastPrinted>
  <dcterms:created xsi:type="dcterms:W3CDTF">2010-02-21T20:03:25Z</dcterms:created>
  <dcterms:modified xsi:type="dcterms:W3CDTF">2025-04-17T11:51:50Z</dcterms:modified>
</cp:coreProperties>
</file>