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Excel\Spielpläne\Turnierpläne\Volleyball\"/>
    </mc:Choice>
  </mc:AlternateContent>
  <xr:revisionPtr revIDLastSave="0" documentId="13_ncr:1_{E2800796-4BBC-4AF3-8B86-07CCC2064654}" xr6:coauthVersionLast="36" xr6:coauthVersionMax="36" xr10:uidLastSave="{00000000-0000-0000-0000-000000000000}"/>
  <bookViews>
    <workbookView xWindow="-120" yWindow="-120" windowWidth="29040" windowHeight="15750" tabRatio="712" activeTab="3" xr2:uid="{00000000-000D-0000-FFFF-FFFF00000000}"/>
  </bookViews>
  <sheets>
    <sheet name="Planning" sheetId="22" r:id="rId1"/>
    <sheet name="proof" sheetId="34" state="hidden" r:id="rId2"/>
    <sheet name="Pairings" sheetId="13" state="hidden" r:id="rId3"/>
    <sheet name="PreliminaryRound" sheetId="6" r:id="rId4"/>
    <sheet name="TieBreak" sheetId="49" state="hidden" r:id="rId5"/>
    <sheet name="Finals 1" sheetId="21" r:id="rId6"/>
    <sheet name="Finals 2" sheetId="24" r:id="rId7"/>
    <sheet name="DirComp_A" sheetId="10" state="hidden" r:id="rId8"/>
    <sheet name="DirComp_B" sheetId="20" state="hidden" r:id="rId9"/>
    <sheet name="DirComp_C" sheetId="35" state="hidden" r:id="rId10"/>
    <sheet name="Finals 3" sheetId="36" r:id="rId11"/>
    <sheet name="Finals 4" sheetId="39" r:id="rId12"/>
    <sheet name="Language" sheetId="9" r:id="rId13"/>
    <sheet name="Settings" sheetId="14" r:id="rId14"/>
    <sheet name="Help" sheetId="38" r:id="rId15"/>
    <sheet name="Calc1" sheetId="3" state="hidden" r:id="rId16"/>
    <sheet name="Calc2" sheetId="17" state="hidden" r:id="rId17"/>
    <sheet name="Calc3" sheetId="25" state="hidden" r:id="rId18"/>
    <sheet name="CalcGR1" sheetId="45" state="hidden" r:id="rId19"/>
    <sheet name="CalcGR2" sheetId="37" state="hidden" r:id="rId20"/>
    <sheet name="CalcGR3" sheetId="33" state="hidden" r:id="rId21"/>
    <sheet name="CalcGR4" sheetId="46" state="hidden" r:id="rId22"/>
    <sheet name="CalcGR5" sheetId="47" state="hidden" r:id="rId23"/>
    <sheet name="CalcGR6" sheetId="48" state="hidden" r:id="rId24"/>
    <sheet name="CalcE11" sheetId="26" state="hidden" r:id="rId25"/>
    <sheet name="CalcE12" sheetId="27" state="hidden" r:id="rId26"/>
    <sheet name="CalcE13" sheetId="28" state="hidden" r:id="rId27"/>
    <sheet name="CalcE14" sheetId="29" state="hidden" r:id="rId28"/>
    <sheet name="CalcE15" sheetId="30" state="hidden" r:id="rId29"/>
    <sheet name="CalcE16" sheetId="31" state="hidden" r:id="rId30"/>
    <sheet name="CalcE41" sheetId="40" state="hidden" r:id="rId31"/>
    <sheet name="CalcE42" sheetId="41" state="hidden" r:id="rId32"/>
    <sheet name="CalcE43" sheetId="42" state="hidden" r:id="rId33"/>
    <sheet name="CalcE44" sheetId="43" state="hidden" r:id="rId34"/>
    <sheet name="CalcE45" sheetId="44" state="hidden" r:id="rId35"/>
  </sheets>
  <calcPr calcId="191029" concurrentCalc="0"/>
</workbook>
</file>

<file path=xl/calcChain.xml><?xml version="1.0" encoding="utf-8"?>
<calcChain xmlns="http://schemas.openxmlformats.org/spreadsheetml/2006/main">
  <c r="I6" i="22" l="1" a="1"/>
  <c r="I6" i="22"/>
  <c r="L6" i="22"/>
  <c r="V64" i="3"/>
  <c r="F12" i="6"/>
  <c r="K6" i="22" a="1"/>
  <c r="K6" i="22"/>
  <c r="N6" i="22"/>
  <c r="H12" i="6"/>
  <c r="AA64" i="3"/>
  <c r="I7" i="22"/>
  <c r="L7" i="22"/>
  <c r="V65" i="3"/>
  <c r="F13" i="6"/>
  <c r="K7" i="22"/>
  <c r="N7" i="22"/>
  <c r="H13" i="6"/>
  <c r="AA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AA66" i="3"/>
  <c r="F15" i="6"/>
  <c r="K9" i="22"/>
  <c r="N9" i="22"/>
  <c r="H15" i="6"/>
  <c r="AA67" i="3"/>
  <c r="F16" i="6"/>
  <c r="K10" i="22"/>
  <c r="N10" i="22"/>
  <c r="H16" i="6"/>
  <c r="AA68" i="3"/>
  <c r="F17" i="6"/>
  <c r="K11" i="22"/>
  <c r="N11" i="22"/>
  <c r="H17" i="6"/>
  <c r="AA69" i="3"/>
  <c r="F18" i="6"/>
  <c r="K12" i="22"/>
  <c r="N12" i="22"/>
  <c r="H18" i="6"/>
  <c r="AA70" i="3"/>
  <c r="F19" i="6"/>
  <c r="K13" i="22"/>
  <c r="N13" i="22"/>
  <c r="H19" i="6"/>
  <c r="AA71" i="3"/>
  <c r="F20" i="6"/>
  <c r="K14" i="22"/>
  <c r="N14" i="22"/>
  <c r="H20" i="6"/>
  <c r="AA72" i="3"/>
  <c r="F21" i="6"/>
  <c r="K15" i="22"/>
  <c r="N15" i="22"/>
  <c r="H21" i="6"/>
  <c r="AA73" i="3"/>
  <c r="F22" i="6"/>
  <c r="K16" i="22"/>
  <c r="N16" i="22"/>
  <c r="H22" i="6"/>
  <c r="AA74" i="3"/>
  <c r="F23" i="6"/>
  <c r="K17" i="22"/>
  <c r="N17" i="22"/>
  <c r="H23" i="6"/>
  <c r="AA75" i="3"/>
  <c r="F24" i="6"/>
  <c r="K18" i="22"/>
  <c r="N18" i="22"/>
  <c r="H24" i="6"/>
  <c r="AA76" i="3"/>
  <c r="F25" i="6"/>
  <c r="K19" i="22"/>
  <c r="N19" i="22"/>
  <c r="H25" i="6"/>
  <c r="AA77" i="3"/>
  <c r="F26" i="6"/>
  <c r="K20" i="22"/>
  <c r="N20" i="22"/>
  <c r="H26" i="6"/>
  <c r="AA78" i="3"/>
  <c r="F27" i="6"/>
  <c r="K21" i="22"/>
  <c r="N21" i="22"/>
  <c r="H27" i="6"/>
  <c r="AA79" i="3"/>
  <c r="F28" i="6"/>
  <c r="K22" i="22"/>
  <c r="N22" i="22"/>
  <c r="H28" i="6"/>
  <c r="AA80" i="3"/>
  <c r="F29" i="6"/>
  <c r="K23" i="22"/>
  <c r="N23" i="22"/>
  <c r="H29" i="6"/>
  <c r="AA81" i="3"/>
  <c r="F30" i="6"/>
  <c r="K24" i="22"/>
  <c r="N24" i="22"/>
  <c r="H30" i="6"/>
  <c r="AA82" i="3"/>
  <c r="F31" i="6"/>
  <c r="K25" i="22"/>
  <c r="N25" i="22"/>
  <c r="H31" i="6"/>
  <c r="AA83" i="3"/>
  <c r="F32" i="6"/>
  <c r="K26" i="22"/>
  <c r="N26" i="22"/>
  <c r="H32" i="6"/>
  <c r="AA84" i="3"/>
  <c r="F33" i="6"/>
  <c r="K27" i="22"/>
  <c r="N27" i="22"/>
  <c r="H33" i="6"/>
  <c r="AA85" i="3"/>
  <c r="F34" i="6"/>
  <c r="K28" i="22"/>
  <c r="N28" i="22"/>
  <c r="H34" i="6"/>
  <c r="AA86" i="3"/>
  <c r="F35" i="6"/>
  <c r="K29" i="22"/>
  <c r="N29" i="22"/>
  <c r="H35" i="6"/>
  <c r="AA87" i="3"/>
  <c r="F36" i="6"/>
  <c r="K30" i="22"/>
  <c r="N30" i="22"/>
  <c r="H36" i="6"/>
  <c r="AA88" i="3"/>
  <c r="F37" i="6"/>
  <c r="K31" i="22"/>
  <c r="N31" i="22"/>
  <c r="H37" i="6"/>
  <c r="AA89" i="3"/>
  <c r="F38" i="6"/>
  <c r="K32" i="22"/>
  <c r="N32" i="22"/>
  <c r="H38" i="6"/>
  <c r="AA90" i="3"/>
  <c r="F39" i="6"/>
  <c r="K33" i="22"/>
  <c r="N33" i="22"/>
  <c r="H39" i="6"/>
  <c r="AA91" i="3"/>
  <c r="F40" i="6"/>
  <c r="K34" i="22"/>
  <c r="N34" i="22"/>
  <c r="H40" i="6"/>
  <c r="AA92" i="3"/>
  <c r="F41" i="6"/>
  <c r="K35" i="22"/>
  <c r="N35" i="22"/>
  <c r="H41" i="6"/>
  <c r="AA93" i="3"/>
  <c r="F42" i="6"/>
  <c r="K36" i="22"/>
  <c r="N36" i="22"/>
  <c r="H42" i="6"/>
  <c r="AA94" i="3"/>
  <c r="F43" i="6"/>
  <c r="K37" i="22"/>
  <c r="N37" i="22"/>
  <c r="H43" i="6"/>
  <c r="AA95" i="3"/>
  <c r="F44" i="6"/>
  <c r="K38" i="22"/>
  <c r="N38" i="22"/>
  <c r="H44" i="6"/>
  <c r="AA96" i="3"/>
  <c r="F45" i="6"/>
  <c r="K39" i="22"/>
  <c r="N39" i="22"/>
  <c r="H45" i="6"/>
  <c r="AA97" i="3"/>
  <c r="F46" i="6"/>
  <c r="K40" i="22"/>
  <c r="N40" i="22"/>
  <c r="H46" i="6"/>
  <c r="AA98" i="3"/>
  <c r="F47" i="6"/>
  <c r="K41" i="22"/>
  <c r="N41" i="22"/>
  <c r="H47" i="6"/>
  <c r="AA99" i="3"/>
  <c r="F48" i="6"/>
  <c r="K42" i="22"/>
  <c r="N42" i="22"/>
  <c r="H48" i="6"/>
  <c r="AA100" i="3"/>
  <c r="F49" i="6"/>
  <c r="K43" i="22"/>
  <c r="N43" i="22"/>
  <c r="H49" i="6"/>
  <c r="AA101" i="3"/>
  <c r="F50" i="6"/>
  <c r="K44" i="22"/>
  <c r="N44" i="22"/>
  <c r="H50" i="6"/>
  <c r="AA102" i="3"/>
  <c r="F51" i="6"/>
  <c r="K45" i="22"/>
  <c r="N45" i="22"/>
  <c r="H51" i="6"/>
  <c r="AA103" i="3"/>
  <c r="F52" i="6"/>
  <c r="K46" i="22"/>
  <c r="N46" i="22"/>
  <c r="H52" i="6"/>
  <c r="AA104" i="3"/>
  <c r="F53" i="6"/>
  <c r="K47" i="22"/>
  <c r="N47" i="22"/>
  <c r="H53" i="6"/>
  <c r="AA105" i="3"/>
  <c r="F54" i="6"/>
  <c r="K48" i="22"/>
  <c r="N48" i="22"/>
  <c r="H54" i="6"/>
  <c r="AA106" i="3"/>
  <c r="F55" i="6"/>
  <c r="K49" i="22"/>
  <c r="N49" i="22"/>
  <c r="H55" i="6"/>
  <c r="AA107" i="3"/>
  <c r="F56" i="6"/>
  <c r="K50" i="22"/>
  <c r="N50" i="22"/>
  <c r="H56" i="6"/>
  <c r="AA108"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K4" i="3"/>
  <c r="K5" i="3"/>
  <c r="K6" i="3"/>
  <c r="K7" i="3"/>
  <c r="K8" i="3"/>
  <c r="K9" i="3"/>
  <c r="K10" i="3"/>
  <c r="K11" i="3"/>
  <c r="K12" i="3"/>
  <c r="K13" i="3"/>
  <c r="X64" i="3"/>
  <c r="Y64" i="3"/>
  <c r="AG64" i="3"/>
  <c r="AH64" i="3"/>
  <c r="AE64" i="3"/>
  <c r="X65" i="3"/>
  <c r="Y65" i="3"/>
  <c r="AG65" i="3"/>
  <c r="AH65" i="3"/>
  <c r="AE65" i="3"/>
  <c r="X66" i="3"/>
  <c r="Y66" i="3"/>
  <c r="AG66" i="3"/>
  <c r="AH66" i="3"/>
  <c r="AE66" i="3"/>
  <c r="X67" i="3"/>
  <c r="Y67" i="3"/>
  <c r="AG67" i="3"/>
  <c r="AH67" i="3"/>
  <c r="AE67" i="3"/>
  <c r="X68" i="3"/>
  <c r="Y68" i="3"/>
  <c r="AG68" i="3"/>
  <c r="AH68" i="3"/>
  <c r="AE68" i="3"/>
  <c r="X69" i="3"/>
  <c r="Y69" i="3"/>
  <c r="AG69" i="3"/>
  <c r="AH69" i="3"/>
  <c r="AE69" i="3"/>
  <c r="X70" i="3"/>
  <c r="Y70" i="3"/>
  <c r="AG70" i="3"/>
  <c r="AH70" i="3"/>
  <c r="AE70" i="3"/>
  <c r="X71" i="3"/>
  <c r="Y71" i="3"/>
  <c r="AG71" i="3"/>
  <c r="AH71" i="3"/>
  <c r="AE71" i="3"/>
  <c r="X72" i="3"/>
  <c r="Y72" i="3"/>
  <c r="AG72" i="3"/>
  <c r="AH72" i="3"/>
  <c r="AE72" i="3"/>
  <c r="X73" i="3"/>
  <c r="Y73" i="3"/>
  <c r="AG73" i="3"/>
  <c r="AH73" i="3"/>
  <c r="AE73" i="3"/>
  <c r="X74" i="3"/>
  <c r="Y74" i="3"/>
  <c r="AG74" i="3"/>
  <c r="AH74" i="3"/>
  <c r="AE74" i="3"/>
  <c r="X75" i="3"/>
  <c r="Y75" i="3"/>
  <c r="AG75" i="3"/>
  <c r="AH75" i="3"/>
  <c r="AE75" i="3"/>
  <c r="X76" i="3"/>
  <c r="Y76" i="3"/>
  <c r="AG76" i="3"/>
  <c r="AH76" i="3"/>
  <c r="AE76" i="3"/>
  <c r="X77" i="3"/>
  <c r="Y77" i="3"/>
  <c r="AG77" i="3"/>
  <c r="AH77" i="3"/>
  <c r="AE77" i="3"/>
  <c r="X78" i="3"/>
  <c r="Y78" i="3"/>
  <c r="AG78" i="3"/>
  <c r="AH78" i="3"/>
  <c r="AE78" i="3"/>
  <c r="X79" i="3"/>
  <c r="Y79" i="3"/>
  <c r="AG79" i="3"/>
  <c r="AH79" i="3"/>
  <c r="AE79" i="3"/>
  <c r="X80" i="3"/>
  <c r="Y80" i="3"/>
  <c r="AG80" i="3"/>
  <c r="AH80" i="3"/>
  <c r="AE80" i="3"/>
  <c r="X81" i="3"/>
  <c r="Y81" i="3"/>
  <c r="AG81" i="3"/>
  <c r="AH81" i="3"/>
  <c r="AE81" i="3"/>
  <c r="X82" i="3"/>
  <c r="Y82" i="3"/>
  <c r="AG82" i="3"/>
  <c r="AH82" i="3"/>
  <c r="AE82" i="3"/>
  <c r="X83" i="3"/>
  <c r="Y83" i="3"/>
  <c r="AG83" i="3"/>
  <c r="AH83" i="3"/>
  <c r="AE83" i="3"/>
  <c r="X84" i="3"/>
  <c r="Y84" i="3"/>
  <c r="AG84" i="3"/>
  <c r="AH84" i="3"/>
  <c r="AE84" i="3"/>
  <c r="X85" i="3"/>
  <c r="Y85" i="3"/>
  <c r="AG85" i="3"/>
  <c r="AH85" i="3"/>
  <c r="AE85" i="3"/>
  <c r="X86" i="3"/>
  <c r="Y86" i="3"/>
  <c r="AG86" i="3"/>
  <c r="AH86" i="3"/>
  <c r="AE86" i="3"/>
  <c r="X87" i="3"/>
  <c r="Y87" i="3"/>
  <c r="AG87" i="3"/>
  <c r="AH87" i="3"/>
  <c r="AE87" i="3"/>
  <c r="X88" i="3"/>
  <c r="Y88" i="3"/>
  <c r="AG88" i="3"/>
  <c r="AH88" i="3"/>
  <c r="AE88" i="3"/>
  <c r="X89" i="3"/>
  <c r="Y89" i="3"/>
  <c r="AG89" i="3"/>
  <c r="AH89" i="3"/>
  <c r="AE89" i="3"/>
  <c r="X90" i="3"/>
  <c r="Y90" i="3"/>
  <c r="AG90" i="3"/>
  <c r="AH90" i="3"/>
  <c r="AE90" i="3"/>
  <c r="X91" i="3"/>
  <c r="Y91" i="3"/>
  <c r="AG91" i="3"/>
  <c r="AH91" i="3"/>
  <c r="AE91" i="3"/>
  <c r="X92" i="3"/>
  <c r="Y92" i="3"/>
  <c r="AG92" i="3"/>
  <c r="AH92" i="3"/>
  <c r="AE92" i="3"/>
  <c r="X93" i="3"/>
  <c r="Y93" i="3"/>
  <c r="AG93" i="3"/>
  <c r="AH93" i="3"/>
  <c r="AE93" i="3"/>
  <c r="AE94" i="3"/>
  <c r="AE95" i="3"/>
  <c r="AE96" i="3"/>
  <c r="AE97" i="3"/>
  <c r="AE98" i="3"/>
  <c r="AE99" i="3"/>
  <c r="AE100" i="3"/>
  <c r="AE101" i="3"/>
  <c r="AE102" i="3"/>
  <c r="AE103" i="3"/>
  <c r="AE104" i="3"/>
  <c r="AE105" i="3"/>
  <c r="AE106" i="3"/>
  <c r="AE107" i="3"/>
  <c r="AE108"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J4" i="3"/>
  <c r="K17" i="3"/>
  <c r="G4" i="3"/>
  <c r="H4" i="3"/>
  <c r="C3" i="9"/>
  <c r="E100" i="9"/>
  <c r="G7" i="14"/>
  <c r="I4" i="3"/>
  <c r="J17" i="3"/>
  <c r="L17" i="3"/>
  <c r="J5" i="3"/>
  <c r="K18" i="3"/>
  <c r="G5" i="3"/>
  <c r="H5" i="3"/>
  <c r="I5" i="3"/>
  <c r="J18" i="3"/>
  <c r="L18" i="3"/>
  <c r="J6" i="3"/>
  <c r="K19" i="3"/>
  <c r="G6" i="3"/>
  <c r="H6" i="3"/>
  <c r="I6" i="3"/>
  <c r="J19" i="3"/>
  <c r="L19" i="3"/>
  <c r="J7" i="3"/>
  <c r="K20" i="3"/>
  <c r="G7" i="3"/>
  <c r="H7" i="3"/>
  <c r="I7" i="3"/>
  <c r="J20" i="3"/>
  <c r="L20" i="3"/>
  <c r="J8" i="3"/>
  <c r="K21" i="3"/>
  <c r="G8" i="3"/>
  <c r="H8" i="3"/>
  <c r="I8" i="3"/>
  <c r="J21" i="3"/>
  <c r="L21" i="3"/>
  <c r="J9" i="3"/>
  <c r="K22" i="3"/>
  <c r="X94" i="3"/>
  <c r="X95" i="3"/>
  <c r="X96" i="3"/>
  <c r="X97" i="3"/>
  <c r="X98" i="3"/>
  <c r="X99" i="3"/>
  <c r="X100" i="3"/>
  <c r="X101" i="3"/>
  <c r="X102" i="3"/>
  <c r="X103" i="3"/>
  <c r="X104" i="3"/>
  <c r="X105" i="3"/>
  <c r="X106" i="3"/>
  <c r="X107" i="3"/>
  <c r="X108" i="3"/>
  <c r="Y94" i="3"/>
  <c r="Y95" i="3"/>
  <c r="Y96" i="3"/>
  <c r="Y97" i="3"/>
  <c r="Y98" i="3"/>
  <c r="Y99" i="3"/>
  <c r="Y100" i="3"/>
  <c r="Y101" i="3"/>
  <c r="Y102" i="3"/>
  <c r="Y103" i="3"/>
  <c r="Y104" i="3"/>
  <c r="Y105" i="3"/>
  <c r="Y106" i="3"/>
  <c r="Y107" i="3"/>
  <c r="Y108" i="3"/>
  <c r="AG94" i="3"/>
  <c r="AG95" i="3"/>
  <c r="AG96" i="3"/>
  <c r="AG97" i="3"/>
  <c r="AG98" i="3"/>
  <c r="AG99" i="3"/>
  <c r="AG100" i="3"/>
  <c r="AG101" i="3"/>
  <c r="AG102" i="3"/>
  <c r="AG103" i="3"/>
  <c r="AG104" i="3"/>
  <c r="AG105" i="3"/>
  <c r="AG106" i="3"/>
  <c r="AG107" i="3"/>
  <c r="AG108" i="3"/>
  <c r="AH94" i="3"/>
  <c r="AH95" i="3"/>
  <c r="AH96" i="3"/>
  <c r="AH97" i="3"/>
  <c r="AH98" i="3"/>
  <c r="AH99" i="3"/>
  <c r="AH100" i="3"/>
  <c r="AH101" i="3"/>
  <c r="AH102" i="3"/>
  <c r="AH103" i="3"/>
  <c r="AH104" i="3"/>
  <c r="AH105" i="3"/>
  <c r="AH106" i="3"/>
  <c r="AH107" i="3"/>
  <c r="AH108" i="3"/>
  <c r="G9" i="3"/>
  <c r="H9" i="3"/>
  <c r="I9" i="3"/>
  <c r="J22" i="3"/>
  <c r="L22" i="3"/>
  <c r="J10" i="3"/>
  <c r="K23" i="3"/>
  <c r="G10" i="3"/>
  <c r="H10" i="3"/>
  <c r="I10" i="3"/>
  <c r="J23" i="3"/>
  <c r="L23" i="3"/>
  <c r="J11" i="3"/>
  <c r="K24" i="3"/>
  <c r="G11" i="3"/>
  <c r="H11" i="3"/>
  <c r="I11" i="3"/>
  <c r="J24" i="3"/>
  <c r="L24" i="3"/>
  <c r="J12" i="3"/>
  <c r="K25" i="3"/>
  <c r="G12" i="3"/>
  <c r="H12" i="3"/>
  <c r="I12" i="3"/>
  <c r="J25" i="3"/>
  <c r="L2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W18" i="3"/>
  <c r="M19" i="3"/>
  <c r="N19" i="3" a="1"/>
  <c r="N19"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W19" i="3"/>
  <c r="M20" i="3"/>
  <c r="N20" i="3" a="1"/>
  <c r="N20"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W20" i="3"/>
  <c r="M21" i="3"/>
  <c r="N21" i="3" a="1"/>
  <c r="N21" i="3"/>
  <c r="O21"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R21" i="3"/>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W21" i="3"/>
  <c r="M22" i="3"/>
  <c r="N22" i="3" a="1"/>
  <c r="N22" i="3"/>
  <c r="O22" i="3"/>
  <c r="BT52" i="3"/>
  <c r="BU52" i="3"/>
  <c r="BV52"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5" i="3" a="1"/>
  <c r="E35" i="3"/>
  <c r="F35" i="3" a="1"/>
  <c r="F35" i="3"/>
  <c r="G35" i="3" a="1"/>
  <c r="H35" i="3" a="1"/>
  <c r="I35" i="3" a="1"/>
  <c r="M23" i="3"/>
  <c r="N23" i="3" a="1"/>
  <c r="N23" i="3"/>
  <c r="O23" i="3"/>
  <c r="J35" i="3" a="1"/>
  <c r="M24" i="3"/>
  <c r="N24" i="3" a="1"/>
  <c r="N24" i="3"/>
  <c r="O24" i="3"/>
  <c r="K35" i="3" a="1"/>
  <c r="M25" i="3"/>
  <c r="N25" i="3" a="1"/>
  <c r="N25" i="3"/>
  <c r="O25" i="3"/>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R22" i="3"/>
  <c r="AC35" i="3" a="1"/>
  <c r="AD35" i="3" a="1"/>
  <c r="AE35" i="3" a="1"/>
  <c r="AF35" i="3" a="1"/>
  <c r="AG35" i="3" a="1"/>
  <c r="R23" i="3"/>
  <c r="AH35" i="3" a="1"/>
  <c r="R24" i="3"/>
  <c r="AI35" i="3" a="1"/>
  <c r="R25" i="3"/>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BT30" i="3"/>
  <c r="BS31" i="3"/>
  <c r="BT41" i="3"/>
  <c r="BU30" i="3"/>
  <c r="BS32" i="3"/>
  <c r="BU41" i="3"/>
  <c r="BV30" i="3"/>
  <c r="BS33" i="3"/>
  <c r="BV41" i="3"/>
  <c r="BW30"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W22" i="3"/>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W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W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W25" i="3"/>
  <c r="I12" i="49"/>
  <c r="K12" i="49"/>
  <c r="AC12" i="49"/>
  <c r="AD12" i="49"/>
  <c r="U12" i="49"/>
  <c r="I13" i="49"/>
  <c r="K13" i="49"/>
  <c r="AC13" i="49"/>
  <c r="AD13" i="49"/>
  <c r="U13" i="49"/>
  <c r="I14" i="49"/>
  <c r="K14" i="49"/>
  <c r="AC14" i="49"/>
  <c r="AD14" i="49"/>
  <c r="U14" i="49"/>
  <c r="I15" i="49"/>
  <c r="K15" i="49"/>
  <c r="AC15" i="49"/>
  <c r="AD15" i="49"/>
  <c r="U15" i="49"/>
  <c r="I16" i="49"/>
  <c r="K16" i="49"/>
  <c r="AC16" i="49"/>
  <c r="AD16" i="49"/>
  <c r="U16" i="49"/>
  <c r="I17" i="49"/>
  <c r="K17" i="49"/>
  <c r="AC17" i="49"/>
  <c r="AD17" i="49"/>
  <c r="U17" i="49"/>
  <c r="AQ12" i="6"/>
  <c r="Y17" i="3"/>
  <c r="X17" i="3"/>
  <c r="AQ13" i="6"/>
  <c r="Y18" i="3"/>
  <c r="X18" i="3"/>
  <c r="AQ14" i="6"/>
  <c r="Y19" i="3"/>
  <c r="X19" i="3"/>
  <c r="AQ15" i="6"/>
  <c r="Y20" i="3"/>
  <c r="X20" i="3"/>
  <c r="AQ16" i="6"/>
  <c r="Y21" i="3"/>
  <c r="X21" i="3"/>
  <c r="AQ17" i="6"/>
  <c r="Y22" i="3"/>
  <c r="X22" i="3"/>
  <c r="X23" i="3"/>
  <c r="X24" i="3"/>
  <c r="X25" i="3"/>
  <c r="E4" i="3"/>
  <c r="D4" i="3"/>
  <c r="E5" i="3"/>
  <c r="D5" i="3"/>
  <c r="E6" i="3"/>
  <c r="D6" i="3"/>
  <c r="E7" i="3"/>
  <c r="D7" i="3"/>
  <c r="E8" i="3"/>
  <c r="D8" i="3"/>
  <c r="E9" i="3"/>
  <c r="D9" i="3"/>
  <c r="E10" i="3"/>
  <c r="D10" i="3"/>
  <c r="E11" i="3"/>
  <c r="D11" i="3"/>
  <c r="E12" i="3"/>
  <c r="D12" i="3"/>
  <c r="C4" i="3"/>
  <c r="C5" i="3"/>
  <c r="C6" i="3"/>
  <c r="M4" i="3"/>
  <c r="N4" i="3"/>
  <c r="L4" i="3"/>
  <c r="M5" i="3"/>
  <c r="N5" i="3"/>
  <c r="L5" i="3"/>
  <c r="M6" i="3"/>
  <c r="N6" i="3"/>
  <c r="L6" i="3"/>
  <c r="C7" i="3"/>
  <c r="M7" i="3"/>
  <c r="N7" i="3"/>
  <c r="L7" i="3"/>
  <c r="C8" i="3"/>
  <c r="M8" i="3"/>
  <c r="N8" i="3"/>
  <c r="L8" i="3"/>
  <c r="C9" i="3"/>
  <c r="M9" i="3"/>
  <c r="N9" i="3"/>
  <c r="L9" i="3"/>
  <c r="C10" i="3"/>
  <c r="M10" i="3"/>
  <c r="N10" i="3"/>
  <c r="L10" i="3"/>
  <c r="C11" i="3"/>
  <c r="M11" i="3"/>
  <c r="N11" i="3"/>
  <c r="L11" i="3"/>
  <c r="C12" i="3"/>
  <c r="M12" i="3"/>
  <c r="N12" i="3"/>
  <c r="L12" i="3"/>
  <c r="R17" i="6"/>
  <c r="Q64" i="48"/>
  <c r="F4" i="48"/>
  <c r="V64" i="48"/>
  <c r="AA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AA65" i="48"/>
  <c r="AA66" i="48"/>
  <c r="AA67" i="48"/>
  <c r="AA68" i="48"/>
  <c r="AA69" i="48"/>
  <c r="AA70" i="48"/>
  <c r="AA71" i="48"/>
  <c r="AA72" i="48"/>
  <c r="AA73" i="48"/>
  <c r="AA74" i="48"/>
  <c r="AA75" i="48"/>
  <c r="AA76" i="48"/>
  <c r="AA77" i="48"/>
  <c r="AA78" i="48"/>
  <c r="AA79" i="48"/>
  <c r="AA80" i="48"/>
  <c r="AA81" i="48"/>
  <c r="AA82" i="48"/>
  <c r="AA83" i="48"/>
  <c r="AA84" i="48"/>
  <c r="AA85" i="48"/>
  <c r="AA86" i="48"/>
  <c r="AA87" i="48"/>
  <c r="AA88" i="48"/>
  <c r="AA89" i="48"/>
  <c r="AA90" i="48"/>
  <c r="AA91" i="48"/>
  <c r="AA92" i="48"/>
  <c r="AA93" i="48"/>
  <c r="AA94" i="48"/>
  <c r="AA95" i="48"/>
  <c r="AA96" i="48"/>
  <c r="AA97" i="48"/>
  <c r="AA98" i="48"/>
  <c r="AA99" i="48"/>
  <c r="AA100" i="48"/>
  <c r="AA101" i="48"/>
  <c r="AA102" i="48"/>
  <c r="AA103" i="48"/>
  <c r="AA104" i="48"/>
  <c r="AA105" i="48"/>
  <c r="AA106" i="48"/>
  <c r="AA107" i="48"/>
  <c r="AA108" i="48"/>
  <c r="W64" i="48"/>
  <c r="W65" i="48"/>
  <c r="W66" i="48"/>
  <c r="W67" i="48"/>
  <c r="W68" i="48"/>
  <c r="W69" i="48"/>
  <c r="W70" i="48"/>
  <c r="W71" i="48"/>
  <c r="W72" i="48"/>
  <c r="W73" i="48"/>
  <c r="W74" i="48"/>
  <c r="W75" i="48"/>
  <c r="W76" i="48"/>
  <c r="W77" i="48"/>
  <c r="W78" i="48"/>
  <c r="W79" i="48"/>
  <c r="W80" i="48"/>
  <c r="W81" i="48"/>
  <c r="W82" i="48"/>
  <c r="W83" i="48"/>
  <c r="W84" i="48"/>
  <c r="W85" i="48"/>
  <c r="W86" i="48"/>
  <c r="W87" i="48"/>
  <c r="W88" i="48"/>
  <c r="W89" i="48"/>
  <c r="W90" i="48"/>
  <c r="W91" i="48"/>
  <c r="W92" i="48"/>
  <c r="W93" i="48"/>
  <c r="W94" i="48"/>
  <c r="W95" i="48"/>
  <c r="W96" i="48"/>
  <c r="W97" i="48"/>
  <c r="W98" i="48"/>
  <c r="W99" i="48"/>
  <c r="W100" i="48"/>
  <c r="W101" i="48"/>
  <c r="W102" i="48"/>
  <c r="W103" i="48"/>
  <c r="W104" i="48"/>
  <c r="W105" i="48"/>
  <c r="W106" i="48"/>
  <c r="W107" i="48"/>
  <c r="W108" i="48"/>
  <c r="K4" i="48"/>
  <c r="V64" i="17"/>
  <c r="AA64" i="17"/>
  <c r="V65" i="17"/>
  <c r="AA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K4" i="17"/>
  <c r="K5" i="17"/>
  <c r="K6" i="17"/>
  <c r="K7" i="17"/>
  <c r="K8" i="17"/>
  <c r="K9" i="17"/>
  <c r="K10" i="17"/>
  <c r="K11" i="17"/>
  <c r="K12" i="17"/>
  <c r="K13" i="17"/>
  <c r="X64" i="17"/>
  <c r="Y64" i="17"/>
  <c r="AG64" i="17"/>
  <c r="AH64" i="17"/>
  <c r="AE64" i="17"/>
  <c r="X65" i="17"/>
  <c r="Y65" i="17"/>
  <c r="AG65" i="17"/>
  <c r="AH65" i="17"/>
  <c r="AE65" i="17"/>
  <c r="X66" i="17"/>
  <c r="Y66" i="17"/>
  <c r="AG66" i="17"/>
  <c r="AH66" i="17"/>
  <c r="AE66" i="17"/>
  <c r="X67" i="17"/>
  <c r="Y67" i="17"/>
  <c r="AG67" i="17"/>
  <c r="AH67" i="17"/>
  <c r="AE67" i="17"/>
  <c r="X68" i="17"/>
  <c r="Y68" i="17"/>
  <c r="AG68" i="17"/>
  <c r="AH68" i="17"/>
  <c r="AE68" i="17"/>
  <c r="X69" i="17"/>
  <c r="Y69" i="17"/>
  <c r="AG69" i="17"/>
  <c r="AH69" i="17"/>
  <c r="AE69" i="17"/>
  <c r="X70" i="17"/>
  <c r="Y70" i="17"/>
  <c r="AG70" i="17"/>
  <c r="AH70" i="17"/>
  <c r="AE70" i="17"/>
  <c r="X71" i="17"/>
  <c r="Y71" i="17"/>
  <c r="AG71" i="17"/>
  <c r="AH71" i="17"/>
  <c r="AE71" i="17"/>
  <c r="X72" i="17"/>
  <c r="Y72" i="17"/>
  <c r="AG72" i="17"/>
  <c r="AH72" i="17"/>
  <c r="AE72" i="17"/>
  <c r="X73" i="17"/>
  <c r="Y73" i="17"/>
  <c r="AG73" i="17"/>
  <c r="AH73" i="17"/>
  <c r="AE73" i="17"/>
  <c r="X74" i="17"/>
  <c r="Y74" i="17"/>
  <c r="AG74" i="17"/>
  <c r="AH74" i="17"/>
  <c r="AE74" i="17"/>
  <c r="X75" i="17"/>
  <c r="Y75" i="17"/>
  <c r="AG75" i="17"/>
  <c r="AH75" i="17"/>
  <c r="AE75" i="17"/>
  <c r="X76" i="17"/>
  <c r="Y76" i="17"/>
  <c r="AG76" i="17"/>
  <c r="AH76" i="17"/>
  <c r="AE76" i="17"/>
  <c r="X77" i="17"/>
  <c r="Y77" i="17"/>
  <c r="AG77" i="17"/>
  <c r="AH77" i="17"/>
  <c r="AE77" i="17"/>
  <c r="X78" i="17"/>
  <c r="Y78" i="17"/>
  <c r="AG78" i="17"/>
  <c r="AH78" i="17"/>
  <c r="AE78" i="17"/>
  <c r="X79" i="17"/>
  <c r="Y79" i="17"/>
  <c r="AG79" i="17"/>
  <c r="AH79" i="17"/>
  <c r="AE79" i="17"/>
  <c r="X80" i="17"/>
  <c r="Y80" i="17"/>
  <c r="AG80" i="17"/>
  <c r="AH80" i="17"/>
  <c r="AE80" i="17"/>
  <c r="X81" i="17"/>
  <c r="Y81" i="17"/>
  <c r="AG81" i="17"/>
  <c r="AH81" i="17"/>
  <c r="AE81" i="17"/>
  <c r="X82" i="17"/>
  <c r="Y82" i="17"/>
  <c r="AG82" i="17"/>
  <c r="AH82" i="17"/>
  <c r="AE82" i="17"/>
  <c r="X83" i="17"/>
  <c r="Y83" i="17"/>
  <c r="AG83" i="17"/>
  <c r="AH83" i="17"/>
  <c r="AE83" i="17"/>
  <c r="X84" i="17"/>
  <c r="Y84" i="17"/>
  <c r="AG84" i="17"/>
  <c r="AH84" i="17"/>
  <c r="AE84" i="17"/>
  <c r="X85" i="17"/>
  <c r="Y85" i="17"/>
  <c r="AG85" i="17"/>
  <c r="AH85" i="17"/>
  <c r="AE85" i="17"/>
  <c r="X86" i="17"/>
  <c r="Y86" i="17"/>
  <c r="AG86" i="17"/>
  <c r="AH86" i="17"/>
  <c r="AE86" i="17"/>
  <c r="X87" i="17"/>
  <c r="Y87" i="17"/>
  <c r="AG87" i="17"/>
  <c r="AH87" i="17"/>
  <c r="AE87" i="17"/>
  <c r="X88" i="17"/>
  <c r="Y88" i="17"/>
  <c r="AG88" i="17"/>
  <c r="AH88" i="17"/>
  <c r="AE88" i="17"/>
  <c r="X89" i="17"/>
  <c r="Y89" i="17"/>
  <c r="AG89" i="17"/>
  <c r="AH89" i="17"/>
  <c r="AE89" i="17"/>
  <c r="X90" i="17"/>
  <c r="Y90" i="17"/>
  <c r="AG90" i="17"/>
  <c r="AH90" i="17"/>
  <c r="AE90" i="17"/>
  <c r="X91" i="17"/>
  <c r="Y91" i="17"/>
  <c r="AG91" i="17"/>
  <c r="AH91" i="17"/>
  <c r="AE91" i="17"/>
  <c r="X92" i="17"/>
  <c r="Y92" i="17"/>
  <c r="AG92" i="17"/>
  <c r="AH92" i="17"/>
  <c r="AE92" i="17"/>
  <c r="X93" i="17"/>
  <c r="Y93" i="17"/>
  <c r="AG93" i="17"/>
  <c r="AH93" i="17"/>
  <c r="AE93" i="17"/>
  <c r="AE94" i="17"/>
  <c r="AE95" i="17"/>
  <c r="AE96" i="17"/>
  <c r="AE97" i="17"/>
  <c r="AE98" i="17"/>
  <c r="AE99" i="17"/>
  <c r="AE100" i="17"/>
  <c r="AE101" i="17"/>
  <c r="AE102" i="17"/>
  <c r="AE103" i="17"/>
  <c r="AE104" i="17"/>
  <c r="AE105" i="17"/>
  <c r="AE106" i="17"/>
  <c r="AE107" i="17"/>
  <c r="AE108" i="17"/>
  <c r="AF64" i="17"/>
  <c r="AF65"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J4" i="17"/>
  <c r="K17" i="17"/>
  <c r="G4" i="17"/>
  <c r="H4" i="17"/>
  <c r="I4" i="17"/>
  <c r="J17" i="17"/>
  <c r="L17" i="17"/>
  <c r="J5" i="17"/>
  <c r="K18" i="17"/>
  <c r="G5" i="17"/>
  <c r="H5" i="17"/>
  <c r="I5" i="17"/>
  <c r="J18" i="17"/>
  <c r="L18" i="17"/>
  <c r="J6" i="17"/>
  <c r="K19" i="17"/>
  <c r="G6" i="17"/>
  <c r="H6" i="17"/>
  <c r="I6" i="17"/>
  <c r="J19" i="17"/>
  <c r="L19" i="17"/>
  <c r="J7" i="17"/>
  <c r="K20" i="17"/>
  <c r="G7" i="17"/>
  <c r="H7" i="17"/>
  <c r="I7" i="17"/>
  <c r="J20" i="17"/>
  <c r="L20" i="17"/>
  <c r="J8" i="17"/>
  <c r="K21" i="17"/>
  <c r="G8" i="17"/>
  <c r="H8" i="17"/>
  <c r="I8" i="17"/>
  <c r="J21" i="17"/>
  <c r="L21" i="17"/>
  <c r="J9" i="17"/>
  <c r="K22" i="17"/>
  <c r="X94" i="17"/>
  <c r="X95" i="17"/>
  <c r="X96" i="17"/>
  <c r="X97" i="17"/>
  <c r="X98" i="17"/>
  <c r="X99" i="17"/>
  <c r="X100" i="17"/>
  <c r="X101" i="17"/>
  <c r="X102" i="17"/>
  <c r="X103" i="17"/>
  <c r="X104" i="17"/>
  <c r="X105" i="17"/>
  <c r="X106" i="17"/>
  <c r="X107" i="17"/>
  <c r="X108" i="17"/>
  <c r="Y94" i="17"/>
  <c r="Y95" i="17"/>
  <c r="Y96" i="17"/>
  <c r="Y97" i="17"/>
  <c r="Y98" i="17"/>
  <c r="Y99" i="17"/>
  <c r="Y100" i="17"/>
  <c r="Y101" i="17"/>
  <c r="Y102" i="17"/>
  <c r="Y103" i="17"/>
  <c r="Y104" i="17"/>
  <c r="Y105" i="17"/>
  <c r="Y106" i="17"/>
  <c r="Y107" i="17"/>
  <c r="Y108" i="17"/>
  <c r="AG94" i="17"/>
  <c r="AG95" i="17"/>
  <c r="AG96" i="17"/>
  <c r="AG97" i="17"/>
  <c r="AG98" i="17"/>
  <c r="AG99" i="17"/>
  <c r="AG100" i="17"/>
  <c r="AG101" i="17"/>
  <c r="AG102" i="17"/>
  <c r="AG103" i="17"/>
  <c r="AG104" i="17"/>
  <c r="AG105" i="17"/>
  <c r="AG106" i="17"/>
  <c r="AG107" i="17"/>
  <c r="AG108" i="17"/>
  <c r="AH94" i="17"/>
  <c r="AH95" i="17"/>
  <c r="AH96" i="17"/>
  <c r="AH97" i="17"/>
  <c r="AH98" i="17"/>
  <c r="AH99" i="17"/>
  <c r="AH100" i="17"/>
  <c r="AH101" i="17"/>
  <c r="AH102" i="17"/>
  <c r="AH103" i="17"/>
  <c r="AH104" i="17"/>
  <c r="AH105" i="17"/>
  <c r="AH106" i="17"/>
  <c r="AH107" i="17"/>
  <c r="AH108" i="17"/>
  <c r="G9" i="17"/>
  <c r="H9" i="17"/>
  <c r="I9" i="17"/>
  <c r="J22" i="17"/>
  <c r="L22" i="17"/>
  <c r="J10" i="17"/>
  <c r="K23" i="17"/>
  <c r="G10" i="17"/>
  <c r="H10" i="17"/>
  <c r="I10" i="17"/>
  <c r="J23" i="17"/>
  <c r="L23" i="17"/>
  <c r="J11" i="17"/>
  <c r="K24" i="17"/>
  <c r="G11" i="17"/>
  <c r="H11" i="17"/>
  <c r="I11" i="17"/>
  <c r="J24" i="17"/>
  <c r="L24" i="17"/>
  <c r="J12" i="17"/>
  <c r="K25" i="17"/>
  <c r="G12" i="17"/>
  <c r="H12" i="17"/>
  <c r="I12" i="17"/>
  <c r="J25"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W21" i="17"/>
  <c r="M22" i="17"/>
  <c r="N22" i="17" a="1"/>
  <c r="N22" i="17"/>
  <c r="O22"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W22" i="17"/>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W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W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W25" i="17"/>
  <c r="Y17" i="17"/>
  <c r="X17" i="17"/>
  <c r="Y18" i="17"/>
  <c r="X18" i="17"/>
  <c r="Y19" i="17"/>
  <c r="X19" i="17"/>
  <c r="Y20" i="17"/>
  <c r="X20" i="17"/>
  <c r="Y21" i="17"/>
  <c r="X21" i="17"/>
  <c r="Y22" i="17"/>
  <c r="X22" i="17"/>
  <c r="X23" i="17"/>
  <c r="X24" i="17"/>
  <c r="X25" i="17"/>
  <c r="E4" i="17"/>
  <c r="D4" i="17"/>
  <c r="E5" i="17"/>
  <c r="D5" i="17"/>
  <c r="E6" i="17"/>
  <c r="D6" i="17"/>
  <c r="E7" i="17"/>
  <c r="D7" i="17"/>
  <c r="E8" i="17"/>
  <c r="D8" i="17"/>
  <c r="E9" i="17"/>
  <c r="D9" i="17"/>
  <c r="E10" i="17"/>
  <c r="D10" i="17"/>
  <c r="E11" i="17"/>
  <c r="D11" i="17"/>
  <c r="E12" i="17"/>
  <c r="D12" i="17"/>
  <c r="C4" i="17"/>
  <c r="C5" i="17"/>
  <c r="C6" i="17"/>
  <c r="M4" i="17"/>
  <c r="N4" i="17"/>
  <c r="L4" i="17"/>
  <c r="M5" i="17"/>
  <c r="N5" i="17"/>
  <c r="L5" i="17"/>
  <c r="M6" i="17"/>
  <c r="N6" i="17"/>
  <c r="L6" i="17"/>
  <c r="C7" i="17"/>
  <c r="M7" i="17"/>
  <c r="N7" i="17"/>
  <c r="L7" i="17"/>
  <c r="C8" i="17"/>
  <c r="M8" i="17"/>
  <c r="N8" i="17"/>
  <c r="L8" i="17"/>
  <c r="C9" i="17"/>
  <c r="M9" i="17"/>
  <c r="N9" i="17"/>
  <c r="L9" i="17"/>
  <c r="C10" i="17"/>
  <c r="M10" i="17"/>
  <c r="N10" i="17"/>
  <c r="L10" i="17"/>
  <c r="C11" i="17"/>
  <c r="M11" i="17"/>
  <c r="N11" i="17"/>
  <c r="L11" i="17"/>
  <c r="C12" i="17"/>
  <c r="M12" i="17"/>
  <c r="N12" i="17"/>
  <c r="L12" i="17"/>
  <c r="R27" i="6"/>
  <c r="Q65" i="48"/>
  <c r="F5" i="48"/>
  <c r="K5" i="48"/>
  <c r="V64" i="25"/>
  <c r="AA64" i="25"/>
  <c r="V65" i="25"/>
  <c r="AA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W64" i="25"/>
  <c r="W65" i="25"/>
  <c r="W66" i="25"/>
  <c r="W67" i="25"/>
  <c r="W68" i="25"/>
  <c r="W69" i="25"/>
  <c r="W70" i="25"/>
  <c r="W71" i="25"/>
  <c r="W72" i="25"/>
  <c r="W73" i="25"/>
  <c r="W74" i="25"/>
  <c r="W75" i="25"/>
  <c r="W76" i="25"/>
  <c r="W77" i="25"/>
  <c r="W78" i="25"/>
  <c r="W79" i="25"/>
  <c r="W80" i="25"/>
  <c r="W81" i="25"/>
  <c r="W82" i="25"/>
  <c r="W83" i="25"/>
  <c r="W84" i="25"/>
  <c r="W85" i="25"/>
  <c r="W86" i="25"/>
  <c r="W87" i="25"/>
  <c r="W88" i="25"/>
  <c r="W89" i="25"/>
  <c r="W90" i="25"/>
  <c r="W91" i="25"/>
  <c r="W92" i="25"/>
  <c r="W93" i="25"/>
  <c r="W94" i="25"/>
  <c r="W95" i="25"/>
  <c r="W96" i="25"/>
  <c r="W97" i="25"/>
  <c r="W98" i="25"/>
  <c r="W99" i="25"/>
  <c r="W100" i="25"/>
  <c r="W101" i="25"/>
  <c r="W102" i="25"/>
  <c r="W103" i="25"/>
  <c r="W104" i="25"/>
  <c r="W105" i="25"/>
  <c r="W106" i="25"/>
  <c r="W107" i="25"/>
  <c r="W108" i="25"/>
  <c r="K4" i="25"/>
  <c r="K5" i="25"/>
  <c r="K6" i="25"/>
  <c r="K7" i="25"/>
  <c r="K8" i="25"/>
  <c r="K9" i="25"/>
  <c r="K10" i="25"/>
  <c r="K11" i="25"/>
  <c r="K12" i="25"/>
  <c r="K13" i="25"/>
  <c r="X64" i="25"/>
  <c r="Y64" i="25"/>
  <c r="AG64" i="25"/>
  <c r="AH64" i="25"/>
  <c r="AE64" i="25"/>
  <c r="X65" i="25"/>
  <c r="Y65" i="25"/>
  <c r="AG65" i="25"/>
  <c r="AH65" i="25"/>
  <c r="AE65" i="25"/>
  <c r="X66" i="25"/>
  <c r="Y66" i="25"/>
  <c r="AG66" i="25"/>
  <c r="AH66" i="25"/>
  <c r="AE66" i="25"/>
  <c r="X67" i="25"/>
  <c r="Y67" i="25"/>
  <c r="AG67" i="25"/>
  <c r="AH67" i="25"/>
  <c r="AE67" i="25"/>
  <c r="X68" i="25"/>
  <c r="Y68" i="25"/>
  <c r="AG68" i="25"/>
  <c r="AH68" i="25"/>
  <c r="AE68" i="25"/>
  <c r="X69" i="25"/>
  <c r="Y69" i="25"/>
  <c r="AG69" i="25"/>
  <c r="AH69" i="25"/>
  <c r="AE69" i="25"/>
  <c r="X70" i="25"/>
  <c r="Y70" i="25"/>
  <c r="AG70" i="25"/>
  <c r="AH70" i="25"/>
  <c r="AE70" i="25"/>
  <c r="X71" i="25"/>
  <c r="Y71" i="25"/>
  <c r="AG71" i="25"/>
  <c r="AH71" i="25"/>
  <c r="AE71" i="25"/>
  <c r="X72" i="25"/>
  <c r="Y72" i="25"/>
  <c r="AG72" i="25"/>
  <c r="AH72" i="25"/>
  <c r="AE72" i="25"/>
  <c r="X73" i="25"/>
  <c r="Y73" i="25"/>
  <c r="AG73" i="25"/>
  <c r="AH73" i="25"/>
  <c r="AE73" i="25"/>
  <c r="X74" i="25"/>
  <c r="Y74" i="25"/>
  <c r="AG74" i="25"/>
  <c r="AH74" i="25"/>
  <c r="AE74" i="25"/>
  <c r="X75" i="25"/>
  <c r="Y75" i="25"/>
  <c r="AG75" i="25"/>
  <c r="AH75" i="25"/>
  <c r="AE75" i="25"/>
  <c r="X76" i="25"/>
  <c r="Y76" i="25"/>
  <c r="AG76" i="25"/>
  <c r="AH76" i="25"/>
  <c r="AE76" i="25"/>
  <c r="X77" i="25"/>
  <c r="Y77" i="25"/>
  <c r="AG77" i="25"/>
  <c r="AH77" i="25"/>
  <c r="AE77" i="25"/>
  <c r="X78" i="25"/>
  <c r="Y78" i="25"/>
  <c r="AG78" i="25"/>
  <c r="AH78" i="25"/>
  <c r="AE78" i="25"/>
  <c r="X79" i="25"/>
  <c r="Y79" i="25"/>
  <c r="AG79" i="25"/>
  <c r="AH79" i="25"/>
  <c r="AE79" i="25"/>
  <c r="X80" i="25"/>
  <c r="Y80" i="25"/>
  <c r="AG80" i="25"/>
  <c r="AH80" i="25"/>
  <c r="AE80" i="25"/>
  <c r="X81" i="25"/>
  <c r="Y81" i="25"/>
  <c r="AG81" i="25"/>
  <c r="AH81" i="25"/>
  <c r="AE81" i="25"/>
  <c r="X82" i="25"/>
  <c r="Y82" i="25"/>
  <c r="AG82" i="25"/>
  <c r="AH82" i="25"/>
  <c r="AE82" i="25"/>
  <c r="X83" i="25"/>
  <c r="Y83" i="25"/>
  <c r="AG83" i="25"/>
  <c r="AH83" i="25"/>
  <c r="AE83" i="25"/>
  <c r="X84" i="25"/>
  <c r="Y84" i="25"/>
  <c r="AG84" i="25"/>
  <c r="AH84" i="25"/>
  <c r="AE84" i="25"/>
  <c r="X85" i="25"/>
  <c r="Y85" i="25"/>
  <c r="AG85" i="25"/>
  <c r="AH85" i="25"/>
  <c r="AE85" i="25"/>
  <c r="X86" i="25"/>
  <c r="Y86" i="25"/>
  <c r="AG86" i="25"/>
  <c r="AH86" i="25"/>
  <c r="AE86" i="25"/>
  <c r="X87" i="25"/>
  <c r="Y87" i="25"/>
  <c r="AG87" i="25"/>
  <c r="AH87" i="25"/>
  <c r="AE87" i="25"/>
  <c r="X88" i="25"/>
  <c r="Y88" i="25"/>
  <c r="AG88" i="25"/>
  <c r="AH88" i="25"/>
  <c r="AE88" i="25"/>
  <c r="X89" i="25"/>
  <c r="Y89" i="25"/>
  <c r="AG89" i="25"/>
  <c r="AH89" i="25"/>
  <c r="AE89" i="25"/>
  <c r="X90" i="25"/>
  <c r="Y90" i="25"/>
  <c r="AG90" i="25"/>
  <c r="AH90" i="25"/>
  <c r="AE90" i="25"/>
  <c r="X91" i="25"/>
  <c r="Y91" i="25"/>
  <c r="AG91" i="25"/>
  <c r="AH91" i="25"/>
  <c r="AE91" i="25"/>
  <c r="X92" i="25"/>
  <c r="Y92" i="25"/>
  <c r="AG92" i="25"/>
  <c r="AH92" i="25"/>
  <c r="AE92" i="25"/>
  <c r="X93" i="25"/>
  <c r="Y93" i="25"/>
  <c r="AG93" i="25"/>
  <c r="AH93" i="25"/>
  <c r="AE93" i="25"/>
  <c r="AE94" i="25"/>
  <c r="AE95" i="25"/>
  <c r="AE96" i="25"/>
  <c r="AE97" i="25"/>
  <c r="AE98" i="25"/>
  <c r="AE99" i="25"/>
  <c r="AE100" i="25"/>
  <c r="AE101" i="25"/>
  <c r="AE102" i="25"/>
  <c r="AE103" i="25"/>
  <c r="AE104" i="25"/>
  <c r="AE105" i="25"/>
  <c r="AE106" i="25"/>
  <c r="AE107" i="25"/>
  <c r="AE108" i="25"/>
  <c r="AF64" i="25"/>
  <c r="AF65" i="25"/>
  <c r="AF66" i="25"/>
  <c r="AF67" i="25"/>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AF99" i="25"/>
  <c r="AF100" i="25"/>
  <c r="AF101" i="25"/>
  <c r="AF102" i="25"/>
  <c r="AF103" i="25"/>
  <c r="AF104" i="25"/>
  <c r="AF105" i="25"/>
  <c r="AF106" i="25"/>
  <c r="AF107" i="25"/>
  <c r="AF108" i="25"/>
  <c r="J4" i="25"/>
  <c r="K17" i="25"/>
  <c r="G4" i="25"/>
  <c r="H4" i="25"/>
  <c r="I4" i="25"/>
  <c r="J17" i="25"/>
  <c r="L17" i="25"/>
  <c r="J5" i="25"/>
  <c r="K18" i="25"/>
  <c r="G5" i="25"/>
  <c r="H5" i="25"/>
  <c r="I5" i="25"/>
  <c r="J18" i="25"/>
  <c r="L18" i="25"/>
  <c r="J6" i="25"/>
  <c r="K19" i="25"/>
  <c r="G6" i="25"/>
  <c r="H6" i="25"/>
  <c r="I6" i="25"/>
  <c r="J19" i="25"/>
  <c r="L19" i="25"/>
  <c r="J7" i="25"/>
  <c r="K20" i="25"/>
  <c r="G7" i="25"/>
  <c r="H7" i="25"/>
  <c r="I7" i="25"/>
  <c r="J20" i="25"/>
  <c r="L20" i="25"/>
  <c r="J8" i="25"/>
  <c r="K21" i="25"/>
  <c r="G8" i="25"/>
  <c r="H8" i="25"/>
  <c r="I8" i="25"/>
  <c r="J21" i="25"/>
  <c r="L21" i="25"/>
  <c r="J9" i="25"/>
  <c r="K22" i="25"/>
  <c r="X94" i="25"/>
  <c r="X95" i="25"/>
  <c r="X96" i="25"/>
  <c r="X97" i="25"/>
  <c r="X98" i="25"/>
  <c r="X99" i="25"/>
  <c r="X100" i="25"/>
  <c r="X101" i="25"/>
  <c r="X102" i="25"/>
  <c r="X103" i="25"/>
  <c r="X104" i="25"/>
  <c r="X105" i="25"/>
  <c r="X106" i="25"/>
  <c r="X107" i="25"/>
  <c r="X108" i="25"/>
  <c r="Y94" i="25"/>
  <c r="Y95" i="25"/>
  <c r="Y96" i="25"/>
  <c r="Y97" i="25"/>
  <c r="Y98" i="25"/>
  <c r="Y99" i="25"/>
  <c r="Y100" i="25"/>
  <c r="Y101" i="25"/>
  <c r="Y102" i="25"/>
  <c r="Y103" i="25"/>
  <c r="Y104" i="25"/>
  <c r="Y105" i="25"/>
  <c r="Y106" i="25"/>
  <c r="Y107" i="25"/>
  <c r="Y108" i="25"/>
  <c r="AG94" i="25"/>
  <c r="AG95" i="25"/>
  <c r="AG96" i="25"/>
  <c r="AG97" i="25"/>
  <c r="AG98" i="25"/>
  <c r="AG99" i="25"/>
  <c r="AG100" i="25"/>
  <c r="AG101" i="25"/>
  <c r="AG102" i="25"/>
  <c r="AG103" i="25"/>
  <c r="AG104" i="25"/>
  <c r="AG105" i="25"/>
  <c r="AG106" i="25"/>
  <c r="AG107" i="25"/>
  <c r="AG108" i="25"/>
  <c r="AH94" i="25"/>
  <c r="AH95" i="25"/>
  <c r="AH96" i="25"/>
  <c r="AH97" i="25"/>
  <c r="AH98" i="25"/>
  <c r="AH99" i="25"/>
  <c r="AH100" i="25"/>
  <c r="AH101" i="25"/>
  <c r="AH102" i="25"/>
  <c r="AH103" i="25"/>
  <c r="AH104" i="25"/>
  <c r="AH105" i="25"/>
  <c r="AH106" i="25"/>
  <c r="AH107" i="25"/>
  <c r="AH108" i="25"/>
  <c r="G9" i="25"/>
  <c r="H9" i="25"/>
  <c r="I9" i="25"/>
  <c r="J22" i="25"/>
  <c r="L22" i="25"/>
  <c r="J10" i="25"/>
  <c r="K23" i="25"/>
  <c r="G10" i="25"/>
  <c r="H10" i="25"/>
  <c r="I10" i="25"/>
  <c r="J23" i="25"/>
  <c r="L23" i="25"/>
  <c r="J11" i="25"/>
  <c r="K24" i="25"/>
  <c r="G11" i="25"/>
  <c r="H11" i="25"/>
  <c r="I11" i="25"/>
  <c r="J24" i="25"/>
  <c r="L24" i="25"/>
  <c r="J12" i="25"/>
  <c r="K25" i="25"/>
  <c r="G12" i="25"/>
  <c r="H12" i="25"/>
  <c r="I12" i="25"/>
  <c r="J25" i="25"/>
  <c r="L2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W17" i="25"/>
  <c r="M18" i="25"/>
  <c r="N18" i="25" a="1"/>
  <c r="N18"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W18" i="25"/>
  <c r="M19" i="25"/>
  <c r="N19" i="25" a="1"/>
  <c r="N19"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W19" i="25"/>
  <c r="M20" i="25"/>
  <c r="N20" i="25" a="1"/>
  <c r="N20"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W20" i="25"/>
  <c r="M21" i="25"/>
  <c r="N21" i="25" a="1"/>
  <c r="N21" i="25"/>
  <c r="O21" i="25"/>
  <c r="E34" i="25" a="1"/>
  <c r="E34" i="25"/>
  <c r="F34" i="25" a="1"/>
  <c r="F34" i="25"/>
  <c r="G34" i="25" a="1"/>
  <c r="H34" i="25" a="1"/>
  <c r="I34" i="25" a="1"/>
  <c r="J34" i="25" a="1"/>
  <c r="K34" i="25" a="1"/>
  <c r="L34" i="25" a="1"/>
  <c r="P21" i="25"/>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W21" i="25"/>
  <c r="M22" i="25"/>
  <c r="N22" i="25" a="1"/>
  <c r="N22" i="25"/>
  <c r="O22"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E35" i="25" a="1"/>
  <c r="E35" i="25"/>
  <c r="F35" i="25" a="1"/>
  <c r="F35" i="25"/>
  <c r="G35" i="25" a="1"/>
  <c r="H35" i="25" a="1"/>
  <c r="I35" i="25" a="1"/>
  <c r="M23" i="25"/>
  <c r="N23" i="25" a="1"/>
  <c r="N23" i="25"/>
  <c r="O23" i="25"/>
  <c r="J35" i="25" a="1"/>
  <c r="M24" i="25"/>
  <c r="N24" i="25" a="1"/>
  <c r="N24" i="25"/>
  <c r="O24" i="25"/>
  <c r="K35" i="25" a="1"/>
  <c r="M25" i="25"/>
  <c r="N25" i="25" a="1"/>
  <c r="N25" i="25"/>
  <c r="O25" i="25"/>
  <c r="L35" i="25" a="1"/>
  <c r="P22" i="25"/>
  <c r="M35" i="25" a="1"/>
  <c r="N35" i="25" a="1"/>
  <c r="O35" i="25" a="1"/>
  <c r="P35" i="25" a="1"/>
  <c r="Q35" i="25" a="1"/>
  <c r="P23" i="25"/>
  <c r="R35" i="25" a="1"/>
  <c r="P24" i="25"/>
  <c r="S35" i="25" a="1"/>
  <c r="P25" i="25"/>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W22" i="25"/>
  <c r="E36" i="25" a="1"/>
  <c r="E36" i="25"/>
  <c r="F36" i="25" a="1"/>
  <c r="F36" i="25"/>
  <c r="G36" i="25" a="1"/>
  <c r="H36" i="25" a="1"/>
  <c r="I36" i="25" a="1"/>
  <c r="J36" i="25" a="1"/>
  <c r="K36" i="25" a="1"/>
  <c r="L36" i="25" a="1"/>
  <c r="M36" i="25" a="1"/>
  <c r="N36" i="25" a="1"/>
  <c r="O36" i="25" a="1"/>
  <c r="P36" i="25" a="1"/>
  <c r="Q36" i="25" a="1"/>
  <c r="R36" i="25" a="1"/>
  <c r="S36" i="25" a="1"/>
  <c r="T36" i="25" a="1"/>
  <c r="U36" i="25" a="1"/>
  <c r="V36" i="25" a="1"/>
  <c r="W36" i="25" a="1"/>
  <c r="X36" i="25" a="1"/>
  <c r="Y36" i="25" a="1"/>
  <c r="Z36" i="25" a="1"/>
  <c r="AA36" i="25" a="1"/>
  <c r="AB36" i="25" a="1"/>
  <c r="AC36" i="25" a="1"/>
  <c r="AD36" i="25" a="1"/>
  <c r="AE36" i="25" a="1"/>
  <c r="AF36" i="25" a="1"/>
  <c r="AG36" i="25" a="1"/>
  <c r="AH36" i="25" a="1"/>
  <c r="AI36" i="25" a="1"/>
  <c r="AJ36" i="25" a="1"/>
  <c r="AK36" i="25" a="1"/>
  <c r="AL36" i="25" a="1"/>
  <c r="AM36" i="25" a="1"/>
  <c r="AN36" i="25" a="1"/>
  <c r="AO36" i="25" a="1"/>
  <c r="AP36" i="25" a="1"/>
  <c r="AQ36" i="25" a="1"/>
  <c r="AR36" i="25" a="1"/>
  <c r="AS36" i="25" a="1"/>
  <c r="AT36" i="25" a="1"/>
  <c r="AU36" i="25" a="1"/>
  <c r="AV36" i="25" a="1"/>
  <c r="AW36" i="25" a="1"/>
  <c r="AX36" i="25" a="1"/>
  <c r="AY36" i="25" a="1"/>
  <c r="AZ36" i="25" a="1"/>
  <c r="BA36" i="25" a="1"/>
  <c r="BB36" i="25" a="1"/>
  <c r="BC36" i="25" a="1"/>
  <c r="BD36" i="25" a="1"/>
  <c r="BE36" i="25" a="1"/>
  <c r="BF36" i="25" a="1"/>
  <c r="BG36" i="25" a="1"/>
  <c r="BH36" i="25" a="1"/>
  <c r="BI36" i="25" a="1"/>
  <c r="BJ36" i="25" a="1"/>
  <c r="BK36" i="25" a="1"/>
  <c r="BL36" i="25" a="1"/>
  <c r="BM36" i="25" a="1"/>
  <c r="BN36" i="25" a="1"/>
  <c r="BO36" i="25" a="1"/>
  <c r="BP36" i="25" a="1"/>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AA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W23" i="25"/>
  <c r="E37" i="25" a="1"/>
  <c r="E37" i="25"/>
  <c r="F37" i="25" a="1"/>
  <c r="F37" i="25"/>
  <c r="G37" i="25" a="1"/>
  <c r="H37" i="25" a="1"/>
  <c r="I37" i="25" a="1"/>
  <c r="J37" i="25" a="1"/>
  <c r="K37" i="25" a="1"/>
  <c r="L37" i="25" a="1"/>
  <c r="M37" i="25" a="1"/>
  <c r="N37" i="25" a="1"/>
  <c r="O37" i="25" a="1"/>
  <c r="P37" i="25" a="1"/>
  <c r="Q37" i="25" a="1"/>
  <c r="R37" i="25" a="1"/>
  <c r="S37" i="25" a="1"/>
  <c r="T37" i="25" a="1"/>
  <c r="U37" i="25" a="1"/>
  <c r="V37" i="25" a="1"/>
  <c r="W37" i="25" a="1"/>
  <c r="X37" i="25" a="1"/>
  <c r="Y37" i="25" a="1"/>
  <c r="Z37" i="25" a="1"/>
  <c r="AA37" i="25" a="1"/>
  <c r="AB37" i="25" a="1"/>
  <c r="AC37" i="25" a="1"/>
  <c r="AD37" i="25" a="1"/>
  <c r="AE37" i="25" a="1"/>
  <c r="AF37" i="25" a="1"/>
  <c r="AG37" i="25" a="1"/>
  <c r="AH37" i="25" a="1"/>
  <c r="AI37" i="25" a="1"/>
  <c r="AJ37" i="25" a="1"/>
  <c r="AK37" i="25" a="1"/>
  <c r="AL37" i="25" a="1"/>
  <c r="AM37" i="25" a="1"/>
  <c r="AN37" i="25" a="1"/>
  <c r="AO37" i="25" a="1"/>
  <c r="AP37" i="25" a="1"/>
  <c r="AQ37" i="25" a="1"/>
  <c r="AR37" i="25" a="1"/>
  <c r="AS37" i="25" a="1"/>
  <c r="AT37" i="25" a="1"/>
  <c r="AU37" i="25" a="1"/>
  <c r="AV37" i="25" a="1"/>
  <c r="AW37" i="25" a="1"/>
  <c r="AX37" i="25" a="1"/>
  <c r="AY37" i="25" a="1"/>
  <c r="AZ37" i="25" a="1"/>
  <c r="BA37" i="25" a="1"/>
  <c r="BB37" i="25" a="1"/>
  <c r="BC37" i="25" a="1"/>
  <c r="BD37" i="25" a="1"/>
  <c r="BE37" i="25" a="1"/>
  <c r="BF37" i="25" a="1"/>
  <c r="BG37" i="25" a="1"/>
  <c r="BH37" i="25" a="1"/>
  <c r="BI37" i="25" a="1"/>
  <c r="BJ37" i="25" a="1"/>
  <c r="BK37" i="25" a="1"/>
  <c r="BL37" i="25" a="1"/>
  <c r="BM37" i="25" a="1"/>
  <c r="BN37" i="25" a="1"/>
  <c r="BO37" i="25" a="1"/>
  <c r="BP37" i="25" a="1"/>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AA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W24" i="25"/>
  <c r="E38" i="25" a="1"/>
  <c r="E38" i="25"/>
  <c r="F38" i="25" a="1"/>
  <c r="F38" i="25"/>
  <c r="G38" i="25" a="1"/>
  <c r="H38" i="25" a="1"/>
  <c r="I38" i="25" a="1"/>
  <c r="J38" i="25" a="1"/>
  <c r="K38" i="25" a="1"/>
  <c r="L38" i="25" a="1"/>
  <c r="M38" i="25" a="1"/>
  <c r="N38" i="25" a="1"/>
  <c r="O38" i="25" a="1"/>
  <c r="P38" i="25" a="1"/>
  <c r="Q38" i="25" a="1"/>
  <c r="R38" i="25" a="1"/>
  <c r="S38" i="25" a="1"/>
  <c r="T38" i="25" a="1"/>
  <c r="U38" i="25" a="1"/>
  <c r="V38" i="25" a="1"/>
  <c r="W38" i="25" a="1"/>
  <c r="X38" i="25" a="1"/>
  <c r="Y38" i="25" a="1"/>
  <c r="Z38" i="25" a="1"/>
  <c r="AA38" i="25" a="1"/>
  <c r="AB38" i="25" a="1"/>
  <c r="AC38" i="25" a="1"/>
  <c r="AD38" i="25" a="1"/>
  <c r="AE38" i="25" a="1"/>
  <c r="AF38" i="25" a="1"/>
  <c r="AG38" i="25" a="1"/>
  <c r="AH38" i="25" a="1"/>
  <c r="AI38" i="25" a="1"/>
  <c r="AJ38" i="25" a="1"/>
  <c r="AK38" i="25" a="1"/>
  <c r="AL38" i="25" a="1"/>
  <c r="AM38" i="25" a="1"/>
  <c r="AN38" i="25" a="1"/>
  <c r="AO38" i="25" a="1"/>
  <c r="AP38" i="25" a="1"/>
  <c r="AQ38" i="25" a="1"/>
  <c r="AR38" i="25" a="1"/>
  <c r="AS38" i="25" a="1"/>
  <c r="AT38" i="25" a="1"/>
  <c r="AU38" i="25" a="1"/>
  <c r="AV38" i="25" a="1"/>
  <c r="AW38" i="25" a="1"/>
  <c r="AX38" i="25" a="1"/>
  <c r="AY38" i="25" a="1"/>
  <c r="AZ38" i="25" a="1"/>
  <c r="BA38" i="25" a="1"/>
  <c r="BB38" i="25" a="1"/>
  <c r="BC38" i="25" a="1"/>
  <c r="BD38" i="25" a="1"/>
  <c r="BE38" i="25" a="1"/>
  <c r="BF38" i="25" a="1"/>
  <c r="BG38" i="25" a="1"/>
  <c r="BH38" i="25" a="1"/>
  <c r="BI38" i="25" a="1"/>
  <c r="BJ38" i="25" a="1"/>
  <c r="BK38" i="25" a="1"/>
  <c r="BL38" i="25" a="1"/>
  <c r="BM38" i="25" a="1"/>
  <c r="BN38" i="25" a="1"/>
  <c r="BO38" i="25" a="1"/>
  <c r="BP38" i="25" a="1"/>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AA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W25" i="25"/>
  <c r="Y17" i="25"/>
  <c r="X17" i="25"/>
  <c r="Y18" i="25"/>
  <c r="X18" i="25"/>
  <c r="Y19" i="25"/>
  <c r="X19" i="25"/>
  <c r="Y20" i="25"/>
  <c r="X20" i="25"/>
  <c r="Y21" i="25"/>
  <c r="X21" i="25"/>
  <c r="Y22" i="25"/>
  <c r="X22" i="25"/>
  <c r="X23" i="25"/>
  <c r="X24" i="25"/>
  <c r="X25" i="25"/>
  <c r="E4" i="25"/>
  <c r="D4" i="25"/>
  <c r="E5" i="25"/>
  <c r="D5" i="25"/>
  <c r="E6" i="25"/>
  <c r="D6" i="25"/>
  <c r="E7" i="25"/>
  <c r="D7" i="25"/>
  <c r="E8" i="25"/>
  <c r="D8" i="25"/>
  <c r="E9" i="25"/>
  <c r="D9" i="25"/>
  <c r="E10" i="25"/>
  <c r="D10" i="25"/>
  <c r="E11" i="25"/>
  <c r="D11" i="25"/>
  <c r="E12" i="25"/>
  <c r="D12" i="25"/>
  <c r="C4" i="25"/>
  <c r="C5" i="25"/>
  <c r="C6" i="25"/>
  <c r="M4" i="25"/>
  <c r="N4" i="25"/>
  <c r="L4" i="25"/>
  <c r="M5" i="25"/>
  <c r="N5" i="25"/>
  <c r="L5" i="25"/>
  <c r="M6" i="25"/>
  <c r="N6" i="25"/>
  <c r="L6" i="25"/>
  <c r="C7" i="25"/>
  <c r="M7" i="25"/>
  <c r="N7" i="25"/>
  <c r="L7" i="25"/>
  <c r="C8" i="25"/>
  <c r="M8" i="25"/>
  <c r="N8" i="25"/>
  <c r="L8" i="25"/>
  <c r="C9" i="25"/>
  <c r="M9" i="25"/>
  <c r="N9" i="25"/>
  <c r="L9" i="25"/>
  <c r="C10" i="25"/>
  <c r="M10" i="25"/>
  <c r="N10" i="25"/>
  <c r="L10" i="25"/>
  <c r="C11" i="25"/>
  <c r="M11" i="25"/>
  <c r="N11" i="25"/>
  <c r="L11" i="25"/>
  <c r="C12" i="25"/>
  <c r="M12" i="25"/>
  <c r="N12" i="25"/>
  <c r="L12" i="25"/>
  <c r="R37" i="6"/>
  <c r="Q66" i="48"/>
  <c r="F6" i="48"/>
  <c r="K6" i="48"/>
  <c r="K7" i="48"/>
  <c r="K8" i="48"/>
  <c r="K9" i="48"/>
  <c r="K10" i="48"/>
  <c r="K11" i="48"/>
  <c r="K12" i="48"/>
  <c r="K13" i="48"/>
  <c r="AM43" i="39"/>
  <c r="E60" i="9"/>
  <c r="AL16" i="39"/>
  <c r="E61" i="9"/>
  <c r="AL22" i="39"/>
  <c r="E62" i="9"/>
  <c r="AL28" i="39"/>
  <c r="E63" i="9"/>
  <c r="AL34" i="39"/>
  <c r="R12" i="6"/>
  <c r="Q64" i="45"/>
  <c r="F4" i="45"/>
  <c r="V64" i="45"/>
  <c r="AA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AA65" i="45"/>
  <c r="AA66" i="45"/>
  <c r="AA67" i="45"/>
  <c r="AA68" i="45"/>
  <c r="AA69" i="45"/>
  <c r="AA70" i="45"/>
  <c r="AA71" i="45"/>
  <c r="AA72" i="45"/>
  <c r="AA73" i="45"/>
  <c r="AA74" i="45"/>
  <c r="AA75" i="45"/>
  <c r="AA76" i="45"/>
  <c r="AA77" i="45"/>
  <c r="AA78" i="45"/>
  <c r="AA79" i="45"/>
  <c r="AA80" i="45"/>
  <c r="AA81" i="45"/>
  <c r="AA82" i="45"/>
  <c r="AA83" i="45"/>
  <c r="AA84" i="45"/>
  <c r="AA85" i="45"/>
  <c r="AA86" i="45"/>
  <c r="AA87" i="45"/>
  <c r="AA88" i="45"/>
  <c r="AA89" i="45"/>
  <c r="AA90" i="45"/>
  <c r="AA91" i="45"/>
  <c r="AA92" i="45"/>
  <c r="AA93" i="45"/>
  <c r="AA94" i="45"/>
  <c r="AA95" i="45"/>
  <c r="AA96" i="45"/>
  <c r="AA97" i="45"/>
  <c r="AA98" i="45"/>
  <c r="AA99" i="45"/>
  <c r="AA100" i="45"/>
  <c r="AA101" i="45"/>
  <c r="AA102" i="45"/>
  <c r="AA103" i="45"/>
  <c r="AA104" i="45"/>
  <c r="AA105" i="45"/>
  <c r="AA106" i="45"/>
  <c r="AA107" i="45"/>
  <c r="AA108" i="45"/>
  <c r="W64" i="45"/>
  <c r="W65" i="45"/>
  <c r="W66" i="45"/>
  <c r="W67" i="45"/>
  <c r="W68" i="45"/>
  <c r="W69" i="45"/>
  <c r="W70" i="45"/>
  <c r="W71" i="45"/>
  <c r="W72" i="45"/>
  <c r="W73" i="45"/>
  <c r="W74" i="45"/>
  <c r="W75" i="45"/>
  <c r="W76" i="45"/>
  <c r="W77" i="45"/>
  <c r="W78" i="45"/>
  <c r="W79" i="45"/>
  <c r="W80" i="45"/>
  <c r="W81" i="45"/>
  <c r="W82" i="45"/>
  <c r="W83" i="45"/>
  <c r="W84" i="45"/>
  <c r="W85" i="45"/>
  <c r="W86" i="45"/>
  <c r="W87" i="45"/>
  <c r="W88" i="45"/>
  <c r="W89" i="45"/>
  <c r="W90" i="45"/>
  <c r="W91" i="45"/>
  <c r="W92" i="45"/>
  <c r="W93" i="45"/>
  <c r="W94" i="45"/>
  <c r="W95" i="45"/>
  <c r="W96" i="45"/>
  <c r="W97" i="45"/>
  <c r="W98" i="45"/>
  <c r="W99" i="45"/>
  <c r="W100" i="45"/>
  <c r="W101" i="45"/>
  <c r="W102" i="45"/>
  <c r="W103" i="45"/>
  <c r="W104" i="45"/>
  <c r="W105" i="45"/>
  <c r="W106" i="45"/>
  <c r="W107" i="45"/>
  <c r="W108" i="45"/>
  <c r="K4" i="45"/>
  <c r="R22" i="6"/>
  <c r="Q65" i="45"/>
  <c r="F5" i="45"/>
  <c r="K5" i="45"/>
  <c r="R32" i="6"/>
  <c r="Q66" i="45"/>
  <c r="F6" i="45"/>
  <c r="K6" i="45"/>
  <c r="K7" i="45"/>
  <c r="K8" i="45"/>
  <c r="K9" i="45"/>
  <c r="K10" i="45"/>
  <c r="K11" i="45"/>
  <c r="K12" i="45"/>
  <c r="K13" i="45"/>
  <c r="X64" i="45"/>
  <c r="Y64" i="45"/>
  <c r="AG64" i="45"/>
  <c r="AH64" i="45"/>
  <c r="AE64" i="45"/>
  <c r="X65" i="45"/>
  <c r="Y65" i="45"/>
  <c r="AG65" i="45"/>
  <c r="AH65" i="45"/>
  <c r="AE65" i="45"/>
  <c r="X66" i="45"/>
  <c r="Y66" i="45"/>
  <c r="AG66" i="45"/>
  <c r="AH66" i="45"/>
  <c r="AE66" i="45"/>
  <c r="X67" i="45"/>
  <c r="Y67" i="45"/>
  <c r="AG67" i="45"/>
  <c r="AH67" i="45"/>
  <c r="AE67" i="45"/>
  <c r="X68" i="45"/>
  <c r="Y68" i="45"/>
  <c r="AG68" i="45"/>
  <c r="AH68" i="45"/>
  <c r="AE68" i="45"/>
  <c r="X69" i="45"/>
  <c r="Y69" i="45"/>
  <c r="AG69" i="45"/>
  <c r="AH69" i="45"/>
  <c r="AE69" i="45"/>
  <c r="X70" i="45"/>
  <c r="Y70" i="45"/>
  <c r="AG70" i="45"/>
  <c r="AH70" i="45"/>
  <c r="AE70" i="45"/>
  <c r="X71" i="45"/>
  <c r="Y71" i="45"/>
  <c r="AG71" i="45"/>
  <c r="AH71" i="45"/>
  <c r="AE71" i="45"/>
  <c r="X72" i="45"/>
  <c r="Y72" i="45"/>
  <c r="AG72" i="45"/>
  <c r="AH72" i="45"/>
  <c r="AE72" i="45"/>
  <c r="X73" i="45"/>
  <c r="Y73" i="45"/>
  <c r="AG73" i="45"/>
  <c r="AH73" i="45"/>
  <c r="AE73" i="45"/>
  <c r="X74" i="45"/>
  <c r="Y74" i="45"/>
  <c r="AG74" i="45"/>
  <c r="AH74" i="45"/>
  <c r="AE74" i="45"/>
  <c r="X75" i="45"/>
  <c r="Y75" i="45"/>
  <c r="AG75" i="45"/>
  <c r="AH75" i="45"/>
  <c r="AE75" i="45"/>
  <c r="X76" i="45"/>
  <c r="Y76" i="45"/>
  <c r="AG76" i="45"/>
  <c r="AH76" i="45"/>
  <c r="AE76" i="45"/>
  <c r="X77" i="45"/>
  <c r="Y77" i="45"/>
  <c r="AG77" i="45"/>
  <c r="AH77" i="45"/>
  <c r="AE77" i="45"/>
  <c r="X78" i="45"/>
  <c r="Y78" i="45"/>
  <c r="AG78" i="45"/>
  <c r="AH78" i="45"/>
  <c r="AE78" i="45"/>
  <c r="X79" i="45"/>
  <c r="Y79" i="45"/>
  <c r="AG79" i="45"/>
  <c r="AH79" i="45"/>
  <c r="AE79" i="45"/>
  <c r="X80" i="45"/>
  <c r="Y80" i="45"/>
  <c r="AG80" i="45"/>
  <c r="AH80" i="45"/>
  <c r="AE80" i="45"/>
  <c r="X81" i="45"/>
  <c r="Y81" i="45"/>
  <c r="AG81" i="45"/>
  <c r="AH81" i="45"/>
  <c r="AE81" i="45"/>
  <c r="X82" i="45"/>
  <c r="Y82" i="45"/>
  <c r="AG82" i="45"/>
  <c r="AH82" i="45"/>
  <c r="AE82" i="45"/>
  <c r="X83" i="45"/>
  <c r="Y83" i="45"/>
  <c r="AG83" i="45"/>
  <c r="AH83" i="45"/>
  <c r="AE83" i="45"/>
  <c r="X84" i="45"/>
  <c r="Y84" i="45"/>
  <c r="AG84" i="45"/>
  <c r="AH84" i="45"/>
  <c r="AE84" i="45"/>
  <c r="X85" i="45"/>
  <c r="Y85" i="45"/>
  <c r="AG85" i="45"/>
  <c r="AH85" i="45"/>
  <c r="AE85" i="45"/>
  <c r="X86" i="45"/>
  <c r="Y86" i="45"/>
  <c r="AG86" i="45"/>
  <c r="AH86" i="45"/>
  <c r="AE86" i="45"/>
  <c r="X87" i="45"/>
  <c r="Y87" i="45"/>
  <c r="AG87" i="45"/>
  <c r="AH87" i="45"/>
  <c r="AE87" i="45"/>
  <c r="X88" i="45"/>
  <c r="Y88" i="45"/>
  <c r="AG88" i="45"/>
  <c r="AH88" i="45"/>
  <c r="AE88" i="45"/>
  <c r="X89" i="45"/>
  <c r="Y89" i="45"/>
  <c r="AG89" i="45"/>
  <c r="AH89" i="45"/>
  <c r="AE89" i="45"/>
  <c r="X90" i="45"/>
  <c r="Y90" i="45"/>
  <c r="AG90" i="45"/>
  <c r="AH90" i="45"/>
  <c r="AE90" i="45"/>
  <c r="X91" i="45"/>
  <c r="Y91" i="45"/>
  <c r="AG91" i="45"/>
  <c r="AH91" i="45"/>
  <c r="AE91" i="45"/>
  <c r="X92" i="45"/>
  <c r="Y92" i="45"/>
  <c r="AG92" i="45"/>
  <c r="AH92" i="45"/>
  <c r="AE92" i="45"/>
  <c r="X93" i="45"/>
  <c r="Y93" i="45"/>
  <c r="AG93" i="45"/>
  <c r="AH93" i="45"/>
  <c r="AE93" i="45"/>
  <c r="AE94" i="45"/>
  <c r="AE95" i="45"/>
  <c r="AE96" i="45"/>
  <c r="AE97" i="45"/>
  <c r="AE98" i="45"/>
  <c r="AE99" i="45"/>
  <c r="AE100" i="45"/>
  <c r="AE101" i="45"/>
  <c r="AE102" i="45"/>
  <c r="AE103" i="45"/>
  <c r="AE104" i="45"/>
  <c r="AE105" i="45"/>
  <c r="AE106" i="45"/>
  <c r="AE107" i="45"/>
  <c r="AE108" i="45"/>
  <c r="AF64" i="45"/>
  <c r="AF65" i="45"/>
  <c r="AF66" i="45"/>
  <c r="AF67" i="45"/>
  <c r="AF68" i="45"/>
  <c r="AF69" i="45"/>
  <c r="AF70" i="45"/>
  <c r="AF71" i="45"/>
  <c r="AF72" i="45"/>
  <c r="AF73" i="45"/>
  <c r="AF74" i="45"/>
  <c r="AF75" i="45"/>
  <c r="AF76" i="45"/>
  <c r="AF77" i="45"/>
  <c r="AF78" i="45"/>
  <c r="AF79" i="45"/>
  <c r="AF80" i="45"/>
  <c r="AF81" i="45"/>
  <c r="AF82" i="45"/>
  <c r="AF83" i="45"/>
  <c r="AF84" i="45"/>
  <c r="AF85" i="45"/>
  <c r="AF86" i="45"/>
  <c r="AF87" i="45"/>
  <c r="AF88" i="45"/>
  <c r="AF89" i="45"/>
  <c r="AF90" i="45"/>
  <c r="AF91" i="45"/>
  <c r="AF92" i="45"/>
  <c r="AF93" i="45"/>
  <c r="AF94" i="45"/>
  <c r="AF95" i="45"/>
  <c r="AF96" i="45"/>
  <c r="AF97" i="45"/>
  <c r="AF98" i="45"/>
  <c r="AF99" i="45"/>
  <c r="AF100" i="45"/>
  <c r="AF101" i="45"/>
  <c r="AF102" i="45"/>
  <c r="AF103" i="45"/>
  <c r="AF104" i="45"/>
  <c r="AF105" i="45"/>
  <c r="AF106" i="45"/>
  <c r="AF107" i="45"/>
  <c r="AF108" i="45"/>
  <c r="J4" i="45"/>
  <c r="K17" i="45"/>
  <c r="H4" i="45"/>
  <c r="G4" i="45"/>
  <c r="I4" i="45"/>
  <c r="J17" i="45"/>
  <c r="L17" i="45"/>
  <c r="J5" i="45"/>
  <c r="K18" i="45"/>
  <c r="H5" i="45"/>
  <c r="G5" i="45"/>
  <c r="I5" i="45"/>
  <c r="J18" i="45"/>
  <c r="L18" i="45"/>
  <c r="J6" i="45"/>
  <c r="K19" i="45"/>
  <c r="H6" i="45"/>
  <c r="G6" i="45"/>
  <c r="I6" i="45"/>
  <c r="J19" i="45"/>
  <c r="L19" i="45"/>
  <c r="J7" i="45"/>
  <c r="K20" i="45"/>
  <c r="Y94" i="45"/>
  <c r="Y95" i="45"/>
  <c r="Y96" i="45"/>
  <c r="Y97" i="45"/>
  <c r="Y98" i="45"/>
  <c r="Y99" i="45"/>
  <c r="Y100" i="45"/>
  <c r="Y101" i="45"/>
  <c r="Y102" i="45"/>
  <c r="Y103" i="45"/>
  <c r="Y104" i="45"/>
  <c r="Y105" i="45"/>
  <c r="Y106" i="45"/>
  <c r="Y107" i="45"/>
  <c r="Y108" i="45"/>
  <c r="X94" i="45"/>
  <c r="X95" i="45"/>
  <c r="X96" i="45"/>
  <c r="X97" i="45"/>
  <c r="X98" i="45"/>
  <c r="X99" i="45"/>
  <c r="X100" i="45"/>
  <c r="X101" i="45"/>
  <c r="X102" i="45"/>
  <c r="X103" i="45"/>
  <c r="X104" i="45"/>
  <c r="X105" i="45"/>
  <c r="X106" i="45"/>
  <c r="X107" i="45"/>
  <c r="X108" i="45"/>
  <c r="AH94" i="45"/>
  <c r="AH95" i="45"/>
  <c r="AH96" i="45"/>
  <c r="AH97" i="45"/>
  <c r="AH98" i="45"/>
  <c r="AH99" i="45"/>
  <c r="AH100" i="45"/>
  <c r="AH101" i="45"/>
  <c r="AH102" i="45"/>
  <c r="AH103" i="45"/>
  <c r="AH104" i="45"/>
  <c r="AH105" i="45"/>
  <c r="AH106" i="45"/>
  <c r="AH107" i="45"/>
  <c r="AH108" i="45"/>
  <c r="AG94" i="45"/>
  <c r="AG95" i="45"/>
  <c r="AG96" i="45"/>
  <c r="AG97" i="45"/>
  <c r="AG98" i="45"/>
  <c r="AG99" i="45"/>
  <c r="AG100" i="45"/>
  <c r="AG101" i="45"/>
  <c r="AG102" i="45"/>
  <c r="AG103" i="45"/>
  <c r="AG104" i="45"/>
  <c r="AG105" i="45"/>
  <c r="AG106" i="45"/>
  <c r="AG107" i="45"/>
  <c r="AG108" i="45"/>
  <c r="H7" i="45"/>
  <c r="G7" i="45"/>
  <c r="I7" i="45"/>
  <c r="J20" i="45"/>
  <c r="L20" i="45"/>
  <c r="J8" i="45"/>
  <c r="K21" i="45"/>
  <c r="H8" i="45"/>
  <c r="G8" i="45"/>
  <c r="I8" i="45"/>
  <c r="J21" i="45"/>
  <c r="L21" i="45"/>
  <c r="J9" i="45"/>
  <c r="K22" i="45"/>
  <c r="H9" i="45"/>
  <c r="G9" i="45"/>
  <c r="I9" i="45"/>
  <c r="J22" i="45"/>
  <c r="L22" i="45"/>
  <c r="J10" i="45"/>
  <c r="K23" i="45"/>
  <c r="H10" i="45"/>
  <c r="G10" i="45"/>
  <c r="I10" i="45"/>
  <c r="J23" i="45"/>
  <c r="L23" i="45"/>
  <c r="J11" i="45"/>
  <c r="K24" i="45"/>
  <c r="H11" i="45"/>
  <c r="G11" i="45"/>
  <c r="I11" i="45"/>
  <c r="J24" i="45"/>
  <c r="L24" i="45"/>
  <c r="J12" i="45"/>
  <c r="K25" i="45"/>
  <c r="H12" i="45"/>
  <c r="G12" i="45"/>
  <c r="I12" i="45"/>
  <c r="J25" i="45"/>
  <c r="L25" i="45"/>
  <c r="M17" i="45"/>
  <c r="N17" i="45" a="1"/>
  <c r="N17" i="45"/>
  <c r="O17" i="45"/>
  <c r="C17" i="45"/>
  <c r="E30" i="45" a="1"/>
  <c r="E30" i="45"/>
  <c r="F30" i="45" a="1"/>
  <c r="F30" i="45"/>
  <c r="G30" i="45" a="1"/>
  <c r="H30" i="45" a="1"/>
  <c r="I30" i="45" a="1"/>
  <c r="J30" i="45" a="1"/>
  <c r="K30" i="45" a="1"/>
  <c r="L30" i="45" a="1"/>
  <c r="P17" i="45"/>
  <c r="M30" i="45" a="1"/>
  <c r="N30" i="45" a="1"/>
  <c r="O30" i="45" a="1"/>
  <c r="P30" i="45" a="1"/>
  <c r="Q30" i="45" a="1"/>
  <c r="R30" i="45" a="1"/>
  <c r="S30" i="45" a="1"/>
  <c r="T30" i="45" a="1"/>
  <c r="Q17" i="45"/>
  <c r="U30" i="45" a="1"/>
  <c r="V30" i="45" a="1"/>
  <c r="W30" i="45" a="1"/>
  <c r="X30" i="45" a="1"/>
  <c r="Y30" i="45" a="1"/>
  <c r="Z30" i="45" a="1"/>
  <c r="AA30" i="45" a="1"/>
  <c r="AB30" i="45" a="1"/>
  <c r="R17" i="45"/>
  <c r="AC30" i="45" a="1"/>
  <c r="AD30" i="45" a="1"/>
  <c r="AE30" i="45" a="1"/>
  <c r="AF30" i="45" a="1"/>
  <c r="AG30" i="45" a="1"/>
  <c r="AH30" i="45" a="1"/>
  <c r="AI30" i="45" a="1"/>
  <c r="AJ30" i="45" a="1"/>
  <c r="S17" i="45"/>
  <c r="AK30" i="45" a="1"/>
  <c r="AL30" i="45" a="1"/>
  <c r="AM30" i="45" a="1"/>
  <c r="AN30" i="45" a="1"/>
  <c r="AO30" i="45" a="1"/>
  <c r="AP30" i="45" a="1"/>
  <c r="AQ30" i="45" a="1"/>
  <c r="AR30" i="45" a="1"/>
  <c r="T17" i="45"/>
  <c r="AS30" i="45" a="1"/>
  <c r="AT30" i="45" a="1"/>
  <c r="AU30" i="45" a="1"/>
  <c r="AV30" i="45" a="1"/>
  <c r="AW30" i="45" a="1"/>
  <c r="AX30" i="45" a="1"/>
  <c r="AY30" i="45" a="1"/>
  <c r="AZ30" i="45" a="1"/>
  <c r="U17" i="45"/>
  <c r="BA30" i="45" a="1"/>
  <c r="BB30" i="45" a="1"/>
  <c r="BC30" i="45" a="1"/>
  <c r="BD30" i="45" a="1"/>
  <c r="BE30" i="45" a="1"/>
  <c r="BF30" i="45" a="1"/>
  <c r="BG30" i="45" a="1"/>
  <c r="BH30" i="45" a="1"/>
  <c r="V17" i="45"/>
  <c r="BI30" i="45" a="1"/>
  <c r="BJ30" i="45" a="1"/>
  <c r="BK30" i="45" a="1"/>
  <c r="BL30" i="45" a="1"/>
  <c r="BM30" i="45" a="1"/>
  <c r="BN30" i="45" a="1"/>
  <c r="BO30" i="45" a="1"/>
  <c r="BP30" i="45" a="1"/>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AA17" i="45"/>
  <c r="E41" i="45" a="1"/>
  <c r="E41" i="45"/>
  <c r="F41" i="45" a="1"/>
  <c r="F41" i="45"/>
  <c r="G41" i="45" a="1"/>
  <c r="H41" i="45" a="1"/>
  <c r="I41" i="45" a="1"/>
  <c r="J41" i="45" a="1"/>
  <c r="K41" i="45" a="1"/>
  <c r="L41" i="45" a="1"/>
  <c r="M41" i="45" a="1"/>
  <c r="N41" i="45" a="1"/>
  <c r="O41" i="45" a="1"/>
  <c r="P41" i="45" a="1"/>
  <c r="Q41" i="45" a="1"/>
  <c r="R41" i="45" a="1"/>
  <c r="S41" i="45" a="1"/>
  <c r="T41" i="45" a="1"/>
  <c r="U41" i="45" a="1"/>
  <c r="V41" i="45" a="1"/>
  <c r="W41" i="45" a="1"/>
  <c r="X41" i="45" a="1"/>
  <c r="Y41" i="45" a="1"/>
  <c r="Z41" i="45" a="1"/>
  <c r="AA41" i="45" a="1"/>
  <c r="AB41" i="45" a="1"/>
  <c r="AC41" i="45" a="1"/>
  <c r="AD41" i="45" a="1"/>
  <c r="AE41" i="45" a="1"/>
  <c r="AF41" i="45" a="1"/>
  <c r="AG41" i="45" a="1"/>
  <c r="AH41" i="45" a="1"/>
  <c r="AI41" i="45" a="1"/>
  <c r="AJ41" i="45" a="1"/>
  <c r="AK41" i="45" a="1"/>
  <c r="AL41" i="45" a="1"/>
  <c r="AM41" i="45" a="1"/>
  <c r="AN41" i="45" a="1"/>
  <c r="AO41" i="45" a="1"/>
  <c r="AP41" i="45" a="1"/>
  <c r="AQ41" i="45" a="1"/>
  <c r="AR41" i="45" a="1"/>
  <c r="AS41" i="45" a="1"/>
  <c r="AT41" i="45" a="1"/>
  <c r="AU41" i="45" a="1"/>
  <c r="AV41" i="45" a="1"/>
  <c r="AW41" i="45" a="1"/>
  <c r="AX41" i="45" a="1"/>
  <c r="AY41" i="45" a="1"/>
  <c r="AZ41" i="45" a="1"/>
  <c r="BA41" i="45" a="1"/>
  <c r="BB41" i="45" a="1"/>
  <c r="BC41" i="45" a="1"/>
  <c r="BD41" i="45" a="1"/>
  <c r="BE41" i="45" a="1"/>
  <c r="BF41" i="45" a="1"/>
  <c r="BG41" i="45" a="1"/>
  <c r="BH41" i="45" a="1"/>
  <c r="BI41" i="45" a="1"/>
  <c r="BJ41" i="45" a="1"/>
  <c r="BK41" i="45" a="1"/>
  <c r="BL41" i="45" a="1"/>
  <c r="BM41" i="45" a="1"/>
  <c r="BN41" i="45" a="1"/>
  <c r="BO41" i="45" a="1"/>
  <c r="BP41" i="45" a="1"/>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AB17" i="45"/>
  <c r="W17" i="45"/>
  <c r="M18" i="45"/>
  <c r="N18" i="45" a="1"/>
  <c r="N18" i="45"/>
  <c r="O18" i="45"/>
  <c r="C18" i="45"/>
  <c r="E31" i="45" a="1"/>
  <c r="E31" i="45"/>
  <c r="F31" i="45" a="1"/>
  <c r="F31" i="45"/>
  <c r="G31" i="45" a="1"/>
  <c r="H31" i="45" a="1"/>
  <c r="I31" i="45" a="1"/>
  <c r="J31" i="45" a="1"/>
  <c r="K31" i="45" a="1"/>
  <c r="L31" i="45" a="1"/>
  <c r="P18" i="45"/>
  <c r="M31" i="45" a="1"/>
  <c r="N31" i="45" a="1"/>
  <c r="O31" i="45" a="1"/>
  <c r="P31" i="45" a="1"/>
  <c r="Q31" i="45" a="1"/>
  <c r="R31" i="45" a="1"/>
  <c r="S31" i="45" a="1"/>
  <c r="T31" i="45" a="1"/>
  <c r="Q18" i="45"/>
  <c r="U31" i="45" a="1"/>
  <c r="V31" i="45" a="1"/>
  <c r="W31" i="45" a="1"/>
  <c r="X31" i="45" a="1"/>
  <c r="Y31" i="45" a="1"/>
  <c r="Z31" i="45" a="1"/>
  <c r="AA31" i="45" a="1"/>
  <c r="AB31" i="45" a="1"/>
  <c r="R18" i="45"/>
  <c r="AC31" i="45" a="1"/>
  <c r="AD31" i="45" a="1"/>
  <c r="AE31" i="45" a="1"/>
  <c r="AF31" i="45" a="1"/>
  <c r="AG31" i="45" a="1"/>
  <c r="AH31" i="45" a="1"/>
  <c r="AI31" i="45" a="1"/>
  <c r="AJ31" i="45" a="1"/>
  <c r="S18" i="45"/>
  <c r="AK31" i="45" a="1"/>
  <c r="AL31" i="45" a="1"/>
  <c r="AM31" i="45" a="1"/>
  <c r="AN31" i="45" a="1"/>
  <c r="AO31" i="45" a="1"/>
  <c r="AP31" i="45" a="1"/>
  <c r="AQ31" i="45" a="1"/>
  <c r="AR31" i="45" a="1"/>
  <c r="T18" i="45"/>
  <c r="AS31" i="45" a="1"/>
  <c r="AT31" i="45" a="1"/>
  <c r="AU31" i="45" a="1"/>
  <c r="AV31" i="45" a="1"/>
  <c r="AW31" i="45" a="1"/>
  <c r="AX31" i="45" a="1"/>
  <c r="AY31" i="45" a="1"/>
  <c r="AZ31" i="45" a="1"/>
  <c r="U18" i="45"/>
  <c r="BA31" i="45" a="1"/>
  <c r="BB31" i="45" a="1"/>
  <c r="BC31" i="45" a="1"/>
  <c r="BD31" i="45" a="1"/>
  <c r="BE31" i="45" a="1"/>
  <c r="BF31" i="45" a="1"/>
  <c r="BG31" i="45" a="1"/>
  <c r="BH31" i="45" a="1"/>
  <c r="V18" i="45"/>
  <c r="BI31" i="45" a="1"/>
  <c r="BJ31" i="45" a="1"/>
  <c r="BK31" i="45" a="1"/>
  <c r="BL31" i="45" a="1"/>
  <c r="BM31" i="45" a="1"/>
  <c r="BN31" i="45" a="1"/>
  <c r="BO31" i="45" a="1"/>
  <c r="BP31" i="45" a="1"/>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AA18" i="45"/>
  <c r="E42" i="45" a="1"/>
  <c r="E42" i="45"/>
  <c r="F42" i="45" a="1"/>
  <c r="F42" i="45"/>
  <c r="G42" i="45" a="1"/>
  <c r="H42" i="45" a="1"/>
  <c r="I42" i="45" a="1"/>
  <c r="J42" i="45" a="1"/>
  <c r="K42" i="45" a="1"/>
  <c r="L42" i="45" a="1"/>
  <c r="M42" i="45" a="1"/>
  <c r="N42" i="45" a="1"/>
  <c r="O42" i="45" a="1"/>
  <c r="P42" i="45" a="1"/>
  <c r="Q42" i="45" a="1"/>
  <c r="R42" i="45" a="1"/>
  <c r="S42" i="45" a="1"/>
  <c r="T42" i="45" a="1"/>
  <c r="U42" i="45" a="1"/>
  <c r="V42" i="45" a="1"/>
  <c r="W42" i="45" a="1"/>
  <c r="X42" i="45" a="1"/>
  <c r="Y42" i="45" a="1"/>
  <c r="Z42" i="45" a="1"/>
  <c r="AA42" i="45" a="1"/>
  <c r="AB42" i="45" a="1"/>
  <c r="AC42" i="45" a="1"/>
  <c r="AD42" i="45" a="1"/>
  <c r="AE42" i="45" a="1"/>
  <c r="AF42" i="45" a="1"/>
  <c r="AG42" i="45" a="1"/>
  <c r="AH42" i="45" a="1"/>
  <c r="AI42" i="45" a="1"/>
  <c r="AJ42" i="45" a="1"/>
  <c r="AK42" i="45" a="1"/>
  <c r="AL42" i="45" a="1"/>
  <c r="AM42" i="45" a="1"/>
  <c r="AN42" i="45" a="1"/>
  <c r="AO42" i="45" a="1"/>
  <c r="AP42" i="45" a="1"/>
  <c r="AQ42" i="45" a="1"/>
  <c r="AR42" i="45" a="1"/>
  <c r="AS42" i="45" a="1"/>
  <c r="AT42" i="45" a="1"/>
  <c r="AU42" i="45" a="1"/>
  <c r="AV42" i="45" a="1"/>
  <c r="AW42" i="45" a="1"/>
  <c r="AX42" i="45" a="1"/>
  <c r="AY42" i="45" a="1"/>
  <c r="AZ42" i="45" a="1"/>
  <c r="BA42" i="45" a="1"/>
  <c r="BB42" i="45" a="1"/>
  <c r="BC42" i="45" a="1"/>
  <c r="BD42" i="45" a="1"/>
  <c r="BE42" i="45" a="1"/>
  <c r="BF42" i="45" a="1"/>
  <c r="BG42" i="45" a="1"/>
  <c r="BH42" i="45" a="1"/>
  <c r="BI42" i="45" a="1"/>
  <c r="BJ42" i="45" a="1"/>
  <c r="BK42" i="45" a="1"/>
  <c r="BL42" i="45" a="1"/>
  <c r="BM42" i="45" a="1"/>
  <c r="BN42" i="45" a="1"/>
  <c r="BO42" i="45" a="1"/>
  <c r="BP42" i="45" a="1"/>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AB18" i="45"/>
  <c r="W18" i="45"/>
  <c r="M19" i="45"/>
  <c r="N19" i="45" a="1"/>
  <c r="N19" i="45"/>
  <c r="O19" i="45"/>
  <c r="C19" i="45"/>
  <c r="E32" i="45" a="1"/>
  <c r="E32" i="45"/>
  <c r="F32" i="45" a="1"/>
  <c r="F32" i="45"/>
  <c r="G32" i="45" a="1"/>
  <c r="H32" i="45" a="1"/>
  <c r="I32" i="45" a="1"/>
  <c r="J32" i="45" a="1"/>
  <c r="K32" i="45" a="1"/>
  <c r="L32" i="45" a="1"/>
  <c r="P19" i="45"/>
  <c r="M32" i="45" a="1"/>
  <c r="N32" i="45" a="1"/>
  <c r="O32" i="45" a="1"/>
  <c r="P32" i="45" a="1"/>
  <c r="Q32" i="45" a="1"/>
  <c r="R32" i="45" a="1"/>
  <c r="S32" i="45" a="1"/>
  <c r="T32" i="45" a="1"/>
  <c r="Q19" i="45"/>
  <c r="U32" i="45" a="1"/>
  <c r="V32" i="45" a="1"/>
  <c r="W32" i="45" a="1"/>
  <c r="X32" i="45" a="1"/>
  <c r="Y32" i="45" a="1"/>
  <c r="Z32" i="45" a="1"/>
  <c r="AA32" i="45" a="1"/>
  <c r="AB32" i="45" a="1"/>
  <c r="R19" i="45"/>
  <c r="AC32" i="45" a="1"/>
  <c r="AD32" i="45" a="1"/>
  <c r="AE32" i="45" a="1"/>
  <c r="AF32" i="45" a="1"/>
  <c r="AG32" i="45" a="1"/>
  <c r="AH32" i="45" a="1"/>
  <c r="AI32" i="45" a="1"/>
  <c r="AJ32" i="45" a="1"/>
  <c r="S19" i="45"/>
  <c r="AK32" i="45" a="1"/>
  <c r="AL32" i="45" a="1"/>
  <c r="AM32" i="45" a="1"/>
  <c r="AN32" i="45" a="1"/>
  <c r="AO32" i="45" a="1"/>
  <c r="AP32" i="45" a="1"/>
  <c r="AQ32" i="45" a="1"/>
  <c r="AR32" i="45" a="1"/>
  <c r="T19" i="45"/>
  <c r="AS32" i="45" a="1"/>
  <c r="AT32" i="45" a="1"/>
  <c r="AU32" i="45" a="1"/>
  <c r="AV32" i="45" a="1"/>
  <c r="AW32" i="45" a="1"/>
  <c r="AX32" i="45" a="1"/>
  <c r="AY32" i="45" a="1"/>
  <c r="AZ32" i="45" a="1"/>
  <c r="U19" i="45"/>
  <c r="BA32" i="45" a="1"/>
  <c r="BB32" i="45" a="1"/>
  <c r="BC32" i="45" a="1"/>
  <c r="BD32" i="45" a="1"/>
  <c r="BE32" i="45" a="1"/>
  <c r="BF32" i="45" a="1"/>
  <c r="BG32" i="45" a="1"/>
  <c r="BH32" i="45" a="1"/>
  <c r="V19" i="45"/>
  <c r="BI32" i="45" a="1"/>
  <c r="BJ32" i="45" a="1"/>
  <c r="BK32" i="45" a="1"/>
  <c r="BL32" i="45" a="1"/>
  <c r="BM32" i="45" a="1"/>
  <c r="BN32" i="45" a="1"/>
  <c r="BO32" i="45" a="1"/>
  <c r="BP32" i="45" a="1"/>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AA19" i="45"/>
  <c r="E43" i="45" a="1"/>
  <c r="E43" i="45"/>
  <c r="F43" i="45" a="1"/>
  <c r="F43" i="45"/>
  <c r="G43" i="45" a="1"/>
  <c r="H43" i="45" a="1"/>
  <c r="I43" i="45" a="1"/>
  <c r="J43" i="45" a="1"/>
  <c r="K43" i="45" a="1"/>
  <c r="L43" i="45" a="1"/>
  <c r="M43" i="45" a="1"/>
  <c r="N43" i="45" a="1"/>
  <c r="O43" i="45" a="1"/>
  <c r="P43" i="45" a="1"/>
  <c r="Q43" i="45" a="1"/>
  <c r="R43" i="45" a="1"/>
  <c r="S43" i="45" a="1"/>
  <c r="T43" i="45" a="1"/>
  <c r="U43" i="45" a="1"/>
  <c r="V43" i="45" a="1"/>
  <c r="W43" i="45" a="1"/>
  <c r="X43" i="45" a="1"/>
  <c r="Y43" i="45" a="1"/>
  <c r="Z43" i="45" a="1"/>
  <c r="AA43" i="45" a="1"/>
  <c r="AB43" i="45" a="1"/>
  <c r="AC43" i="45" a="1"/>
  <c r="AD43" i="45" a="1"/>
  <c r="AE43" i="45" a="1"/>
  <c r="AF43" i="45" a="1"/>
  <c r="AG43" i="45" a="1"/>
  <c r="AH43" i="45" a="1"/>
  <c r="AI43" i="45" a="1"/>
  <c r="AJ43" i="45" a="1"/>
  <c r="AK43" i="45" a="1"/>
  <c r="AL43" i="45" a="1"/>
  <c r="AM43" i="45" a="1"/>
  <c r="AN43" i="45" a="1"/>
  <c r="AO43" i="45" a="1"/>
  <c r="AP43" i="45" a="1"/>
  <c r="AQ43" i="45" a="1"/>
  <c r="AR43" i="45" a="1"/>
  <c r="AS43" i="45" a="1"/>
  <c r="AT43" i="45" a="1"/>
  <c r="AU43" i="45" a="1"/>
  <c r="AV43" i="45" a="1"/>
  <c r="AW43" i="45" a="1"/>
  <c r="AX43" i="45" a="1"/>
  <c r="AY43" i="45" a="1"/>
  <c r="AZ43" i="45" a="1"/>
  <c r="BA43" i="45" a="1"/>
  <c r="BB43" i="45" a="1"/>
  <c r="BC43" i="45" a="1"/>
  <c r="BD43" i="45" a="1"/>
  <c r="BE43" i="45" a="1"/>
  <c r="BF43" i="45" a="1"/>
  <c r="BG43" i="45" a="1"/>
  <c r="BH43" i="45" a="1"/>
  <c r="BI43" i="45" a="1"/>
  <c r="BJ43" i="45" a="1"/>
  <c r="BK43" i="45" a="1"/>
  <c r="BL43" i="45" a="1"/>
  <c r="BM43" i="45" a="1"/>
  <c r="BN43" i="45" a="1"/>
  <c r="BO43" i="45" a="1"/>
  <c r="BP43" i="45" a="1"/>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AB19" i="45"/>
  <c r="W19" i="45"/>
  <c r="M20" i="45"/>
  <c r="N20" i="45" a="1"/>
  <c r="N20" i="45"/>
  <c r="O20" i="45"/>
  <c r="BR52" i="45"/>
  <c r="BS51" i="45"/>
  <c r="BT51" i="45"/>
  <c r="BT52" i="45"/>
  <c r="BU51" i="45"/>
  <c r="BU52" i="45"/>
  <c r="BV52" i="45"/>
  <c r="BW52" i="45"/>
  <c r="BX52" i="45"/>
  <c r="BY52" i="45"/>
  <c r="BZ52" i="45"/>
  <c r="CA52" i="45"/>
  <c r="BR53" i="45"/>
  <c r="BS53" i="45"/>
  <c r="BU53" i="45"/>
  <c r="BV53" i="45"/>
  <c r="BW53" i="45"/>
  <c r="BX53" i="45"/>
  <c r="BY53" i="45"/>
  <c r="BZ53" i="45"/>
  <c r="CA53" i="45"/>
  <c r="BR54" i="45"/>
  <c r="BS54" i="45"/>
  <c r="BT54" i="45"/>
  <c r="BV54" i="45"/>
  <c r="BW54" i="45"/>
  <c r="BX54" i="45"/>
  <c r="BY54" i="45"/>
  <c r="BZ54" i="45"/>
  <c r="CA54" i="45"/>
  <c r="BS55" i="45"/>
  <c r="BT55" i="45"/>
  <c r="BU55" i="45"/>
  <c r="BW55" i="45"/>
  <c r="BX55" i="45"/>
  <c r="BY55" i="45"/>
  <c r="BZ55" i="45"/>
  <c r="CA55" i="45"/>
  <c r="BS56" i="45"/>
  <c r="BT56" i="45"/>
  <c r="BU56" i="45"/>
  <c r="BV56" i="45"/>
  <c r="BX56" i="45"/>
  <c r="BY56" i="45"/>
  <c r="BZ56" i="45"/>
  <c r="CA56" i="45"/>
  <c r="BS57" i="45"/>
  <c r="BT57" i="45"/>
  <c r="BU57" i="45"/>
  <c r="BV57" i="45"/>
  <c r="BW57" i="45"/>
  <c r="BY57" i="45"/>
  <c r="BZ57" i="45"/>
  <c r="CA57" i="45"/>
  <c r="BS58" i="45"/>
  <c r="BT58" i="45"/>
  <c r="BU58" i="45"/>
  <c r="BV58" i="45"/>
  <c r="BW58" i="45"/>
  <c r="BX58" i="45"/>
  <c r="BZ58" i="45"/>
  <c r="CA58" i="45"/>
  <c r="BS59" i="45"/>
  <c r="BT59" i="45"/>
  <c r="BU59" i="45"/>
  <c r="BV59" i="45"/>
  <c r="BW59" i="45"/>
  <c r="BX59" i="45"/>
  <c r="BY59" i="45"/>
  <c r="CA59" i="45"/>
  <c r="BS60" i="45"/>
  <c r="BT60" i="45"/>
  <c r="BU60" i="45"/>
  <c r="BV60" i="45"/>
  <c r="BW60" i="45"/>
  <c r="BX60" i="45"/>
  <c r="BY60" i="45"/>
  <c r="BZ60" i="45"/>
  <c r="E33" i="45" a="1"/>
  <c r="E33" i="45"/>
  <c r="F33" i="45" a="1"/>
  <c r="F33" i="45"/>
  <c r="G33" i="45" a="1"/>
  <c r="M21" i="45"/>
  <c r="N21" i="45" a="1"/>
  <c r="N21" i="45"/>
  <c r="O21" i="45"/>
  <c r="H33" i="45" a="1"/>
  <c r="M22" i="45"/>
  <c r="N22" i="45" a="1"/>
  <c r="N22" i="45"/>
  <c r="O22" i="45"/>
  <c r="I33" i="45" a="1"/>
  <c r="M23" i="45"/>
  <c r="N23" i="45" a="1"/>
  <c r="N23" i="45"/>
  <c r="O23" i="45"/>
  <c r="J33" i="45" a="1"/>
  <c r="M24" i="45"/>
  <c r="N24" i="45" a="1"/>
  <c r="N24" i="45"/>
  <c r="O24" i="45"/>
  <c r="K33" i="45" a="1"/>
  <c r="M25" i="45"/>
  <c r="N25" i="45" a="1"/>
  <c r="N25" i="45"/>
  <c r="O25" i="45"/>
  <c r="L33" i="45" a="1"/>
  <c r="P20" i="45"/>
  <c r="M33" i="45" a="1"/>
  <c r="N33" i="45" a="1"/>
  <c r="O33" i="45" a="1"/>
  <c r="P21" i="45"/>
  <c r="P33" i="45" a="1"/>
  <c r="P22" i="45"/>
  <c r="Q33" i="45" a="1"/>
  <c r="P23" i="45"/>
  <c r="R33" i="45" a="1"/>
  <c r="P24" i="45"/>
  <c r="S33" i="45" a="1"/>
  <c r="P25" i="45"/>
  <c r="T33" i="45" a="1"/>
  <c r="Q20" i="45"/>
  <c r="U33" i="45" a="1"/>
  <c r="V33" i="45" a="1"/>
  <c r="W33" i="45" a="1"/>
  <c r="Q21" i="45"/>
  <c r="X33" i="45" a="1"/>
  <c r="Q22" i="45"/>
  <c r="Y33" i="45" a="1"/>
  <c r="Q23" i="45"/>
  <c r="Z33" i="45" a="1"/>
  <c r="Q24" i="45"/>
  <c r="AA33" i="45" a="1"/>
  <c r="Q25" i="45"/>
  <c r="AB33" i="45" a="1"/>
  <c r="R20" i="45"/>
  <c r="AC33" i="45" a="1"/>
  <c r="AD33" i="45" a="1"/>
  <c r="AE33" i="45" a="1"/>
  <c r="R21" i="45"/>
  <c r="AF33" i="45" a="1"/>
  <c r="R22" i="45"/>
  <c r="AG33" i="45" a="1"/>
  <c r="R23" i="45"/>
  <c r="AH33" i="45" a="1"/>
  <c r="R24" i="45"/>
  <c r="AI33" i="45" a="1"/>
  <c r="R25" i="45"/>
  <c r="AJ33" i="45" a="1"/>
  <c r="S20" i="45"/>
  <c r="AK33" i="45" a="1"/>
  <c r="AL33" i="45" a="1"/>
  <c r="AM33" i="45" a="1"/>
  <c r="S21" i="45"/>
  <c r="AN33" i="45" a="1"/>
  <c r="S22" i="45"/>
  <c r="AO33" i="45" a="1"/>
  <c r="S23" i="45"/>
  <c r="AP33" i="45" a="1"/>
  <c r="S24" i="45"/>
  <c r="AQ33" i="45" a="1"/>
  <c r="S25" i="45"/>
  <c r="AR33" i="45" a="1"/>
  <c r="T20" i="45"/>
  <c r="AS33" i="45" a="1"/>
  <c r="AT33" i="45" a="1"/>
  <c r="AU33" i="45" a="1"/>
  <c r="T21" i="45"/>
  <c r="AV33" i="45" a="1"/>
  <c r="T22" i="45"/>
  <c r="AW33" i="45" a="1"/>
  <c r="T23" i="45"/>
  <c r="AX33" i="45" a="1"/>
  <c r="T24" i="45"/>
  <c r="AY33" i="45" a="1"/>
  <c r="T25" i="45"/>
  <c r="AZ33" i="45" a="1"/>
  <c r="U20" i="45"/>
  <c r="BA33" i="45" a="1"/>
  <c r="BB33" i="45" a="1"/>
  <c r="BC33" i="45" a="1"/>
  <c r="U21" i="45"/>
  <c r="BD33" i="45" a="1"/>
  <c r="U22" i="45"/>
  <c r="BE33" i="45" a="1"/>
  <c r="U23" i="45"/>
  <c r="BF33" i="45" a="1"/>
  <c r="U24" i="45"/>
  <c r="BG33" i="45" a="1"/>
  <c r="U25" i="45"/>
  <c r="BH33" i="45" a="1"/>
  <c r="V20" i="45"/>
  <c r="BI33" i="45" a="1"/>
  <c r="BJ33" i="45" a="1"/>
  <c r="BK33" i="45" a="1"/>
  <c r="V21" i="45"/>
  <c r="BL33" i="45" a="1"/>
  <c r="V22" i="45"/>
  <c r="BM33" i="45" a="1"/>
  <c r="V23" i="45"/>
  <c r="BN33" i="45" a="1"/>
  <c r="V24" i="45"/>
  <c r="BO33" i="45" a="1"/>
  <c r="V25" i="45"/>
  <c r="BP33" i="45" a="1"/>
  <c r="G33" i="45"/>
  <c r="H33" i="45"/>
  <c r="I33" i="45"/>
  <c r="J33" i="45"/>
  <c r="K33" i="45"/>
  <c r="L33" i="45"/>
  <c r="M33" i="45"/>
  <c r="N33" i="45"/>
  <c r="O33" i="45"/>
  <c r="P33" i="45"/>
  <c r="Q33" i="45"/>
  <c r="R33" i="45"/>
  <c r="S33" i="45"/>
  <c r="T33" i="45"/>
  <c r="U33" i="45"/>
  <c r="V33" i="45"/>
  <c r="W33" i="45"/>
  <c r="X33" i="45"/>
  <c r="Y33" i="45"/>
  <c r="Z33" i="45"/>
  <c r="AA33" i="45"/>
  <c r="AB33" i="45"/>
  <c r="AC33" i="45"/>
  <c r="AD33" i="45"/>
  <c r="AE33" i="45"/>
  <c r="AF33" i="45"/>
  <c r="AG33" i="45"/>
  <c r="AH33" i="45"/>
  <c r="AI33" i="45"/>
  <c r="AJ33" i="45"/>
  <c r="AK33" i="45"/>
  <c r="AL33" i="45"/>
  <c r="AM33" i="45"/>
  <c r="AN33" i="45"/>
  <c r="AO33" i="45"/>
  <c r="AP33" i="45"/>
  <c r="AQ33" i="45"/>
  <c r="AR33" i="45"/>
  <c r="AS33" i="45"/>
  <c r="AT33" i="45"/>
  <c r="AU33" i="45"/>
  <c r="AV33" i="45"/>
  <c r="AW33" i="45"/>
  <c r="AX33" i="45"/>
  <c r="AY33" i="45"/>
  <c r="AZ33" i="45"/>
  <c r="BA33" i="45"/>
  <c r="BB33" i="45"/>
  <c r="BC33" i="45"/>
  <c r="BD33" i="45"/>
  <c r="BE33" i="45"/>
  <c r="BF33" i="45"/>
  <c r="BG33" i="45"/>
  <c r="BH33" i="45"/>
  <c r="BI33" i="45"/>
  <c r="BJ33" i="45"/>
  <c r="BK33" i="45"/>
  <c r="BL33" i="45"/>
  <c r="BM33" i="45"/>
  <c r="BN33" i="45"/>
  <c r="BO33" i="45"/>
  <c r="BP33" i="45"/>
  <c r="AA20" i="45"/>
  <c r="BR41" i="45"/>
  <c r="BS40" i="45"/>
  <c r="BT40" i="45"/>
  <c r="BR30" i="45"/>
  <c r="BT29" i="45"/>
  <c r="BT30" i="45"/>
  <c r="BR31" i="45"/>
  <c r="BS29" i="45"/>
  <c r="BS31" i="45"/>
  <c r="BT41" i="45"/>
  <c r="BU40" i="45"/>
  <c r="BU29" i="45"/>
  <c r="BU30" i="45"/>
  <c r="BR32" i="45"/>
  <c r="BS32" i="45"/>
  <c r="BU41" i="45"/>
  <c r="BV30" i="45"/>
  <c r="BS33" i="45"/>
  <c r="BV41" i="45"/>
  <c r="BW30" i="45"/>
  <c r="BS34" i="45"/>
  <c r="BW41" i="45"/>
  <c r="BX30" i="45"/>
  <c r="BS35" i="45"/>
  <c r="BX41" i="45"/>
  <c r="BY30" i="45"/>
  <c r="BS36" i="45"/>
  <c r="BY41" i="45"/>
  <c r="BZ30" i="45"/>
  <c r="BS37" i="45"/>
  <c r="BZ41" i="45"/>
  <c r="CA30" i="45"/>
  <c r="BS38" i="45"/>
  <c r="CA41" i="45"/>
  <c r="BR42" i="45"/>
  <c r="BS42" i="45"/>
  <c r="BU31" i="45"/>
  <c r="BT32" i="45"/>
  <c r="BU42" i="45"/>
  <c r="BV31" i="45"/>
  <c r="BT33" i="45"/>
  <c r="BV42" i="45"/>
  <c r="BW31" i="45"/>
  <c r="BT34" i="45"/>
  <c r="BW42" i="45"/>
  <c r="BX31" i="45"/>
  <c r="BT35" i="45"/>
  <c r="BX42" i="45"/>
  <c r="BY31" i="45"/>
  <c r="BT36" i="45"/>
  <c r="BY42" i="45"/>
  <c r="BZ31" i="45"/>
  <c r="BT37" i="45"/>
  <c r="BZ42" i="45"/>
  <c r="CA31" i="45"/>
  <c r="BT38" i="45"/>
  <c r="CA42" i="45"/>
  <c r="BR43" i="45"/>
  <c r="BS43" i="45"/>
  <c r="BT43" i="45"/>
  <c r="BV32" i="45"/>
  <c r="BU33" i="45"/>
  <c r="BV43" i="45"/>
  <c r="BW32" i="45"/>
  <c r="BU34" i="45"/>
  <c r="BW43" i="45"/>
  <c r="BX32" i="45"/>
  <c r="BU35" i="45"/>
  <c r="BX43" i="45"/>
  <c r="BY32" i="45"/>
  <c r="BU36" i="45"/>
  <c r="BY43" i="45"/>
  <c r="BZ32" i="45"/>
  <c r="BU37" i="45"/>
  <c r="BZ43" i="45"/>
  <c r="CA32" i="45"/>
  <c r="BU38" i="45"/>
  <c r="CA43" i="45"/>
  <c r="BS44" i="45"/>
  <c r="BT44" i="45"/>
  <c r="BU44" i="45"/>
  <c r="BW33" i="45"/>
  <c r="BV34" i="45"/>
  <c r="BW44" i="45"/>
  <c r="BX33" i="45"/>
  <c r="BV35" i="45"/>
  <c r="BX44" i="45"/>
  <c r="BY33" i="45"/>
  <c r="BV36" i="45"/>
  <c r="BY44" i="45"/>
  <c r="BZ33" i="45"/>
  <c r="BV37" i="45"/>
  <c r="BZ44" i="45"/>
  <c r="CA33" i="45"/>
  <c r="BV38" i="45"/>
  <c r="CA44" i="45"/>
  <c r="BS45" i="45"/>
  <c r="BT45" i="45"/>
  <c r="BU45" i="45"/>
  <c r="BV45" i="45"/>
  <c r="BX34" i="45"/>
  <c r="BW35" i="45"/>
  <c r="BX45" i="45"/>
  <c r="BY34" i="45"/>
  <c r="BW36" i="45"/>
  <c r="BY45" i="45"/>
  <c r="BZ34" i="45"/>
  <c r="BW37" i="45"/>
  <c r="BZ45" i="45"/>
  <c r="CA34" i="45"/>
  <c r="BW38" i="45"/>
  <c r="CA45" i="45"/>
  <c r="BS46" i="45"/>
  <c r="BT46" i="45"/>
  <c r="BU46" i="45"/>
  <c r="BV46" i="45"/>
  <c r="BW46" i="45"/>
  <c r="BY35" i="45"/>
  <c r="BX36" i="45"/>
  <c r="BY46" i="45"/>
  <c r="BZ35" i="45"/>
  <c r="BX37" i="45"/>
  <c r="BZ46" i="45"/>
  <c r="CA35" i="45"/>
  <c r="BX38" i="45"/>
  <c r="CA46" i="45"/>
  <c r="BS47" i="45"/>
  <c r="BT47" i="45"/>
  <c r="BU47" i="45"/>
  <c r="BV47" i="45"/>
  <c r="BW47" i="45"/>
  <c r="BX47" i="45"/>
  <c r="BZ36" i="45"/>
  <c r="BY37" i="45"/>
  <c r="BZ47" i="45"/>
  <c r="CA36" i="45"/>
  <c r="BY38" i="45"/>
  <c r="CA47" i="45"/>
  <c r="BS48" i="45"/>
  <c r="BT48" i="45"/>
  <c r="BU48" i="45"/>
  <c r="BV48" i="45"/>
  <c r="BW48" i="45"/>
  <c r="BX48" i="45"/>
  <c r="BY48" i="45"/>
  <c r="CA37" i="45"/>
  <c r="BZ38" i="45"/>
  <c r="CA48" i="45"/>
  <c r="BS49" i="45"/>
  <c r="BT49" i="45"/>
  <c r="BU49" i="45"/>
  <c r="BV49" i="45"/>
  <c r="BW49" i="45"/>
  <c r="BX49" i="45"/>
  <c r="BY49" i="45"/>
  <c r="BZ49" i="45"/>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W20" i="45"/>
  <c r="E34" i="45" a="1"/>
  <c r="E34" i="45"/>
  <c r="F34" i="45" a="1"/>
  <c r="F34" i="45"/>
  <c r="G34" i="45" a="1"/>
  <c r="H34" i="45" a="1"/>
  <c r="I34" i="45" a="1"/>
  <c r="J34" i="45" a="1"/>
  <c r="K34" i="45" a="1"/>
  <c r="L34" i="45" a="1"/>
  <c r="M34" i="45" a="1"/>
  <c r="N34" i="45" a="1"/>
  <c r="O34" i="45" a="1"/>
  <c r="P34" i="45" a="1"/>
  <c r="Q34" i="45" a="1"/>
  <c r="R34" i="45" a="1"/>
  <c r="S34" i="45" a="1"/>
  <c r="T34" i="45" a="1"/>
  <c r="U34" i="45" a="1"/>
  <c r="V34" i="45" a="1"/>
  <c r="W34" i="45" a="1"/>
  <c r="X34" i="45" a="1"/>
  <c r="Y34" i="45" a="1"/>
  <c r="Z34" i="45" a="1"/>
  <c r="AA34" i="45" a="1"/>
  <c r="AB34" i="45" a="1"/>
  <c r="AC34" i="45" a="1"/>
  <c r="AD34" i="45" a="1"/>
  <c r="AE34" i="45" a="1"/>
  <c r="AF34" i="45" a="1"/>
  <c r="AG34" i="45" a="1"/>
  <c r="AH34" i="45" a="1"/>
  <c r="AI34" i="45" a="1"/>
  <c r="AJ34" i="45" a="1"/>
  <c r="AK34" i="45" a="1"/>
  <c r="AL34" i="45" a="1"/>
  <c r="AM34" i="45" a="1"/>
  <c r="AN34" i="45" a="1"/>
  <c r="AO34" i="45" a="1"/>
  <c r="AP34" i="45" a="1"/>
  <c r="AQ34" i="45" a="1"/>
  <c r="AR34" i="45" a="1"/>
  <c r="AS34" i="45" a="1"/>
  <c r="AT34" i="45" a="1"/>
  <c r="AU34" i="45" a="1"/>
  <c r="AV34" i="45" a="1"/>
  <c r="AW34" i="45" a="1"/>
  <c r="AX34" i="45" a="1"/>
  <c r="AY34" i="45" a="1"/>
  <c r="AZ34" i="45" a="1"/>
  <c r="BA34" i="45" a="1"/>
  <c r="BB34" i="45" a="1"/>
  <c r="BC34" i="45" a="1"/>
  <c r="BD34" i="45" a="1"/>
  <c r="BE34" i="45" a="1"/>
  <c r="BF34" i="45" a="1"/>
  <c r="BG34" i="45" a="1"/>
  <c r="BH34" i="45" a="1"/>
  <c r="BI34" i="45" a="1"/>
  <c r="BJ34" i="45" a="1"/>
  <c r="BK34" i="45" a="1"/>
  <c r="BL34" i="45" a="1"/>
  <c r="BM34" i="45" a="1"/>
  <c r="BN34" i="45" a="1"/>
  <c r="BO34" i="45" a="1"/>
  <c r="BP34" i="45" a="1"/>
  <c r="G34" i="45"/>
  <c r="H34" i="45"/>
  <c r="I34" i="45"/>
  <c r="J34" i="45"/>
  <c r="K34" i="45"/>
  <c r="L34" i="45"/>
  <c r="M34" i="45"/>
  <c r="N34" i="45"/>
  <c r="O34" i="45"/>
  <c r="P34" i="45"/>
  <c r="Q34" i="45"/>
  <c r="R34" i="45"/>
  <c r="S34" i="45"/>
  <c r="T34" i="45"/>
  <c r="U34" i="45"/>
  <c r="V34" i="45"/>
  <c r="W34" i="45"/>
  <c r="X34" i="45"/>
  <c r="Y34" i="45"/>
  <c r="Z34" i="45"/>
  <c r="AA34" i="45"/>
  <c r="AB34" i="45"/>
  <c r="AC34" i="45"/>
  <c r="AD34" i="45"/>
  <c r="AE34" i="45"/>
  <c r="AF34" i="45"/>
  <c r="AG34" i="45"/>
  <c r="AH34" i="45"/>
  <c r="AI34" i="45"/>
  <c r="AJ34" i="45"/>
  <c r="AK34" i="45"/>
  <c r="AL34" i="45"/>
  <c r="AM34" i="45"/>
  <c r="AN34" i="45"/>
  <c r="AO34" i="45"/>
  <c r="AP34" i="45"/>
  <c r="AQ34" i="45"/>
  <c r="AR34" i="45"/>
  <c r="AS34" i="45"/>
  <c r="AT34" i="45"/>
  <c r="AU34" i="45"/>
  <c r="AV34" i="45"/>
  <c r="AW34" i="45"/>
  <c r="AX34" i="45"/>
  <c r="AY34" i="45"/>
  <c r="AZ34" i="45"/>
  <c r="BA34" i="45"/>
  <c r="BB34" i="45"/>
  <c r="BC34" i="45"/>
  <c r="BD34" i="45"/>
  <c r="BE34" i="45"/>
  <c r="BF34" i="45"/>
  <c r="BG34" i="45"/>
  <c r="BH34" i="45"/>
  <c r="BI34" i="45"/>
  <c r="BJ34" i="45"/>
  <c r="BK34" i="45"/>
  <c r="BL34" i="45"/>
  <c r="BM34" i="45"/>
  <c r="BN34" i="45"/>
  <c r="BO34" i="45"/>
  <c r="BP34" i="45"/>
  <c r="AA21"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W21" i="45"/>
  <c r="E35" i="45" a="1"/>
  <c r="E35" i="45"/>
  <c r="F35" i="45" a="1"/>
  <c r="F35" i="45"/>
  <c r="G35" i="45" a="1"/>
  <c r="H35" i="45" a="1"/>
  <c r="I35" i="45" a="1"/>
  <c r="J35" i="45" a="1"/>
  <c r="K35" i="45" a="1"/>
  <c r="L35" i="45" a="1"/>
  <c r="M35" i="45" a="1"/>
  <c r="N35" i="45" a="1"/>
  <c r="O35" i="45" a="1"/>
  <c r="P35" i="45" a="1"/>
  <c r="Q35" i="45" a="1"/>
  <c r="R35" i="45" a="1"/>
  <c r="S35" i="45" a="1"/>
  <c r="T35" i="45" a="1"/>
  <c r="U35" i="45" a="1"/>
  <c r="V35" i="45" a="1"/>
  <c r="W35" i="45" a="1"/>
  <c r="X35" i="45" a="1"/>
  <c r="Y35" i="45" a="1"/>
  <c r="Z35" i="45" a="1"/>
  <c r="AA35" i="45" a="1"/>
  <c r="AB35" i="45" a="1"/>
  <c r="AC35" i="45" a="1"/>
  <c r="AD35" i="45" a="1"/>
  <c r="AE35" i="45" a="1"/>
  <c r="AF35" i="45" a="1"/>
  <c r="AG35" i="45" a="1"/>
  <c r="AH35" i="45" a="1"/>
  <c r="AI35" i="45" a="1"/>
  <c r="AJ35" i="45" a="1"/>
  <c r="AK35" i="45" a="1"/>
  <c r="AL35" i="45" a="1"/>
  <c r="AM35" i="45" a="1"/>
  <c r="AN35" i="45" a="1"/>
  <c r="AO35" i="45" a="1"/>
  <c r="AP35" i="45" a="1"/>
  <c r="AQ35" i="45" a="1"/>
  <c r="AR35" i="45" a="1"/>
  <c r="AS35" i="45" a="1"/>
  <c r="AT35" i="45" a="1"/>
  <c r="AU35" i="45" a="1"/>
  <c r="AV35" i="45" a="1"/>
  <c r="AW35" i="45" a="1"/>
  <c r="AX35" i="45" a="1"/>
  <c r="AY35" i="45" a="1"/>
  <c r="AZ35" i="45" a="1"/>
  <c r="BA35" i="45" a="1"/>
  <c r="BB35" i="45" a="1"/>
  <c r="BC35" i="45" a="1"/>
  <c r="BD35" i="45" a="1"/>
  <c r="BE35" i="45" a="1"/>
  <c r="BF35" i="45" a="1"/>
  <c r="BG35" i="45" a="1"/>
  <c r="BH35" i="45" a="1"/>
  <c r="BI35" i="45" a="1"/>
  <c r="BJ35" i="45" a="1"/>
  <c r="BK35" i="45" a="1"/>
  <c r="BL35" i="45" a="1"/>
  <c r="BM35" i="45" a="1"/>
  <c r="BN35" i="45" a="1"/>
  <c r="BO35" i="45" a="1"/>
  <c r="BP35" i="45" a="1"/>
  <c r="G35" i="45"/>
  <c r="H35" i="45"/>
  <c r="I35" i="45"/>
  <c r="J35" i="45"/>
  <c r="K35" i="45"/>
  <c r="L35" i="45"/>
  <c r="M35" i="45"/>
  <c r="N35" i="45"/>
  <c r="O35" i="45"/>
  <c r="P35" i="45"/>
  <c r="Q35" i="45"/>
  <c r="R35" i="45"/>
  <c r="S35" i="45"/>
  <c r="T35" i="45"/>
  <c r="U35" i="45"/>
  <c r="V35" i="45"/>
  <c r="W35" i="45"/>
  <c r="X35" i="45"/>
  <c r="Y35" i="45"/>
  <c r="Z35" i="45"/>
  <c r="AA35" i="45"/>
  <c r="AB35" i="45"/>
  <c r="AC35" i="45"/>
  <c r="AD35" i="45"/>
  <c r="AE35" i="45"/>
  <c r="AF35" i="45"/>
  <c r="AG35" i="45"/>
  <c r="AH35" i="45"/>
  <c r="AI35" i="45"/>
  <c r="AJ35" i="45"/>
  <c r="AK35" i="45"/>
  <c r="AL35" i="45"/>
  <c r="AM35" i="45"/>
  <c r="AN35" i="45"/>
  <c r="AO35" i="45"/>
  <c r="AP35" i="45"/>
  <c r="AQ35" i="45"/>
  <c r="AR35" i="45"/>
  <c r="AS35" i="45"/>
  <c r="AT35" i="45"/>
  <c r="AU35" i="45"/>
  <c r="AV35" i="45"/>
  <c r="AW35" i="45"/>
  <c r="AX35" i="45"/>
  <c r="AY35" i="45"/>
  <c r="AZ35" i="45"/>
  <c r="BA35" i="45"/>
  <c r="BB35" i="45"/>
  <c r="BC35" i="45"/>
  <c r="BD35" i="45"/>
  <c r="BE35" i="45"/>
  <c r="BF35" i="45"/>
  <c r="BG35" i="45"/>
  <c r="BH35" i="45"/>
  <c r="BI35" i="45"/>
  <c r="BJ35" i="45"/>
  <c r="BK35" i="45"/>
  <c r="BL35" i="45"/>
  <c r="BM35" i="45"/>
  <c r="BN35" i="45"/>
  <c r="BO35" i="45"/>
  <c r="BP35" i="45"/>
  <c r="AA22"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W22" i="45"/>
  <c r="E36" i="45" a="1"/>
  <c r="E36" i="45"/>
  <c r="F36" i="45" a="1"/>
  <c r="F36" i="45"/>
  <c r="G36" i="45" a="1"/>
  <c r="H36" i="45" a="1"/>
  <c r="I36" i="45" a="1"/>
  <c r="J36" i="45" a="1"/>
  <c r="K36" i="45" a="1"/>
  <c r="L36" i="45" a="1"/>
  <c r="M36" i="45" a="1"/>
  <c r="N36" i="45" a="1"/>
  <c r="O36" i="45" a="1"/>
  <c r="P36" i="45" a="1"/>
  <c r="Q36" i="45" a="1"/>
  <c r="R36" i="45" a="1"/>
  <c r="S36" i="45" a="1"/>
  <c r="T36" i="45" a="1"/>
  <c r="U36" i="45" a="1"/>
  <c r="V36" i="45" a="1"/>
  <c r="W36" i="45" a="1"/>
  <c r="X36" i="45" a="1"/>
  <c r="Y36" i="45" a="1"/>
  <c r="Z36" i="45" a="1"/>
  <c r="AA36" i="45" a="1"/>
  <c r="AB36" i="45" a="1"/>
  <c r="AC36" i="45" a="1"/>
  <c r="AD36" i="45" a="1"/>
  <c r="AE36" i="45" a="1"/>
  <c r="AF36" i="45" a="1"/>
  <c r="AG36" i="45" a="1"/>
  <c r="AH36" i="45" a="1"/>
  <c r="AI36" i="45" a="1"/>
  <c r="AJ36" i="45" a="1"/>
  <c r="AK36" i="45" a="1"/>
  <c r="AL36" i="45" a="1"/>
  <c r="AM36" i="45" a="1"/>
  <c r="AN36" i="45" a="1"/>
  <c r="AO36" i="45" a="1"/>
  <c r="AP36" i="45" a="1"/>
  <c r="AQ36" i="45" a="1"/>
  <c r="AR36" i="45" a="1"/>
  <c r="AS36" i="45" a="1"/>
  <c r="AT36" i="45" a="1"/>
  <c r="AU36" i="45" a="1"/>
  <c r="AV36" i="45" a="1"/>
  <c r="AW36" i="45" a="1"/>
  <c r="AX36" i="45" a="1"/>
  <c r="AY36" i="45" a="1"/>
  <c r="AZ36" i="45" a="1"/>
  <c r="BA36" i="45" a="1"/>
  <c r="BB36" i="45" a="1"/>
  <c r="BC36" i="45" a="1"/>
  <c r="BD36" i="45" a="1"/>
  <c r="BE36" i="45" a="1"/>
  <c r="BF36" i="45" a="1"/>
  <c r="BG36" i="45" a="1"/>
  <c r="BH36" i="45" a="1"/>
  <c r="BI36" i="45" a="1"/>
  <c r="BJ36" i="45" a="1"/>
  <c r="BK36" i="45" a="1"/>
  <c r="BL36" i="45" a="1"/>
  <c r="BM36" i="45" a="1"/>
  <c r="BN36" i="45" a="1"/>
  <c r="BO36" i="45" a="1"/>
  <c r="BP36" i="45" a="1"/>
  <c r="G36" i="45"/>
  <c r="H36" i="45"/>
  <c r="I36" i="45"/>
  <c r="J36" i="45"/>
  <c r="K36" i="45"/>
  <c r="L36" i="45"/>
  <c r="M36" i="45"/>
  <c r="N36" i="45"/>
  <c r="O36" i="45"/>
  <c r="P36" i="45"/>
  <c r="Q36" i="45"/>
  <c r="R36" i="45"/>
  <c r="S36" i="45"/>
  <c r="T36" i="45"/>
  <c r="U36" i="45"/>
  <c r="V36" i="45"/>
  <c r="W36" i="45"/>
  <c r="X36" i="45"/>
  <c r="Y36" i="45"/>
  <c r="Z36" i="45"/>
  <c r="AA36" i="45"/>
  <c r="AB36" i="45"/>
  <c r="AC36" i="45"/>
  <c r="AD36" i="45"/>
  <c r="AE36" i="45"/>
  <c r="AF36" i="45"/>
  <c r="AG36" i="45"/>
  <c r="AH36" i="45"/>
  <c r="AI36" i="45"/>
  <c r="AJ36" i="45"/>
  <c r="AK36" i="45"/>
  <c r="AL36" i="45"/>
  <c r="AM36" i="45"/>
  <c r="AN36" i="45"/>
  <c r="AO36" i="45"/>
  <c r="AP36" i="45"/>
  <c r="AQ36" i="45"/>
  <c r="AR36" i="45"/>
  <c r="AS36" i="45"/>
  <c r="AT36" i="45"/>
  <c r="AU36" i="45"/>
  <c r="AV36" i="45"/>
  <c r="AW36" i="45"/>
  <c r="AX36" i="45"/>
  <c r="AY36" i="45"/>
  <c r="AZ36" i="45"/>
  <c r="BA36" i="45"/>
  <c r="BB36" i="45"/>
  <c r="BC36" i="45"/>
  <c r="BD36" i="45"/>
  <c r="BE36" i="45"/>
  <c r="BF36" i="45"/>
  <c r="BG36" i="45"/>
  <c r="BH36" i="45"/>
  <c r="BI36" i="45"/>
  <c r="BJ36" i="45"/>
  <c r="BK36" i="45"/>
  <c r="BL36" i="45"/>
  <c r="BM36" i="45"/>
  <c r="BN36" i="45"/>
  <c r="BO36" i="45"/>
  <c r="BP36" i="45"/>
  <c r="AA23"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W23" i="45"/>
  <c r="E37" i="45" a="1"/>
  <c r="E37" i="45"/>
  <c r="F37" i="45" a="1"/>
  <c r="F37" i="45"/>
  <c r="G37" i="45" a="1"/>
  <c r="H37" i="45" a="1"/>
  <c r="I37" i="45" a="1"/>
  <c r="J37" i="45" a="1"/>
  <c r="K37" i="45" a="1"/>
  <c r="L37" i="45" a="1"/>
  <c r="M37" i="45" a="1"/>
  <c r="N37" i="45" a="1"/>
  <c r="O37" i="45" a="1"/>
  <c r="P37" i="45" a="1"/>
  <c r="Q37" i="45" a="1"/>
  <c r="R37" i="45" a="1"/>
  <c r="S37" i="45" a="1"/>
  <c r="T37" i="45" a="1"/>
  <c r="U37" i="45" a="1"/>
  <c r="V37" i="45" a="1"/>
  <c r="W37" i="45" a="1"/>
  <c r="X37" i="45" a="1"/>
  <c r="Y37" i="45" a="1"/>
  <c r="Z37" i="45" a="1"/>
  <c r="AA37" i="45" a="1"/>
  <c r="AB37" i="45" a="1"/>
  <c r="AC37" i="45" a="1"/>
  <c r="AD37" i="45" a="1"/>
  <c r="AE37" i="45" a="1"/>
  <c r="AF37" i="45" a="1"/>
  <c r="AG37" i="45" a="1"/>
  <c r="AH37" i="45" a="1"/>
  <c r="AI37" i="45" a="1"/>
  <c r="AJ37" i="45" a="1"/>
  <c r="AK37" i="45" a="1"/>
  <c r="AL37" i="45" a="1"/>
  <c r="AM37" i="45" a="1"/>
  <c r="AN37" i="45" a="1"/>
  <c r="AO37" i="45" a="1"/>
  <c r="AP37" i="45" a="1"/>
  <c r="AQ37" i="45" a="1"/>
  <c r="AR37" i="45" a="1"/>
  <c r="AS37" i="45" a="1"/>
  <c r="AT37" i="45" a="1"/>
  <c r="AU37" i="45" a="1"/>
  <c r="AV37" i="45" a="1"/>
  <c r="AW37" i="45" a="1"/>
  <c r="AX37" i="45" a="1"/>
  <c r="AY37" i="45" a="1"/>
  <c r="AZ37" i="45" a="1"/>
  <c r="BA37" i="45" a="1"/>
  <c r="BB37" i="45" a="1"/>
  <c r="BC37" i="45" a="1"/>
  <c r="BD37" i="45" a="1"/>
  <c r="BE37" i="45" a="1"/>
  <c r="BF37" i="45" a="1"/>
  <c r="BG37" i="45" a="1"/>
  <c r="BH37" i="45" a="1"/>
  <c r="BI37" i="45" a="1"/>
  <c r="BJ37" i="45" a="1"/>
  <c r="BK37" i="45" a="1"/>
  <c r="BL37" i="45" a="1"/>
  <c r="BM37" i="45" a="1"/>
  <c r="BN37" i="45" a="1"/>
  <c r="BO37" i="45" a="1"/>
  <c r="BP37" i="45" a="1"/>
  <c r="G37" i="45"/>
  <c r="H37" i="45"/>
  <c r="I37" i="45"/>
  <c r="J37" i="45"/>
  <c r="K37" i="45"/>
  <c r="L37" i="45"/>
  <c r="M37" i="45"/>
  <c r="N37" i="45"/>
  <c r="O37" i="45"/>
  <c r="P37" i="45"/>
  <c r="Q37" i="45"/>
  <c r="R37" i="45"/>
  <c r="S37" i="45"/>
  <c r="T37" i="45"/>
  <c r="U37" i="45"/>
  <c r="V37" i="45"/>
  <c r="W37" i="45"/>
  <c r="X37" i="45"/>
  <c r="Y37" i="45"/>
  <c r="Z37" i="45"/>
  <c r="AA37" i="45"/>
  <c r="AB37" i="45"/>
  <c r="AC37" i="45"/>
  <c r="AD37" i="45"/>
  <c r="AE37" i="45"/>
  <c r="AF37" i="45"/>
  <c r="AG37" i="45"/>
  <c r="AH37" i="45"/>
  <c r="AI37" i="45"/>
  <c r="AJ37" i="45"/>
  <c r="AK37" i="45"/>
  <c r="AL37" i="45"/>
  <c r="AM37" i="45"/>
  <c r="AN37" i="45"/>
  <c r="AO37" i="45"/>
  <c r="AP37" i="45"/>
  <c r="AQ37" i="45"/>
  <c r="AR37" i="45"/>
  <c r="AS37" i="45"/>
  <c r="AT37" i="45"/>
  <c r="AU37" i="45"/>
  <c r="AV37" i="45"/>
  <c r="AW37" i="45"/>
  <c r="AX37" i="45"/>
  <c r="AY37" i="45"/>
  <c r="AZ37" i="45"/>
  <c r="BA37" i="45"/>
  <c r="BB37" i="45"/>
  <c r="BC37" i="45"/>
  <c r="BD37" i="45"/>
  <c r="BE37" i="45"/>
  <c r="BF37" i="45"/>
  <c r="BG37" i="45"/>
  <c r="BH37" i="45"/>
  <c r="BI37" i="45"/>
  <c r="BJ37" i="45"/>
  <c r="BK37" i="45"/>
  <c r="BL37" i="45"/>
  <c r="BM37" i="45"/>
  <c r="BN37" i="45"/>
  <c r="BO37" i="45"/>
  <c r="BP37" i="45"/>
  <c r="AA24"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W24" i="45"/>
  <c r="E38" i="45" a="1"/>
  <c r="E38" i="45"/>
  <c r="F38" i="45" a="1"/>
  <c r="F38" i="45"/>
  <c r="G38" i="45" a="1"/>
  <c r="H38" i="45" a="1"/>
  <c r="I38" i="45" a="1"/>
  <c r="J38" i="45" a="1"/>
  <c r="K38" i="45" a="1"/>
  <c r="L38" i="45" a="1"/>
  <c r="M38" i="45" a="1"/>
  <c r="N38" i="45" a="1"/>
  <c r="O38" i="45" a="1"/>
  <c r="P38" i="45" a="1"/>
  <c r="Q38" i="45" a="1"/>
  <c r="R38" i="45" a="1"/>
  <c r="S38" i="45" a="1"/>
  <c r="T38" i="45" a="1"/>
  <c r="U38" i="45" a="1"/>
  <c r="V38" i="45" a="1"/>
  <c r="W38" i="45" a="1"/>
  <c r="X38" i="45" a="1"/>
  <c r="Y38" i="45" a="1"/>
  <c r="Z38" i="45" a="1"/>
  <c r="AA38" i="45" a="1"/>
  <c r="AB38" i="45" a="1"/>
  <c r="AC38" i="45" a="1"/>
  <c r="AD38" i="45" a="1"/>
  <c r="AE38" i="45" a="1"/>
  <c r="AF38" i="45" a="1"/>
  <c r="AG38" i="45" a="1"/>
  <c r="AH38" i="45" a="1"/>
  <c r="AI38" i="45" a="1"/>
  <c r="AJ38" i="45" a="1"/>
  <c r="AK38" i="45" a="1"/>
  <c r="AL38" i="45" a="1"/>
  <c r="AM38" i="45" a="1"/>
  <c r="AN38" i="45" a="1"/>
  <c r="AO38" i="45" a="1"/>
  <c r="AP38" i="45" a="1"/>
  <c r="AQ38" i="45" a="1"/>
  <c r="AR38" i="45" a="1"/>
  <c r="AS38" i="45" a="1"/>
  <c r="AT38" i="45" a="1"/>
  <c r="AU38" i="45" a="1"/>
  <c r="AV38" i="45" a="1"/>
  <c r="AW38" i="45" a="1"/>
  <c r="AX38" i="45" a="1"/>
  <c r="AY38" i="45" a="1"/>
  <c r="AZ38" i="45" a="1"/>
  <c r="BA38" i="45" a="1"/>
  <c r="BB38" i="45" a="1"/>
  <c r="BC38" i="45" a="1"/>
  <c r="BD38" i="45" a="1"/>
  <c r="BE38" i="45" a="1"/>
  <c r="BF38" i="45" a="1"/>
  <c r="BG38" i="45" a="1"/>
  <c r="BH38" i="45" a="1"/>
  <c r="BI38" i="45" a="1"/>
  <c r="BJ38" i="45" a="1"/>
  <c r="BK38" i="45" a="1"/>
  <c r="BL38" i="45" a="1"/>
  <c r="BM38" i="45" a="1"/>
  <c r="BN38" i="45" a="1"/>
  <c r="BO38" i="45" a="1"/>
  <c r="BP38" i="45" a="1"/>
  <c r="G38" i="45"/>
  <c r="H38" i="45"/>
  <c r="I38" i="45"/>
  <c r="J38" i="45"/>
  <c r="K38" i="45"/>
  <c r="L38" i="45"/>
  <c r="M38" i="45"/>
  <c r="N38" i="45"/>
  <c r="O38" i="45"/>
  <c r="P38" i="45"/>
  <c r="Q38" i="45"/>
  <c r="R38" i="45"/>
  <c r="S38" i="45"/>
  <c r="T38" i="45"/>
  <c r="U38" i="45"/>
  <c r="V38" i="45"/>
  <c r="W38" i="45"/>
  <c r="X38" i="45"/>
  <c r="Y38" i="45"/>
  <c r="Z38" i="45"/>
  <c r="AA38" i="45"/>
  <c r="AB38" i="45"/>
  <c r="AC38" i="45"/>
  <c r="AD38" i="45"/>
  <c r="AE38" i="45"/>
  <c r="AF38" i="45"/>
  <c r="AG38" i="45"/>
  <c r="AH38" i="45"/>
  <c r="AI38" i="45"/>
  <c r="AJ38" i="45"/>
  <c r="AK38" i="45"/>
  <c r="AL38" i="45"/>
  <c r="AM38" i="45"/>
  <c r="AN38" i="45"/>
  <c r="AO38" i="45"/>
  <c r="AP38" i="45"/>
  <c r="AQ38" i="45"/>
  <c r="AR38" i="45"/>
  <c r="AS38" i="45"/>
  <c r="AT38" i="45"/>
  <c r="AU38" i="45"/>
  <c r="AV38" i="45"/>
  <c r="AW38" i="45"/>
  <c r="AX38" i="45"/>
  <c r="AY38" i="45"/>
  <c r="AZ38" i="45"/>
  <c r="BA38" i="45"/>
  <c r="BB38" i="45"/>
  <c r="BC38" i="45"/>
  <c r="BD38" i="45"/>
  <c r="BE38" i="45"/>
  <c r="BF38" i="45"/>
  <c r="BG38" i="45"/>
  <c r="BH38" i="45"/>
  <c r="BI38" i="45"/>
  <c r="BJ38" i="45"/>
  <c r="BK38" i="45"/>
  <c r="BL38" i="45"/>
  <c r="BM38" i="45"/>
  <c r="BN38" i="45"/>
  <c r="BO38" i="45"/>
  <c r="BP38" i="45"/>
  <c r="AA25"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W25"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C6" i="45"/>
  <c r="AM12" i="39"/>
  <c r="AM13" i="39"/>
  <c r="AM14" i="39"/>
  <c r="E10" i="9"/>
  <c r="AM17" i="39"/>
  <c r="R13" i="6"/>
  <c r="Q64" i="37"/>
  <c r="F4" i="37"/>
  <c r="V64" i="37"/>
  <c r="AA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AA65" i="37"/>
  <c r="AA66" i="37"/>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K4" i="37"/>
  <c r="R23" i="6"/>
  <c r="Q65" i="37"/>
  <c r="F5" i="37"/>
  <c r="K5" i="37"/>
  <c r="R33" i="6"/>
  <c r="Q66" i="37"/>
  <c r="F6" i="37"/>
  <c r="K6" i="37"/>
  <c r="K7" i="37"/>
  <c r="K8" i="37"/>
  <c r="K9" i="37"/>
  <c r="K10" i="37"/>
  <c r="K11" i="37"/>
  <c r="K12" i="37"/>
  <c r="K13" i="37"/>
  <c r="X64" i="37"/>
  <c r="Y64" i="37"/>
  <c r="AG64" i="37"/>
  <c r="AH64" i="37"/>
  <c r="AE64" i="37"/>
  <c r="X65" i="37"/>
  <c r="Y65" i="37"/>
  <c r="AG65" i="37"/>
  <c r="AH65" i="37"/>
  <c r="AE65" i="37"/>
  <c r="X66" i="37"/>
  <c r="Y66" i="37"/>
  <c r="AG66" i="37"/>
  <c r="AH66" i="37"/>
  <c r="AE66" i="37"/>
  <c r="X67" i="37"/>
  <c r="Y67" i="37"/>
  <c r="AG67" i="37"/>
  <c r="AH67" i="37"/>
  <c r="AE67" i="37"/>
  <c r="X68" i="37"/>
  <c r="Y68" i="37"/>
  <c r="AG68" i="37"/>
  <c r="AH68" i="37"/>
  <c r="AE68" i="37"/>
  <c r="X69" i="37"/>
  <c r="Y69" i="37"/>
  <c r="AG69" i="37"/>
  <c r="AH69" i="37"/>
  <c r="AE69" i="37"/>
  <c r="X70" i="37"/>
  <c r="Y70" i="37"/>
  <c r="AG70" i="37"/>
  <c r="AH70" i="37"/>
  <c r="AE70" i="37"/>
  <c r="X71" i="37"/>
  <c r="Y71" i="37"/>
  <c r="AG71" i="37"/>
  <c r="AH71" i="37"/>
  <c r="AE71" i="37"/>
  <c r="X72" i="37"/>
  <c r="Y72" i="37"/>
  <c r="AG72" i="37"/>
  <c r="AH72" i="37"/>
  <c r="AE72" i="37"/>
  <c r="X73" i="37"/>
  <c r="Y73" i="37"/>
  <c r="AG73" i="37"/>
  <c r="AH73" i="37"/>
  <c r="AE73" i="37"/>
  <c r="X74" i="37"/>
  <c r="Y74" i="37"/>
  <c r="AG74" i="37"/>
  <c r="AH74" i="37"/>
  <c r="AE74" i="37"/>
  <c r="X75" i="37"/>
  <c r="Y75" i="37"/>
  <c r="AG75" i="37"/>
  <c r="AH75" i="37"/>
  <c r="AE75" i="37"/>
  <c r="X76" i="37"/>
  <c r="Y76" i="37"/>
  <c r="AG76" i="37"/>
  <c r="AH76" i="37"/>
  <c r="AE76" i="37"/>
  <c r="X77" i="37"/>
  <c r="Y77" i="37"/>
  <c r="AG77" i="37"/>
  <c r="AH77" i="37"/>
  <c r="AE77" i="37"/>
  <c r="X78" i="37"/>
  <c r="Y78" i="37"/>
  <c r="AG78" i="37"/>
  <c r="AH78" i="37"/>
  <c r="AE78" i="37"/>
  <c r="X79" i="37"/>
  <c r="Y79" i="37"/>
  <c r="AG79" i="37"/>
  <c r="AH79" i="37"/>
  <c r="AE79" i="37"/>
  <c r="X80" i="37"/>
  <c r="Y80" i="37"/>
  <c r="AG80" i="37"/>
  <c r="AH80" i="37"/>
  <c r="AE80" i="37"/>
  <c r="X81" i="37"/>
  <c r="Y81" i="37"/>
  <c r="AG81" i="37"/>
  <c r="AH81" i="37"/>
  <c r="AE81" i="37"/>
  <c r="X82" i="37"/>
  <c r="Y82" i="37"/>
  <c r="AG82" i="37"/>
  <c r="AH82" i="37"/>
  <c r="AE82" i="37"/>
  <c r="X83" i="37"/>
  <c r="Y83" i="37"/>
  <c r="AG83" i="37"/>
  <c r="AH83" i="37"/>
  <c r="AE83" i="37"/>
  <c r="X84" i="37"/>
  <c r="Y84" i="37"/>
  <c r="AG84" i="37"/>
  <c r="AH84" i="37"/>
  <c r="AE84" i="37"/>
  <c r="X85" i="37"/>
  <c r="Y85" i="37"/>
  <c r="AG85" i="37"/>
  <c r="AH85" i="37"/>
  <c r="AE85" i="37"/>
  <c r="X86" i="37"/>
  <c r="Y86" i="37"/>
  <c r="AG86" i="37"/>
  <c r="AH86" i="37"/>
  <c r="AE86" i="37"/>
  <c r="X87" i="37"/>
  <c r="Y87" i="37"/>
  <c r="AG87" i="37"/>
  <c r="AH87" i="37"/>
  <c r="AE87" i="37"/>
  <c r="X88" i="37"/>
  <c r="Y88" i="37"/>
  <c r="AG88" i="37"/>
  <c r="AH88" i="37"/>
  <c r="AE88" i="37"/>
  <c r="X89" i="37"/>
  <c r="Y89" i="37"/>
  <c r="AG89" i="37"/>
  <c r="AH89" i="37"/>
  <c r="AE89" i="37"/>
  <c r="X90" i="37"/>
  <c r="Y90" i="37"/>
  <c r="AG90" i="37"/>
  <c r="AH90" i="37"/>
  <c r="AE90" i="37"/>
  <c r="X91" i="37"/>
  <c r="Y91" i="37"/>
  <c r="AG91" i="37"/>
  <c r="AH91" i="37"/>
  <c r="AE91" i="37"/>
  <c r="X92" i="37"/>
  <c r="Y92" i="37"/>
  <c r="AG92" i="37"/>
  <c r="AH92" i="37"/>
  <c r="AE92" i="37"/>
  <c r="X93" i="37"/>
  <c r="Y93" i="37"/>
  <c r="AG93" i="37"/>
  <c r="AH93" i="37"/>
  <c r="AE93" i="37"/>
  <c r="AE94" i="37"/>
  <c r="AE95" i="37"/>
  <c r="AE96" i="37"/>
  <c r="AE97" i="37"/>
  <c r="AE98" i="37"/>
  <c r="AE99" i="37"/>
  <c r="AE100" i="37"/>
  <c r="AE101" i="37"/>
  <c r="AE102" i="37"/>
  <c r="AE103" i="37"/>
  <c r="AE104" i="37"/>
  <c r="AE105" i="37"/>
  <c r="AE106" i="37"/>
  <c r="AE107" i="37"/>
  <c r="AE108" i="37"/>
  <c r="AF64" i="37"/>
  <c r="AF65" i="37"/>
  <c r="AF66" i="37"/>
  <c r="AF67" i="37"/>
  <c r="AF68" i="37"/>
  <c r="AF69" i="37"/>
  <c r="AF70" i="37"/>
  <c r="AF71" i="37"/>
  <c r="AF72" i="37"/>
  <c r="AF73" i="37"/>
  <c r="AF74" i="37"/>
  <c r="AF75" i="37"/>
  <c r="AF76" i="37"/>
  <c r="AF77" i="37"/>
  <c r="AF78" i="37"/>
  <c r="AF79" i="37"/>
  <c r="AF80" i="37"/>
  <c r="AF81" i="37"/>
  <c r="AF82" i="37"/>
  <c r="AF83" i="37"/>
  <c r="AF84" i="37"/>
  <c r="AF85" i="37"/>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J4" i="37"/>
  <c r="K17" i="37"/>
  <c r="H4" i="37"/>
  <c r="G4" i="37"/>
  <c r="I4" i="37"/>
  <c r="J17" i="37"/>
  <c r="H17" i="37"/>
  <c r="L17" i="37"/>
  <c r="J5" i="37"/>
  <c r="K18" i="37"/>
  <c r="H5" i="37"/>
  <c r="G5" i="37"/>
  <c r="I5" i="37"/>
  <c r="J18" i="37"/>
  <c r="H18" i="37"/>
  <c r="L18" i="37"/>
  <c r="J6" i="37"/>
  <c r="K19" i="37"/>
  <c r="H6" i="37"/>
  <c r="G6" i="37"/>
  <c r="I6" i="37"/>
  <c r="J19" i="37"/>
  <c r="H19" i="37"/>
  <c r="L19" i="37"/>
  <c r="J7" i="37"/>
  <c r="K20" i="37"/>
  <c r="Y94" i="37"/>
  <c r="Y95" i="37"/>
  <c r="Y96" i="37"/>
  <c r="Y97" i="37"/>
  <c r="Y98" i="37"/>
  <c r="Y99" i="37"/>
  <c r="Y100" i="37"/>
  <c r="Y101" i="37"/>
  <c r="Y102" i="37"/>
  <c r="Y103" i="37"/>
  <c r="Y104" i="37"/>
  <c r="Y105" i="37"/>
  <c r="Y106" i="37"/>
  <c r="Y107" i="37"/>
  <c r="Y108" i="37"/>
  <c r="X94" i="37"/>
  <c r="X95" i="37"/>
  <c r="X96" i="37"/>
  <c r="X97" i="37"/>
  <c r="X98" i="37"/>
  <c r="X99" i="37"/>
  <c r="X100" i="37"/>
  <c r="X101" i="37"/>
  <c r="X102" i="37"/>
  <c r="X103" i="37"/>
  <c r="X104" i="37"/>
  <c r="X105" i="37"/>
  <c r="X106" i="37"/>
  <c r="X107" i="37"/>
  <c r="X108" i="37"/>
  <c r="AH94" i="37"/>
  <c r="AH95" i="37"/>
  <c r="AH96" i="37"/>
  <c r="AH97" i="37"/>
  <c r="AH98" i="37"/>
  <c r="AH99" i="37"/>
  <c r="AH100" i="37"/>
  <c r="AH101" i="37"/>
  <c r="AH102" i="37"/>
  <c r="AH103" i="37"/>
  <c r="AH104" i="37"/>
  <c r="AH105" i="37"/>
  <c r="AH106" i="37"/>
  <c r="AH107" i="37"/>
  <c r="AH108" i="37"/>
  <c r="AG94" i="37"/>
  <c r="AG95" i="37"/>
  <c r="AG96" i="37"/>
  <c r="AG97" i="37"/>
  <c r="AG98" i="37"/>
  <c r="AG99" i="37"/>
  <c r="AG100" i="37"/>
  <c r="AG101" i="37"/>
  <c r="AG102" i="37"/>
  <c r="AG103" i="37"/>
  <c r="AG104" i="37"/>
  <c r="AG105" i="37"/>
  <c r="AG106" i="37"/>
  <c r="AG107" i="37"/>
  <c r="AG108" i="37"/>
  <c r="H7" i="37"/>
  <c r="G7" i="37"/>
  <c r="I7" i="37"/>
  <c r="J20" i="37"/>
  <c r="H20" i="37"/>
  <c r="L20" i="37"/>
  <c r="J8" i="37"/>
  <c r="K21" i="37"/>
  <c r="H8" i="37"/>
  <c r="G8" i="37"/>
  <c r="I8" i="37"/>
  <c r="J21" i="37"/>
  <c r="H21" i="37"/>
  <c r="L21" i="37"/>
  <c r="J9" i="37"/>
  <c r="K22" i="37"/>
  <c r="H9" i="37"/>
  <c r="G9" i="37"/>
  <c r="I9" i="37"/>
  <c r="J22" i="37"/>
  <c r="H22" i="37"/>
  <c r="L22" i="37"/>
  <c r="J10" i="37"/>
  <c r="K23" i="37"/>
  <c r="H10" i="37"/>
  <c r="G10" i="37"/>
  <c r="I10" i="37"/>
  <c r="J23" i="37"/>
  <c r="H23" i="37"/>
  <c r="L23" i="37"/>
  <c r="J11" i="37"/>
  <c r="K24" i="37"/>
  <c r="H11" i="37"/>
  <c r="G11" i="37"/>
  <c r="I11" i="37"/>
  <c r="J24" i="37"/>
  <c r="H24" i="37"/>
  <c r="L24" i="37"/>
  <c r="J12" i="37"/>
  <c r="K25" i="37"/>
  <c r="H12" i="37"/>
  <c r="G12" i="37"/>
  <c r="I12" i="37"/>
  <c r="J25" i="37"/>
  <c r="H25" i="37"/>
  <c r="L25" i="37"/>
  <c r="M17" i="37"/>
  <c r="N17" i="37" a="1"/>
  <c r="N17" i="37"/>
  <c r="O17" i="37"/>
  <c r="C17" i="37"/>
  <c r="E30" i="37" a="1"/>
  <c r="E30" i="37"/>
  <c r="F30" i="37" a="1"/>
  <c r="F30" i="37"/>
  <c r="G30" i="37" a="1"/>
  <c r="H30" i="37" a="1"/>
  <c r="I30" i="37" a="1"/>
  <c r="J30" i="37" a="1"/>
  <c r="K30" i="37" a="1"/>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M18" i="37"/>
  <c r="N18" i="37" a="1"/>
  <c r="N18" i="37"/>
  <c r="O18" i="37"/>
  <c r="C18"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M19" i="37"/>
  <c r="N19" i="37" a="1"/>
  <c r="N19" i="37"/>
  <c r="O19" i="37"/>
  <c r="C19"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AM18" i="39"/>
  <c r="AM19" i="39"/>
  <c r="C6" i="37"/>
  <c r="AM20" i="39"/>
  <c r="AM23" i="39"/>
  <c r="R14" i="6"/>
  <c r="Q64" i="33"/>
  <c r="F4" i="33"/>
  <c r="V64" i="33"/>
  <c r="AA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W101" i="33"/>
  <c r="W102" i="33"/>
  <c r="W103" i="33"/>
  <c r="W104" i="33"/>
  <c r="W105" i="33"/>
  <c r="W106" i="33"/>
  <c r="W107" i="33"/>
  <c r="W108" i="33"/>
  <c r="K4" i="33"/>
  <c r="R24" i="6"/>
  <c r="Q65" i="33"/>
  <c r="F5" i="33"/>
  <c r="K5" i="33"/>
  <c r="R34" i="6"/>
  <c r="Q66" i="33"/>
  <c r="F6" i="33"/>
  <c r="K6" i="33"/>
  <c r="K7" i="33"/>
  <c r="K8" i="33"/>
  <c r="K9" i="33"/>
  <c r="K10" i="33"/>
  <c r="K11" i="33"/>
  <c r="K12" i="33"/>
  <c r="K13" i="33"/>
  <c r="X64" i="33"/>
  <c r="Y64" i="33"/>
  <c r="AG64" i="33"/>
  <c r="AH64" i="33"/>
  <c r="AE64" i="33"/>
  <c r="X65" i="33"/>
  <c r="Y65" i="33"/>
  <c r="AG65" i="33"/>
  <c r="AH65" i="33"/>
  <c r="AE65" i="33"/>
  <c r="X66" i="33"/>
  <c r="Y66" i="33"/>
  <c r="AG66" i="33"/>
  <c r="AH66" i="33"/>
  <c r="AE66" i="33"/>
  <c r="X67" i="33"/>
  <c r="Y67" i="33"/>
  <c r="AG67" i="33"/>
  <c r="AH67" i="33"/>
  <c r="AE67" i="33"/>
  <c r="X68" i="33"/>
  <c r="Y68" i="33"/>
  <c r="AG68" i="33"/>
  <c r="AH68" i="33"/>
  <c r="AE68" i="33"/>
  <c r="X69" i="33"/>
  <c r="Y69" i="33"/>
  <c r="AG69" i="33"/>
  <c r="AH69" i="33"/>
  <c r="AE69" i="33"/>
  <c r="X70" i="33"/>
  <c r="Y70" i="33"/>
  <c r="AG70" i="33"/>
  <c r="AH70" i="33"/>
  <c r="AE70" i="33"/>
  <c r="X71" i="33"/>
  <c r="Y71" i="33"/>
  <c r="AG71" i="33"/>
  <c r="AH71" i="33"/>
  <c r="AE71" i="33"/>
  <c r="X72" i="33"/>
  <c r="Y72" i="33"/>
  <c r="AG72" i="33"/>
  <c r="AH72" i="33"/>
  <c r="AE72" i="33"/>
  <c r="X73" i="33"/>
  <c r="Y73" i="33"/>
  <c r="AG73" i="33"/>
  <c r="AH73" i="33"/>
  <c r="AE73" i="33"/>
  <c r="X74" i="33"/>
  <c r="Y74" i="33"/>
  <c r="AG74" i="33"/>
  <c r="AH74" i="33"/>
  <c r="AE74" i="33"/>
  <c r="X75" i="33"/>
  <c r="Y75" i="33"/>
  <c r="AG75" i="33"/>
  <c r="AH75" i="33"/>
  <c r="AE75" i="33"/>
  <c r="X76" i="33"/>
  <c r="Y76" i="33"/>
  <c r="AG76" i="33"/>
  <c r="AH76" i="33"/>
  <c r="AE76" i="33"/>
  <c r="X77" i="33"/>
  <c r="Y77" i="33"/>
  <c r="AG77" i="33"/>
  <c r="AH77" i="33"/>
  <c r="AE77" i="33"/>
  <c r="X78" i="33"/>
  <c r="Y78" i="33"/>
  <c r="AG78" i="33"/>
  <c r="AH78" i="33"/>
  <c r="AE78" i="33"/>
  <c r="X79" i="33"/>
  <c r="Y79" i="33"/>
  <c r="AG79" i="33"/>
  <c r="AH79" i="33"/>
  <c r="AE79" i="33"/>
  <c r="X80" i="33"/>
  <c r="Y80" i="33"/>
  <c r="AG80" i="33"/>
  <c r="AH80" i="33"/>
  <c r="AE80" i="33"/>
  <c r="X81" i="33"/>
  <c r="Y81" i="33"/>
  <c r="AG81" i="33"/>
  <c r="AH81" i="33"/>
  <c r="AE81" i="33"/>
  <c r="X82" i="33"/>
  <c r="Y82" i="33"/>
  <c r="AG82" i="33"/>
  <c r="AH82" i="33"/>
  <c r="AE82" i="33"/>
  <c r="X83" i="33"/>
  <c r="Y83" i="33"/>
  <c r="AG83" i="33"/>
  <c r="AH83" i="33"/>
  <c r="AE83" i="33"/>
  <c r="X84" i="33"/>
  <c r="Y84" i="33"/>
  <c r="AG84" i="33"/>
  <c r="AH84" i="33"/>
  <c r="AE84" i="33"/>
  <c r="X85" i="33"/>
  <c r="Y85" i="33"/>
  <c r="AG85" i="33"/>
  <c r="AH85" i="33"/>
  <c r="AE85" i="33"/>
  <c r="X86" i="33"/>
  <c r="Y86" i="33"/>
  <c r="AG86" i="33"/>
  <c r="AH86" i="33"/>
  <c r="AE86" i="33"/>
  <c r="X87" i="33"/>
  <c r="Y87" i="33"/>
  <c r="AG87" i="33"/>
  <c r="AH87" i="33"/>
  <c r="AE87" i="33"/>
  <c r="X88" i="33"/>
  <c r="Y88" i="33"/>
  <c r="AG88" i="33"/>
  <c r="AH88" i="33"/>
  <c r="AE88" i="33"/>
  <c r="X89" i="33"/>
  <c r="Y89" i="33"/>
  <c r="AG89" i="33"/>
  <c r="AH89" i="33"/>
  <c r="AE89" i="33"/>
  <c r="X90" i="33"/>
  <c r="Y90" i="33"/>
  <c r="AG90" i="33"/>
  <c r="AH90" i="33"/>
  <c r="AE90" i="33"/>
  <c r="X91" i="33"/>
  <c r="Y91" i="33"/>
  <c r="AG91" i="33"/>
  <c r="AH91" i="33"/>
  <c r="AE91" i="33"/>
  <c r="X92" i="33"/>
  <c r="Y92" i="33"/>
  <c r="AG92" i="33"/>
  <c r="AH92" i="33"/>
  <c r="AE92" i="33"/>
  <c r="X93" i="33"/>
  <c r="Y93" i="33"/>
  <c r="AG93" i="33"/>
  <c r="AH93" i="33"/>
  <c r="AE93" i="33"/>
  <c r="AE94" i="33"/>
  <c r="AE95" i="33"/>
  <c r="AE96" i="33"/>
  <c r="AE97" i="33"/>
  <c r="AE98" i="33"/>
  <c r="AE99" i="33"/>
  <c r="AE100" i="33"/>
  <c r="AE101" i="33"/>
  <c r="AE102" i="33"/>
  <c r="AE103" i="33"/>
  <c r="AE104" i="33"/>
  <c r="AE105" i="33"/>
  <c r="AE106" i="33"/>
  <c r="AE107" i="33"/>
  <c r="AE108" i="33"/>
  <c r="AF64" i="33"/>
  <c r="AF65" i="33"/>
  <c r="AF66" i="33"/>
  <c r="AF67" i="33"/>
  <c r="AF68" i="33"/>
  <c r="AF69" i="33"/>
  <c r="AF70" i="33"/>
  <c r="AF71" i="33"/>
  <c r="AF72" i="33"/>
  <c r="AF73" i="33"/>
  <c r="AF74" i="33"/>
  <c r="AF75" i="33"/>
  <c r="AF76" i="33"/>
  <c r="AF77" i="33"/>
  <c r="AF78" i="33"/>
  <c r="AF79" i="33"/>
  <c r="AF80" i="33"/>
  <c r="AF81" i="33"/>
  <c r="AF82" i="33"/>
  <c r="AF83" i="33"/>
  <c r="AF84" i="33"/>
  <c r="AF85" i="33"/>
  <c r="AF86" i="33"/>
  <c r="AF87" i="33"/>
  <c r="AF88" i="33"/>
  <c r="AF89" i="33"/>
  <c r="AF90" i="33"/>
  <c r="AF91" i="33"/>
  <c r="AF92" i="33"/>
  <c r="AF93" i="33"/>
  <c r="AF94" i="33"/>
  <c r="AF95" i="33"/>
  <c r="AF96" i="33"/>
  <c r="AF97" i="33"/>
  <c r="AF98" i="33"/>
  <c r="AF99" i="33"/>
  <c r="AF100" i="33"/>
  <c r="AF101" i="33"/>
  <c r="AF102" i="33"/>
  <c r="AF103" i="33"/>
  <c r="AF104" i="33"/>
  <c r="AF105" i="33"/>
  <c r="AF106" i="33"/>
  <c r="AF107" i="33"/>
  <c r="AF108" i="33"/>
  <c r="J4" i="33"/>
  <c r="K17" i="33"/>
  <c r="H4" i="33"/>
  <c r="G4" i="33"/>
  <c r="I4" i="33"/>
  <c r="J17" i="33"/>
  <c r="H17" i="33"/>
  <c r="L17" i="33"/>
  <c r="J5" i="33"/>
  <c r="K18" i="33"/>
  <c r="H5" i="33"/>
  <c r="G5" i="33"/>
  <c r="I5" i="33"/>
  <c r="J18" i="33"/>
  <c r="H18" i="33"/>
  <c r="L18" i="33"/>
  <c r="J6" i="33"/>
  <c r="K19" i="33"/>
  <c r="H6" i="33"/>
  <c r="G6" i="33"/>
  <c r="I6" i="33"/>
  <c r="J19" i="33"/>
  <c r="H19" i="33"/>
  <c r="L19" i="33"/>
  <c r="J7" i="33"/>
  <c r="K20" i="33"/>
  <c r="Y94" i="33"/>
  <c r="Y95" i="33"/>
  <c r="Y96" i="33"/>
  <c r="Y97" i="33"/>
  <c r="Y98" i="33"/>
  <c r="Y99" i="33"/>
  <c r="Y100" i="33"/>
  <c r="Y101" i="33"/>
  <c r="Y102" i="33"/>
  <c r="Y103" i="33"/>
  <c r="Y104" i="33"/>
  <c r="Y105" i="33"/>
  <c r="Y106" i="33"/>
  <c r="Y107" i="33"/>
  <c r="Y108" i="33"/>
  <c r="X94" i="33"/>
  <c r="X95" i="33"/>
  <c r="X96" i="33"/>
  <c r="X97" i="33"/>
  <c r="X98" i="33"/>
  <c r="X99" i="33"/>
  <c r="X100" i="33"/>
  <c r="X101" i="33"/>
  <c r="X102" i="33"/>
  <c r="X103" i="33"/>
  <c r="X104" i="33"/>
  <c r="X105" i="33"/>
  <c r="X106" i="33"/>
  <c r="X107" i="33"/>
  <c r="X108" i="33"/>
  <c r="AH94" i="33"/>
  <c r="AH95" i="33"/>
  <c r="AH96" i="33"/>
  <c r="AH97" i="33"/>
  <c r="AH98" i="33"/>
  <c r="AH99" i="33"/>
  <c r="AH100" i="33"/>
  <c r="AH101" i="33"/>
  <c r="AH102" i="33"/>
  <c r="AH103" i="33"/>
  <c r="AH104" i="33"/>
  <c r="AH105" i="33"/>
  <c r="AH106" i="33"/>
  <c r="AH107" i="33"/>
  <c r="AH108" i="33"/>
  <c r="AG94" i="33"/>
  <c r="AG95" i="33"/>
  <c r="AG96" i="33"/>
  <c r="AG97" i="33"/>
  <c r="AG98" i="33"/>
  <c r="AG99" i="33"/>
  <c r="AG100" i="33"/>
  <c r="AG101" i="33"/>
  <c r="AG102" i="33"/>
  <c r="AG103" i="33"/>
  <c r="AG104" i="33"/>
  <c r="AG105" i="33"/>
  <c r="AG106" i="33"/>
  <c r="AG107" i="33"/>
  <c r="AG108" i="33"/>
  <c r="H7" i="33"/>
  <c r="G7" i="33"/>
  <c r="I7" i="33"/>
  <c r="J20" i="33"/>
  <c r="H20" i="33"/>
  <c r="L20" i="33"/>
  <c r="J8" i="33"/>
  <c r="K21" i="33"/>
  <c r="H8" i="33"/>
  <c r="G8" i="33"/>
  <c r="I8" i="33"/>
  <c r="J21" i="33"/>
  <c r="H21" i="33"/>
  <c r="L21" i="33"/>
  <c r="J9" i="33"/>
  <c r="K22" i="33"/>
  <c r="H9" i="33"/>
  <c r="G9" i="33"/>
  <c r="I9" i="33"/>
  <c r="J22" i="33"/>
  <c r="H22" i="33"/>
  <c r="L22" i="33"/>
  <c r="J10" i="33"/>
  <c r="K23" i="33"/>
  <c r="H10" i="33"/>
  <c r="G10" i="33"/>
  <c r="I10" i="33"/>
  <c r="J23" i="33"/>
  <c r="H23" i="33"/>
  <c r="L23" i="33"/>
  <c r="J11" i="33"/>
  <c r="K24" i="33"/>
  <c r="H11" i="33"/>
  <c r="G11" i="33"/>
  <c r="I11" i="33"/>
  <c r="J24" i="33"/>
  <c r="H24" i="33"/>
  <c r="L24" i="33"/>
  <c r="J12" i="33"/>
  <c r="K25" i="33"/>
  <c r="H12" i="33"/>
  <c r="G12" i="33"/>
  <c r="I12" i="33"/>
  <c r="J25" i="33"/>
  <c r="H25" i="33"/>
  <c r="L2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O18" i="33"/>
  <c r="C18" i="33"/>
  <c r="E31" i="33" a="1"/>
  <c r="E31" i="33"/>
  <c r="F31" i="33" a="1"/>
  <c r="F31" i="33"/>
  <c r="G31" i="33" a="1"/>
  <c r="H31" i="33" a="1"/>
  <c r="I31" i="33" a="1"/>
  <c r="J31" i="33" a="1"/>
  <c r="K31" i="33" a="1"/>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M19" i="33"/>
  <c r="N19" i="33" a="1"/>
  <c r="N19" i="33"/>
  <c r="O19" i="33"/>
  <c r="C19"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Y17" i="33"/>
  <c r="X17" i="33"/>
  <c r="AO21" i="6"/>
  <c r="AQ26" i="6"/>
  <c r="Y18" i="33"/>
  <c r="X18" i="33"/>
  <c r="AO31" i="6"/>
  <c r="AQ33" i="6"/>
  <c r="Y19"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AM24" i="39"/>
  <c r="C5" i="33"/>
  <c r="C6" i="33"/>
  <c r="AM25" i="39"/>
  <c r="AM26" i="39"/>
  <c r="AM29" i="39"/>
  <c r="R15" i="6"/>
  <c r="Q64" i="46"/>
  <c r="F4" i="46"/>
  <c r="V64" i="46"/>
  <c r="AA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AA65" i="46"/>
  <c r="AA66" i="46"/>
  <c r="AA67" i="46"/>
  <c r="AA68" i="46"/>
  <c r="AA69" i="46"/>
  <c r="AA70" i="46"/>
  <c r="AA71" i="46"/>
  <c r="AA72" i="46"/>
  <c r="AA73" i="46"/>
  <c r="AA74" i="46"/>
  <c r="AA75" i="46"/>
  <c r="AA76" i="46"/>
  <c r="AA77" i="46"/>
  <c r="AA78" i="46"/>
  <c r="AA79" i="46"/>
  <c r="AA80" i="46"/>
  <c r="AA81" i="46"/>
  <c r="AA82" i="46"/>
  <c r="AA83" i="46"/>
  <c r="AA84" i="46"/>
  <c r="AA85" i="46"/>
  <c r="AA86" i="46"/>
  <c r="AA87" i="46"/>
  <c r="AA88" i="46"/>
  <c r="AA89" i="46"/>
  <c r="AA90" i="46"/>
  <c r="AA91" i="46"/>
  <c r="AA92" i="46"/>
  <c r="AA93" i="46"/>
  <c r="AA94" i="46"/>
  <c r="AA95" i="46"/>
  <c r="AA96" i="46"/>
  <c r="AA97" i="46"/>
  <c r="AA98" i="46"/>
  <c r="AA99" i="46"/>
  <c r="AA100" i="46"/>
  <c r="AA101" i="46"/>
  <c r="AA102" i="46"/>
  <c r="AA103" i="46"/>
  <c r="AA104" i="46"/>
  <c r="AA105" i="46"/>
  <c r="AA106" i="46"/>
  <c r="AA107" i="46"/>
  <c r="AA108"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K4" i="46"/>
  <c r="R25" i="6"/>
  <c r="Q65" i="46"/>
  <c r="F5" i="46"/>
  <c r="K5" i="46"/>
  <c r="R35" i="6"/>
  <c r="Q66" i="46"/>
  <c r="F6" i="46"/>
  <c r="K6" i="46"/>
  <c r="K7" i="46"/>
  <c r="K8" i="46"/>
  <c r="K9" i="46"/>
  <c r="K10" i="46"/>
  <c r="K11" i="46"/>
  <c r="K12" i="46"/>
  <c r="K13" i="46"/>
  <c r="X64" i="46"/>
  <c r="Y64" i="46"/>
  <c r="AG64" i="46"/>
  <c r="AH64" i="46"/>
  <c r="AE64" i="46"/>
  <c r="X65" i="46"/>
  <c r="Y65" i="46"/>
  <c r="AG65" i="46"/>
  <c r="AH65" i="46"/>
  <c r="AE65" i="46"/>
  <c r="X66" i="46"/>
  <c r="Y66" i="46"/>
  <c r="AG66" i="46"/>
  <c r="AH66" i="46"/>
  <c r="AE66" i="46"/>
  <c r="X67" i="46"/>
  <c r="Y67" i="46"/>
  <c r="AG67" i="46"/>
  <c r="AH67" i="46"/>
  <c r="AE67" i="46"/>
  <c r="X68" i="46"/>
  <c r="Y68" i="46"/>
  <c r="AG68" i="46"/>
  <c r="AH68" i="46"/>
  <c r="AE68" i="46"/>
  <c r="X69" i="46"/>
  <c r="Y69" i="46"/>
  <c r="AG69" i="46"/>
  <c r="AH69" i="46"/>
  <c r="AE69" i="46"/>
  <c r="X70" i="46"/>
  <c r="Y70" i="46"/>
  <c r="AG70" i="46"/>
  <c r="AH70" i="46"/>
  <c r="AE70" i="46"/>
  <c r="X71" i="46"/>
  <c r="Y71" i="46"/>
  <c r="AG71" i="46"/>
  <c r="AH71" i="46"/>
  <c r="AE71" i="46"/>
  <c r="X72" i="46"/>
  <c r="Y72" i="46"/>
  <c r="AG72" i="46"/>
  <c r="AH72" i="46"/>
  <c r="AE72" i="46"/>
  <c r="X73" i="46"/>
  <c r="Y73" i="46"/>
  <c r="AG73" i="46"/>
  <c r="AH73" i="46"/>
  <c r="AE73" i="46"/>
  <c r="X74" i="46"/>
  <c r="Y74" i="46"/>
  <c r="AG74" i="46"/>
  <c r="AH74" i="46"/>
  <c r="AE74" i="46"/>
  <c r="X75" i="46"/>
  <c r="Y75" i="46"/>
  <c r="AG75" i="46"/>
  <c r="AH75" i="46"/>
  <c r="AE75" i="46"/>
  <c r="X76" i="46"/>
  <c r="Y76" i="46"/>
  <c r="AG76" i="46"/>
  <c r="AH76" i="46"/>
  <c r="AE76" i="46"/>
  <c r="X77" i="46"/>
  <c r="Y77" i="46"/>
  <c r="AG77" i="46"/>
  <c r="AH77" i="46"/>
  <c r="AE77" i="46"/>
  <c r="X78" i="46"/>
  <c r="Y78" i="46"/>
  <c r="AG78" i="46"/>
  <c r="AH78" i="46"/>
  <c r="AE78" i="46"/>
  <c r="X79" i="46"/>
  <c r="Y79" i="46"/>
  <c r="AG79" i="46"/>
  <c r="AH79" i="46"/>
  <c r="AE79" i="46"/>
  <c r="X80" i="46"/>
  <c r="Y80" i="46"/>
  <c r="AG80" i="46"/>
  <c r="AH80" i="46"/>
  <c r="AE80" i="46"/>
  <c r="X81" i="46"/>
  <c r="Y81" i="46"/>
  <c r="AG81" i="46"/>
  <c r="AH81" i="46"/>
  <c r="AE81" i="46"/>
  <c r="X82" i="46"/>
  <c r="Y82" i="46"/>
  <c r="AG82" i="46"/>
  <c r="AH82" i="46"/>
  <c r="AE82" i="46"/>
  <c r="X83" i="46"/>
  <c r="Y83" i="46"/>
  <c r="AG83" i="46"/>
  <c r="AH83" i="46"/>
  <c r="AE83" i="46"/>
  <c r="X84" i="46"/>
  <c r="Y84" i="46"/>
  <c r="AG84" i="46"/>
  <c r="AH84" i="46"/>
  <c r="AE84" i="46"/>
  <c r="X85" i="46"/>
  <c r="Y85" i="46"/>
  <c r="AG85" i="46"/>
  <c r="AH85" i="46"/>
  <c r="AE85" i="46"/>
  <c r="X86" i="46"/>
  <c r="Y86" i="46"/>
  <c r="AG86" i="46"/>
  <c r="AH86" i="46"/>
  <c r="AE86" i="46"/>
  <c r="X87" i="46"/>
  <c r="Y87" i="46"/>
  <c r="AG87" i="46"/>
  <c r="AH87" i="46"/>
  <c r="AE87" i="46"/>
  <c r="X88" i="46"/>
  <c r="Y88" i="46"/>
  <c r="AG88" i="46"/>
  <c r="AH88" i="46"/>
  <c r="AE88" i="46"/>
  <c r="X89" i="46"/>
  <c r="Y89" i="46"/>
  <c r="AG89" i="46"/>
  <c r="AH89" i="46"/>
  <c r="AE89" i="46"/>
  <c r="X90" i="46"/>
  <c r="Y90" i="46"/>
  <c r="AG90" i="46"/>
  <c r="AH90" i="46"/>
  <c r="AE90" i="46"/>
  <c r="X91" i="46"/>
  <c r="Y91" i="46"/>
  <c r="AG91" i="46"/>
  <c r="AH91" i="46"/>
  <c r="AE91" i="46"/>
  <c r="X92" i="46"/>
  <c r="Y92" i="46"/>
  <c r="AG92" i="46"/>
  <c r="AH92" i="46"/>
  <c r="AE92" i="46"/>
  <c r="X93" i="46"/>
  <c r="Y93" i="46"/>
  <c r="AG93" i="46"/>
  <c r="AH93" i="46"/>
  <c r="AE93" i="46"/>
  <c r="AE94" i="46"/>
  <c r="AE95" i="46"/>
  <c r="AE96" i="46"/>
  <c r="AE97" i="46"/>
  <c r="AE98" i="46"/>
  <c r="AE99" i="46"/>
  <c r="AE100" i="46"/>
  <c r="AE101" i="46"/>
  <c r="AE102" i="46"/>
  <c r="AE103" i="46"/>
  <c r="AE104" i="46"/>
  <c r="AE105" i="46"/>
  <c r="AE106" i="46"/>
  <c r="AE107" i="46"/>
  <c r="AE108" i="46"/>
  <c r="AF64" i="46"/>
  <c r="AF65" i="46"/>
  <c r="AF66" i="46"/>
  <c r="AF67" i="46"/>
  <c r="AF68" i="46"/>
  <c r="AF69" i="46"/>
  <c r="AF70" i="46"/>
  <c r="AF71" i="46"/>
  <c r="AF72" i="46"/>
  <c r="AF73" i="46"/>
  <c r="AF74" i="46"/>
  <c r="AF75" i="46"/>
  <c r="AF76" i="46"/>
  <c r="AF77" i="46"/>
  <c r="AF78" i="46"/>
  <c r="AF79" i="46"/>
  <c r="AF80" i="46"/>
  <c r="AF81" i="46"/>
  <c r="AF82" i="46"/>
  <c r="AF83" i="46"/>
  <c r="AF84" i="46"/>
  <c r="AF85" i="46"/>
  <c r="AF86" i="46"/>
  <c r="AF87" i="46"/>
  <c r="AF88" i="46"/>
  <c r="AF89" i="46"/>
  <c r="AF90" i="46"/>
  <c r="AF91" i="46"/>
  <c r="AF92" i="46"/>
  <c r="AF93" i="46"/>
  <c r="AF94" i="46"/>
  <c r="AF95" i="46"/>
  <c r="AF96" i="46"/>
  <c r="AF97" i="46"/>
  <c r="AF98" i="46"/>
  <c r="AF99" i="46"/>
  <c r="AF100" i="46"/>
  <c r="AF101" i="46"/>
  <c r="AF102" i="46"/>
  <c r="AF103" i="46"/>
  <c r="AF104" i="46"/>
  <c r="AF105" i="46"/>
  <c r="AF106" i="46"/>
  <c r="AF107" i="46"/>
  <c r="AF108" i="46"/>
  <c r="J4" i="46"/>
  <c r="K17" i="46"/>
  <c r="H4" i="46"/>
  <c r="G4" i="46"/>
  <c r="I4" i="46"/>
  <c r="J17" i="46"/>
  <c r="H17" i="46"/>
  <c r="L17" i="46"/>
  <c r="J5" i="46"/>
  <c r="K18" i="46"/>
  <c r="H5" i="46"/>
  <c r="G5" i="46"/>
  <c r="I5" i="46"/>
  <c r="J18" i="46"/>
  <c r="H18" i="46"/>
  <c r="L18" i="46"/>
  <c r="J6" i="46"/>
  <c r="K19" i="46"/>
  <c r="H6" i="46"/>
  <c r="G6" i="46"/>
  <c r="I6" i="46"/>
  <c r="J19" i="46"/>
  <c r="H19" i="46"/>
  <c r="L19" i="46"/>
  <c r="J7" i="46"/>
  <c r="K20" i="46"/>
  <c r="Y94" i="46"/>
  <c r="Y95" i="46"/>
  <c r="Y96" i="46"/>
  <c r="Y97" i="46"/>
  <c r="Y98" i="46"/>
  <c r="Y99" i="46"/>
  <c r="Y100" i="46"/>
  <c r="Y101" i="46"/>
  <c r="Y102" i="46"/>
  <c r="Y103" i="46"/>
  <c r="Y104" i="46"/>
  <c r="Y105" i="46"/>
  <c r="Y106" i="46"/>
  <c r="Y107" i="46"/>
  <c r="Y108" i="46"/>
  <c r="X94" i="46"/>
  <c r="X95" i="46"/>
  <c r="X96" i="46"/>
  <c r="X97" i="46"/>
  <c r="X98" i="46"/>
  <c r="X99" i="46"/>
  <c r="X100" i="46"/>
  <c r="X101" i="46"/>
  <c r="X102" i="46"/>
  <c r="X103" i="46"/>
  <c r="X104" i="46"/>
  <c r="X105" i="46"/>
  <c r="X106" i="46"/>
  <c r="X107" i="46"/>
  <c r="X108" i="46"/>
  <c r="AH94" i="46"/>
  <c r="AH95" i="46"/>
  <c r="AH96" i="46"/>
  <c r="AH97" i="46"/>
  <c r="AH98" i="46"/>
  <c r="AH99" i="46"/>
  <c r="AH100" i="46"/>
  <c r="AH101" i="46"/>
  <c r="AH102" i="46"/>
  <c r="AH103" i="46"/>
  <c r="AH104" i="46"/>
  <c r="AH105" i="46"/>
  <c r="AH106" i="46"/>
  <c r="AH107" i="46"/>
  <c r="AH108" i="46"/>
  <c r="AG94" i="46"/>
  <c r="AG95" i="46"/>
  <c r="AG96" i="46"/>
  <c r="AG97" i="46"/>
  <c r="AG98" i="46"/>
  <c r="AG99" i="46"/>
  <c r="AG100" i="46"/>
  <c r="AG101" i="46"/>
  <c r="AG102" i="46"/>
  <c r="AG103" i="46"/>
  <c r="AG104" i="46"/>
  <c r="AG105" i="46"/>
  <c r="AG106" i="46"/>
  <c r="AG107" i="46"/>
  <c r="AG108" i="46"/>
  <c r="H7" i="46"/>
  <c r="G7" i="46"/>
  <c r="I7" i="46"/>
  <c r="J20" i="46"/>
  <c r="H20" i="46"/>
  <c r="L20" i="46"/>
  <c r="J8" i="46"/>
  <c r="K21" i="46"/>
  <c r="H8" i="46"/>
  <c r="G8" i="46"/>
  <c r="I8" i="46"/>
  <c r="J21" i="46"/>
  <c r="H21" i="46"/>
  <c r="L21" i="46"/>
  <c r="J9" i="46"/>
  <c r="K22" i="46"/>
  <c r="H9" i="46"/>
  <c r="G9" i="46"/>
  <c r="I9" i="46"/>
  <c r="J22" i="46"/>
  <c r="H22" i="46"/>
  <c r="L22" i="46"/>
  <c r="J10" i="46"/>
  <c r="K23" i="46"/>
  <c r="H10" i="46"/>
  <c r="G10" i="46"/>
  <c r="I10" i="46"/>
  <c r="J23" i="46"/>
  <c r="H23" i="46"/>
  <c r="L23" i="46"/>
  <c r="J11" i="46"/>
  <c r="K24" i="46"/>
  <c r="H11" i="46"/>
  <c r="G11" i="46"/>
  <c r="I11" i="46"/>
  <c r="J24" i="46"/>
  <c r="H24" i="46"/>
  <c r="L24" i="46"/>
  <c r="J12" i="46"/>
  <c r="K25" i="46"/>
  <c r="H12" i="46"/>
  <c r="G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M31" i="46" a="1"/>
  <c r="N31" i="46" a="1"/>
  <c r="O31" i="46" a="1"/>
  <c r="P31" i="46" a="1"/>
  <c r="Q31" i="46" a="1"/>
  <c r="R31" i="46" a="1"/>
  <c r="S31" i="46" a="1"/>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M19" i="46"/>
  <c r="N19" i="46" a="1"/>
  <c r="N19" i="46"/>
  <c r="O19" i="46"/>
  <c r="C19" i="46"/>
  <c r="E32" i="46" a="1"/>
  <c r="E32" i="46"/>
  <c r="F32" i="46" a="1"/>
  <c r="F32" i="46"/>
  <c r="G32" i="46" a="1"/>
  <c r="H32" i="46" a="1"/>
  <c r="I32" i="46" a="1"/>
  <c r="J32" i="46" a="1"/>
  <c r="K32" i="46" a="1"/>
  <c r="L32" i="46" a="1"/>
  <c r="P19" i="46"/>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AM30" i="39"/>
  <c r="C5" i="46"/>
  <c r="C6" i="46"/>
  <c r="AM31" i="39"/>
  <c r="AM32" i="39"/>
  <c r="AM35" i="39"/>
  <c r="R16" i="6"/>
  <c r="Q64" i="47"/>
  <c r="F4" i="47"/>
  <c r="V64" i="47"/>
  <c r="AA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AA65" i="47"/>
  <c r="AA66" i="47"/>
  <c r="AA67" i="47"/>
  <c r="AA68" i="47"/>
  <c r="AA69" i="47"/>
  <c r="AA70" i="47"/>
  <c r="AA71" i="47"/>
  <c r="AA72" i="47"/>
  <c r="AA73" i="47"/>
  <c r="AA74" i="47"/>
  <c r="AA75" i="47"/>
  <c r="AA76" i="47"/>
  <c r="AA77" i="47"/>
  <c r="AA78" i="47"/>
  <c r="AA79" i="47"/>
  <c r="AA80" i="47"/>
  <c r="AA81" i="47"/>
  <c r="AA82" i="47"/>
  <c r="AA83" i="47"/>
  <c r="AA84" i="47"/>
  <c r="AA85" i="47"/>
  <c r="AA86" i="47"/>
  <c r="AA87" i="47"/>
  <c r="AA88" i="47"/>
  <c r="AA89" i="47"/>
  <c r="AA90" i="47"/>
  <c r="AA91" i="47"/>
  <c r="AA92" i="47"/>
  <c r="AA93" i="47"/>
  <c r="AA94" i="47"/>
  <c r="AA95" i="47"/>
  <c r="AA96" i="47"/>
  <c r="AA97" i="47"/>
  <c r="AA98" i="47"/>
  <c r="AA99" i="47"/>
  <c r="AA100" i="47"/>
  <c r="AA101" i="47"/>
  <c r="AA102" i="47"/>
  <c r="AA103" i="47"/>
  <c r="AA104" i="47"/>
  <c r="AA105" i="47"/>
  <c r="AA106" i="47"/>
  <c r="AA107" i="47"/>
  <c r="AA108" i="47"/>
  <c r="W64" i="47"/>
  <c r="W65" i="47"/>
  <c r="W66" i="47"/>
  <c r="W67" i="47"/>
  <c r="W68" i="47"/>
  <c r="W69" i="47"/>
  <c r="W70" i="47"/>
  <c r="W71" i="47"/>
  <c r="W72" i="47"/>
  <c r="W73" i="47"/>
  <c r="W74" i="47"/>
  <c r="W75" i="47"/>
  <c r="W76" i="47"/>
  <c r="W77" i="47"/>
  <c r="W78" i="47"/>
  <c r="W79" i="47"/>
  <c r="W80" i="47"/>
  <c r="W81" i="47"/>
  <c r="W82" i="47"/>
  <c r="W83" i="47"/>
  <c r="W84" i="47"/>
  <c r="W85" i="47"/>
  <c r="W86" i="47"/>
  <c r="W87" i="47"/>
  <c r="W88" i="47"/>
  <c r="W89" i="47"/>
  <c r="W90" i="47"/>
  <c r="W91" i="47"/>
  <c r="W92" i="47"/>
  <c r="W93" i="47"/>
  <c r="W94" i="47"/>
  <c r="W95" i="47"/>
  <c r="W96" i="47"/>
  <c r="W97" i="47"/>
  <c r="W98" i="47"/>
  <c r="W99" i="47"/>
  <c r="W100" i="47"/>
  <c r="W101" i="47"/>
  <c r="W102" i="47"/>
  <c r="W103" i="47"/>
  <c r="W104" i="47"/>
  <c r="W105" i="47"/>
  <c r="W106" i="47"/>
  <c r="W107" i="47"/>
  <c r="W108" i="47"/>
  <c r="K4" i="47"/>
  <c r="R26" i="6"/>
  <c r="Q65" i="47"/>
  <c r="F5" i="47"/>
  <c r="K5" i="47"/>
  <c r="R36" i="6"/>
  <c r="Q66" i="47"/>
  <c r="F6" i="47"/>
  <c r="K6" i="47"/>
  <c r="K7" i="47"/>
  <c r="K8" i="47"/>
  <c r="K9" i="47"/>
  <c r="K10" i="47"/>
  <c r="K11" i="47"/>
  <c r="K12" i="47"/>
  <c r="K13" i="47"/>
  <c r="X64" i="47"/>
  <c r="Y64" i="47"/>
  <c r="AG64" i="47"/>
  <c r="AH64" i="47"/>
  <c r="AE64" i="47"/>
  <c r="X65" i="47"/>
  <c r="Y65" i="47"/>
  <c r="AG65" i="47"/>
  <c r="AH65" i="47"/>
  <c r="AE65" i="47"/>
  <c r="X66" i="47"/>
  <c r="Y66" i="47"/>
  <c r="AG66" i="47"/>
  <c r="AH66" i="47"/>
  <c r="AE66" i="47"/>
  <c r="X67" i="47"/>
  <c r="Y67" i="47"/>
  <c r="AG67" i="47"/>
  <c r="AH67" i="47"/>
  <c r="AE67" i="47"/>
  <c r="X68" i="47"/>
  <c r="Y68" i="47"/>
  <c r="AG68" i="47"/>
  <c r="AH68" i="47"/>
  <c r="AE68" i="47"/>
  <c r="X69" i="47"/>
  <c r="Y69" i="47"/>
  <c r="AG69" i="47"/>
  <c r="AH69" i="47"/>
  <c r="AE69" i="47"/>
  <c r="X70" i="47"/>
  <c r="Y70" i="47"/>
  <c r="AG70" i="47"/>
  <c r="AH70" i="47"/>
  <c r="AE70" i="47"/>
  <c r="X71" i="47"/>
  <c r="Y71" i="47"/>
  <c r="AG71" i="47"/>
  <c r="AH71" i="47"/>
  <c r="AE71" i="47"/>
  <c r="X72" i="47"/>
  <c r="Y72" i="47"/>
  <c r="AG72" i="47"/>
  <c r="AH72" i="47"/>
  <c r="AE72" i="47"/>
  <c r="X73" i="47"/>
  <c r="Y73" i="47"/>
  <c r="AG73" i="47"/>
  <c r="AH73" i="47"/>
  <c r="AE73" i="47"/>
  <c r="X74" i="47"/>
  <c r="Y74" i="47"/>
  <c r="AG74" i="47"/>
  <c r="AH74" i="47"/>
  <c r="AE74" i="47"/>
  <c r="X75" i="47"/>
  <c r="Y75" i="47"/>
  <c r="AG75" i="47"/>
  <c r="AH75" i="47"/>
  <c r="AE75" i="47"/>
  <c r="X76" i="47"/>
  <c r="Y76" i="47"/>
  <c r="AG76" i="47"/>
  <c r="AH76" i="47"/>
  <c r="AE76" i="47"/>
  <c r="X77" i="47"/>
  <c r="Y77" i="47"/>
  <c r="AG77" i="47"/>
  <c r="AH77" i="47"/>
  <c r="AE77" i="47"/>
  <c r="X78" i="47"/>
  <c r="Y78" i="47"/>
  <c r="AG78" i="47"/>
  <c r="AH78" i="47"/>
  <c r="AE78" i="47"/>
  <c r="X79" i="47"/>
  <c r="Y79" i="47"/>
  <c r="AG79" i="47"/>
  <c r="AH79" i="47"/>
  <c r="AE79" i="47"/>
  <c r="X80" i="47"/>
  <c r="Y80" i="47"/>
  <c r="AG80" i="47"/>
  <c r="AH80" i="47"/>
  <c r="AE80" i="47"/>
  <c r="X81" i="47"/>
  <c r="Y81" i="47"/>
  <c r="AG81" i="47"/>
  <c r="AH81" i="47"/>
  <c r="AE81" i="47"/>
  <c r="X82" i="47"/>
  <c r="Y82" i="47"/>
  <c r="AG82" i="47"/>
  <c r="AH82" i="47"/>
  <c r="AE82" i="47"/>
  <c r="X83" i="47"/>
  <c r="Y83" i="47"/>
  <c r="AG83" i="47"/>
  <c r="AH83" i="47"/>
  <c r="AE83" i="47"/>
  <c r="X84" i="47"/>
  <c r="Y84" i="47"/>
  <c r="AG84" i="47"/>
  <c r="AH84" i="47"/>
  <c r="AE84" i="47"/>
  <c r="X85" i="47"/>
  <c r="Y85" i="47"/>
  <c r="AG85" i="47"/>
  <c r="AH85" i="47"/>
  <c r="AE85" i="47"/>
  <c r="X86" i="47"/>
  <c r="Y86" i="47"/>
  <c r="AG86" i="47"/>
  <c r="AH86" i="47"/>
  <c r="AE86" i="47"/>
  <c r="X87" i="47"/>
  <c r="Y87" i="47"/>
  <c r="AG87" i="47"/>
  <c r="AH87" i="47"/>
  <c r="AE87" i="47"/>
  <c r="X88" i="47"/>
  <c r="Y88" i="47"/>
  <c r="AG88" i="47"/>
  <c r="AH88" i="47"/>
  <c r="AE88" i="47"/>
  <c r="X89" i="47"/>
  <c r="Y89" i="47"/>
  <c r="AG89" i="47"/>
  <c r="AH89" i="47"/>
  <c r="AE89" i="47"/>
  <c r="X90" i="47"/>
  <c r="Y90" i="47"/>
  <c r="AG90" i="47"/>
  <c r="AH90" i="47"/>
  <c r="AE90" i="47"/>
  <c r="X91" i="47"/>
  <c r="Y91" i="47"/>
  <c r="AG91" i="47"/>
  <c r="AH91" i="47"/>
  <c r="AE91" i="47"/>
  <c r="X92" i="47"/>
  <c r="Y92" i="47"/>
  <c r="AG92" i="47"/>
  <c r="AH92" i="47"/>
  <c r="AE92" i="47"/>
  <c r="X93" i="47"/>
  <c r="Y93" i="47"/>
  <c r="AG93" i="47"/>
  <c r="AH93" i="47"/>
  <c r="AE93" i="47"/>
  <c r="AE94" i="47"/>
  <c r="AE95" i="47"/>
  <c r="AE96" i="47"/>
  <c r="AE97" i="47"/>
  <c r="AE98" i="47"/>
  <c r="AE99" i="47"/>
  <c r="AE100" i="47"/>
  <c r="AE101" i="47"/>
  <c r="AE102" i="47"/>
  <c r="AE103" i="47"/>
  <c r="AE104" i="47"/>
  <c r="AE105" i="47"/>
  <c r="AE106" i="47"/>
  <c r="AE107" i="47"/>
  <c r="AE108" i="47"/>
  <c r="AF64" i="47"/>
  <c r="AF65" i="47"/>
  <c r="AF66" i="47"/>
  <c r="AF67" i="47"/>
  <c r="AF68" i="47"/>
  <c r="AF69" i="47"/>
  <c r="AF70" i="47"/>
  <c r="AF71" i="47"/>
  <c r="AF72" i="47"/>
  <c r="AF73" i="47"/>
  <c r="AF74" i="47"/>
  <c r="AF75" i="47"/>
  <c r="AF76" i="47"/>
  <c r="AF77" i="47"/>
  <c r="AF78" i="47"/>
  <c r="AF79" i="47"/>
  <c r="AF80" i="47"/>
  <c r="AF81" i="47"/>
  <c r="AF82" i="47"/>
  <c r="AF83" i="47"/>
  <c r="AF84" i="47"/>
  <c r="AF85" i="47"/>
  <c r="AF86" i="47"/>
  <c r="AF87" i="47"/>
  <c r="AF88" i="47"/>
  <c r="AF89" i="47"/>
  <c r="AF90" i="47"/>
  <c r="AF91" i="47"/>
  <c r="AF92" i="47"/>
  <c r="AF93" i="47"/>
  <c r="AF94" i="47"/>
  <c r="AF95" i="47"/>
  <c r="AF96" i="47"/>
  <c r="AF97" i="47"/>
  <c r="AF98" i="47"/>
  <c r="AF99" i="47"/>
  <c r="AF100" i="47"/>
  <c r="AF101" i="47"/>
  <c r="AF102" i="47"/>
  <c r="AF103" i="47"/>
  <c r="AF104" i="47"/>
  <c r="AF105" i="47"/>
  <c r="AF106" i="47"/>
  <c r="AF107" i="47"/>
  <c r="AF108" i="47"/>
  <c r="J4" i="47"/>
  <c r="K17" i="47"/>
  <c r="H4" i="47"/>
  <c r="G4" i="47"/>
  <c r="I4" i="47"/>
  <c r="J17" i="47"/>
  <c r="H17" i="47"/>
  <c r="L17" i="47"/>
  <c r="J5" i="47"/>
  <c r="K18" i="47"/>
  <c r="H5" i="47"/>
  <c r="G5" i="47"/>
  <c r="I5" i="47"/>
  <c r="J18" i="47"/>
  <c r="H18" i="47"/>
  <c r="L18" i="47"/>
  <c r="J6" i="47"/>
  <c r="K19" i="47"/>
  <c r="H6" i="47"/>
  <c r="G6" i="47"/>
  <c r="I6" i="47"/>
  <c r="J19" i="47"/>
  <c r="H19" i="47"/>
  <c r="L19" i="47"/>
  <c r="J7" i="47"/>
  <c r="K20" i="47"/>
  <c r="Y94" i="47"/>
  <c r="Y95" i="47"/>
  <c r="Y96" i="47"/>
  <c r="Y97" i="47"/>
  <c r="Y98" i="47"/>
  <c r="Y99" i="47"/>
  <c r="Y100" i="47"/>
  <c r="Y101" i="47"/>
  <c r="Y102" i="47"/>
  <c r="Y103" i="47"/>
  <c r="Y104" i="47"/>
  <c r="Y105" i="47"/>
  <c r="Y106" i="47"/>
  <c r="Y107" i="47"/>
  <c r="Y108" i="47"/>
  <c r="X94" i="47"/>
  <c r="X95" i="47"/>
  <c r="X96" i="47"/>
  <c r="X97" i="47"/>
  <c r="X98" i="47"/>
  <c r="X99" i="47"/>
  <c r="X100" i="47"/>
  <c r="X101" i="47"/>
  <c r="X102" i="47"/>
  <c r="X103" i="47"/>
  <c r="X104" i="47"/>
  <c r="X105" i="47"/>
  <c r="X106" i="47"/>
  <c r="X107" i="47"/>
  <c r="X108" i="47"/>
  <c r="AH94" i="47"/>
  <c r="AH95" i="47"/>
  <c r="AH96" i="47"/>
  <c r="AH97" i="47"/>
  <c r="AH98" i="47"/>
  <c r="AH99" i="47"/>
  <c r="AH100" i="47"/>
  <c r="AH101" i="47"/>
  <c r="AH102" i="47"/>
  <c r="AH103" i="47"/>
  <c r="AH104" i="47"/>
  <c r="AH105" i="47"/>
  <c r="AH106" i="47"/>
  <c r="AH107" i="47"/>
  <c r="AH108" i="47"/>
  <c r="AG94" i="47"/>
  <c r="AG95" i="47"/>
  <c r="AG96" i="47"/>
  <c r="AG97" i="47"/>
  <c r="AG98" i="47"/>
  <c r="AG99" i="47"/>
  <c r="AG100" i="47"/>
  <c r="AG101" i="47"/>
  <c r="AG102" i="47"/>
  <c r="AG103" i="47"/>
  <c r="AG104" i="47"/>
  <c r="AG105" i="47"/>
  <c r="AG106" i="47"/>
  <c r="AG107" i="47"/>
  <c r="AG108" i="47"/>
  <c r="H7" i="47"/>
  <c r="G7" i="47"/>
  <c r="I7" i="47"/>
  <c r="J20" i="47"/>
  <c r="H20" i="47"/>
  <c r="L20" i="47"/>
  <c r="J8" i="47"/>
  <c r="K21" i="47"/>
  <c r="H8" i="47"/>
  <c r="G8" i="47"/>
  <c r="I8" i="47"/>
  <c r="J21" i="47"/>
  <c r="H21" i="47"/>
  <c r="L21" i="47"/>
  <c r="J9" i="47"/>
  <c r="K22" i="47"/>
  <c r="H9" i="47"/>
  <c r="G9" i="47"/>
  <c r="I9" i="47"/>
  <c r="J22" i="47"/>
  <c r="H22" i="47"/>
  <c r="L22" i="47"/>
  <c r="J10" i="47"/>
  <c r="K23" i="47"/>
  <c r="H10" i="47"/>
  <c r="G10" i="47"/>
  <c r="I10" i="47"/>
  <c r="J23" i="47"/>
  <c r="H23" i="47"/>
  <c r="L23" i="47"/>
  <c r="J11" i="47"/>
  <c r="K24" i="47"/>
  <c r="H11" i="47"/>
  <c r="G11" i="47"/>
  <c r="I11" i="47"/>
  <c r="J24" i="47"/>
  <c r="H24" i="47"/>
  <c r="L24" i="47"/>
  <c r="J12" i="47"/>
  <c r="K25" i="47"/>
  <c r="H12" i="47"/>
  <c r="G12" i="47"/>
  <c r="I12" i="47"/>
  <c r="J25" i="47"/>
  <c r="H25" i="47"/>
  <c r="L25" i="47"/>
  <c r="M17" i="47"/>
  <c r="N17" i="47" a="1"/>
  <c r="N17" i="47"/>
  <c r="O17" i="47"/>
  <c r="C17" i="47"/>
  <c r="E30" i="47" a="1"/>
  <c r="E30" i="47"/>
  <c r="F30" i="47" a="1"/>
  <c r="F30" i="47"/>
  <c r="G30" i="47" a="1"/>
  <c r="H30" i="47" a="1"/>
  <c r="I30" i="47" a="1"/>
  <c r="J30" i="47" a="1"/>
  <c r="K30" i="47" a="1"/>
  <c r="L30" i="47" a="1"/>
  <c r="P17" i="47"/>
  <c r="M30" i="47" a="1"/>
  <c r="N30" i="47" a="1"/>
  <c r="O30" i="47" a="1"/>
  <c r="P30" i="47" a="1"/>
  <c r="Q30" i="47" a="1"/>
  <c r="R30" i="47" a="1"/>
  <c r="S30" i="47" a="1"/>
  <c r="T30" i="47" a="1"/>
  <c r="Q17" i="47"/>
  <c r="U30" i="47" a="1"/>
  <c r="V30" i="47" a="1"/>
  <c r="W30" i="47" a="1"/>
  <c r="X30" i="47" a="1"/>
  <c r="Y30" i="47" a="1"/>
  <c r="Z30" i="47" a="1"/>
  <c r="AA30" i="47" a="1"/>
  <c r="AB30" i="47" a="1"/>
  <c r="R17" i="47"/>
  <c r="AC30" i="47" a="1"/>
  <c r="AD30" i="47" a="1"/>
  <c r="AE30" i="47" a="1"/>
  <c r="AF30" i="47" a="1"/>
  <c r="AG30" i="47" a="1"/>
  <c r="AH30" i="47" a="1"/>
  <c r="AI30" i="47" a="1"/>
  <c r="AJ30" i="47" a="1"/>
  <c r="S17" i="47"/>
  <c r="AK30" i="47" a="1"/>
  <c r="AL30" i="47" a="1"/>
  <c r="AM30" i="47" a="1"/>
  <c r="AN30" i="47" a="1"/>
  <c r="AO30" i="47" a="1"/>
  <c r="AP30" i="47" a="1"/>
  <c r="AQ30" i="47" a="1"/>
  <c r="AR30" i="47" a="1"/>
  <c r="T17" i="47"/>
  <c r="AS30" i="47" a="1"/>
  <c r="AT30" i="47" a="1"/>
  <c r="AU30" i="47" a="1"/>
  <c r="AV30" i="47" a="1"/>
  <c r="AW30" i="47" a="1"/>
  <c r="AX30" i="47" a="1"/>
  <c r="AY30" i="47" a="1"/>
  <c r="AZ30" i="47" a="1"/>
  <c r="U17" i="47"/>
  <c r="BA30" i="47" a="1"/>
  <c r="BB30" i="47" a="1"/>
  <c r="BC30" i="47" a="1"/>
  <c r="BD30" i="47" a="1"/>
  <c r="BE30" i="47" a="1"/>
  <c r="BF30" i="47" a="1"/>
  <c r="BG30" i="47" a="1"/>
  <c r="BH30" i="47" a="1"/>
  <c r="V17" i="47"/>
  <c r="BI30" i="47" a="1"/>
  <c r="BJ30" i="47" a="1"/>
  <c r="BK30" i="47" a="1"/>
  <c r="BL30" i="47" a="1"/>
  <c r="BM30" i="47" a="1"/>
  <c r="BN30" i="47" a="1"/>
  <c r="BO30" i="47" a="1"/>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M18" i="47"/>
  <c r="N18" i="47" a="1"/>
  <c r="N18" i="47"/>
  <c r="O18" i="47"/>
  <c r="C18" i="47"/>
  <c r="E31" i="47" a="1"/>
  <c r="E31" i="47"/>
  <c r="F31" i="47" a="1"/>
  <c r="F31" i="47"/>
  <c r="G31" i="47" a="1"/>
  <c r="H31" i="47" a="1"/>
  <c r="I31" i="47" a="1"/>
  <c r="J31" i="47" a="1"/>
  <c r="K31" i="47" a="1"/>
  <c r="L31" i="47" a="1"/>
  <c r="P18" i="47"/>
  <c r="M31" i="47" a="1"/>
  <c r="N31" i="47" a="1"/>
  <c r="O31" i="47" a="1"/>
  <c r="P31" i="47" a="1"/>
  <c r="Q31" i="47" a="1"/>
  <c r="R31" i="47" a="1"/>
  <c r="S31" i="47" a="1"/>
  <c r="T31" i="47" a="1"/>
  <c r="Q18" i="47"/>
  <c r="U31" i="47" a="1"/>
  <c r="V31" i="47" a="1"/>
  <c r="W31" i="47" a="1"/>
  <c r="X31" i="47" a="1"/>
  <c r="Y31" i="47" a="1"/>
  <c r="Z31" i="47" a="1"/>
  <c r="AA31" i="47" a="1"/>
  <c r="AB31" i="47" a="1"/>
  <c r="R18" i="47"/>
  <c r="AC31" i="47" a="1"/>
  <c r="AD31" i="47" a="1"/>
  <c r="AE31" i="47" a="1"/>
  <c r="AF31" i="47" a="1"/>
  <c r="AG31" i="47" a="1"/>
  <c r="AH31" i="47" a="1"/>
  <c r="AI31" i="47" a="1"/>
  <c r="AJ31" i="47" a="1"/>
  <c r="S18" i="47"/>
  <c r="AK31" i="47" a="1"/>
  <c r="AL31" i="47" a="1"/>
  <c r="AM31" i="47" a="1"/>
  <c r="AN31" i="47" a="1"/>
  <c r="AO31" i="47" a="1"/>
  <c r="AP31" i="47" a="1"/>
  <c r="AQ31" i="47" a="1"/>
  <c r="AR31" i="47" a="1"/>
  <c r="T18" i="47"/>
  <c r="AS31" i="47" a="1"/>
  <c r="AT31" i="47" a="1"/>
  <c r="AU31" i="47" a="1"/>
  <c r="AV31" i="47" a="1"/>
  <c r="AW31" i="47" a="1"/>
  <c r="AX31" i="47" a="1"/>
  <c r="AY31" i="47" a="1"/>
  <c r="AZ31" i="47" a="1"/>
  <c r="U18" i="47"/>
  <c r="BA31" i="47" a="1"/>
  <c r="BB31" i="47" a="1"/>
  <c r="BC31" i="47" a="1"/>
  <c r="BD31" i="47" a="1"/>
  <c r="BE31" i="47" a="1"/>
  <c r="BF31" i="47" a="1"/>
  <c r="BG31" i="47" a="1"/>
  <c r="BH31" i="47" a="1"/>
  <c r="V18" i="47"/>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M19" i="47"/>
  <c r="N19" i="47" a="1"/>
  <c r="N19" i="47"/>
  <c r="O19" i="47"/>
  <c r="C19" i="47"/>
  <c r="E32" i="47" a="1"/>
  <c r="E32" i="47"/>
  <c r="F32" i="47" a="1"/>
  <c r="F32" i="47"/>
  <c r="G32" i="47" a="1"/>
  <c r="H32" i="47" a="1"/>
  <c r="I32" i="47" a="1"/>
  <c r="J32" i="47" a="1"/>
  <c r="K32" i="47" a="1"/>
  <c r="L32" i="47" a="1"/>
  <c r="P19" i="47"/>
  <c r="M32" i="47" a="1"/>
  <c r="N32" i="47" a="1"/>
  <c r="O32" i="47" a="1"/>
  <c r="P32" i="47" a="1"/>
  <c r="Q32" i="47" a="1"/>
  <c r="R32" i="47" a="1"/>
  <c r="S32" i="47" a="1"/>
  <c r="T32" i="47" a="1"/>
  <c r="Q19" i="47"/>
  <c r="U32" i="47" a="1"/>
  <c r="V32" i="47" a="1"/>
  <c r="W32" i="47" a="1"/>
  <c r="X32" i="47" a="1"/>
  <c r="Y32" i="47" a="1"/>
  <c r="Z32" i="47" a="1"/>
  <c r="AA32" i="47" a="1"/>
  <c r="AB32" i="47" a="1"/>
  <c r="R19" i="47"/>
  <c r="AC32" i="47" a="1"/>
  <c r="AD32" i="47" a="1"/>
  <c r="AE32" i="47" a="1"/>
  <c r="AF32" i="47" a="1"/>
  <c r="AG32" i="47" a="1"/>
  <c r="AH32" i="47" a="1"/>
  <c r="AI32" i="47" a="1"/>
  <c r="AJ32" i="47" a="1"/>
  <c r="S19" i="47"/>
  <c r="AK32" i="47" a="1"/>
  <c r="AL32" i="47" a="1"/>
  <c r="AM32" i="47" a="1"/>
  <c r="AN32" i="47" a="1"/>
  <c r="AO32" i="47" a="1"/>
  <c r="AP32" i="47" a="1"/>
  <c r="AQ32" i="47" a="1"/>
  <c r="AR32" i="47" a="1"/>
  <c r="T19" i="47"/>
  <c r="AS32" i="47" a="1"/>
  <c r="AT32" i="47" a="1"/>
  <c r="AU32" i="47" a="1"/>
  <c r="AV32" i="47" a="1"/>
  <c r="AW32" i="47" a="1"/>
  <c r="AX32" i="47" a="1"/>
  <c r="AY32" i="47" a="1"/>
  <c r="AZ32" i="47" a="1"/>
  <c r="U19" i="47"/>
  <c r="BA32" i="47" a="1"/>
  <c r="BB32" i="47" a="1"/>
  <c r="BC32" i="47" a="1"/>
  <c r="BD32" i="47" a="1"/>
  <c r="BE32" i="47" a="1"/>
  <c r="BF32" i="47" a="1"/>
  <c r="BG32" i="47" a="1"/>
  <c r="BH32" i="47" a="1"/>
  <c r="V19" i="47"/>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C5" i="47"/>
  <c r="C6" i="47"/>
  <c r="AM36" i="39"/>
  <c r="AM37" i="39"/>
  <c r="AM38" i="39"/>
  <c r="E64" i="9"/>
  <c r="AL40" i="39"/>
  <c r="AM41" i="39"/>
  <c r="AM42" i="39"/>
  <c r="AM44" i="39"/>
  <c r="AH44" i="39"/>
  <c r="Q64" i="44"/>
  <c r="F4" i="44"/>
  <c r="E16" i="9"/>
  <c r="U18" i="39"/>
  <c r="AG18" i="39"/>
  <c r="U26" i="39"/>
  <c r="AG26" i="39"/>
  <c r="U34" i="39"/>
  <c r="AG34" i="39"/>
  <c r="U42" i="39"/>
  <c r="AG42" i="39"/>
  <c r="I12" i="39"/>
  <c r="V64" i="44"/>
  <c r="AH45" i="39"/>
  <c r="K12" i="39"/>
  <c r="AA64" i="44"/>
  <c r="AH36" i="39"/>
  <c r="I13" i="39"/>
  <c r="V65" i="44"/>
  <c r="AH28" i="39"/>
  <c r="I14" i="39"/>
  <c r="V66" i="44"/>
  <c r="AH20" i="39"/>
  <c r="I15" i="39"/>
  <c r="V67" i="44"/>
  <c r="AH12" i="39"/>
  <c r="I16" i="39"/>
  <c r="V68" i="44"/>
  <c r="AH37" i="39"/>
  <c r="I17" i="39"/>
  <c r="V69" i="44"/>
  <c r="AH29" i="39"/>
  <c r="I18" i="39"/>
  <c r="V70" i="44"/>
  <c r="AH21" i="39"/>
  <c r="I19" i="39"/>
  <c r="V71" i="44"/>
  <c r="AH13" i="39"/>
  <c r="I20" i="39"/>
  <c r="V72" i="44"/>
  <c r="AH39" i="39"/>
  <c r="I21" i="39"/>
  <c r="V73" i="44"/>
  <c r="AH31" i="39"/>
  <c r="I22" i="39"/>
  <c r="V74" i="44"/>
  <c r="AH23" i="39"/>
  <c r="I23" i="39"/>
  <c r="V75" i="44"/>
  <c r="AH15" i="39"/>
  <c r="I24" i="39"/>
  <c r="V76" i="44"/>
  <c r="AH38" i="39"/>
  <c r="I25" i="39"/>
  <c r="V77" i="44"/>
  <c r="AH30" i="39"/>
  <c r="I26" i="39"/>
  <c r="V78" i="44"/>
  <c r="AH22" i="39"/>
  <c r="I27" i="39"/>
  <c r="V79" i="44"/>
  <c r="AH14" i="39"/>
  <c r="I28" i="39"/>
  <c r="V80" i="44"/>
  <c r="I29" i="39"/>
  <c r="V81" i="44"/>
  <c r="I30" i="39"/>
  <c r="V82" i="44"/>
  <c r="I31" i="39"/>
  <c r="V83" i="44"/>
  <c r="I32" i="39"/>
  <c r="V84" i="44"/>
  <c r="I33" i="39"/>
  <c r="V85" i="44"/>
  <c r="I34" i="39"/>
  <c r="V86" i="44"/>
  <c r="I35" i="39"/>
  <c r="V87" i="44"/>
  <c r="I36" i="39"/>
  <c r="V88" i="44"/>
  <c r="K13" i="39"/>
  <c r="AA65" i="44"/>
  <c r="K14" i="39"/>
  <c r="AA66" i="44"/>
  <c r="K15" i="39"/>
  <c r="AA67" i="44"/>
  <c r="K16" i="39"/>
  <c r="AA68" i="44"/>
  <c r="K17" i="39"/>
  <c r="AA69" i="44"/>
  <c r="K18" i="39"/>
  <c r="AA70" i="44"/>
  <c r="K19" i="39"/>
  <c r="AA71" i="44"/>
  <c r="K20" i="39"/>
  <c r="AA72" i="44"/>
  <c r="K21" i="39"/>
  <c r="AA73" i="44"/>
  <c r="K22" i="39"/>
  <c r="AA74" i="44"/>
  <c r="K23" i="39"/>
  <c r="AA75" i="44"/>
  <c r="K24" i="39"/>
  <c r="AA76" i="44"/>
  <c r="K25" i="39"/>
  <c r="AA77" i="44"/>
  <c r="K26" i="39"/>
  <c r="AA78" i="44"/>
  <c r="K27" i="39"/>
  <c r="AA79" i="44"/>
  <c r="K28" i="39"/>
  <c r="AA80" i="44"/>
  <c r="K29" i="39"/>
  <c r="AA81" i="44"/>
  <c r="K30" i="39"/>
  <c r="AA82" i="44"/>
  <c r="K31" i="39"/>
  <c r="AA83" i="44"/>
  <c r="K32" i="39"/>
  <c r="AA84" i="44"/>
  <c r="K33" i="39"/>
  <c r="AA85" i="44"/>
  <c r="K34" i="39"/>
  <c r="AA86" i="44"/>
  <c r="K35" i="39"/>
  <c r="AA87" i="44"/>
  <c r="K36" i="39"/>
  <c r="AA88" i="44"/>
  <c r="W64" i="44"/>
  <c r="W65" i="44"/>
  <c r="W66" i="44"/>
  <c r="W67" i="44"/>
  <c r="W68" i="44"/>
  <c r="W69" i="44"/>
  <c r="W70" i="44"/>
  <c r="W71" i="44"/>
  <c r="W72" i="44"/>
  <c r="W73" i="44"/>
  <c r="W74" i="44"/>
  <c r="W75" i="44"/>
  <c r="W76" i="44"/>
  <c r="W77" i="44"/>
  <c r="W78" i="44"/>
  <c r="W79" i="44"/>
  <c r="W80" i="44"/>
  <c r="W81" i="44"/>
  <c r="W82" i="44"/>
  <c r="W83" i="44"/>
  <c r="W84" i="44"/>
  <c r="W85" i="44"/>
  <c r="W86" i="44"/>
  <c r="W87" i="44"/>
  <c r="W88" i="44"/>
  <c r="K4" i="44"/>
  <c r="Q65" i="44"/>
  <c r="F5" i="44"/>
  <c r="K5" i="44"/>
  <c r="K6" i="44"/>
  <c r="K7" i="44"/>
  <c r="K8" i="44"/>
  <c r="K9" i="44"/>
  <c r="K10" i="44"/>
  <c r="K11" i="44"/>
  <c r="K12" i="44"/>
  <c r="K13" i="44"/>
  <c r="U45" i="39"/>
  <c r="Q64" i="43"/>
  <c r="F4" i="43"/>
  <c r="V64" i="43"/>
  <c r="AA64" i="43"/>
  <c r="V65" i="43"/>
  <c r="V66" i="43"/>
  <c r="V67" i="43"/>
  <c r="V68" i="43"/>
  <c r="V69" i="43"/>
  <c r="V70" i="43"/>
  <c r="V71" i="43"/>
  <c r="V72" i="43"/>
  <c r="V73" i="43"/>
  <c r="V74" i="43"/>
  <c r="V75" i="43"/>
  <c r="V76" i="43"/>
  <c r="V77" i="43"/>
  <c r="V78" i="43"/>
  <c r="V79" i="43"/>
  <c r="V80" i="43"/>
  <c r="V81" i="43"/>
  <c r="V82" i="43"/>
  <c r="V83" i="43"/>
  <c r="V84" i="43"/>
  <c r="V85" i="43"/>
  <c r="V86" i="43"/>
  <c r="V87" i="43"/>
  <c r="V88" i="43"/>
  <c r="AA65" i="43"/>
  <c r="AA66" i="43"/>
  <c r="AA67" i="43"/>
  <c r="AA68" i="43"/>
  <c r="AA69" i="43"/>
  <c r="AA70" i="43"/>
  <c r="AA71" i="43"/>
  <c r="AA72" i="43"/>
  <c r="AA73" i="43"/>
  <c r="AA74" i="43"/>
  <c r="AA75" i="43"/>
  <c r="AA76" i="43"/>
  <c r="AA77" i="43"/>
  <c r="AA78" i="43"/>
  <c r="AA79" i="43"/>
  <c r="AA80" i="43"/>
  <c r="AA81" i="43"/>
  <c r="AA82" i="43"/>
  <c r="AA83" i="43"/>
  <c r="AA84" i="43"/>
  <c r="AA85" i="43"/>
  <c r="AA86" i="43"/>
  <c r="AA87" i="43"/>
  <c r="AA88" i="43"/>
  <c r="W64" i="43"/>
  <c r="W65" i="43"/>
  <c r="W66" i="43"/>
  <c r="W67" i="43"/>
  <c r="W68" i="43"/>
  <c r="W69" i="43"/>
  <c r="W70" i="43"/>
  <c r="W71" i="43"/>
  <c r="W72" i="43"/>
  <c r="W73" i="43"/>
  <c r="W74" i="43"/>
  <c r="W75" i="43"/>
  <c r="W76" i="43"/>
  <c r="W77" i="43"/>
  <c r="W78" i="43"/>
  <c r="W79" i="43"/>
  <c r="W80" i="43"/>
  <c r="W81" i="43"/>
  <c r="W82" i="43"/>
  <c r="W83" i="43"/>
  <c r="W84" i="43"/>
  <c r="W85" i="43"/>
  <c r="W86" i="43"/>
  <c r="W87" i="43"/>
  <c r="W88" i="43"/>
  <c r="K4" i="43"/>
  <c r="Q65" i="43"/>
  <c r="F5" i="43"/>
  <c r="K5" i="43"/>
  <c r="Q66" i="43"/>
  <c r="F6" i="43"/>
  <c r="K6" i="43"/>
  <c r="Q67" i="43"/>
  <c r="F7" i="43"/>
  <c r="K7" i="43"/>
  <c r="K8" i="43"/>
  <c r="K9" i="43"/>
  <c r="K10" i="43"/>
  <c r="K11" i="43"/>
  <c r="K12" i="43"/>
  <c r="K13" i="43"/>
  <c r="C17" i="43"/>
  <c r="AE64" i="43"/>
  <c r="AE65" i="43"/>
  <c r="X66" i="43"/>
  <c r="Y66" i="43"/>
  <c r="AG66" i="43"/>
  <c r="AH66" i="43"/>
  <c r="AE66" i="43"/>
  <c r="X67" i="43"/>
  <c r="Y67" i="43"/>
  <c r="AG67" i="43"/>
  <c r="AH67" i="43"/>
  <c r="AE67" i="43"/>
  <c r="X68" i="43"/>
  <c r="Y68" i="43"/>
  <c r="AG68" i="43"/>
  <c r="AH68" i="43"/>
  <c r="AE68" i="43"/>
  <c r="X69" i="43"/>
  <c r="Y69" i="43"/>
  <c r="AG69" i="43"/>
  <c r="AH69" i="43"/>
  <c r="AE69" i="43"/>
  <c r="X70" i="43"/>
  <c r="Y70" i="43"/>
  <c r="AG70" i="43"/>
  <c r="AH70" i="43"/>
  <c r="AE70" i="43"/>
  <c r="X71" i="43"/>
  <c r="Y71" i="43"/>
  <c r="AG71" i="43"/>
  <c r="AH71" i="43"/>
  <c r="AE71" i="43"/>
  <c r="X72" i="43"/>
  <c r="Y72" i="43"/>
  <c r="AG72" i="43"/>
  <c r="AH72" i="43"/>
  <c r="AE72" i="43"/>
  <c r="AE73" i="43"/>
  <c r="X74" i="43"/>
  <c r="Y74" i="43"/>
  <c r="AG74" i="43"/>
  <c r="AH74" i="43"/>
  <c r="AE74" i="43"/>
  <c r="X75" i="43"/>
  <c r="Y75" i="43"/>
  <c r="AG75" i="43"/>
  <c r="AH75" i="43"/>
  <c r="AE75" i="43"/>
  <c r="X76" i="43"/>
  <c r="Y76" i="43"/>
  <c r="AG76" i="43"/>
  <c r="AH76" i="43"/>
  <c r="AE76" i="43"/>
  <c r="X77" i="43"/>
  <c r="Y77" i="43"/>
  <c r="AG77" i="43"/>
  <c r="AH77" i="43"/>
  <c r="AE77" i="43"/>
  <c r="X78" i="43"/>
  <c r="Y78" i="43"/>
  <c r="AG78" i="43"/>
  <c r="AH78" i="43"/>
  <c r="AE78" i="43"/>
  <c r="X79" i="43"/>
  <c r="Y79" i="43"/>
  <c r="AG79" i="43"/>
  <c r="AH79" i="43"/>
  <c r="AE79" i="43"/>
  <c r="X80" i="43"/>
  <c r="Y80" i="43"/>
  <c r="AG80" i="43"/>
  <c r="AH80" i="43"/>
  <c r="AE80" i="43"/>
  <c r="AE81" i="43"/>
  <c r="X82" i="43"/>
  <c r="Y82" i="43"/>
  <c r="AG82" i="43"/>
  <c r="AH82" i="43"/>
  <c r="AE82" i="43"/>
  <c r="X83" i="43"/>
  <c r="Y83" i="43"/>
  <c r="AG83" i="43"/>
  <c r="AH83" i="43"/>
  <c r="AE83" i="43"/>
  <c r="X84" i="43"/>
  <c r="Y84" i="43"/>
  <c r="AG84" i="43"/>
  <c r="AH84" i="43"/>
  <c r="AE84" i="43"/>
  <c r="X85" i="43"/>
  <c r="Y85" i="43"/>
  <c r="AG85" i="43"/>
  <c r="AH85" i="43"/>
  <c r="AE85" i="43"/>
  <c r="X86" i="43"/>
  <c r="Y86" i="43"/>
  <c r="AG86" i="43"/>
  <c r="AH86" i="43"/>
  <c r="AE86" i="43"/>
  <c r="X87" i="43"/>
  <c r="Y87" i="43"/>
  <c r="AG87" i="43"/>
  <c r="AH87" i="43"/>
  <c r="AE87" i="43"/>
  <c r="X88" i="43"/>
  <c r="Y88" i="43"/>
  <c r="AG88" i="43"/>
  <c r="AH88" i="43"/>
  <c r="AE88" i="43"/>
  <c r="AF64" i="43"/>
  <c r="AF65" i="43"/>
  <c r="AF66" i="43"/>
  <c r="AF67" i="43"/>
  <c r="AF68" i="43"/>
  <c r="AF69" i="43"/>
  <c r="AF70" i="43"/>
  <c r="AF71" i="43"/>
  <c r="AF72" i="43"/>
  <c r="AF73" i="43"/>
  <c r="AF74" i="43"/>
  <c r="AF75" i="43"/>
  <c r="AF76" i="43"/>
  <c r="AF77" i="43"/>
  <c r="AF78" i="43"/>
  <c r="AF79" i="43"/>
  <c r="AF80" i="43"/>
  <c r="AF81" i="43"/>
  <c r="AF82" i="43"/>
  <c r="AF83" i="43"/>
  <c r="AF84" i="43"/>
  <c r="AF85" i="43"/>
  <c r="AF86" i="43"/>
  <c r="AF87" i="43"/>
  <c r="AF88" i="43"/>
  <c r="J4" i="43"/>
  <c r="K17" i="43"/>
  <c r="X65" i="43"/>
  <c r="AG65" i="43"/>
  <c r="G4" i="43"/>
  <c r="Y65" i="43"/>
  <c r="AH65" i="43"/>
  <c r="H4" i="43"/>
  <c r="I4" i="43"/>
  <c r="J17" i="43"/>
  <c r="L17" i="43"/>
  <c r="C18" i="43"/>
  <c r="J5" i="43"/>
  <c r="K18" i="43"/>
  <c r="Y73" i="43"/>
  <c r="AH73" i="43"/>
  <c r="G5" i="43"/>
  <c r="X73" i="43"/>
  <c r="AG73" i="43"/>
  <c r="H5" i="43"/>
  <c r="I5" i="43"/>
  <c r="J18" i="43"/>
  <c r="L18" i="43"/>
  <c r="C19" i="43"/>
  <c r="J6" i="43"/>
  <c r="K19" i="43"/>
  <c r="Y81" i="43"/>
  <c r="AH81" i="43"/>
  <c r="G6" i="43"/>
  <c r="X81" i="43"/>
  <c r="AG81" i="43"/>
  <c r="H6" i="43"/>
  <c r="I6" i="43"/>
  <c r="J19" i="43"/>
  <c r="L19" i="43"/>
  <c r="C20" i="43"/>
  <c r="L20" i="43"/>
  <c r="M17" i="43"/>
  <c r="N17" i="43" a="1"/>
  <c r="N17" i="43"/>
  <c r="O17" i="43"/>
  <c r="E30" i="43" a="1"/>
  <c r="E30" i="43"/>
  <c r="F30" i="43" a="1"/>
  <c r="F30" i="43"/>
  <c r="G30" i="43" a="1"/>
  <c r="H30" i="43" a="1"/>
  <c r="I30" i="43" a="1"/>
  <c r="J30" i="43" a="1"/>
  <c r="K30" i="43" a="1"/>
  <c r="L30" i="43" a="1"/>
  <c r="P17" i="43"/>
  <c r="M30" i="43" a="1"/>
  <c r="N30" i="43" a="1"/>
  <c r="O30" i="43" a="1"/>
  <c r="P30" i="43" a="1"/>
  <c r="Q30" i="43" a="1"/>
  <c r="R30" i="43" a="1"/>
  <c r="S30" i="43" a="1"/>
  <c r="T30" i="43" a="1"/>
  <c r="Q17" i="43"/>
  <c r="U30" i="43" a="1"/>
  <c r="V30" i="43" a="1"/>
  <c r="W30" i="43" a="1"/>
  <c r="X30" i="43" a="1"/>
  <c r="Y30" i="43" a="1"/>
  <c r="Z30" i="43" a="1"/>
  <c r="AA30" i="43" a="1"/>
  <c r="AB30" i="43" a="1"/>
  <c r="R17" i="43"/>
  <c r="AC30" i="43" a="1"/>
  <c r="AD30" i="43" a="1"/>
  <c r="AE30" i="43" a="1"/>
  <c r="AF30" i="43" a="1"/>
  <c r="AG30" i="43" a="1"/>
  <c r="AH30" i="43" a="1"/>
  <c r="AI30" i="43" a="1"/>
  <c r="AJ30" i="43" a="1"/>
  <c r="S17" i="43"/>
  <c r="AK30" i="43" a="1"/>
  <c r="AL30" i="43" a="1"/>
  <c r="AM30" i="43" a="1"/>
  <c r="AN30" i="43" a="1"/>
  <c r="AO30" i="43" a="1"/>
  <c r="AP30" i="43" a="1"/>
  <c r="AQ30" i="43" a="1"/>
  <c r="AR30" i="43" a="1"/>
  <c r="T17" i="43"/>
  <c r="AS30" i="43" a="1"/>
  <c r="AT30" i="43" a="1"/>
  <c r="AU30" i="43" a="1"/>
  <c r="AV30" i="43" a="1"/>
  <c r="AW30" i="43" a="1"/>
  <c r="AX30" i="43" a="1"/>
  <c r="AY30" i="43" a="1"/>
  <c r="AZ30" i="43" a="1"/>
  <c r="U17" i="43"/>
  <c r="BA30" i="43" a="1"/>
  <c r="BB30" i="43" a="1"/>
  <c r="BC30" i="43" a="1"/>
  <c r="BD30" i="43" a="1"/>
  <c r="BE30" i="43" a="1"/>
  <c r="BF30" i="43" a="1"/>
  <c r="BG30" i="43" a="1"/>
  <c r="BH30" i="43" a="1"/>
  <c r="V17" i="43"/>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W17" i="43"/>
  <c r="M18" i="43"/>
  <c r="N18" i="43" a="1"/>
  <c r="N18" i="43"/>
  <c r="O18" i="43"/>
  <c r="E31" i="43" a="1"/>
  <c r="E31" i="43"/>
  <c r="F31" i="43" a="1"/>
  <c r="F31" i="43"/>
  <c r="G31" i="43" a="1"/>
  <c r="H31" i="43" a="1"/>
  <c r="I31" i="43" a="1"/>
  <c r="J31" i="43" a="1"/>
  <c r="K31" i="43" a="1"/>
  <c r="L31" i="43" a="1"/>
  <c r="P18" i="43"/>
  <c r="M31" i="43" a="1"/>
  <c r="N31" i="43" a="1"/>
  <c r="O31" i="43" a="1"/>
  <c r="P31" i="43" a="1"/>
  <c r="Q31" i="43" a="1"/>
  <c r="R31" i="43" a="1"/>
  <c r="S31" i="43" a="1"/>
  <c r="T31" i="43" a="1"/>
  <c r="Q18" i="43"/>
  <c r="U31" i="43" a="1"/>
  <c r="V31" i="43" a="1"/>
  <c r="W31" i="43" a="1"/>
  <c r="X31" i="43" a="1"/>
  <c r="Y31" i="43" a="1"/>
  <c r="Z31" i="43" a="1"/>
  <c r="AA31" i="43" a="1"/>
  <c r="AB31" i="43" a="1"/>
  <c r="R18" i="43"/>
  <c r="AC31" i="43" a="1"/>
  <c r="AD31" i="43" a="1"/>
  <c r="AE31" i="43" a="1"/>
  <c r="AF31" i="43" a="1"/>
  <c r="AG31" i="43" a="1"/>
  <c r="AH31" i="43" a="1"/>
  <c r="AI31" i="43" a="1"/>
  <c r="AJ31" i="43" a="1"/>
  <c r="S18" i="43"/>
  <c r="AK31" i="43" a="1"/>
  <c r="AL31" i="43" a="1"/>
  <c r="AM31" i="43" a="1"/>
  <c r="AN31" i="43" a="1"/>
  <c r="AO31" i="43" a="1"/>
  <c r="AP31" i="43" a="1"/>
  <c r="AQ31" i="43" a="1"/>
  <c r="AR31" i="43" a="1"/>
  <c r="T18" i="43"/>
  <c r="AS31" i="43" a="1"/>
  <c r="AT31" i="43" a="1"/>
  <c r="AU31" i="43" a="1"/>
  <c r="AV31" i="43" a="1"/>
  <c r="AW31" i="43" a="1"/>
  <c r="AX31" i="43" a="1"/>
  <c r="AY31" i="43" a="1"/>
  <c r="AZ31" i="43" a="1"/>
  <c r="U18" i="43"/>
  <c r="BA31" i="43" a="1"/>
  <c r="BB31" i="43" a="1"/>
  <c r="BC31" i="43" a="1"/>
  <c r="BD31" i="43" a="1"/>
  <c r="BE31" i="43" a="1"/>
  <c r="BF31" i="43" a="1"/>
  <c r="BG31" i="43" a="1"/>
  <c r="BH31" i="43" a="1"/>
  <c r="V18" i="43"/>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W18" i="43"/>
  <c r="M19" i="43"/>
  <c r="N19" i="43" a="1"/>
  <c r="N19" i="43"/>
  <c r="O19" i="43"/>
  <c r="E32" i="43" a="1"/>
  <c r="E32" i="43"/>
  <c r="F32" i="43" a="1"/>
  <c r="F32" i="43"/>
  <c r="G32" i="43" a="1"/>
  <c r="H32" i="43" a="1"/>
  <c r="I32" i="43" a="1"/>
  <c r="J32" i="43" a="1"/>
  <c r="K32" i="43" a="1"/>
  <c r="L32" i="43" a="1"/>
  <c r="P19" i="43"/>
  <c r="M32" i="43" a="1"/>
  <c r="N32" i="43" a="1"/>
  <c r="O32" i="43" a="1"/>
  <c r="P32" i="43" a="1"/>
  <c r="Q32" i="43" a="1"/>
  <c r="R32" i="43" a="1"/>
  <c r="S32" i="43" a="1"/>
  <c r="T32" i="43" a="1"/>
  <c r="Q19" i="43"/>
  <c r="U32" i="43" a="1"/>
  <c r="V32" i="43" a="1"/>
  <c r="W32" i="43" a="1"/>
  <c r="X32" i="43" a="1"/>
  <c r="Y32" i="43" a="1"/>
  <c r="Z32" i="43" a="1"/>
  <c r="AA32" i="43" a="1"/>
  <c r="AB32" i="43" a="1"/>
  <c r="R19" i="43"/>
  <c r="AC32" i="43" a="1"/>
  <c r="AD32" i="43" a="1"/>
  <c r="AE32" i="43" a="1"/>
  <c r="AF32" i="43" a="1"/>
  <c r="AG32" i="43" a="1"/>
  <c r="AH32" i="43" a="1"/>
  <c r="AI32" i="43" a="1"/>
  <c r="AJ32" i="43" a="1"/>
  <c r="S19" i="43"/>
  <c r="AK32" i="43" a="1"/>
  <c r="AL32" i="43" a="1"/>
  <c r="AM32" i="43" a="1"/>
  <c r="AN32" i="43" a="1"/>
  <c r="AO32" i="43" a="1"/>
  <c r="AP32" i="43" a="1"/>
  <c r="AQ32" i="43" a="1"/>
  <c r="AR32" i="43" a="1"/>
  <c r="T19" i="43"/>
  <c r="AS32" i="43" a="1"/>
  <c r="AT32" i="43" a="1"/>
  <c r="AU32" i="43" a="1"/>
  <c r="AV32" i="43" a="1"/>
  <c r="AW32" i="43" a="1"/>
  <c r="AX32" i="43" a="1"/>
  <c r="AY32" i="43" a="1"/>
  <c r="AZ32" i="43" a="1"/>
  <c r="U19" i="43"/>
  <c r="BA32" i="43" a="1"/>
  <c r="BB32" i="43" a="1"/>
  <c r="BC32" i="43" a="1"/>
  <c r="BD32" i="43" a="1"/>
  <c r="BE32" i="43" a="1"/>
  <c r="BF32" i="43" a="1"/>
  <c r="BG32" i="43" a="1"/>
  <c r="BH32" i="43" a="1"/>
  <c r="V19" i="43"/>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W19" i="43"/>
  <c r="W20" i="43"/>
  <c r="I38" i="49"/>
  <c r="K38" i="49"/>
  <c r="AC38" i="49"/>
  <c r="AD38" i="49"/>
  <c r="U38" i="49"/>
  <c r="I39" i="49"/>
  <c r="K39" i="49"/>
  <c r="AC39" i="49"/>
  <c r="AD39" i="49"/>
  <c r="U39" i="49"/>
  <c r="I40" i="49"/>
  <c r="K40" i="49"/>
  <c r="AC40" i="49"/>
  <c r="AD40" i="49"/>
  <c r="U40" i="49"/>
  <c r="I41" i="49"/>
  <c r="K41" i="49"/>
  <c r="AC41" i="49"/>
  <c r="AD41" i="49"/>
  <c r="U41" i="49"/>
  <c r="I42" i="49"/>
  <c r="K42" i="49"/>
  <c r="AC42" i="49"/>
  <c r="AD42" i="49"/>
  <c r="U42" i="49"/>
  <c r="I43" i="49"/>
  <c r="K43" i="49"/>
  <c r="AC43" i="49"/>
  <c r="AD43" i="49"/>
  <c r="U43" i="49"/>
  <c r="AI36" i="39"/>
  <c r="Y17" i="43"/>
  <c r="X17" i="43"/>
  <c r="AI37" i="39"/>
  <c r="Y18" i="43"/>
  <c r="X18" i="43"/>
  <c r="AI38" i="39"/>
  <c r="Y19" i="43"/>
  <c r="X19" i="43"/>
  <c r="AI39" i="39"/>
  <c r="Y20" i="43"/>
  <c r="X20" i="43"/>
  <c r="X21" i="43"/>
  <c r="X22" i="43"/>
  <c r="X23" i="43"/>
  <c r="X24" i="43"/>
  <c r="X25" i="43"/>
  <c r="E4" i="43"/>
  <c r="D4" i="43"/>
  <c r="E5" i="43"/>
  <c r="D5" i="43"/>
  <c r="E6" i="43"/>
  <c r="D6" i="43"/>
  <c r="E7" i="43"/>
  <c r="D7" i="43"/>
  <c r="E8" i="43"/>
  <c r="D8" i="43"/>
  <c r="E9" i="43"/>
  <c r="D9" i="43"/>
  <c r="E10" i="43"/>
  <c r="D10" i="43"/>
  <c r="E11" i="43"/>
  <c r="D11" i="43"/>
  <c r="E12" i="43"/>
  <c r="D12" i="43"/>
  <c r="C4" i="43"/>
  <c r="C5" i="43"/>
  <c r="C6" i="43"/>
  <c r="C7" i="43"/>
  <c r="C8" i="43"/>
  <c r="C9" i="43"/>
  <c r="C10" i="43"/>
  <c r="C11" i="43"/>
  <c r="C12" i="43"/>
  <c r="U36" i="39"/>
  <c r="U37" i="39"/>
  <c r="U38" i="39"/>
  <c r="U39" i="39"/>
  <c r="Q64" i="42"/>
  <c r="F4" i="42"/>
  <c r="V64" i="42"/>
  <c r="AA64" i="42"/>
  <c r="V65" i="42"/>
  <c r="V66" i="42"/>
  <c r="V67" i="42"/>
  <c r="V68" i="42"/>
  <c r="V69" i="42"/>
  <c r="V70" i="42"/>
  <c r="V71" i="42"/>
  <c r="V72" i="42"/>
  <c r="V73" i="42"/>
  <c r="V74" i="42"/>
  <c r="V75" i="42"/>
  <c r="V76" i="42"/>
  <c r="V77" i="42"/>
  <c r="V78" i="42"/>
  <c r="V79" i="42"/>
  <c r="V80" i="42"/>
  <c r="V81" i="42"/>
  <c r="V82" i="42"/>
  <c r="V83" i="42"/>
  <c r="V84" i="42"/>
  <c r="V85" i="42"/>
  <c r="V86" i="42"/>
  <c r="V87" i="42"/>
  <c r="V88"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W64" i="42"/>
  <c r="W65" i="42"/>
  <c r="W66" i="42"/>
  <c r="W67" i="42"/>
  <c r="W68" i="42"/>
  <c r="W69" i="42"/>
  <c r="W70" i="42"/>
  <c r="W71" i="42"/>
  <c r="W72" i="42"/>
  <c r="W73" i="42"/>
  <c r="W74" i="42"/>
  <c r="W75" i="42"/>
  <c r="W76" i="42"/>
  <c r="W77" i="42"/>
  <c r="W78" i="42"/>
  <c r="W79" i="42"/>
  <c r="W80" i="42"/>
  <c r="W81" i="42"/>
  <c r="W82" i="42"/>
  <c r="W83" i="42"/>
  <c r="W84" i="42"/>
  <c r="W85" i="42"/>
  <c r="W86" i="42"/>
  <c r="W87" i="42"/>
  <c r="W88" i="42"/>
  <c r="K4" i="42"/>
  <c r="Q65" i="42"/>
  <c r="F5" i="42"/>
  <c r="K5" i="42"/>
  <c r="Q66" i="42"/>
  <c r="F6" i="42"/>
  <c r="K6" i="42"/>
  <c r="Q67" i="42"/>
  <c r="F7" i="42"/>
  <c r="K7" i="42"/>
  <c r="K8" i="42"/>
  <c r="K9" i="42"/>
  <c r="K10" i="42"/>
  <c r="K11" i="42"/>
  <c r="K12" i="42"/>
  <c r="K13" i="42"/>
  <c r="C17" i="42"/>
  <c r="AE64" i="42"/>
  <c r="AE65" i="42"/>
  <c r="X66" i="42"/>
  <c r="Y66" i="42"/>
  <c r="AG66" i="42"/>
  <c r="AH66" i="42"/>
  <c r="AE66" i="42"/>
  <c r="X67" i="42"/>
  <c r="Y67" i="42"/>
  <c r="AG67" i="42"/>
  <c r="AH67" i="42"/>
  <c r="AE67" i="42"/>
  <c r="X68" i="42"/>
  <c r="Y68" i="42"/>
  <c r="AG68" i="42"/>
  <c r="AH68" i="42"/>
  <c r="AE68" i="42"/>
  <c r="X69" i="42"/>
  <c r="Y69" i="42"/>
  <c r="AG69" i="42"/>
  <c r="AH69" i="42"/>
  <c r="AE69" i="42"/>
  <c r="X70" i="42"/>
  <c r="Y70" i="42"/>
  <c r="AG70" i="42"/>
  <c r="AH70" i="42"/>
  <c r="AE70" i="42"/>
  <c r="X71" i="42"/>
  <c r="Y71" i="42"/>
  <c r="AG71" i="42"/>
  <c r="AH71" i="42"/>
  <c r="AE71" i="42"/>
  <c r="X72" i="42"/>
  <c r="Y72" i="42"/>
  <c r="AG72" i="42"/>
  <c r="AH72" i="42"/>
  <c r="AE72" i="42"/>
  <c r="AE73" i="42"/>
  <c r="X74" i="42"/>
  <c r="Y74" i="42"/>
  <c r="AG74" i="42"/>
  <c r="AH74" i="42"/>
  <c r="AE74" i="42"/>
  <c r="X75" i="42"/>
  <c r="Y75" i="42"/>
  <c r="AG75" i="42"/>
  <c r="AH75" i="42"/>
  <c r="AE75" i="42"/>
  <c r="X76" i="42"/>
  <c r="Y76" i="42"/>
  <c r="AG76" i="42"/>
  <c r="AH76" i="42"/>
  <c r="AE76" i="42"/>
  <c r="X77" i="42"/>
  <c r="Y77" i="42"/>
  <c r="AG77" i="42"/>
  <c r="AH77" i="42"/>
  <c r="AE77" i="42"/>
  <c r="X78" i="42"/>
  <c r="Y78" i="42"/>
  <c r="AG78" i="42"/>
  <c r="AH78" i="42"/>
  <c r="AE78" i="42"/>
  <c r="X79" i="42"/>
  <c r="Y79" i="42"/>
  <c r="AG79" i="42"/>
  <c r="AH79" i="42"/>
  <c r="AE79" i="42"/>
  <c r="X80" i="42"/>
  <c r="Y80" i="42"/>
  <c r="AG80" i="42"/>
  <c r="AH80" i="42"/>
  <c r="AE80" i="42"/>
  <c r="AE81" i="42"/>
  <c r="X82" i="42"/>
  <c r="Y82" i="42"/>
  <c r="AG82" i="42"/>
  <c r="AH82" i="42"/>
  <c r="AE82" i="42"/>
  <c r="X83" i="42"/>
  <c r="Y83" i="42"/>
  <c r="AG83" i="42"/>
  <c r="AH83" i="42"/>
  <c r="AE83" i="42"/>
  <c r="X84" i="42"/>
  <c r="Y84" i="42"/>
  <c r="AG84" i="42"/>
  <c r="AH84" i="42"/>
  <c r="AE84" i="42"/>
  <c r="X85" i="42"/>
  <c r="Y85" i="42"/>
  <c r="AG85" i="42"/>
  <c r="AH85" i="42"/>
  <c r="AE85" i="42"/>
  <c r="X86" i="42"/>
  <c r="Y86" i="42"/>
  <c r="AG86" i="42"/>
  <c r="AH86" i="42"/>
  <c r="AE86" i="42"/>
  <c r="X87" i="42"/>
  <c r="Y87" i="42"/>
  <c r="AG87" i="42"/>
  <c r="AH87" i="42"/>
  <c r="AE87" i="42"/>
  <c r="X88" i="42"/>
  <c r="Y88" i="42"/>
  <c r="AG88" i="42"/>
  <c r="AH88" i="42"/>
  <c r="AE88"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J4" i="42"/>
  <c r="K17" i="42"/>
  <c r="G4" i="42"/>
  <c r="H4" i="42"/>
  <c r="I4" i="42"/>
  <c r="J17" i="42"/>
  <c r="L17" i="42"/>
  <c r="C18" i="42"/>
  <c r="J5" i="42"/>
  <c r="K18" i="42"/>
  <c r="G5" i="42"/>
  <c r="H5" i="42"/>
  <c r="I5" i="42"/>
  <c r="J18" i="42"/>
  <c r="L18" i="42"/>
  <c r="C19" i="42"/>
  <c r="J6" i="42"/>
  <c r="K19" i="42"/>
  <c r="G6" i="42"/>
  <c r="H6" i="42"/>
  <c r="I6" i="42"/>
  <c r="J19" i="42"/>
  <c r="L19" i="42"/>
  <c r="C20" i="42"/>
  <c r="J7" i="42"/>
  <c r="K20" i="42"/>
  <c r="G7" i="42"/>
  <c r="H7" i="42"/>
  <c r="I7" i="42"/>
  <c r="J20" i="42"/>
  <c r="L20" i="42"/>
  <c r="M17" i="42"/>
  <c r="N17" i="42" a="1"/>
  <c r="N17" i="42"/>
  <c r="O17" i="42"/>
  <c r="E30" i="42" a="1"/>
  <c r="E30" i="42"/>
  <c r="F30" i="42" a="1"/>
  <c r="F30" i="42"/>
  <c r="G30" i="42" a="1"/>
  <c r="H30" i="42" a="1"/>
  <c r="I30" i="42" a="1"/>
  <c r="J30" i="42" a="1"/>
  <c r="K30" i="42" a="1"/>
  <c r="L30" i="42" a="1"/>
  <c r="P17" i="42"/>
  <c r="M30" i="42" a="1"/>
  <c r="N30" i="42" a="1"/>
  <c r="O30" i="42" a="1"/>
  <c r="P30" i="42" a="1"/>
  <c r="Q30" i="42" a="1"/>
  <c r="R30" i="42" a="1"/>
  <c r="S30" i="42" a="1"/>
  <c r="T30" i="42" a="1"/>
  <c r="Q17" i="42"/>
  <c r="U30" i="42" a="1"/>
  <c r="V30" i="42" a="1"/>
  <c r="W30" i="42" a="1"/>
  <c r="X30" i="42" a="1"/>
  <c r="Y30" i="42" a="1"/>
  <c r="Z30" i="42" a="1"/>
  <c r="AA30" i="42" a="1"/>
  <c r="AB30" i="42" a="1"/>
  <c r="R17" i="42"/>
  <c r="AC30" i="42" a="1"/>
  <c r="AD30" i="42" a="1"/>
  <c r="AE30" i="42" a="1"/>
  <c r="AF30" i="42" a="1"/>
  <c r="AG30" i="42" a="1"/>
  <c r="AH30" i="42" a="1"/>
  <c r="AI30" i="42" a="1"/>
  <c r="AJ30" i="42" a="1"/>
  <c r="S17" i="42"/>
  <c r="AK30" i="42" a="1"/>
  <c r="AL30" i="42" a="1"/>
  <c r="AM30" i="42" a="1"/>
  <c r="AN30" i="42" a="1"/>
  <c r="AO30" i="42" a="1"/>
  <c r="AP30" i="42" a="1"/>
  <c r="AQ30" i="42" a="1"/>
  <c r="AR30" i="42" a="1"/>
  <c r="T17" i="42"/>
  <c r="AS30" i="42" a="1"/>
  <c r="AT30" i="42" a="1"/>
  <c r="AU30" i="42" a="1"/>
  <c r="AV30" i="42" a="1"/>
  <c r="AW30" i="42" a="1"/>
  <c r="AX30" i="42" a="1"/>
  <c r="AY30" i="42" a="1"/>
  <c r="AZ30" i="42" a="1"/>
  <c r="U17" i="42"/>
  <c r="BA30" i="42" a="1"/>
  <c r="BB30" i="42" a="1"/>
  <c r="BC30" i="42" a="1"/>
  <c r="BD30" i="42" a="1"/>
  <c r="BE30" i="42" a="1"/>
  <c r="BF30" i="42" a="1"/>
  <c r="BG30" i="42" a="1"/>
  <c r="BH30" i="42" a="1"/>
  <c r="V17" i="42"/>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W17" i="42"/>
  <c r="M18" i="42"/>
  <c r="N18" i="42" a="1"/>
  <c r="N18" i="42"/>
  <c r="O18" i="42"/>
  <c r="E31" i="42" a="1"/>
  <c r="E31" i="42"/>
  <c r="F31" i="42" a="1"/>
  <c r="F31" i="42"/>
  <c r="G31" i="42" a="1"/>
  <c r="H31" i="42" a="1"/>
  <c r="I31" i="42" a="1"/>
  <c r="J31" i="42" a="1"/>
  <c r="K31" i="42" a="1"/>
  <c r="L31" i="42" a="1"/>
  <c r="P18" i="42"/>
  <c r="M31" i="42" a="1"/>
  <c r="N31" i="42" a="1"/>
  <c r="O31" i="42" a="1"/>
  <c r="P31" i="42" a="1"/>
  <c r="Q31" i="42" a="1"/>
  <c r="R31" i="42" a="1"/>
  <c r="S31" i="42" a="1"/>
  <c r="T31" i="42" a="1"/>
  <c r="Q18" i="42"/>
  <c r="U31" i="42" a="1"/>
  <c r="V31" i="42" a="1"/>
  <c r="W31" i="42" a="1"/>
  <c r="X31" i="42" a="1"/>
  <c r="Y31" i="42" a="1"/>
  <c r="Z31" i="42" a="1"/>
  <c r="AA31" i="42" a="1"/>
  <c r="AB31" i="42" a="1"/>
  <c r="R18" i="42"/>
  <c r="AC31" i="42" a="1"/>
  <c r="AD31" i="42" a="1"/>
  <c r="AE31" i="42" a="1"/>
  <c r="AF31" i="42" a="1"/>
  <c r="AG31" i="42" a="1"/>
  <c r="AH31" i="42" a="1"/>
  <c r="AI31" i="42" a="1"/>
  <c r="AJ31" i="42" a="1"/>
  <c r="S18" i="42"/>
  <c r="AK31" i="42" a="1"/>
  <c r="AL31" i="42" a="1"/>
  <c r="AM31" i="42" a="1"/>
  <c r="AN31" i="42" a="1"/>
  <c r="AO31" i="42" a="1"/>
  <c r="AP31" i="42" a="1"/>
  <c r="AQ31" i="42" a="1"/>
  <c r="AR31" i="42" a="1"/>
  <c r="T18" i="42"/>
  <c r="AS31" i="42" a="1"/>
  <c r="AT31" i="42" a="1"/>
  <c r="AU31" i="42" a="1"/>
  <c r="AV31" i="42" a="1"/>
  <c r="AW31" i="42" a="1"/>
  <c r="AX31" i="42" a="1"/>
  <c r="AY31" i="42" a="1"/>
  <c r="AZ31" i="42" a="1"/>
  <c r="U18" i="42"/>
  <c r="BA31" i="42" a="1"/>
  <c r="BB31" i="42" a="1"/>
  <c r="BC31" i="42" a="1"/>
  <c r="BD31" i="42" a="1"/>
  <c r="BE31" i="42" a="1"/>
  <c r="BF31" i="42" a="1"/>
  <c r="BG31" i="42" a="1"/>
  <c r="BH31" i="42" a="1"/>
  <c r="V18" i="42"/>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W18" i="42"/>
  <c r="M19" i="42"/>
  <c r="N19" i="42" a="1"/>
  <c r="N19" i="42"/>
  <c r="O19" i="42"/>
  <c r="E32" i="42" a="1"/>
  <c r="E32" i="42"/>
  <c r="F32" i="42" a="1"/>
  <c r="F32" i="42"/>
  <c r="G32" i="42" a="1"/>
  <c r="H32" i="42" a="1"/>
  <c r="I32" i="42" a="1"/>
  <c r="J32" i="42" a="1"/>
  <c r="K32" i="42" a="1"/>
  <c r="L32" i="42" a="1"/>
  <c r="P19" i="42"/>
  <c r="M32" i="42" a="1"/>
  <c r="N32" i="42" a="1"/>
  <c r="O32" i="42" a="1"/>
  <c r="P32" i="42" a="1"/>
  <c r="Q32" i="42" a="1"/>
  <c r="R32" i="42" a="1"/>
  <c r="S32" i="42" a="1"/>
  <c r="T32" i="42" a="1"/>
  <c r="Q19" i="42"/>
  <c r="U32" i="42" a="1"/>
  <c r="V32" i="42" a="1"/>
  <c r="W32" i="42" a="1"/>
  <c r="X32" i="42" a="1"/>
  <c r="Y32" i="42" a="1"/>
  <c r="Z32" i="42" a="1"/>
  <c r="AA32" i="42" a="1"/>
  <c r="AB32" i="42" a="1"/>
  <c r="R19" i="42"/>
  <c r="AC32" i="42" a="1"/>
  <c r="AD32" i="42" a="1"/>
  <c r="AE32" i="42" a="1"/>
  <c r="AF32" i="42" a="1"/>
  <c r="AG32" i="42" a="1"/>
  <c r="AH32" i="42" a="1"/>
  <c r="AI32" i="42" a="1"/>
  <c r="AJ32" i="42" a="1"/>
  <c r="S19" i="42"/>
  <c r="AK32" i="42" a="1"/>
  <c r="AL32" i="42" a="1"/>
  <c r="AM32" i="42" a="1"/>
  <c r="AN32" i="42" a="1"/>
  <c r="AO32" i="42" a="1"/>
  <c r="AP32" i="42" a="1"/>
  <c r="AQ32" i="42" a="1"/>
  <c r="AR32" i="42" a="1"/>
  <c r="T19" i="42"/>
  <c r="AS32" i="42" a="1"/>
  <c r="AT32" i="42" a="1"/>
  <c r="AU32" i="42" a="1"/>
  <c r="AV32" i="42" a="1"/>
  <c r="AW32" i="42" a="1"/>
  <c r="AX32" i="42" a="1"/>
  <c r="AY32" i="42" a="1"/>
  <c r="AZ32" i="42" a="1"/>
  <c r="U19" i="42"/>
  <c r="BA32" i="42" a="1"/>
  <c r="BB32" i="42" a="1"/>
  <c r="BC32" i="42" a="1"/>
  <c r="BD32" i="42" a="1"/>
  <c r="BE32" i="42" a="1"/>
  <c r="BF32" i="42" a="1"/>
  <c r="BG32" i="42" a="1"/>
  <c r="BH32" i="42" a="1"/>
  <c r="V19" i="42"/>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W19" i="42"/>
  <c r="M20" i="42"/>
  <c r="N20" i="42" a="1"/>
  <c r="N20" i="42"/>
  <c r="O20" i="42"/>
  <c r="E33" i="42" a="1"/>
  <c r="E33" i="42"/>
  <c r="F33" i="42" a="1"/>
  <c r="F33" i="42"/>
  <c r="G33" i="42" a="1"/>
  <c r="H33" i="42" a="1"/>
  <c r="I33" i="42" a="1"/>
  <c r="J33" i="42" a="1"/>
  <c r="K33" i="42" a="1"/>
  <c r="L33" i="42" a="1"/>
  <c r="P20" i="42"/>
  <c r="M33" i="42" a="1"/>
  <c r="N33" i="42" a="1"/>
  <c r="O33" i="42" a="1"/>
  <c r="P33" i="42" a="1"/>
  <c r="Q33" i="42" a="1"/>
  <c r="R33" i="42" a="1"/>
  <c r="S33" i="42" a="1"/>
  <c r="T33" i="42" a="1"/>
  <c r="Q20" i="42"/>
  <c r="U33" i="42" a="1"/>
  <c r="V33" i="42" a="1"/>
  <c r="W33" i="42" a="1"/>
  <c r="X33" i="42" a="1"/>
  <c r="Y33" i="42" a="1"/>
  <c r="Z33" i="42" a="1"/>
  <c r="AA33" i="42" a="1"/>
  <c r="AB33" i="42" a="1"/>
  <c r="R20" i="42"/>
  <c r="AC33" i="42" a="1"/>
  <c r="AD33" i="42" a="1"/>
  <c r="AE33" i="42" a="1"/>
  <c r="AF33" i="42" a="1"/>
  <c r="AG33" i="42" a="1"/>
  <c r="AH33" i="42" a="1"/>
  <c r="AI33" i="42" a="1"/>
  <c r="AJ33" i="42" a="1"/>
  <c r="S20" i="42"/>
  <c r="AK33" i="42" a="1"/>
  <c r="AL33" i="42" a="1"/>
  <c r="AM33" i="42" a="1"/>
  <c r="AN33" i="42" a="1"/>
  <c r="AO33" i="42" a="1"/>
  <c r="AP33" i="42" a="1"/>
  <c r="AQ33" i="42" a="1"/>
  <c r="AR33" i="42" a="1"/>
  <c r="T20" i="42"/>
  <c r="AS33" i="42" a="1"/>
  <c r="AT33" i="42" a="1"/>
  <c r="AU33" i="42" a="1"/>
  <c r="AV33" i="42" a="1"/>
  <c r="AW33" i="42" a="1"/>
  <c r="AX33" i="42" a="1"/>
  <c r="AY33" i="42" a="1"/>
  <c r="AZ33" i="42" a="1"/>
  <c r="U20" i="42"/>
  <c r="BA33" i="42" a="1"/>
  <c r="BB33" i="42" a="1"/>
  <c r="BC33" i="42" a="1"/>
  <c r="BD33" i="42" a="1"/>
  <c r="BE33" i="42" a="1"/>
  <c r="BF33" i="42" a="1"/>
  <c r="BG33" i="42" a="1"/>
  <c r="BH33" i="42" a="1"/>
  <c r="V20" i="42"/>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W20" i="42"/>
  <c r="AI28" i="39"/>
  <c r="Y17" i="42"/>
  <c r="X17" i="42"/>
  <c r="AI29" i="39"/>
  <c r="Y18" i="42"/>
  <c r="X18" i="42"/>
  <c r="AI30" i="39"/>
  <c r="Y19" i="42"/>
  <c r="X19" i="42"/>
  <c r="AI31" i="39"/>
  <c r="Y20" i="42"/>
  <c r="X20" i="42"/>
  <c r="X21" i="42"/>
  <c r="X22" i="42"/>
  <c r="X23" i="42"/>
  <c r="X24" i="42"/>
  <c r="X25" i="42"/>
  <c r="E4" i="42"/>
  <c r="D4" i="42"/>
  <c r="E5" i="42"/>
  <c r="D5" i="42"/>
  <c r="E6" i="42"/>
  <c r="D6" i="42"/>
  <c r="E7" i="42"/>
  <c r="D7" i="42"/>
  <c r="E8" i="42"/>
  <c r="D8" i="42"/>
  <c r="E9" i="42"/>
  <c r="D9" i="42"/>
  <c r="E10" i="42"/>
  <c r="D10" i="42"/>
  <c r="E11" i="42"/>
  <c r="D11" i="42"/>
  <c r="E12" i="42"/>
  <c r="D12" i="42"/>
  <c r="C4" i="42"/>
  <c r="C5" i="42"/>
  <c r="C6" i="42"/>
  <c r="U28" i="39"/>
  <c r="U29" i="39"/>
  <c r="U30" i="39"/>
  <c r="U31" i="39"/>
  <c r="Q64" i="41"/>
  <c r="F4" i="41"/>
  <c r="V64" i="41"/>
  <c r="AA64" i="41"/>
  <c r="V65" i="41"/>
  <c r="V66" i="41"/>
  <c r="V67" i="41"/>
  <c r="V68" i="41"/>
  <c r="V69" i="41"/>
  <c r="V70" i="41"/>
  <c r="V71" i="41"/>
  <c r="V72" i="41"/>
  <c r="V73" i="41"/>
  <c r="V74" i="41"/>
  <c r="V75" i="41"/>
  <c r="V76" i="41"/>
  <c r="V77" i="41"/>
  <c r="V78" i="41"/>
  <c r="V79" i="41"/>
  <c r="V80" i="41"/>
  <c r="V81" i="41"/>
  <c r="V82" i="41"/>
  <c r="V83" i="41"/>
  <c r="V84" i="41"/>
  <c r="V85" i="41"/>
  <c r="V86" i="41"/>
  <c r="V87" i="41"/>
  <c r="V88" i="41"/>
  <c r="AA65" i="41"/>
  <c r="AA66" i="41"/>
  <c r="AA67" i="41"/>
  <c r="AA68" i="41"/>
  <c r="AA69" i="41"/>
  <c r="AA70" i="41"/>
  <c r="AA71" i="41"/>
  <c r="AA72" i="41"/>
  <c r="AA73" i="41"/>
  <c r="AA74" i="41"/>
  <c r="AA75" i="41"/>
  <c r="AA76" i="41"/>
  <c r="AA77" i="41"/>
  <c r="AA78" i="41"/>
  <c r="AA79" i="41"/>
  <c r="AA80" i="41"/>
  <c r="AA81" i="41"/>
  <c r="AA82" i="41"/>
  <c r="AA83" i="41"/>
  <c r="AA84" i="41"/>
  <c r="AA85" i="41"/>
  <c r="AA86" i="41"/>
  <c r="AA87" i="41"/>
  <c r="AA88" i="41"/>
  <c r="W64" i="41"/>
  <c r="W65" i="41"/>
  <c r="W66" i="41"/>
  <c r="W67" i="41"/>
  <c r="W68" i="41"/>
  <c r="W69" i="41"/>
  <c r="W70" i="41"/>
  <c r="W71" i="41"/>
  <c r="W72" i="41"/>
  <c r="W73" i="41"/>
  <c r="W74" i="41"/>
  <c r="W75" i="41"/>
  <c r="W76" i="41"/>
  <c r="W77" i="41"/>
  <c r="W78" i="41"/>
  <c r="W79" i="41"/>
  <c r="W80" i="41"/>
  <c r="W81" i="41"/>
  <c r="W82" i="41"/>
  <c r="W83" i="41"/>
  <c r="W84" i="41"/>
  <c r="W85" i="41"/>
  <c r="W86" i="41"/>
  <c r="W87" i="41"/>
  <c r="W88" i="41"/>
  <c r="K4" i="41"/>
  <c r="Q65" i="41"/>
  <c r="F5" i="41"/>
  <c r="K5" i="41"/>
  <c r="Q66" i="41"/>
  <c r="F6" i="41"/>
  <c r="K6" i="41"/>
  <c r="Q67" i="41"/>
  <c r="F7" i="41"/>
  <c r="K7" i="41"/>
  <c r="K8" i="41"/>
  <c r="K9" i="41"/>
  <c r="K10" i="41"/>
  <c r="K11" i="41"/>
  <c r="K12" i="41"/>
  <c r="K13" i="41"/>
  <c r="C17" i="41"/>
  <c r="AE64" i="41"/>
  <c r="AE65" i="41"/>
  <c r="X66" i="41"/>
  <c r="Y66" i="41"/>
  <c r="AG66" i="41"/>
  <c r="AH66" i="41"/>
  <c r="AE66" i="41"/>
  <c r="X67" i="41"/>
  <c r="Y67" i="41"/>
  <c r="AG67" i="41"/>
  <c r="AH67" i="41"/>
  <c r="AE67" i="41"/>
  <c r="X68" i="41"/>
  <c r="Y68" i="41"/>
  <c r="AG68" i="41"/>
  <c r="AH68" i="41"/>
  <c r="AE68" i="41"/>
  <c r="X69" i="41"/>
  <c r="Y69" i="41"/>
  <c r="AG69" i="41"/>
  <c r="AH69" i="41"/>
  <c r="AE69" i="41"/>
  <c r="X70" i="41"/>
  <c r="Y70" i="41"/>
  <c r="AG70" i="41"/>
  <c r="AH70" i="41"/>
  <c r="AE70" i="41"/>
  <c r="X71" i="41"/>
  <c r="Y71" i="41"/>
  <c r="AG71" i="41"/>
  <c r="AH71" i="41"/>
  <c r="AE71" i="41"/>
  <c r="X72" i="41"/>
  <c r="Y72" i="41"/>
  <c r="AG72" i="41"/>
  <c r="AH72" i="41"/>
  <c r="AE72" i="41"/>
  <c r="AE73" i="41"/>
  <c r="X74" i="41"/>
  <c r="Y74" i="41"/>
  <c r="AG74" i="41"/>
  <c r="AH74" i="41"/>
  <c r="AE74" i="41"/>
  <c r="X75" i="41"/>
  <c r="Y75" i="41"/>
  <c r="AG75" i="41"/>
  <c r="AH75" i="41"/>
  <c r="AE75" i="41"/>
  <c r="X76" i="41"/>
  <c r="Y76" i="41"/>
  <c r="AG76" i="41"/>
  <c r="AH76" i="41"/>
  <c r="AE76" i="41"/>
  <c r="X77" i="41"/>
  <c r="Y77" i="41"/>
  <c r="AG77" i="41"/>
  <c r="AH77" i="41"/>
  <c r="AE77" i="41"/>
  <c r="X78" i="41"/>
  <c r="Y78" i="41"/>
  <c r="AG78" i="41"/>
  <c r="AH78" i="41"/>
  <c r="AE78" i="41"/>
  <c r="X79" i="41"/>
  <c r="Y79" i="41"/>
  <c r="AG79" i="41"/>
  <c r="AH79" i="41"/>
  <c r="AE79" i="41"/>
  <c r="X80" i="41"/>
  <c r="Y80" i="41"/>
  <c r="AG80" i="41"/>
  <c r="AH80" i="41"/>
  <c r="AE80" i="41"/>
  <c r="AE81" i="41"/>
  <c r="X82" i="41"/>
  <c r="Y82" i="41"/>
  <c r="AG82" i="41"/>
  <c r="AH82" i="41"/>
  <c r="AE82" i="41"/>
  <c r="X83" i="41"/>
  <c r="Y83" i="41"/>
  <c r="AG83" i="41"/>
  <c r="AH83" i="41"/>
  <c r="AE83" i="41"/>
  <c r="X84" i="41"/>
  <c r="Y84" i="41"/>
  <c r="AG84" i="41"/>
  <c r="AH84" i="41"/>
  <c r="AE84" i="41"/>
  <c r="X85" i="41"/>
  <c r="Y85" i="41"/>
  <c r="AG85" i="41"/>
  <c r="AH85" i="41"/>
  <c r="AE85" i="41"/>
  <c r="X86" i="41"/>
  <c r="Y86" i="41"/>
  <c r="AG86" i="41"/>
  <c r="AH86" i="41"/>
  <c r="AE86" i="41"/>
  <c r="X87" i="41"/>
  <c r="Y87" i="41"/>
  <c r="AG87" i="41"/>
  <c r="AH87" i="41"/>
  <c r="AE87" i="41"/>
  <c r="X88" i="41"/>
  <c r="Y88" i="41"/>
  <c r="AG88" i="41"/>
  <c r="AH88" i="41"/>
  <c r="AE88" i="41"/>
  <c r="AF64" i="41"/>
  <c r="AF65" i="41"/>
  <c r="AF66" i="41"/>
  <c r="AF67" i="41"/>
  <c r="AF68" i="41"/>
  <c r="AF69" i="41"/>
  <c r="AF70" i="41"/>
  <c r="AF71" i="41"/>
  <c r="AF72" i="41"/>
  <c r="AF73" i="41"/>
  <c r="AF74" i="41"/>
  <c r="AF75" i="41"/>
  <c r="AF76" i="41"/>
  <c r="AF77" i="41"/>
  <c r="AF78" i="41"/>
  <c r="AF79" i="41"/>
  <c r="AF80" i="41"/>
  <c r="AF81" i="41"/>
  <c r="AF82" i="41"/>
  <c r="AF83" i="41"/>
  <c r="AF84" i="41"/>
  <c r="AF85" i="41"/>
  <c r="AF86" i="41"/>
  <c r="AF87" i="41"/>
  <c r="AF88" i="41"/>
  <c r="J4" i="41"/>
  <c r="K17" i="41"/>
  <c r="G4" i="41"/>
  <c r="H4" i="41"/>
  <c r="I4" i="41"/>
  <c r="J17" i="41"/>
  <c r="L17" i="41"/>
  <c r="C18" i="41"/>
  <c r="J5" i="41"/>
  <c r="K18" i="41"/>
  <c r="G5" i="41"/>
  <c r="H5" i="41"/>
  <c r="I5" i="41"/>
  <c r="J18" i="41"/>
  <c r="L18" i="41"/>
  <c r="C19" i="41"/>
  <c r="J6" i="41"/>
  <c r="K19" i="41"/>
  <c r="G6" i="41"/>
  <c r="H6" i="41"/>
  <c r="I6" i="41"/>
  <c r="J19" i="41"/>
  <c r="L19" i="41"/>
  <c r="C20" i="41"/>
  <c r="J7" i="41"/>
  <c r="K20" i="41"/>
  <c r="G7" i="41"/>
  <c r="H7" i="41"/>
  <c r="I7" i="41"/>
  <c r="J20" i="41"/>
  <c r="L20" i="41"/>
  <c r="M17" i="41"/>
  <c r="N17" i="41" a="1"/>
  <c r="N17" i="41"/>
  <c r="O17" i="41"/>
  <c r="E30" i="41" a="1"/>
  <c r="E30" i="41"/>
  <c r="F30" i="41" a="1"/>
  <c r="F30" i="41"/>
  <c r="G30" i="41" a="1"/>
  <c r="H30" i="41" a="1"/>
  <c r="I30" i="41" a="1"/>
  <c r="J30" i="41" a="1"/>
  <c r="K30" i="41" a="1"/>
  <c r="L30" i="41" a="1"/>
  <c r="P17" i="41"/>
  <c r="M30" i="41" a="1"/>
  <c r="N30" i="41" a="1"/>
  <c r="O30" i="41" a="1"/>
  <c r="P30" i="41" a="1"/>
  <c r="Q30" i="41" a="1"/>
  <c r="R30" i="41" a="1"/>
  <c r="S30" i="41" a="1"/>
  <c r="T30" i="41" a="1"/>
  <c r="Q17" i="41"/>
  <c r="U30" i="41" a="1"/>
  <c r="V30" i="41" a="1"/>
  <c r="W30" i="41" a="1"/>
  <c r="X30" i="41" a="1"/>
  <c r="Y30" i="41" a="1"/>
  <c r="Z30" i="41" a="1"/>
  <c r="AA30" i="41" a="1"/>
  <c r="AB30" i="41" a="1"/>
  <c r="R17" i="41"/>
  <c r="AC30" i="41" a="1"/>
  <c r="AD30" i="41" a="1"/>
  <c r="AE30" i="41" a="1"/>
  <c r="AF30" i="41" a="1"/>
  <c r="AG30" i="41" a="1"/>
  <c r="AH30" i="41" a="1"/>
  <c r="AI30" i="41" a="1"/>
  <c r="AJ30" i="41" a="1"/>
  <c r="S17" i="41"/>
  <c r="AK30" i="41" a="1"/>
  <c r="AL30" i="41" a="1"/>
  <c r="AM30" i="41" a="1"/>
  <c r="AN30" i="41" a="1"/>
  <c r="AO30" i="41" a="1"/>
  <c r="AP30" i="41" a="1"/>
  <c r="AQ30" i="41" a="1"/>
  <c r="AR30" i="41" a="1"/>
  <c r="T17" i="41"/>
  <c r="AS30" i="41" a="1"/>
  <c r="AT30" i="41" a="1"/>
  <c r="AU30" i="41" a="1"/>
  <c r="AV30" i="41" a="1"/>
  <c r="AW30" i="41" a="1"/>
  <c r="AX30" i="41" a="1"/>
  <c r="AY30" i="41" a="1"/>
  <c r="AZ30" i="41" a="1"/>
  <c r="U17" i="41"/>
  <c r="BA30" i="41" a="1"/>
  <c r="BB30" i="41" a="1"/>
  <c r="BC30" i="41" a="1"/>
  <c r="BD30" i="41" a="1"/>
  <c r="BE30" i="41" a="1"/>
  <c r="BF30" i="41" a="1"/>
  <c r="BG30" i="41" a="1"/>
  <c r="BH30" i="41" a="1"/>
  <c r="V17" i="4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W17" i="41"/>
  <c r="M18" i="41"/>
  <c r="N18" i="41" a="1"/>
  <c r="N18" i="41"/>
  <c r="O18" i="41"/>
  <c r="E31" i="41" a="1"/>
  <c r="E31" i="41"/>
  <c r="F31" i="41" a="1"/>
  <c r="F31" i="41"/>
  <c r="G31" i="41" a="1"/>
  <c r="H31" i="41" a="1"/>
  <c r="I31" i="41" a="1"/>
  <c r="J31" i="41" a="1"/>
  <c r="K31" i="41" a="1"/>
  <c r="L31" i="41" a="1"/>
  <c r="P18" i="41"/>
  <c r="M31" i="41" a="1"/>
  <c r="N31" i="41" a="1"/>
  <c r="O31" i="41" a="1"/>
  <c r="P31" i="41" a="1"/>
  <c r="Q31" i="41" a="1"/>
  <c r="R31" i="41" a="1"/>
  <c r="S31" i="41" a="1"/>
  <c r="T31" i="41" a="1"/>
  <c r="Q18" i="41"/>
  <c r="U31" i="41" a="1"/>
  <c r="V31" i="41" a="1"/>
  <c r="W31" i="41" a="1"/>
  <c r="X31" i="41" a="1"/>
  <c r="Y31" i="41" a="1"/>
  <c r="Z31" i="41" a="1"/>
  <c r="AA31" i="41" a="1"/>
  <c r="AB31" i="41" a="1"/>
  <c r="R18" i="41"/>
  <c r="AC31" i="41" a="1"/>
  <c r="AD31" i="41" a="1"/>
  <c r="AE31" i="41" a="1"/>
  <c r="AF31" i="41" a="1"/>
  <c r="AG31" i="41" a="1"/>
  <c r="AH31" i="41" a="1"/>
  <c r="AI31" i="41" a="1"/>
  <c r="AJ31" i="41" a="1"/>
  <c r="S18" i="41"/>
  <c r="AK31" i="41" a="1"/>
  <c r="AL31" i="41" a="1"/>
  <c r="AM31" i="41" a="1"/>
  <c r="AN31" i="41" a="1"/>
  <c r="AO31" i="41" a="1"/>
  <c r="AP31" i="41" a="1"/>
  <c r="AQ31" i="41" a="1"/>
  <c r="AR31" i="41" a="1"/>
  <c r="T18" i="41"/>
  <c r="AS31" i="41" a="1"/>
  <c r="AT31" i="41" a="1"/>
  <c r="AU31" i="41" a="1"/>
  <c r="AV31" i="41" a="1"/>
  <c r="AW31" i="41" a="1"/>
  <c r="AX31" i="41" a="1"/>
  <c r="AY31" i="41" a="1"/>
  <c r="AZ31" i="41" a="1"/>
  <c r="U18" i="41"/>
  <c r="BA31" i="41" a="1"/>
  <c r="BB31" i="41" a="1"/>
  <c r="BC31" i="41" a="1"/>
  <c r="BD31" i="41" a="1"/>
  <c r="BE31" i="41" a="1"/>
  <c r="BF31" i="41" a="1"/>
  <c r="BG31" i="41" a="1"/>
  <c r="BH31" i="41" a="1"/>
  <c r="V18" i="4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W18" i="41"/>
  <c r="M19" i="41"/>
  <c r="N19" i="41" a="1"/>
  <c r="N19" i="41"/>
  <c r="O19" i="41"/>
  <c r="E32" i="41" a="1"/>
  <c r="E32" i="41"/>
  <c r="F32" i="41" a="1"/>
  <c r="F32" i="41"/>
  <c r="G32" i="41" a="1"/>
  <c r="H32" i="41" a="1"/>
  <c r="I32" i="41" a="1"/>
  <c r="J32" i="41" a="1"/>
  <c r="K32" i="41" a="1"/>
  <c r="L32" i="41" a="1"/>
  <c r="P19" i="41"/>
  <c r="M32" i="41" a="1"/>
  <c r="N32" i="41" a="1"/>
  <c r="O32" i="41" a="1"/>
  <c r="P32" i="41" a="1"/>
  <c r="Q32" i="41" a="1"/>
  <c r="R32" i="41" a="1"/>
  <c r="S32" i="41" a="1"/>
  <c r="T32" i="41" a="1"/>
  <c r="Q19" i="41"/>
  <c r="U32" i="41" a="1"/>
  <c r="V32" i="41" a="1"/>
  <c r="W32" i="41" a="1"/>
  <c r="X32" i="41" a="1"/>
  <c r="Y32" i="41" a="1"/>
  <c r="Z32" i="41" a="1"/>
  <c r="AA32" i="41" a="1"/>
  <c r="AB32" i="41" a="1"/>
  <c r="R19" i="41"/>
  <c r="AC32" i="41" a="1"/>
  <c r="AD32" i="41" a="1"/>
  <c r="AE32" i="41" a="1"/>
  <c r="AF32" i="41" a="1"/>
  <c r="AG32" i="41" a="1"/>
  <c r="AH32" i="41" a="1"/>
  <c r="AI32" i="41" a="1"/>
  <c r="AJ32" i="41" a="1"/>
  <c r="S19" i="41"/>
  <c r="AK32" i="41" a="1"/>
  <c r="AL32" i="41" a="1"/>
  <c r="AM32" i="41" a="1"/>
  <c r="AN32" i="41" a="1"/>
  <c r="AO32" i="41" a="1"/>
  <c r="AP32" i="41" a="1"/>
  <c r="AQ32" i="41" a="1"/>
  <c r="AR32" i="41" a="1"/>
  <c r="T19" i="41"/>
  <c r="AS32" i="41" a="1"/>
  <c r="AT32" i="41" a="1"/>
  <c r="AU32" i="41" a="1"/>
  <c r="AV32" i="41" a="1"/>
  <c r="AW32" i="41" a="1"/>
  <c r="AX32" i="41" a="1"/>
  <c r="AY32" i="41" a="1"/>
  <c r="AZ32" i="41" a="1"/>
  <c r="U19" i="41"/>
  <c r="BA32" i="41" a="1"/>
  <c r="BB32" i="41" a="1"/>
  <c r="BC32" i="41" a="1"/>
  <c r="BD32" i="41" a="1"/>
  <c r="BE32" i="41" a="1"/>
  <c r="BF32" i="41" a="1"/>
  <c r="BG32" i="41" a="1"/>
  <c r="BH32" i="41" a="1"/>
  <c r="V19" i="4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W19" i="41"/>
  <c r="M20" i="41"/>
  <c r="N20" i="41" a="1"/>
  <c r="N20" i="41"/>
  <c r="O20" i="41"/>
  <c r="E33" i="41" a="1"/>
  <c r="E33" i="41"/>
  <c r="F33" i="41" a="1"/>
  <c r="F33" i="41"/>
  <c r="G33" i="41" a="1"/>
  <c r="H33" i="41" a="1"/>
  <c r="I33" i="41" a="1"/>
  <c r="J33" i="41" a="1"/>
  <c r="K33" i="41" a="1"/>
  <c r="L33" i="41" a="1"/>
  <c r="P20" i="41"/>
  <c r="M33" i="41" a="1"/>
  <c r="N33" i="41" a="1"/>
  <c r="O33" i="41" a="1"/>
  <c r="P33" i="41" a="1"/>
  <c r="Q33" i="41" a="1"/>
  <c r="R33" i="41" a="1"/>
  <c r="S33" i="41" a="1"/>
  <c r="T33" i="41" a="1"/>
  <c r="Q20" i="41"/>
  <c r="U33" i="41" a="1"/>
  <c r="V33" i="41" a="1"/>
  <c r="W33" i="41" a="1"/>
  <c r="X33" i="41" a="1"/>
  <c r="Y33" i="41" a="1"/>
  <c r="Z33" i="41" a="1"/>
  <c r="AA33" i="41" a="1"/>
  <c r="AB33" i="41" a="1"/>
  <c r="R20" i="41"/>
  <c r="AC33" i="41" a="1"/>
  <c r="AD33" i="41" a="1"/>
  <c r="AE33" i="41" a="1"/>
  <c r="AF33" i="41" a="1"/>
  <c r="AG33" i="41" a="1"/>
  <c r="AH33" i="41" a="1"/>
  <c r="AI33" i="41" a="1"/>
  <c r="AJ33" i="41" a="1"/>
  <c r="S20" i="41"/>
  <c r="AK33" i="41" a="1"/>
  <c r="AL33" i="41" a="1"/>
  <c r="AM33" i="41" a="1"/>
  <c r="AN33" i="41" a="1"/>
  <c r="AO33" i="41" a="1"/>
  <c r="AP33" i="41" a="1"/>
  <c r="AQ33" i="41" a="1"/>
  <c r="AR33" i="41" a="1"/>
  <c r="T20" i="41"/>
  <c r="AS33" i="41" a="1"/>
  <c r="AT33" i="41" a="1"/>
  <c r="AU33" i="41" a="1"/>
  <c r="AV33" i="41" a="1"/>
  <c r="AW33" i="41" a="1"/>
  <c r="AX33" i="41" a="1"/>
  <c r="AY33" i="41" a="1"/>
  <c r="AZ33" i="41" a="1"/>
  <c r="U20" i="41"/>
  <c r="BA33" i="41" a="1"/>
  <c r="BB33" i="41" a="1"/>
  <c r="BC33" i="41" a="1"/>
  <c r="BD33" i="41" a="1"/>
  <c r="BE33" i="41" a="1"/>
  <c r="BF33" i="41" a="1"/>
  <c r="BG33" i="41" a="1"/>
  <c r="BH33" i="41" a="1"/>
  <c r="V20" i="4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W20" i="41"/>
  <c r="AI20" i="39"/>
  <c r="Y17" i="41"/>
  <c r="X17" i="41"/>
  <c r="AI21" i="39"/>
  <c r="Y18" i="41"/>
  <c r="X18" i="41"/>
  <c r="AI22" i="39"/>
  <c r="Y19" i="41"/>
  <c r="X19" i="41"/>
  <c r="AI23" i="39"/>
  <c r="Y20" i="41"/>
  <c r="X20" i="41"/>
  <c r="X21" i="41"/>
  <c r="X22" i="41"/>
  <c r="X23" i="41"/>
  <c r="X24" i="41"/>
  <c r="X25" i="41"/>
  <c r="E4" i="41"/>
  <c r="D4" i="41"/>
  <c r="E5" i="41"/>
  <c r="D5" i="41"/>
  <c r="E6" i="41"/>
  <c r="D6" i="41"/>
  <c r="E7" i="41"/>
  <c r="D7" i="41"/>
  <c r="E8" i="41"/>
  <c r="D8" i="41"/>
  <c r="E9" i="41"/>
  <c r="D9" i="41"/>
  <c r="E10" i="41"/>
  <c r="D10" i="41"/>
  <c r="E11" i="41"/>
  <c r="D11" i="41"/>
  <c r="E12" i="41"/>
  <c r="D12" i="41"/>
  <c r="C4" i="41"/>
  <c r="C5" i="41"/>
  <c r="C6" i="41"/>
  <c r="U20" i="39"/>
  <c r="U21" i="39"/>
  <c r="U22" i="39"/>
  <c r="U23" i="39"/>
  <c r="U44" i="39"/>
  <c r="W25" i="44"/>
  <c r="L25" i="44"/>
  <c r="C17" i="44"/>
  <c r="L17" i="44"/>
  <c r="C18" i="44"/>
  <c r="L18" i="44"/>
  <c r="L19" i="44"/>
  <c r="L20" i="44"/>
  <c r="L21" i="44"/>
  <c r="L22" i="44"/>
  <c r="L23" i="44"/>
  <c r="L24" i="44"/>
  <c r="M25" i="44"/>
  <c r="N25" i="44" a="1"/>
  <c r="N25" i="44"/>
  <c r="V25" i="44"/>
  <c r="U25" i="44"/>
  <c r="T25" i="44"/>
  <c r="S25" i="44"/>
  <c r="R25" i="44"/>
  <c r="Q25" i="44"/>
  <c r="P25" i="44"/>
  <c r="O25" i="44"/>
  <c r="W24" i="44"/>
  <c r="M24" i="44"/>
  <c r="N24" i="44" a="1"/>
  <c r="N24" i="44"/>
  <c r="V24" i="44"/>
  <c r="U24" i="44"/>
  <c r="T24" i="44"/>
  <c r="S24" i="44"/>
  <c r="R24" i="44"/>
  <c r="Q24" i="44"/>
  <c r="P24" i="44"/>
  <c r="O24" i="44"/>
  <c r="W23" i="44"/>
  <c r="M23" i="44"/>
  <c r="N23" i="44" a="1"/>
  <c r="N23" i="44"/>
  <c r="V23" i="44"/>
  <c r="U23" i="44"/>
  <c r="T23" i="44"/>
  <c r="S23" i="44"/>
  <c r="R23" i="44"/>
  <c r="Q23" i="44"/>
  <c r="P23" i="44"/>
  <c r="O23" i="44"/>
  <c r="W22" i="44"/>
  <c r="M22" i="44"/>
  <c r="N22" i="44" a="1"/>
  <c r="N22" i="44"/>
  <c r="V22" i="44"/>
  <c r="U22" i="44"/>
  <c r="T22" i="44"/>
  <c r="S22" i="44"/>
  <c r="R22" i="44"/>
  <c r="Q22" i="44"/>
  <c r="P22" i="44"/>
  <c r="O22" i="44"/>
  <c r="W21" i="44"/>
  <c r="M21" i="44"/>
  <c r="N21" i="44" a="1"/>
  <c r="N21" i="44"/>
  <c r="V21" i="44"/>
  <c r="U21" i="44"/>
  <c r="T21" i="44"/>
  <c r="S21" i="44"/>
  <c r="R21" i="44"/>
  <c r="Q21" i="44"/>
  <c r="P21" i="44"/>
  <c r="O21" i="44"/>
  <c r="W20" i="44"/>
  <c r="M20" i="44"/>
  <c r="N20" i="44" a="1"/>
  <c r="N20" i="44"/>
  <c r="V20" i="44"/>
  <c r="U20" i="44"/>
  <c r="T20" i="44"/>
  <c r="S20" i="44"/>
  <c r="R20" i="44"/>
  <c r="Q20" i="44"/>
  <c r="P20" i="44"/>
  <c r="O20" i="44"/>
  <c r="W19" i="44"/>
  <c r="M19" i="44"/>
  <c r="N19" i="44" a="1"/>
  <c r="N19" i="44"/>
  <c r="V19" i="44"/>
  <c r="U19" i="44"/>
  <c r="T19" i="44"/>
  <c r="S19" i="44"/>
  <c r="R19" i="44"/>
  <c r="Q19" i="44"/>
  <c r="P19" i="44"/>
  <c r="O19" i="44"/>
  <c r="W18" i="44"/>
  <c r="M18" i="44"/>
  <c r="N18" i="44" a="1"/>
  <c r="N18" i="44"/>
  <c r="V18" i="44"/>
  <c r="U18" i="44"/>
  <c r="T18" i="44"/>
  <c r="S18" i="44"/>
  <c r="R18" i="44"/>
  <c r="Q18" i="44"/>
  <c r="P18" i="44"/>
  <c r="O18" i="44"/>
  <c r="W17" i="44"/>
  <c r="M17" i="44"/>
  <c r="N17" i="44" a="1"/>
  <c r="N17" i="44"/>
  <c r="V17" i="44"/>
  <c r="U17" i="44"/>
  <c r="T17" i="44"/>
  <c r="S17" i="44"/>
  <c r="R17" i="44"/>
  <c r="Q17" i="44"/>
  <c r="P17" i="44"/>
  <c r="O17" i="44"/>
  <c r="W25" i="43"/>
  <c r="L25" i="43"/>
  <c r="L21" i="43"/>
  <c r="L22" i="43"/>
  <c r="L23" i="43"/>
  <c r="L24" i="43"/>
  <c r="M25" i="43"/>
  <c r="N25" i="43" a="1"/>
  <c r="N25" i="43"/>
  <c r="V25" i="43"/>
  <c r="U25" i="43"/>
  <c r="T25" i="43"/>
  <c r="S25" i="43"/>
  <c r="R25" i="43"/>
  <c r="Q25" i="43"/>
  <c r="P25" i="43"/>
  <c r="O25" i="43"/>
  <c r="W24" i="43"/>
  <c r="M24" i="43"/>
  <c r="N24" i="43" a="1"/>
  <c r="N24" i="43"/>
  <c r="V24" i="43"/>
  <c r="U24" i="43"/>
  <c r="T24" i="43"/>
  <c r="S24" i="43"/>
  <c r="R24" i="43"/>
  <c r="Q24" i="43"/>
  <c r="P24" i="43"/>
  <c r="O24" i="43"/>
  <c r="W23" i="43"/>
  <c r="M23" i="43"/>
  <c r="N23" i="43" a="1"/>
  <c r="N23" i="43"/>
  <c r="V23" i="43"/>
  <c r="U23" i="43"/>
  <c r="T23" i="43"/>
  <c r="S23" i="43"/>
  <c r="R23" i="43"/>
  <c r="Q23" i="43"/>
  <c r="P23" i="43"/>
  <c r="O23" i="43"/>
  <c r="W22" i="43"/>
  <c r="M22" i="43"/>
  <c r="N22" i="43" a="1"/>
  <c r="N22" i="43"/>
  <c r="V22" i="43"/>
  <c r="U22" i="43"/>
  <c r="T22" i="43"/>
  <c r="S22" i="43"/>
  <c r="R22" i="43"/>
  <c r="Q22" i="43"/>
  <c r="P22" i="43"/>
  <c r="O22" i="43"/>
  <c r="W21" i="43"/>
  <c r="M21" i="43"/>
  <c r="N21" i="43" a="1"/>
  <c r="N21" i="43"/>
  <c r="V21" i="43"/>
  <c r="U21" i="43"/>
  <c r="T21" i="43"/>
  <c r="S21" i="43"/>
  <c r="R21" i="43"/>
  <c r="Q21" i="43"/>
  <c r="P21" i="43"/>
  <c r="O21" i="43"/>
  <c r="M20" i="43"/>
  <c r="N20" i="43" a="1"/>
  <c r="N20" i="43"/>
  <c r="V20" i="43"/>
  <c r="U20" i="43"/>
  <c r="T20" i="43"/>
  <c r="S20" i="43"/>
  <c r="R20" i="43"/>
  <c r="Q20" i="43"/>
  <c r="P20" i="43"/>
  <c r="O20" i="43"/>
  <c r="W25" i="42"/>
  <c r="L25" i="42"/>
  <c r="L21" i="42"/>
  <c r="L22" i="42"/>
  <c r="L23" i="42"/>
  <c r="L24" i="42"/>
  <c r="M25" i="42"/>
  <c r="N25" i="42" a="1"/>
  <c r="N25" i="42"/>
  <c r="V25" i="42"/>
  <c r="U25" i="42"/>
  <c r="T25" i="42"/>
  <c r="S25" i="42"/>
  <c r="R25" i="42"/>
  <c r="Q25" i="42"/>
  <c r="P25" i="42"/>
  <c r="O25" i="42"/>
  <c r="W24" i="42"/>
  <c r="M24" i="42"/>
  <c r="N24" i="42" a="1"/>
  <c r="N24" i="42"/>
  <c r="V24" i="42"/>
  <c r="U24" i="42"/>
  <c r="T24" i="42"/>
  <c r="S24" i="42"/>
  <c r="R24" i="42"/>
  <c r="Q24" i="42"/>
  <c r="P24" i="42"/>
  <c r="O24" i="42"/>
  <c r="W23" i="42"/>
  <c r="M23" i="42"/>
  <c r="N23" i="42" a="1"/>
  <c r="N23" i="42"/>
  <c r="V23" i="42"/>
  <c r="U23" i="42"/>
  <c r="T23" i="42"/>
  <c r="S23" i="42"/>
  <c r="R23" i="42"/>
  <c r="Q23" i="42"/>
  <c r="P23" i="42"/>
  <c r="O23" i="42"/>
  <c r="W22" i="42"/>
  <c r="M22" i="42"/>
  <c r="N22" i="42" a="1"/>
  <c r="N22" i="42"/>
  <c r="V22" i="42"/>
  <c r="U22" i="42"/>
  <c r="T22" i="42"/>
  <c r="S22" i="42"/>
  <c r="R22" i="42"/>
  <c r="Q22" i="42"/>
  <c r="P22" i="42"/>
  <c r="O22" i="42"/>
  <c r="W21" i="42"/>
  <c r="M21" i="42"/>
  <c r="N21" i="42" a="1"/>
  <c r="N21" i="42"/>
  <c r="V21" i="42"/>
  <c r="U21" i="42"/>
  <c r="T21" i="42"/>
  <c r="S21" i="42"/>
  <c r="R21" i="42"/>
  <c r="Q21" i="42"/>
  <c r="P21" i="42"/>
  <c r="O21" i="42"/>
  <c r="W25" i="41"/>
  <c r="L25" i="41"/>
  <c r="L21" i="41"/>
  <c r="L22" i="41"/>
  <c r="L23" i="41"/>
  <c r="L24" i="41"/>
  <c r="M25" i="41"/>
  <c r="N25" i="41" a="1"/>
  <c r="N25" i="41"/>
  <c r="V25" i="41"/>
  <c r="U25" i="41"/>
  <c r="T25" i="41"/>
  <c r="S25" i="41"/>
  <c r="R25" i="41"/>
  <c r="Q25" i="41"/>
  <c r="P25" i="41"/>
  <c r="O25" i="41"/>
  <c r="W24" i="41"/>
  <c r="M24" i="41"/>
  <c r="N24" i="41" a="1"/>
  <c r="N24" i="41"/>
  <c r="V24" i="41"/>
  <c r="U24" i="41"/>
  <c r="T24" i="41"/>
  <c r="S24" i="41"/>
  <c r="R24" i="41"/>
  <c r="Q24" i="41"/>
  <c r="P24" i="41"/>
  <c r="O24" i="41"/>
  <c r="W23" i="41"/>
  <c r="M23" i="41"/>
  <c r="N23" i="41" a="1"/>
  <c r="N23" i="41"/>
  <c r="V23" i="41"/>
  <c r="U23" i="41"/>
  <c r="T23" i="41"/>
  <c r="S23" i="41"/>
  <c r="R23" i="41"/>
  <c r="Q23" i="41"/>
  <c r="P23" i="41"/>
  <c r="O23" i="41"/>
  <c r="W22" i="41"/>
  <c r="M22" i="41"/>
  <c r="N22" i="41" a="1"/>
  <c r="N22" i="41"/>
  <c r="V22" i="41"/>
  <c r="U22" i="41"/>
  <c r="T22" i="41"/>
  <c r="S22" i="41"/>
  <c r="R22" i="41"/>
  <c r="Q22" i="41"/>
  <c r="P22" i="41"/>
  <c r="O22" i="41"/>
  <c r="W21" i="41"/>
  <c r="M21" i="41"/>
  <c r="N21" i="41" a="1"/>
  <c r="N21" i="41"/>
  <c r="V21" i="41"/>
  <c r="U21" i="41"/>
  <c r="T21" i="41"/>
  <c r="S21" i="41"/>
  <c r="R21" i="41"/>
  <c r="Q21" i="41"/>
  <c r="P21" i="41"/>
  <c r="O21" i="41"/>
  <c r="Q65" i="40"/>
  <c r="C18" i="40"/>
  <c r="F5" i="40"/>
  <c r="V64" i="40"/>
  <c r="AA64" i="40"/>
  <c r="AE64" i="40"/>
  <c r="V65" i="40"/>
  <c r="V66" i="40"/>
  <c r="V67" i="40"/>
  <c r="V68" i="40"/>
  <c r="V69" i="40"/>
  <c r="V70" i="40"/>
  <c r="V71" i="40"/>
  <c r="V72" i="40"/>
  <c r="V73" i="40"/>
  <c r="V74" i="40"/>
  <c r="V75" i="40"/>
  <c r="V76" i="40"/>
  <c r="V77" i="40"/>
  <c r="V78" i="40"/>
  <c r="V79" i="40"/>
  <c r="V80" i="40"/>
  <c r="V81" i="40"/>
  <c r="V82" i="40"/>
  <c r="V83" i="40"/>
  <c r="V84" i="40"/>
  <c r="V85" i="40"/>
  <c r="V86" i="40"/>
  <c r="V87" i="40"/>
  <c r="V88" i="40"/>
  <c r="AA65" i="40"/>
  <c r="AE65" i="40"/>
  <c r="AA66" i="40"/>
  <c r="X66" i="40"/>
  <c r="Y66" i="40"/>
  <c r="AG66" i="40"/>
  <c r="AH66" i="40"/>
  <c r="AE66" i="40"/>
  <c r="AA67" i="40"/>
  <c r="X67" i="40"/>
  <c r="Y67" i="40"/>
  <c r="AG67" i="40"/>
  <c r="AH67" i="40"/>
  <c r="AE67" i="40"/>
  <c r="AA68" i="40"/>
  <c r="X68" i="40"/>
  <c r="Y68" i="40"/>
  <c r="AG68" i="40"/>
  <c r="AH68" i="40"/>
  <c r="AE68" i="40"/>
  <c r="AA69" i="40"/>
  <c r="X69" i="40"/>
  <c r="Y69" i="40"/>
  <c r="AG69" i="40"/>
  <c r="AH69" i="40"/>
  <c r="AE69" i="40"/>
  <c r="AA70" i="40"/>
  <c r="X70" i="40"/>
  <c r="Y70" i="40"/>
  <c r="AG70" i="40"/>
  <c r="AH70" i="40"/>
  <c r="AE70" i="40"/>
  <c r="AA71" i="40"/>
  <c r="X71" i="40"/>
  <c r="Y71" i="40"/>
  <c r="AG71" i="40"/>
  <c r="AH71" i="40"/>
  <c r="AE71" i="40"/>
  <c r="AA72" i="40"/>
  <c r="X72" i="40"/>
  <c r="Y72" i="40"/>
  <c r="AG72" i="40"/>
  <c r="AH72" i="40"/>
  <c r="AE72" i="40"/>
  <c r="AA73" i="40"/>
  <c r="AE73" i="40"/>
  <c r="AA74" i="40"/>
  <c r="X74" i="40"/>
  <c r="Y74" i="40"/>
  <c r="AG74" i="40"/>
  <c r="AH74" i="40"/>
  <c r="AE74" i="40"/>
  <c r="AA75" i="40"/>
  <c r="X75" i="40"/>
  <c r="Y75" i="40"/>
  <c r="AG75" i="40"/>
  <c r="AH75" i="40"/>
  <c r="AE75" i="40"/>
  <c r="AA76" i="40"/>
  <c r="X76" i="40"/>
  <c r="Y76" i="40"/>
  <c r="AG76" i="40"/>
  <c r="AH76" i="40"/>
  <c r="AE76" i="40"/>
  <c r="AA77" i="40"/>
  <c r="X77" i="40"/>
  <c r="Y77" i="40"/>
  <c r="AG77" i="40"/>
  <c r="AH77" i="40"/>
  <c r="AE77" i="40"/>
  <c r="AA78" i="40"/>
  <c r="X78" i="40"/>
  <c r="Y78" i="40"/>
  <c r="AG78" i="40"/>
  <c r="AH78" i="40"/>
  <c r="AE78" i="40"/>
  <c r="AA79" i="40"/>
  <c r="X79" i="40"/>
  <c r="Y79" i="40"/>
  <c r="AG79" i="40"/>
  <c r="AH79" i="40"/>
  <c r="AE79" i="40"/>
  <c r="AA80" i="40"/>
  <c r="X80" i="40"/>
  <c r="Y80" i="40"/>
  <c r="AG80" i="40"/>
  <c r="AH80" i="40"/>
  <c r="AE80" i="40"/>
  <c r="AA81" i="40"/>
  <c r="AE81" i="40"/>
  <c r="AA82" i="40"/>
  <c r="X82" i="40"/>
  <c r="Y82" i="40"/>
  <c r="AG82" i="40"/>
  <c r="AH82" i="40"/>
  <c r="AE82" i="40"/>
  <c r="AA83" i="40"/>
  <c r="X83" i="40"/>
  <c r="Y83" i="40"/>
  <c r="AG83" i="40"/>
  <c r="AH83" i="40"/>
  <c r="AE83" i="40"/>
  <c r="AA84" i="40"/>
  <c r="X84" i="40"/>
  <c r="Y84" i="40"/>
  <c r="AG84" i="40"/>
  <c r="AH84" i="40"/>
  <c r="AE84" i="40"/>
  <c r="AA85" i="40"/>
  <c r="X85" i="40"/>
  <c r="Y85" i="40"/>
  <c r="AG85" i="40"/>
  <c r="AH85" i="40"/>
  <c r="AE85" i="40"/>
  <c r="AA86" i="40"/>
  <c r="X86" i="40"/>
  <c r="Y86" i="40"/>
  <c r="AG86" i="40"/>
  <c r="AH86" i="40"/>
  <c r="AE86" i="40"/>
  <c r="AA87" i="40"/>
  <c r="X87" i="40"/>
  <c r="Y87" i="40"/>
  <c r="AG87" i="40"/>
  <c r="AH87" i="40"/>
  <c r="AE87" i="40"/>
  <c r="AA88" i="40"/>
  <c r="X88" i="40"/>
  <c r="Y88" i="40"/>
  <c r="AG88" i="40"/>
  <c r="AH88" i="40"/>
  <c r="AE88" i="40"/>
  <c r="W64" i="40"/>
  <c r="W65" i="40"/>
  <c r="W66" i="40"/>
  <c r="W67" i="40"/>
  <c r="W68" i="40"/>
  <c r="W69" i="40"/>
  <c r="W70" i="40"/>
  <c r="W71" i="40"/>
  <c r="W72" i="40"/>
  <c r="W73" i="40"/>
  <c r="W74" i="40"/>
  <c r="W75" i="40"/>
  <c r="W76" i="40"/>
  <c r="W77" i="40"/>
  <c r="W78" i="40"/>
  <c r="W79" i="40"/>
  <c r="W80" i="40"/>
  <c r="W81" i="40"/>
  <c r="W82" i="40"/>
  <c r="W83" i="40"/>
  <c r="W84" i="40"/>
  <c r="W85" i="40"/>
  <c r="W86" i="40"/>
  <c r="W87" i="40"/>
  <c r="W88"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J5" i="40"/>
  <c r="K18" i="40"/>
  <c r="G5" i="40"/>
  <c r="H5" i="40"/>
  <c r="I5" i="40"/>
  <c r="J18" i="40"/>
  <c r="L18" i="40"/>
  <c r="Q64" i="40"/>
  <c r="C17" i="40"/>
  <c r="F4" i="40"/>
  <c r="J4" i="40"/>
  <c r="K17" i="40"/>
  <c r="G4" i="40"/>
  <c r="H4" i="40"/>
  <c r="I4" i="40"/>
  <c r="J17" i="40"/>
  <c r="L17" i="40"/>
  <c r="Q66" i="40"/>
  <c r="C19" i="40"/>
  <c r="F6" i="40"/>
  <c r="J6" i="40"/>
  <c r="K19" i="40"/>
  <c r="G6" i="40"/>
  <c r="H6" i="40"/>
  <c r="I6" i="40"/>
  <c r="J19" i="40"/>
  <c r="L19" i="40"/>
  <c r="Q67" i="40"/>
  <c r="C20" i="40"/>
  <c r="F7" i="40"/>
  <c r="J7" i="40"/>
  <c r="K20" i="40"/>
  <c r="G7" i="40"/>
  <c r="H7" i="40"/>
  <c r="I7" i="40"/>
  <c r="J20" i="40"/>
  <c r="L20" i="40"/>
  <c r="M18" i="40"/>
  <c r="N18" i="40" a="1"/>
  <c r="N18" i="40"/>
  <c r="O18" i="40"/>
  <c r="E31" i="40" a="1"/>
  <c r="E31" i="40"/>
  <c r="F31" i="40" a="1"/>
  <c r="F31" i="40"/>
  <c r="G31" i="40" a="1"/>
  <c r="H31" i="40" a="1"/>
  <c r="I31" i="40" a="1"/>
  <c r="J31" i="40" a="1"/>
  <c r="K31" i="40" a="1"/>
  <c r="L31" i="40" a="1"/>
  <c r="P18" i="40"/>
  <c r="M31" i="40" a="1"/>
  <c r="N31" i="40" a="1"/>
  <c r="O31" i="40" a="1"/>
  <c r="P31" i="40" a="1"/>
  <c r="Q31" i="40" a="1"/>
  <c r="R31" i="40" a="1"/>
  <c r="S31" i="40" a="1"/>
  <c r="T31" i="40" a="1"/>
  <c r="Q18" i="40"/>
  <c r="U31" i="40" a="1"/>
  <c r="V31" i="40" a="1"/>
  <c r="W31" i="40" a="1"/>
  <c r="X31" i="40" a="1"/>
  <c r="Y31" i="40" a="1"/>
  <c r="Z31" i="40" a="1"/>
  <c r="AA31" i="40" a="1"/>
  <c r="AB31" i="40" a="1"/>
  <c r="R18" i="40"/>
  <c r="AC31" i="40" a="1"/>
  <c r="AD31" i="40" a="1"/>
  <c r="AE31" i="40" a="1"/>
  <c r="AF31" i="40" a="1"/>
  <c r="AG31" i="40" a="1"/>
  <c r="AH31" i="40" a="1"/>
  <c r="AI31" i="40" a="1"/>
  <c r="AJ31" i="40" a="1"/>
  <c r="S18" i="40"/>
  <c r="AK31" i="40" a="1"/>
  <c r="AL31" i="40" a="1"/>
  <c r="AM31" i="40" a="1"/>
  <c r="AN31" i="40" a="1"/>
  <c r="AO31" i="40" a="1"/>
  <c r="AP31" i="40" a="1"/>
  <c r="AQ31" i="40" a="1"/>
  <c r="AR31" i="40" a="1"/>
  <c r="T18" i="40"/>
  <c r="AS31" i="40" a="1"/>
  <c r="AT31" i="40" a="1"/>
  <c r="AU31" i="40" a="1"/>
  <c r="AV31" i="40" a="1"/>
  <c r="AW31" i="40" a="1"/>
  <c r="AX31" i="40" a="1"/>
  <c r="AY31" i="40" a="1"/>
  <c r="AZ31" i="40" a="1"/>
  <c r="U18" i="40"/>
  <c r="BA31" i="40" a="1"/>
  <c r="BB31" i="40" a="1"/>
  <c r="BC31" i="40" a="1"/>
  <c r="BD31" i="40" a="1"/>
  <c r="BE31" i="40" a="1"/>
  <c r="BF31" i="40" a="1"/>
  <c r="BG31" i="40" a="1"/>
  <c r="BH31" i="40" a="1"/>
  <c r="V18" i="40"/>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W18" i="40"/>
  <c r="M19" i="40"/>
  <c r="N19" i="40" a="1"/>
  <c r="N19" i="40"/>
  <c r="O19" i="40"/>
  <c r="E32" i="40" a="1"/>
  <c r="E32" i="40"/>
  <c r="F32" i="40" a="1"/>
  <c r="F32" i="40"/>
  <c r="G32" i="40" a="1"/>
  <c r="H32" i="40" a="1"/>
  <c r="I32" i="40" a="1"/>
  <c r="J32" i="40" a="1"/>
  <c r="K32" i="40" a="1"/>
  <c r="L32" i="40" a="1"/>
  <c r="P19" i="40"/>
  <c r="M32" i="40" a="1"/>
  <c r="N32" i="40" a="1"/>
  <c r="O32" i="40" a="1"/>
  <c r="P32" i="40" a="1"/>
  <c r="Q32" i="40" a="1"/>
  <c r="R32" i="40" a="1"/>
  <c r="S32" i="40" a="1"/>
  <c r="T32" i="40" a="1"/>
  <c r="Q19" i="40"/>
  <c r="U32" i="40" a="1"/>
  <c r="V32" i="40" a="1"/>
  <c r="W32" i="40" a="1"/>
  <c r="X32" i="40" a="1"/>
  <c r="Y32" i="40" a="1"/>
  <c r="Z32" i="40" a="1"/>
  <c r="AA32" i="40" a="1"/>
  <c r="AB32" i="40" a="1"/>
  <c r="R19" i="40"/>
  <c r="AC32" i="40" a="1"/>
  <c r="AD32" i="40" a="1"/>
  <c r="AE32" i="40" a="1"/>
  <c r="AF32" i="40" a="1"/>
  <c r="AG32" i="40" a="1"/>
  <c r="AH32" i="40" a="1"/>
  <c r="AI32" i="40" a="1"/>
  <c r="AJ32" i="40" a="1"/>
  <c r="S19" i="40"/>
  <c r="AK32" i="40" a="1"/>
  <c r="AL32" i="40" a="1"/>
  <c r="AM32" i="40" a="1"/>
  <c r="AN32" i="40" a="1"/>
  <c r="AO32" i="40" a="1"/>
  <c r="AP32" i="40" a="1"/>
  <c r="AQ32" i="40" a="1"/>
  <c r="AR32" i="40" a="1"/>
  <c r="T19" i="40"/>
  <c r="AS32" i="40" a="1"/>
  <c r="AT32" i="40" a="1"/>
  <c r="AU32" i="40" a="1"/>
  <c r="AV32" i="40" a="1"/>
  <c r="AW32" i="40" a="1"/>
  <c r="AX32" i="40" a="1"/>
  <c r="AY32" i="40" a="1"/>
  <c r="AZ32" i="40" a="1"/>
  <c r="U19" i="40"/>
  <c r="BA32" i="40" a="1"/>
  <c r="BB32" i="40" a="1"/>
  <c r="BC32" i="40" a="1"/>
  <c r="BD32" i="40" a="1"/>
  <c r="BE32" i="40" a="1"/>
  <c r="BF32" i="40" a="1"/>
  <c r="BG32" i="40" a="1"/>
  <c r="BH32" i="40" a="1"/>
  <c r="V19" i="40"/>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W19" i="40"/>
  <c r="M20" i="40"/>
  <c r="N20" i="40" a="1"/>
  <c r="N20" i="40"/>
  <c r="O20" i="40"/>
  <c r="E33" i="40" a="1"/>
  <c r="E33" i="40"/>
  <c r="F33" i="40" a="1"/>
  <c r="F33" i="40"/>
  <c r="G33" i="40" a="1"/>
  <c r="H33" i="40" a="1"/>
  <c r="I33" i="40" a="1"/>
  <c r="J33" i="40" a="1"/>
  <c r="K33" i="40" a="1"/>
  <c r="L33" i="40" a="1"/>
  <c r="P20" i="40"/>
  <c r="M33" i="40" a="1"/>
  <c r="N33" i="40" a="1"/>
  <c r="O33" i="40" a="1"/>
  <c r="P33" i="40" a="1"/>
  <c r="Q33" i="40" a="1"/>
  <c r="R33" i="40" a="1"/>
  <c r="S33" i="40" a="1"/>
  <c r="T33" i="40" a="1"/>
  <c r="Q20" i="40"/>
  <c r="U33" i="40" a="1"/>
  <c r="V33" i="40" a="1"/>
  <c r="W33" i="40" a="1"/>
  <c r="X33" i="40" a="1"/>
  <c r="Y33" i="40" a="1"/>
  <c r="Z33" i="40" a="1"/>
  <c r="AA33" i="40" a="1"/>
  <c r="AB33" i="40" a="1"/>
  <c r="R20" i="40"/>
  <c r="AC33" i="40" a="1"/>
  <c r="AD33" i="40" a="1"/>
  <c r="AE33" i="40" a="1"/>
  <c r="AF33" i="40" a="1"/>
  <c r="AG33" i="40" a="1"/>
  <c r="AH33" i="40" a="1"/>
  <c r="AI33" i="40" a="1"/>
  <c r="AJ33" i="40" a="1"/>
  <c r="S20" i="40"/>
  <c r="AK33" i="40" a="1"/>
  <c r="AL33" i="40" a="1"/>
  <c r="AM33" i="40" a="1"/>
  <c r="AN33" i="40" a="1"/>
  <c r="AO33" i="40" a="1"/>
  <c r="AP33" i="40" a="1"/>
  <c r="AQ33" i="40" a="1"/>
  <c r="AR33" i="40" a="1"/>
  <c r="T20" i="40"/>
  <c r="AS33" i="40" a="1"/>
  <c r="AT33" i="40" a="1"/>
  <c r="AU33" i="40" a="1"/>
  <c r="AV33" i="40" a="1"/>
  <c r="AW33" i="40" a="1"/>
  <c r="AX33" i="40" a="1"/>
  <c r="AY33" i="40" a="1"/>
  <c r="AZ33" i="40" a="1"/>
  <c r="U20" i="40"/>
  <c r="BA33" i="40" a="1"/>
  <c r="BB33" i="40" a="1"/>
  <c r="BC33" i="40" a="1"/>
  <c r="BD33" i="40" a="1"/>
  <c r="BE33" i="40" a="1"/>
  <c r="BF33" i="40" a="1"/>
  <c r="BG33" i="40" a="1"/>
  <c r="BH33" i="40" a="1"/>
  <c r="V20" i="40"/>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W20" i="40"/>
  <c r="W21" i="40"/>
  <c r="W22" i="40"/>
  <c r="W23" i="40"/>
  <c r="W24" i="40"/>
  <c r="W25" i="40"/>
  <c r="M17" i="40"/>
  <c r="N17" i="40" a="1"/>
  <c r="N17" i="40"/>
  <c r="O17" i="40"/>
  <c r="E30" i="40" a="1"/>
  <c r="E30" i="40"/>
  <c r="F30" i="40" a="1"/>
  <c r="F30" i="40"/>
  <c r="G30" i="40" a="1"/>
  <c r="H30" i="40" a="1"/>
  <c r="I30" i="40" a="1"/>
  <c r="J30" i="40" a="1"/>
  <c r="K30" i="40" a="1"/>
  <c r="L30" i="40" a="1"/>
  <c r="P17" i="40"/>
  <c r="M30" i="40" a="1"/>
  <c r="N30" i="40" a="1"/>
  <c r="O30" i="40" a="1"/>
  <c r="P30" i="40" a="1"/>
  <c r="Q30" i="40" a="1"/>
  <c r="R30" i="40" a="1"/>
  <c r="S30" i="40" a="1"/>
  <c r="T30" i="40" a="1"/>
  <c r="Q17" i="40"/>
  <c r="U30" i="40" a="1"/>
  <c r="V30" i="40" a="1"/>
  <c r="W30" i="40" a="1"/>
  <c r="X30" i="40" a="1"/>
  <c r="Y30" i="40" a="1"/>
  <c r="Z30" i="40" a="1"/>
  <c r="AA30" i="40" a="1"/>
  <c r="AB30" i="40" a="1"/>
  <c r="R17" i="40"/>
  <c r="AC30" i="40" a="1"/>
  <c r="AD30" i="40" a="1"/>
  <c r="AE30" i="40" a="1"/>
  <c r="AF30" i="40" a="1"/>
  <c r="AG30" i="40" a="1"/>
  <c r="AH30" i="40" a="1"/>
  <c r="AI30" i="40" a="1"/>
  <c r="AJ30" i="40" a="1"/>
  <c r="S17" i="40"/>
  <c r="AK30" i="40" a="1"/>
  <c r="AL30" i="40" a="1"/>
  <c r="AM30" i="40" a="1"/>
  <c r="AN30" i="40" a="1"/>
  <c r="AO30" i="40" a="1"/>
  <c r="AP30" i="40" a="1"/>
  <c r="AQ30" i="40" a="1"/>
  <c r="AR30" i="40" a="1"/>
  <c r="T17" i="40"/>
  <c r="AS30" i="40" a="1"/>
  <c r="AT30" i="40" a="1"/>
  <c r="AU30" i="40" a="1"/>
  <c r="AV30" i="40" a="1"/>
  <c r="AW30" i="40" a="1"/>
  <c r="AX30" i="40" a="1"/>
  <c r="AY30" i="40" a="1"/>
  <c r="AZ30" i="40" a="1"/>
  <c r="U17" i="40"/>
  <c r="BA30" i="40" a="1"/>
  <c r="BB30" i="40" a="1"/>
  <c r="BC30" i="40" a="1"/>
  <c r="BD30" i="40" a="1"/>
  <c r="BE30" i="40" a="1"/>
  <c r="BF30" i="40" a="1"/>
  <c r="BG30" i="40" a="1"/>
  <c r="BH30" i="40" a="1"/>
  <c r="V17" i="40"/>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W17" i="40"/>
  <c r="L21" i="40"/>
  <c r="L22" i="40"/>
  <c r="L23" i="40"/>
  <c r="L24" i="40"/>
  <c r="L25" i="40"/>
  <c r="E85" i="9"/>
  <c r="AG7" i="39"/>
  <c r="E125" i="9"/>
  <c r="R11" i="39"/>
  <c r="U11" i="36"/>
  <c r="U11" i="24"/>
  <c r="R11" i="21"/>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5" i="22"/>
  <c r="O11" i="6"/>
  <c r="E25" i="9"/>
  <c r="W31" i="6"/>
  <c r="W21" i="6"/>
  <c r="W11" i="6"/>
  <c r="Q64" i="3"/>
  <c r="F4" i="3"/>
  <c r="Q65" i="3"/>
  <c r="F5" i="3"/>
  <c r="Q66" i="3"/>
  <c r="F6" i="3"/>
  <c r="Q67" i="3"/>
  <c r="F7" i="3"/>
  <c r="Q68" i="3"/>
  <c r="F8" i="3"/>
  <c r="Q69" i="3"/>
  <c r="F9" i="3"/>
  <c r="F13" i="3"/>
  <c r="Q64" i="17"/>
  <c r="F4" i="17"/>
  <c r="Q65" i="17"/>
  <c r="F5" i="17"/>
  <c r="Q66" i="17"/>
  <c r="F6" i="17"/>
  <c r="Q67" i="17"/>
  <c r="F7" i="17"/>
  <c r="Q68" i="17"/>
  <c r="F8" i="17"/>
  <c r="Q69" i="17"/>
  <c r="F9" i="17"/>
  <c r="F13" i="17"/>
  <c r="Q64" i="25"/>
  <c r="F4" i="25"/>
  <c r="Q65" i="25"/>
  <c r="F5" i="25"/>
  <c r="Q66" i="25"/>
  <c r="F6" i="25"/>
  <c r="Q67" i="25"/>
  <c r="F7" i="25"/>
  <c r="Q68" i="25"/>
  <c r="F8" i="25"/>
  <c r="Q69" i="25"/>
  <c r="F9" i="25"/>
  <c r="F13" i="25"/>
  <c r="F14" i="3"/>
  <c r="C17" i="25"/>
  <c r="C18" i="25"/>
  <c r="C19" i="25"/>
  <c r="C20" i="25"/>
  <c r="C21" i="25"/>
  <c r="BR52" i="25"/>
  <c r="BT51" i="25"/>
  <c r="BU51" i="25"/>
  <c r="BV51" i="25"/>
  <c r="BW51" i="25"/>
  <c r="BX51" i="25"/>
  <c r="BR53" i="25"/>
  <c r="BS51" i="25"/>
  <c r="BR54" i="25"/>
  <c r="BR55" i="25"/>
  <c r="BR56" i="25"/>
  <c r="BR57" i="25"/>
  <c r="C22" i="25"/>
  <c r="BR30" i="25"/>
  <c r="BT29" i="25"/>
  <c r="BR31" i="25"/>
  <c r="BS29" i="25"/>
  <c r="BU29" i="25"/>
  <c r="BR32" i="25"/>
  <c r="BV29" i="25"/>
  <c r="BR33" i="25"/>
  <c r="BW29" i="25"/>
  <c r="BR34" i="25"/>
  <c r="BX29" i="25"/>
  <c r="BR35" i="25"/>
  <c r="BR41" i="25"/>
  <c r="BS40" i="25"/>
  <c r="BT40" i="25"/>
  <c r="BU40" i="25"/>
  <c r="BV40" i="25"/>
  <c r="BW40" i="25"/>
  <c r="BX40" i="25"/>
  <c r="BR42" i="25"/>
  <c r="BR43" i="25"/>
  <c r="BR44" i="25"/>
  <c r="BR45" i="25"/>
  <c r="BR46" i="25"/>
  <c r="AO12" i="6"/>
  <c r="AO13" i="6"/>
  <c r="AO14" i="6"/>
  <c r="AO15" i="6"/>
  <c r="AO16" i="6"/>
  <c r="AO17" i="6"/>
  <c r="AD37" i="6"/>
  <c r="W37" i="6"/>
  <c r="AD36" i="6"/>
  <c r="W36" i="6"/>
  <c r="AD35" i="6"/>
  <c r="W35" i="6"/>
  <c r="AD34" i="6"/>
  <c r="W34" i="6"/>
  <c r="AD33" i="6"/>
  <c r="W33" i="6"/>
  <c r="AD32" i="6"/>
  <c r="W32" i="6"/>
  <c r="C17" i="17"/>
  <c r="C18" i="17"/>
  <c r="C19" i="17"/>
  <c r="C20" i="17"/>
  <c r="C21" i="17"/>
  <c r="BR52" i="17"/>
  <c r="BT51" i="17"/>
  <c r="BU51" i="17"/>
  <c r="BV51" i="17"/>
  <c r="BW51" i="17"/>
  <c r="BX51" i="17"/>
  <c r="BR53" i="17"/>
  <c r="BS51" i="17"/>
  <c r="BR54" i="17"/>
  <c r="BR55" i="17"/>
  <c r="BR56" i="17"/>
  <c r="BR57" i="17"/>
  <c r="C22" i="17"/>
  <c r="BR30" i="17"/>
  <c r="BT29" i="17"/>
  <c r="BR31" i="17"/>
  <c r="BS29" i="17"/>
  <c r="BU29" i="17"/>
  <c r="BR32" i="17"/>
  <c r="BV29" i="17"/>
  <c r="BR33" i="17"/>
  <c r="BW29" i="17"/>
  <c r="BR34" i="17"/>
  <c r="BX29" i="17"/>
  <c r="BR35" i="17"/>
  <c r="BR41" i="17"/>
  <c r="BS40" i="17"/>
  <c r="BT40" i="17"/>
  <c r="BU40" i="17"/>
  <c r="BV40" i="17"/>
  <c r="BW40" i="17"/>
  <c r="BX40" i="17"/>
  <c r="BR42" i="17"/>
  <c r="BR43" i="17"/>
  <c r="BR44" i="17"/>
  <c r="BR45" i="17"/>
  <c r="BR46" i="17"/>
  <c r="AD27" i="6"/>
  <c r="W27" i="6"/>
  <c r="AD26" i="6"/>
  <c r="W26" i="6"/>
  <c r="AD25" i="6"/>
  <c r="W25" i="6"/>
  <c r="AD24" i="6"/>
  <c r="W24" i="6"/>
  <c r="AD23" i="6"/>
  <c r="W23" i="6"/>
  <c r="AD22" i="6"/>
  <c r="W22" i="6"/>
  <c r="C17" i="3"/>
  <c r="C18" i="3"/>
  <c r="C19" i="3"/>
  <c r="C20" i="3"/>
  <c r="C21" i="3"/>
  <c r="BR52" i="3"/>
  <c r="BT51" i="3"/>
  <c r="BU51" i="3"/>
  <c r="BV51" i="3"/>
  <c r="BW51" i="3"/>
  <c r="BX51" i="3"/>
  <c r="BR53" i="3"/>
  <c r="BS51" i="3"/>
  <c r="BR54" i="3"/>
  <c r="BR55" i="3"/>
  <c r="BR56" i="3"/>
  <c r="BR57" i="3"/>
  <c r="C22" i="3"/>
  <c r="BR30" i="3"/>
  <c r="BT29" i="3"/>
  <c r="BR31" i="3"/>
  <c r="BS29" i="3"/>
  <c r="BU29" i="3"/>
  <c r="BR32" i="3"/>
  <c r="BV29" i="3"/>
  <c r="BR33" i="3"/>
  <c r="BW29" i="3"/>
  <c r="BR34" i="3"/>
  <c r="BX29" i="3"/>
  <c r="BR35" i="3"/>
  <c r="BR41" i="3"/>
  <c r="BS40" i="3"/>
  <c r="BT40" i="3"/>
  <c r="BU40" i="3"/>
  <c r="BV40" i="3"/>
  <c r="BW40" i="3"/>
  <c r="BX40" i="3"/>
  <c r="BR42" i="3"/>
  <c r="BR43" i="3"/>
  <c r="BR44" i="3"/>
  <c r="BR45" i="3"/>
  <c r="BR46" i="3"/>
  <c r="AD17" i="6"/>
  <c r="W17" i="6"/>
  <c r="AD16" i="6"/>
  <c r="W16" i="6"/>
  <c r="AD15" i="6"/>
  <c r="W15" i="6"/>
  <c r="AD14" i="6"/>
  <c r="W14" i="6"/>
  <c r="AD13" i="6"/>
  <c r="W13" i="6"/>
  <c r="AD12" i="6"/>
  <c r="W12" i="6"/>
  <c r="O3" i="25"/>
  <c r="P3" i="25"/>
  <c r="Q3" i="25"/>
  <c r="R3" i="25"/>
  <c r="S3" i="25"/>
  <c r="T3" i="25"/>
  <c r="U3" i="25"/>
  <c r="V3" i="25"/>
  <c r="O4" i="25"/>
  <c r="P4" i="25"/>
  <c r="Q4" i="25"/>
  <c r="R4" i="25"/>
  <c r="W3" i="25"/>
  <c r="W4" i="25"/>
  <c r="Y4" i="25"/>
  <c r="W5" i="25"/>
  <c r="Y5" i="25"/>
  <c r="W6" i="25"/>
  <c r="Y6" i="25"/>
  <c r="W7" i="25"/>
  <c r="Y7" i="25"/>
  <c r="W8" i="25"/>
  <c r="Y8" i="25"/>
  <c r="W9" i="25"/>
  <c r="Y9" i="25"/>
  <c r="W10" i="25"/>
  <c r="Y10" i="25"/>
  <c r="W11" i="25"/>
  <c r="Y11" i="25"/>
  <c r="W12" i="25"/>
  <c r="Y12" i="25"/>
  <c r="Z4" i="25"/>
  <c r="Z5" i="25"/>
  <c r="Z6" i="25"/>
  <c r="Z7" i="25"/>
  <c r="Z8" i="25"/>
  <c r="Z9" i="25"/>
  <c r="Z10" i="25"/>
  <c r="Z11" i="25"/>
  <c r="Z12" i="25"/>
  <c r="AA4" i="25"/>
  <c r="X4" i="25"/>
  <c r="AB3" i="25"/>
  <c r="AB4" i="25"/>
  <c r="AD4" i="25"/>
  <c r="AB5" i="25"/>
  <c r="AD5" i="25"/>
  <c r="AB6" i="25"/>
  <c r="AD6" i="25"/>
  <c r="AB7" i="25"/>
  <c r="AD7" i="25"/>
  <c r="AB8" i="25"/>
  <c r="AD8" i="25"/>
  <c r="AB9" i="25"/>
  <c r="AD9" i="25"/>
  <c r="AB10" i="25"/>
  <c r="AD10" i="25"/>
  <c r="AB11" i="25"/>
  <c r="AD11" i="25"/>
  <c r="AB12" i="25"/>
  <c r="AD12" i="25"/>
  <c r="AE4" i="25"/>
  <c r="AE5" i="25"/>
  <c r="AE6" i="25"/>
  <c r="AE7" i="25"/>
  <c r="AE8" i="25"/>
  <c r="AE9" i="25"/>
  <c r="AE10" i="25"/>
  <c r="AE11" i="25"/>
  <c r="AE12" i="25"/>
  <c r="AF4" i="25"/>
  <c r="AC4" i="25"/>
  <c r="AG3" i="25"/>
  <c r="AG4" i="25"/>
  <c r="AI4" i="25"/>
  <c r="AG5" i="25"/>
  <c r="AI5" i="25"/>
  <c r="AG6" i="25"/>
  <c r="AI6" i="25"/>
  <c r="AG7" i="25"/>
  <c r="AI7" i="25"/>
  <c r="AG8" i="25"/>
  <c r="AI8" i="25"/>
  <c r="AG9" i="25"/>
  <c r="AI9" i="25"/>
  <c r="AG10" i="25"/>
  <c r="AI10" i="25"/>
  <c r="AG11" i="25"/>
  <c r="AI11" i="25"/>
  <c r="AG12" i="25"/>
  <c r="AI12" i="25"/>
  <c r="AJ4" i="25"/>
  <c r="AJ5" i="25"/>
  <c r="AJ6" i="25"/>
  <c r="AJ7" i="25"/>
  <c r="AJ8" i="25"/>
  <c r="AJ9" i="25"/>
  <c r="AJ10" i="25"/>
  <c r="AJ11" i="25"/>
  <c r="AJ12" i="25"/>
  <c r="AK4" i="25"/>
  <c r="AH4" i="25"/>
  <c r="AL3" i="25"/>
  <c r="AL4" i="25"/>
  <c r="AN4" i="25"/>
  <c r="AL5" i="25"/>
  <c r="AN5" i="25"/>
  <c r="AL6" i="25"/>
  <c r="AN6" i="25"/>
  <c r="AL7" i="25"/>
  <c r="AN7" i="25"/>
  <c r="AL8" i="25"/>
  <c r="AN8" i="25"/>
  <c r="AL9" i="25"/>
  <c r="AN9" i="25"/>
  <c r="AL10" i="25"/>
  <c r="AN10" i="25"/>
  <c r="AL11" i="25"/>
  <c r="AN11" i="25"/>
  <c r="AL12" i="25"/>
  <c r="AN12" i="25"/>
  <c r="AO4" i="25"/>
  <c r="AO5" i="25"/>
  <c r="AO6" i="25"/>
  <c r="AO7" i="25"/>
  <c r="AO8" i="25"/>
  <c r="AO9" i="25"/>
  <c r="AO10" i="25"/>
  <c r="AO11" i="25"/>
  <c r="AO12" i="25"/>
  <c r="AP4" i="25"/>
  <c r="AM4" i="25"/>
  <c r="AR4" i="25"/>
  <c r="AS4" i="25"/>
  <c r="AA5" i="25"/>
  <c r="X5" i="25"/>
  <c r="AF5" i="25"/>
  <c r="AC5" i="25"/>
  <c r="AK5" i="25"/>
  <c r="AH5" i="25"/>
  <c r="AP5" i="25"/>
  <c r="AM5" i="25"/>
  <c r="AR5" i="25"/>
  <c r="AS5" i="25"/>
  <c r="AA6" i="25"/>
  <c r="X6" i="25"/>
  <c r="AF6" i="25"/>
  <c r="AC6" i="25"/>
  <c r="AK6" i="25"/>
  <c r="AH6" i="25"/>
  <c r="AP6" i="25"/>
  <c r="AM6" i="25"/>
  <c r="AR6" i="25"/>
  <c r="AS6" i="25"/>
  <c r="AA7" i="25"/>
  <c r="X7" i="25"/>
  <c r="AF7" i="25"/>
  <c r="AC7" i="25"/>
  <c r="AK7" i="25"/>
  <c r="AH7" i="25"/>
  <c r="AP7" i="25"/>
  <c r="AM7" i="25"/>
  <c r="AR7" i="25"/>
  <c r="AS7" i="25"/>
  <c r="AA8" i="25"/>
  <c r="X8" i="25"/>
  <c r="AF8" i="25"/>
  <c r="AC8" i="25"/>
  <c r="AK8" i="25"/>
  <c r="AH8" i="25"/>
  <c r="AP8" i="25"/>
  <c r="AM8" i="25"/>
  <c r="AR8" i="25"/>
  <c r="AS8" i="25"/>
  <c r="AA9" i="25"/>
  <c r="X9" i="25"/>
  <c r="AF9" i="25"/>
  <c r="AC9" i="25"/>
  <c r="AK9" i="25"/>
  <c r="AH9" i="25"/>
  <c r="AP9" i="25"/>
  <c r="AM9" i="25"/>
  <c r="AR9" i="25"/>
  <c r="AS9" i="25"/>
  <c r="AA10" i="25"/>
  <c r="X10" i="25"/>
  <c r="AF10" i="25"/>
  <c r="AC10" i="25"/>
  <c r="AK10" i="25"/>
  <c r="AH10" i="25"/>
  <c r="AP10" i="25"/>
  <c r="AM10" i="25"/>
  <c r="AR10" i="25"/>
  <c r="AS10" i="25"/>
  <c r="AA11" i="25"/>
  <c r="X11" i="25"/>
  <c r="AF11" i="25"/>
  <c r="AC11" i="25"/>
  <c r="AK11" i="25"/>
  <c r="AH11" i="25"/>
  <c r="AP11" i="25"/>
  <c r="AM11" i="25"/>
  <c r="AR11" i="25"/>
  <c r="AS11" i="25"/>
  <c r="AA12" i="25"/>
  <c r="X12" i="25"/>
  <c r="AF12" i="25"/>
  <c r="AC12" i="25"/>
  <c r="AK12" i="25"/>
  <c r="AH12" i="25"/>
  <c r="AP12" i="25"/>
  <c r="AM12" i="25"/>
  <c r="AR12" i="25"/>
  <c r="AS12" i="25"/>
  <c r="Y37" i="6"/>
  <c r="Y36" i="6"/>
  <c r="Y35" i="6"/>
  <c r="Y34" i="6"/>
  <c r="Y33" i="6"/>
  <c r="O3" i="17"/>
  <c r="P3" i="17"/>
  <c r="Q3" i="17"/>
  <c r="R3" i="17"/>
  <c r="S3" i="17"/>
  <c r="T3" i="17"/>
  <c r="U3" i="17"/>
  <c r="V3" i="17"/>
  <c r="O4" i="17"/>
  <c r="P4" i="17"/>
  <c r="Q4" i="17"/>
  <c r="R4" i="17"/>
  <c r="W3" i="17"/>
  <c r="W4" i="17"/>
  <c r="Y4" i="17"/>
  <c r="W5" i="17"/>
  <c r="Y5" i="17"/>
  <c r="W6" i="17"/>
  <c r="Y6" i="17"/>
  <c r="W7" i="17"/>
  <c r="Y7" i="17"/>
  <c r="W8" i="17"/>
  <c r="Y8" i="17"/>
  <c r="W9" i="17"/>
  <c r="Y9" i="17"/>
  <c r="W10" i="17"/>
  <c r="Y10" i="17"/>
  <c r="W11" i="17"/>
  <c r="Y11" i="17"/>
  <c r="W12" i="17"/>
  <c r="Y12" i="17"/>
  <c r="Z4" i="17"/>
  <c r="Z5" i="17"/>
  <c r="Z6" i="17"/>
  <c r="Z7" i="17"/>
  <c r="Z8" i="17"/>
  <c r="Z9" i="17"/>
  <c r="Z10" i="17"/>
  <c r="Z11" i="17"/>
  <c r="Z12" i="17"/>
  <c r="AA4" i="17"/>
  <c r="X4" i="17"/>
  <c r="AB3" i="17"/>
  <c r="AB4" i="17"/>
  <c r="AD4" i="17"/>
  <c r="AB5" i="17"/>
  <c r="AD5" i="17"/>
  <c r="AB6" i="17"/>
  <c r="AD6" i="17"/>
  <c r="AB7" i="17"/>
  <c r="AD7" i="17"/>
  <c r="AB8" i="17"/>
  <c r="AD8" i="17"/>
  <c r="AB9" i="17"/>
  <c r="AD9" i="17"/>
  <c r="AB10" i="17"/>
  <c r="AD10" i="17"/>
  <c r="AB11" i="17"/>
  <c r="AD11" i="17"/>
  <c r="AB12" i="17"/>
  <c r="AD12" i="17"/>
  <c r="AE4" i="17"/>
  <c r="AE5" i="17"/>
  <c r="AE6" i="17"/>
  <c r="AE7" i="17"/>
  <c r="AE8" i="17"/>
  <c r="AE9" i="17"/>
  <c r="AE10" i="17"/>
  <c r="AE11" i="17"/>
  <c r="AE12" i="17"/>
  <c r="AF4" i="17"/>
  <c r="AC4" i="17"/>
  <c r="AG3" i="17"/>
  <c r="AG4" i="17"/>
  <c r="AI4" i="17"/>
  <c r="AG5" i="17"/>
  <c r="AI5" i="17"/>
  <c r="AG6" i="17"/>
  <c r="AI6" i="17"/>
  <c r="AG7" i="17"/>
  <c r="AI7" i="17"/>
  <c r="AG8" i="17"/>
  <c r="AI8" i="17"/>
  <c r="AG9" i="17"/>
  <c r="AI9" i="17"/>
  <c r="AG10" i="17"/>
  <c r="AI10" i="17"/>
  <c r="AG11" i="17"/>
  <c r="AI11" i="17"/>
  <c r="AG12" i="17"/>
  <c r="AI12" i="17"/>
  <c r="AJ4" i="17"/>
  <c r="AJ5" i="17"/>
  <c r="AJ6" i="17"/>
  <c r="AJ7" i="17"/>
  <c r="AJ8" i="17"/>
  <c r="AJ9" i="17"/>
  <c r="AJ10" i="17"/>
  <c r="AJ11" i="17"/>
  <c r="AJ12" i="17"/>
  <c r="AK4" i="17"/>
  <c r="AH4" i="17"/>
  <c r="AL3" i="17"/>
  <c r="AL4" i="17"/>
  <c r="AN4" i="17"/>
  <c r="AL5" i="17"/>
  <c r="AN5" i="17"/>
  <c r="AL6" i="17"/>
  <c r="AN6" i="17"/>
  <c r="AL7" i="17"/>
  <c r="AN7" i="17"/>
  <c r="AL8" i="17"/>
  <c r="AN8" i="17"/>
  <c r="AL9" i="17"/>
  <c r="AN9" i="17"/>
  <c r="AL10" i="17"/>
  <c r="AN10" i="17"/>
  <c r="AL11" i="17"/>
  <c r="AN11" i="17"/>
  <c r="AL12" i="17"/>
  <c r="AN12" i="17"/>
  <c r="AO4" i="17"/>
  <c r="AO5" i="17"/>
  <c r="AO6" i="17"/>
  <c r="AO7" i="17"/>
  <c r="AO8" i="17"/>
  <c r="AO9" i="17"/>
  <c r="AO10" i="17"/>
  <c r="AO11" i="17"/>
  <c r="AO12" i="17"/>
  <c r="AP4" i="17"/>
  <c r="AM4" i="17"/>
  <c r="AR4" i="17"/>
  <c r="AS4" i="17"/>
  <c r="AA5" i="17"/>
  <c r="X5" i="17"/>
  <c r="AF5" i="17"/>
  <c r="AC5" i="17"/>
  <c r="AK5" i="17"/>
  <c r="AH5" i="17"/>
  <c r="AP5" i="17"/>
  <c r="AM5" i="17"/>
  <c r="AR5" i="17"/>
  <c r="AS5" i="17"/>
  <c r="AA6" i="17"/>
  <c r="X6" i="17"/>
  <c r="AF6" i="17"/>
  <c r="AC6" i="17"/>
  <c r="AK6" i="17"/>
  <c r="AH6" i="17"/>
  <c r="AP6" i="17"/>
  <c r="AM6" i="17"/>
  <c r="AR6" i="17"/>
  <c r="AS6" i="17"/>
  <c r="AA7" i="17"/>
  <c r="X7" i="17"/>
  <c r="AF7" i="17"/>
  <c r="AC7" i="17"/>
  <c r="AK7" i="17"/>
  <c r="AH7" i="17"/>
  <c r="AP7" i="17"/>
  <c r="AM7" i="17"/>
  <c r="AR7" i="17"/>
  <c r="AS7" i="17"/>
  <c r="AA8" i="17"/>
  <c r="X8" i="17"/>
  <c r="AF8" i="17"/>
  <c r="AC8" i="17"/>
  <c r="AK8" i="17"/>
  <c r="AH8" i="17"/>
  <c r="AP8" i="17"/>
  <c r="AM8" i="17"/>
  <c r="AR8" i="17"/>
  <c r="AS8" i="17"/>
  <c r="AA9" i="17"/>
  <c r="X9" i="17"/>
  <c r="AF9" i="17"/>
  <c r="AC9" i="17"/>
  <c r="AK9" i="17"/>
  <c r="AH9" i="17"/>
  <c r="AP9" i="17"/>
  <c r="AM9" i="17"/>
  <c r="AR9" i="17"/>
  <c r="AS9" i="17"/>
  <c r="AA10" i="17"/>
  <c r="X10" i="17"/>
  <c r="AF10" i="17"/>
  <c r="AC10" i="17"/>
  <c r="AK10" i="17"/>
  <c r="AH10" i="17"/>
  <c r="AP10" i="17"/>
  <c r="AM10" i="17"/>
  <c r="AR10" i="17"/>
  <c r="AS10" i="17"/>
  <c r="AA11" i="17"/>
  <c r="X11" i="17"/>
  <c r="AF11" i="17"/>
  <c r="AC11" i="17"/>
  <c r="AK11" i="17"/>
  <c r="AH11" i="17"/>
  <c r="AP11" i="17"/>
  <c r="AM11" i="17"/>
  <c r="AR11" i="17"/>
  <c r="AS11" i="17"/>
  <c r="AA12" i="17"/>
  <c r="X12" i="17"/>
  <c r="AF12" i="17"/>
  <c r="AC12" i="17"/>
  <c r="AK12" i="17"/>
  <c r="AH12" i="17"/>
  <c r="AP12" i="17"/>
  <c r="AM12" i="17"/>
  <c r="AR12" i="17"/>
  <c r="AS12" i="17"/>
  <c r="Y27" i="6"/>
  <c r="Y26" i="6"/>
  <c r="Y25" i="6"/>
  <c r="Y24" i="6"/>
  <c r="Y23" i="6"/>
  <c r="O3" i="3"/>
  <c r="P3" i="3"/>
  <c r="Q3" i="3"/>
  <c r="R3" i="3"/>
  <c r="S3" i="3"/>
  <c r="T3" i="3"/>
  <c r="U3" i="3"/>
  <c r="V3" i="3"/>
  <c r="O4" i="3"/>
  <c r="P4" i="3"/>
  <c r="Q4" i="3"/>
  <c r="R4" i="3"/>
  <c r="W3" i="3"/>
  <c r="W4" i="3"/>
  <c r="Y4" i="3"/>
  <c r="W5" i="3"/>
  <c r="Y5" i="3"/>
  <c r="W6" i="3"/>
  <c r="Y6" i="3"/>
  <c r="W7" i="3"/>
  <c r="Y7" i="3"/>
  <c r="W8" i="3"/>
  <c r="Y8" i="3"/>
  <c r="W9" i="3"/>
  <c r="Y9" i="3"/>
  <c r="W10" i="3"/>
  <c r="Y10" i="3"/>
  <c r="W11" i="3"/>
  <c r="Y11" i="3"/>
  <c r="W12" i="3"/>
  <c r="Y12" i="3"/>
  <c r="Z4" i="3"/>
  <c r="Z5" i="3"/>
  <c r="Z6" i="3"/>
  <c r="Z7" i="3"/>
  <c r="Z8" i="3"/>
  <c r="Z9" i="3"/>
  <c r="Z10" i="3"/>
  <c r="Z11" i="3"/>
  <c r="Z12" i="3"/>
  <c r="AA4" i="3"/>
  <c r="X4" i="3"/>
  <c r="AB3" i="3"/>
  <c r="AB4" i="3"/>
  <c r="AD4" i="3"/>
  <c r="AB5" i="3"/>
  <c r="AD5" i="3"/>
  <c r="AB6" i="3"/>
  <c r="AD6" i="3"/>
  <c r="AB7" i="3"/>
  <c r="AD7" i="3"/>
  <c r="AB8" i="3"/>
  <c r="AD8" i="3"/>
  <c r="AB9" i="3"/>
  <c r="AD9" i="3"/>
  <c r="AB10" i="3"/>
  <c r="AD10" i="3"/>
  <c r="AB11" i="3"/>
  <c r="AD11" i="3"/>
  <c r="AB12" i="3"/>
  <c r="AD12" i="3"/>
  <c r="AE4" i="3"/>
  <c r="AE5" i="3"/>
  <c r="AE6" i="3"/>
  <c r="AE7" i="3"/>
  <c r="AE8" i="3"/>
  <c r="AE9" i="3"/>
  <c r="AE10" i="3"/>
  <c r="AE11" i="3"/>
  <c r="AE12" i="3"/>
  <c r="AF4" i="3"/>
  <c r="AC4" i="3"/>
  <c r="AG3" i="3"/>
  <c r="AG4" i="3"/>
  <c r="AI4" i="3"/>
  <c r="AG5" i="3"/>
  <c r="AI5" i="3"/>
  <c r="AG6" i="3"/>
  <c r="AI6" i="3"/>
  <c r="AG7" i="3"/>
  <c r="AI7" i="3"/>
  <c r="AG8" i="3"/>
  <c r="AI8" i="3"/>
  <c r="AG9" i="3"/>
  <c r="AI9" i="3"/>
  <c r="AG10" i="3"/>
  <c r="AI10" i="3"/>
  <c r="AG11" i="3"/>
  <c r="AI11" i="3"/>
  <c r="AG12" i="3"/>
  <c r="AI12" i="3"/>
  <c r="AJ4" i="3"/>
  <c r="AJ5" i="3"/>
  <c r="AJ6" i="3"/>
  <c r="AJ7" i="3"/>
  <c r="AJ8" i="3"/>
  <c r="AJ9" i="3"/>
  <c r="AJ10" i="3"/>
  <c r="AJ11" i="3"/>
  <c r="AJ12" i="3"/>
  <c r="AK4" i="3"/>
  <c r="AH4" i="3"/>
  <c r="AL3" i="3"/>
  <c r="AL4" i="3"/>
  <c r="AN4" i="3"/>
  <c r="AL5" i="3"/>
  <c r="AN5" i="3"/>
  <c r="AL6" i="3"/>
  <c r="AN6" i="3"/>
  <c r="AL7" i="3"/>
  <c r="AN7" i="3"/>
  <c r="AL8" i="3"/>
  <c r="AN8" i="3"/>
  <c r="AL9" i="3"/>
  <c r="AN9" i="3"/>
  <c r="AL10" i="3"/>
  <c r="AN10" i="3"/>
  <c r="AL11" i="3"/>
  <c r="AN11" i="3"/>
  <c r="AL12" i="3"/>
  <c r="AN12" i="3"/>
  <c r="AO4" i="3"/>
  <c r="AO5" i="3"/>
  <c r="AO6" i="3"/>
  <c r="AO7" i="3"/>
  <c r="AO8" i="3"/>
  <c r="AO9" i="3"/>
  <c r="AO10" i="3"/>
  <c r="AO11" i="3"/>
  <c r="AO12" i="3"/>
  <c r="AP4" i="3"/>
  <c r="AM4" i="3"/>
  <c r="AR4" i="3"/>
  <c r="AS4" i="3"/>
  <c r="AA5" i="3"/>
  <c r="X5" i="3"/>
  <c r="AF5" i="3"/>
  <c r="AC5" i="3"/>
  <c r="AK5" i="3"/>
  <c r="AH5" i="3"/>
  <c r="AP5" i="3"/>
  <c r="AM5" i="3"/>
  <c r="AR5" i="3"/>
  <c r="AS5" i="3"/>
  <c r="AA6" i="3"/>
  <c r="X6" i="3"/>
  <c r="AF6" i="3"/>
  <c r="AC6" i="3"/>
  <c r="AK6" i="3"/>
  <c r="AH6" i="3"/>
  <c r="AP6" i="3"/>
  <c r="AM6" i="3"/>
  <c r="AR6" i="3"/>
  <c r="AS6" i="3"/>
  <c r="AA7" i="3"/>
  <c r="X7" i="3"/>
  <c r="AF7" i="3"/>
  <c r="AC7" i="3"/>
  <c r="AK7" i="3"/>
  <c r="AH7" i="3"/>
  <c r="AP7" i="3"/>
  <c r="AM7" i="3"/>
  <c r="AR7" i="3"/>
  <c r="AS7" i="3"/>
  <c r="AA8" i="3"/>
  <c r="X8" i="3"/>
  <c r="AF8" i="3"/>
  <c r="AC8" i="3"/>
  <c r="AK8" i="3"/>
  <c r="AH8" i="3"/>
  <c r="AP8" i="3"/>
  <c r="AM8" i="3"/>
  <c r="AR8" i="3"/>
  <c r="AS8" i="3"/>
  <c r="AA9" i="3"/>
  <c r="X9" i="3"/>
  <c r="AF9" i="3"/>
  <c r="AC9" i="3"/>
  <c r="AK9" i="3"/>
  <c r="AH9" i="3"/>
  <c r="AP9" i="3"/>
  <c r="AM9" i="3"/>
  <c r="AR9" i="3"/>
  <c r="AS9" i="3"/>
  <c r="AA10" i="3"/>
  <c r="X10" i="3"/>
  <c r="AF10" i="3"/>
  <c r="AC10" i="3"/>
  <c r="AK10" i="3"/>
  <c r="AH10" i="3"/>
  <c r="AP10" i="3"/>
  <c r="AM10" i="3"/>
  <c r="AR10" i="3"/>
  <c r="AS10" i="3"/>
  <c r="AA11" i="3"/>
  <c r="X11" i="3"/>
  <c r="AF11" i="3"/>
  <c r="AC11" i="3"/>
  <c r="AK11" i="3"/>
  <c r="AH11" i="3"/>
  <c r="AP11" i="3"/>
  <c r="AM11" i="3"/>
  <c r="AR11" i="3"/>
  <c r="AS11" i="3"/>
  <c r="AA12" i="3"/>
  <c r="X12" i="3"/>
  <c r="AF12" i="3"/>
  <c r="AC12" i="3"/>
  <c r="AK12" i="3"/>
  <c r="AH12" i="3"/>
  <c r="AP12" i="3"/>
  <c r="AM12" i="3"/>
  <c r="AR12" i="3"/>
  <c r="AS12" i="3"/>
  <c r="Y17" i="6"/>
  <c r="Y16" i="6"/>
  <c r="Y15" i="6"/>
  <c r="Y14" i="6"/>
  <c r="Y13" i="6"/>
  <c r="Y32" i="6"/>
  <c r="Y22" i="6"/>
  <c r="Y12" i="6"/>
  <c r="E96" i="9"/>
  <c r="X37" i="6"/>
  <c r="X36" i="6"/>
  <c r="X35" i="6"/>
  <c r="X34" i="6"/>
  <c r="X33" i="6"/>
  <c r="X32" i="6"/>
  <c r="X27" i="6"/>
  <c r="X26" i="6"/>
  <c r="X25" i="6"/>
  <c r="X24" i="6"/>
  <c r="X23" i="6"/>
  <c r="X22" i="6"/>
  <c r="X17" i="6"/>
  <c r="X16" i="6"/>
  <c r="X15" i="6"/>
  <c r="X14" i="6"/>
  <c r="X13" i="6"/>
  <c r="X12" i="6"/>
  <c r="AM17" i="36"/>
  <c r="AO17" i="36"/>
  <c r="Y18" i="36"/>
  <c r="E59" i="9"/>
  <c r="X16" i="36"/>
  <c r="I12" i="36"/>
  <c r="Y12" i="36"/>
  <c r="K12" i="36"/>
  <c r="AN12" i="36"/>
  <c r="AP12" i="36"/>
  <c r="AQ12" i="36"/>
  <c r="AK12" i="36"/>
  <c r="I17" i="36"/>
  <c r="Y19" i="36"/>
  <c r="I13" i="36"/>
  <c r="Y20" i="36"/>
  <c r="K13" i="36"/>
  <c r="AN13" i="36"/>
  <c r="AP13" i="36"/>
  <c r="AQ13" i="36"/>
  <c r="AK13" i="36"/>
  <c r="K17" i="36"/>
  <c r="AN17" i="36"/>
  <c r="AQ17" i="36"/>
  <c r="AP17" i="36"/>
  <c r="AL17" i="36"/>
  <c r="AK17" i="36"/>
  <c r="AM16" i="36"/>
  <c r="AO16" i="36"/>
  <c r="AL12" i="36"/>
  <c r="I16" i="36"/>
  <c r="AL13" i="36"/>
  <c r="K16" i="36"/>
  <c r="AN16" i="36"/>
  <c r="AQ16" i="36"/>
  <c r="AP16" i="36"/>
  <c r="AL16" i="36"/>
  <c r="AK16" i="36"/>
  <c r="AM13" i="36"/>
  <c r="AO13" i="36"/>
  <c r="AM12" i="36"/>
  <c r="AO12" i="36"/>
  <c r="AM21" i="24"/>
  <c r="AO21" i="24"/>
  <c r="Y24" i="24"/>
  <c r="X16" i="24"/>
  <c r="X22" i="24"/>
  <c r="I12" i="24"/>
  <c r="AO22" i="6"/>
  <c r="AO23" i="6"/>
  <c r="AO24" i="6"/>
  <c r="AO25" i="6"/>
  <c r="AO26" i="6"/>
  <c r="AO27" i="6"/>
  <c r="AO32" i="6"/>
  <c r="AO33" i="6"/>
  <c r="AO34" i="6"/>
  <c r="AO35" i="6"/>
  <c r="AO36" i="6"/>
  <c r="AO37" i="6"/>
  <c r="AQ22" i="6"/>
  <c r="AQ23" i="6"/>
  <c r="AQ24" i="6"/>
  <c r="AQ25" i="6"/>
  <c r="AQ27" i="6"/>
  <c r="AQ32" i="6"/>
  <c r="AQ34" i="6"/>
  <c r="AQ35" i="6"/>
  <c r="AQ36" i="6"/>
  <c r="AQ37" i="6"/>
  <c r="Y13" i="24"/>
  <c r="K12" i="24"/>
  <c r="AN12" i="24"/>
  <c r="AP12" i="24"/>
  <c r="AQ12" i="24"/>
  <c r="AK12" i="24"/>
  <c r="E77" i="9"/>
  <c r="B12" i="24"/>
  <c r="F17" i="24"/>
  <c r="I17" i="24"/>
  <c r="Y26" i="24"/>
  <c r="I14" i="24"/>
  <c r="Y18" i="24"/>
  <c r="K14" i="24"/>
  <c r="AN14" i="24"/>
  <c r="AP14" i="24"/>
  <c r="AQ14" i="24"/>
  <c r="AK14" i="24"/>
  <c r="B14" i="24"/>
  <c r="H17" i="24"/>
  <c r="K17" i="24"/>
  <c r="AN17" i="24"/>
  <c r="AP17" i="24"/>
  <c r="AQ17" i="24"/>
  <c r="AK17" i="24"/>
  <c r="I21" i="24"/>
  <c r="Y25" i="24"/>
  <c r="I13" i="24"/>
  <c r="Y12" i="24"/>
  <c r="K13" i="24"/>
  <c r="AN13" i="24"/>
  <c r="AP13" i="24"/>
  <c r="AQ13" i="24"/>
  <c r="AK13" i="24"/>
  <c r="B13" i="24"/>
  <c r="F18" i="24"/>
  <c r="I18" i="24"/>
  <c r="Y19" i="24"/>
  <c r="I15" i="24"/>
  <c r="Y20" i="24"/>
  <c r="K15" i="24"/>
  <c r="AN15" i="24"/>
  <c r="AP15" i="24"/>
  <c r="AQ15" i="24"/>
  <c r="AK15" i="24"/>
  <c r="B15" i="24"/>
  <c r="H18" i="24"/>
  <c r="K18" i="24"/>
  <c r="AN18" i="24"/>
  <c r="AP18" i="24"/>
  <c r="AQ18" i="24"/>
  <c r="AK18" i="24"/>
  <c r="K21" i="24"/>
  <c r="AN21" i="24"/>
  <c r="AQ21" i="24"/>
  <c r="AP21" i="24"/>
  <c r="AL21" i="24"/>
  <c r="AK21" i="24"/>
  <c r="AM20" i="24"/>
  <c r="AO20" i="24"/>
  <c r="AL17" i="24"/>
  <c r="I20" i="24"/>
  <c r="AL18" i="24"/>
  <c r="K20" i="24"/>
  <c r="AN20" i="24"/>
  <c r="AQ20" i="24"/>
  <c r="AP20" i="24"/>
  <c r="AL20" i="24"/>
  <c r="AK20" i="24"/>
  <c r="AM18" i="24"/>
  <c r="AO18" i="24"/>
  <c r="AM17" i="24"/>
  <c r="AO17" i="24"/>
  <c r="AM13" i="24"/>
  <c r="AO13" i="24"/>
  <c r="AL13" i="24"/>
  <c r="AM14" i="24"/>
  <c r="AO14" i="24"/>
  <c r="AL14" i="24"/>
  <c r="AM15" i="24"/>
  <c r="AO15" i="24"/>
  <c r="AL15" i="24"/>
  <c r="AO12" i="24"/>
  <c r="AM12" i="24"/>
  <c r="AL12" i="24"/>
  <c r="M4" i="33"/>
  <c r="N4" i="33"/>
  <c r="L4" i="33"/>
  <c r="AA12" i="24"/>
  <c r="Z12" i="24"/>
  <c r="AB12" i="24"/>
  <c r="AC12" i="24"/>
  <c r="AH13" i="21"/>
  <c r="I29" i="21"/>
  <c r="AH14" i="21"/>
  <c r="K29" i="21"/>
  <c r="AA81" i="31"/>
  <c r="AH20" i="21"/>
  <c r="E66" i="9"/>
  <c r="AG17" i="21"/>
  <c r="I28" i="21"/>
  <c r="AH21" i="21"/>
  <c r="K28" i="21"/>
  <c r="AA80" i="31"/>
  <c r="AH27" i="21"/>
  <c r="E67" i="9"/>
  <c r="AG24" i="21"/>
  <c r="I27" i="21"/>
  <c r="AH28" i="21"/>
  <c r="K27" i="21"/>
  <c r="AA79" i="31"/>
  <c r="AH34" i="21"/>
  <c r="E68" i="9"/>
  <c r="AG31" i="21"/>
  <c r="I26" i="21"/>
  <c r="AH35" i="21"/>
  <c r="K26" i="21"/>
  <c r="AA78" i="31"/>
  <c r="AH41" i="21"/>
  <c r="E69" i="9"/>
  <c r="AG38" i="21"/>
  <c r="I25" i="21"/>
  <c r="AH42" i="21"/>
  <c r="K25" i="21"/>
  <c r="AA77" i="31"/>
  <c r="AH48" i="21"/>
  <c r="E70" i="9"/>
  <c r="AG45" i="21"/>
  <c r="I24" i="21"/>
  <c r="AH49" i="21"/>
  <c r="K24" i="21"/>
  <c r="AA76" i="31"/>
  <c r="I23" i="21"/>
  <c r="AH12" i="21"/>
  <c r="K23" i="21"/>
  <c r="AA75" i="31"/>
  <c r="I22" i="21"/>
  <c r="AH19" i="21"/>
  <c r="K22" i="21"/>
  <c r="AA74" i="31"/>
  <c r="I21" i="21"/>
  <c r="AH26" i="21"/>
  <c r="K21" i="21"/>
  <c r="AA73" i="31"/>
  <c r="I20" i="21"/>
  <c r="AH33" i="21"/>
  <c r="K20" i="21"/>
  <c r="AA72" i="31"/>
  <c r="I19" i="21"/>
  <c r="AH40" i="21"/>
  <c r="K19" i="21"/>
  <c r="AA71" i="31"/>
  <c r="I18" i="21"/>
  <c r="AH47" i="21"/>
  <c r="K18" i="21"/>
  <c r="AA70" i="31"/>
  <c r="I17" i="21"/>
  <c r="K17" i="21"/>
  <c r="AA69" i="31"/>
  <c r="I16" i="21"/>
  <c r="K16" i="21"/>
  <c r="AA68" i="31"/>
  <c r="I15" i="21"/>
  <c r="K15" i="21"/>
  <c r="AA67" i="31"/>
  <c r="I14" i="21"/>
  <c r="K14" i="21"/>
  <c r="AA66" i="31"/>
  <c r="I13" i="21"/>
  <c r="K13" i="21"/>
  <c r="AA65" i="31"/>
  <c r="I12" i="21"/>
  <c r="K12" i="21"/>
  <c r="AA64" i="31"/>
  <c r="AA81" i="30"/>
  <c r="AA80" i="30"/>
  <c r="AA79" i="30"/>
  <c r="AA78" i="30"/>
  <c r="AA77" i="30"/>
  <c r="AA76" i="30"/>
  <c r="AA75" i="30"/>
  <c r="AA74" i="30"/>
  <c r="AA73" i="30"/>
  <c r="AA72" i="30"/>
  <c r="AA71" i="30"/>
  <c r="AA70" i="30"/>
  <c r="AA69" i="30"/>
  <c r="AA68" i="30"/>
  <c r="AA67" i="30"/>
  <c r="AA66" i="30"/>
  <c r="AA65" i="30"/>
  <c r="AA64" i="30"/>
  <c r="AA81" i="29"/>
  <c r="AA80" i="29"/>
  <c r="AA79" i="29"/>
  <c r="AA78" i="29"/>
  <c r="AA77" i="29"/>
  <c r="AA76" i="29"/>
  <c r="AA75" i="29"/>
  <c r="AA74" i="29"/>
  <c r="AA73" i="29"/>
  <c r="AA72" i="29"/>
  <c r="AA71" i="29"/>
  <c r="AA70" i="29"/>
  <c r="AA69" i="29"/>
  <c r="AA68" i="29"/>
  <c r="AA67" i="29"/>
  <c r="AA66" i="29"/>
  <c r="AA65" i="29"/>
  <c r="AA64" i="29"/>
  <c r="AA81" i="28"/>
  <c r="AA80" i="28"/>
  <c r="AA79" i="28"/>
  <c r="AA78" i="28"/>
  <c r="AA77" i="28"/>
  <c r="AA76" i="28"/>
  <c r="AA75" i="28"/>
  <c r="AA74" i="28"/>
  <c r="AA73" i="28"/>
  <c r="AA72" i="28"/>
  <c r="AA71" i="28"/>
  <c r="AA70" i="28"/>
  <c r="AA69" i="28"/>
  <c r="AA68" i="28"/>
  <c r="AA67" i="28"/>
  <c r="AA66" i="28"/>
  <c r="AA65" i="28"/>
  <c r="AA64" i="28"/>
  <c r="AA81" i="27"/>
  <c r="AA80" i="27"/>
  <c r="AA79" i="27"/>
  <c r="AA78" i="27"/>
  <c r="AA77" i="27"/>
  <c r="AA76" i="27"/>
  <c r="AA75" i="27"/>
  <c r="AA74" i="27"/>
  <c r="AA73" i="27"/>
  <c r="AA72" i="27"/>
  <c r="AA71" i="27"/>
  <c r="AA70" i="27"/>
  <c r="AA69" i="27"/>
  <c r="AA68" i="27"/>
  <c r="AA67" i="27"/>
  <c r="AA66" i="27"/>
  <c r="AA65" i="27"/>
  <c r="AA64" i="27"/>
  <c r="AA81" i="26"/>
  <c r="AA80" i="26"/>
  <c r="AA79" i="26"/>
  <c r="AA78" i="26"/>
  <c r="AA77" i="26"/>
  <c r="AA76" i="26"/>
  <c r="AA75" i="26"/>
  <c r="AA74" i="26"/>
  <c r="AA73" i="26"/>
  <c r="AA72" i="26"/>
  <c r="AA71" i="26"/>
  <c r="AA70" i="26"/>
  <c r="AA69" i="26"/>
  <c r="AA68" i="26"/>
  <c r="AA67" i="26"/>
  <c r="AA66" i="26"/>
  <c r="AA65" i="26"/>
  <c r="AA64" i="26"/>
  <c r="AE64" i="44"/>
  <c r="AE65" i="44"/>
  <c r="X66" i="44"/>
  <c r="Y66" i="44"/>
  <c r="AG66" i="44"/>
  <c r="AH66" i="44"/>
  <c r="AE66" i="44"/>
  <c r="X67" i="44"/>
  <c r="Y67" i="44"/>
  <c r="AG67" i="44"/>
  <c r="AH67" i="44"/>
  <c r="AE67" i="44"/>
  <c r="X68" i="44"/>
  <c r="Y68" i="44"/>
  <c r="AG68" i="44"/>
  <c r="AH68" i="44"/>
  <c r="AE68" i="44"/>
  <c r="X69" i="44"/>
  <c r="Y69" i="44"/>
  <c r="AG69" i="44"/>
  <c r="AH69" i="44"/>
  <c r="AE69" i="44"/>
  <c r="X70" i="44"/>
  <c r="Y70" i="44"/>
  <c r="AG70" i="44"/>
  <c r="AH70" i="44"/>
  <c r="AE70" i="44"/>
  <c r="X71" i="44"/>
  <c r="Y71" i="44"/>
  <c r="AG71" i="44"/>
  <c r="AH71" i="44"/>
  <c r="AE71" i="44"/>
  <c r="X72" i="44"/>
  <c r="Y72" i="44"/>
  <c r="AG72" i="44"/>
  <c r="AH72" i="44"/>
  <c r="AE72" i="44"/>
  <c r="AE73" i="44"/>
  <c r="X74" i="44"/>
  <c r="Y74" i="44"/>
  <c r="AG74" i="44"/>
  <c r="AH74" i="44"/>
  <c r="AE74" i="44"/>
  <c r="X75" i="44"/>
  <c r="Y75" i="44"/>
  <c r="AG75" i="44"/>
  <c r="AH75" i="44"/>
  <c r="AE75" i="44"/>
  <c r="X76" i="44"/>
  <c r="Y76" i="44"/>
  <c r="AG76" i="44"/>
  <c r="AH76" i="44"/>
  <c r="AE76" i="44"/>
  <c r="X77" i="44"/>
  <c r="Y77" i="44"/>
  <c r="AG77" i="44"/>
  <c r="AH77" i="44"/>
  <c r="AE77" i="44"/>
  <c r="X78" i="44"/>
  <c r="Y78" i="44"/>
  <c r="AG78" i="44"/>
  <c r="AH78" i="44"/>
  <c r="AE78" i="44"/>
  <c r="X79" i="44"/>
  <c r="Y79" i="44"/>
  <c r="AG79" i="44"/>
  <c r="AH79" i="44"/>
  <c r="AE79" i="44"/>
  <c r="X80" i="44"/>
  <c r="Y80" i="44"/>
  <c r="AG80" i="44"/>
  <c r="AH80" i="44"/>
  <c r="AE80" i="44"/>
  <c r="AE81" i="44"/>
  <c r="X82" i="44"/>
  <c r="Y82" i="44"/>
  <c r="AG82" i="44"/>
  <c r="AH82" i="44"/>
  <c r="AE82" i="44"/>
  <c r="X83" i="44"/>
  <c r="Y83" i="44"/>
  <c r="AG83" i="44"/>
  <c r="AH83" i="44"/>
  <c r="AE83" i="44"/>
  <c r="X84" i="44"/>
  <c r="Y84" i="44"/>
  <c r="AG84" i="44"/>
  <c r="AH84" i="44"/>
  <c r="AE84" i="44"/>
  <c r="X85" i="44"/>
  <c r="Y85" i="44"/>
  <c r="AG85" i="44"/>
  <c r="AH85" i="44"/>
  <c r="AE85" i="44"/>
  <c r="X86" i="44"/>
  <c r="Y86" i="44"/>
  <c r="AG86" i="44"/>
  <c r="AH86" i="44"/>
  <c r="AE86" i="44"/>
  <c r="X87" i="44"/>
  <c r="Y87" i="44"/>
  <c r="AG87" i="44"/>
  <c r="AH87" i="44"/>
  <c r="AE87" i="44"/>
  <c r="X88" i="44"/>
  <c r="Y88" i="44"/>
  <c r="AG88" i="44"/>
  <c r="AH88" i="44"/>
  <c r="AE88" i="44"/>
  <c r="AF64" i="44"/>
  <c r="AF65" i="44"/>
  <c r="AF66" i="44"/>
  <c r="AF67" i="44"/>
  <c r="AF68" i="44"/>
  <c r="AF69" i="44"/>
  <c r="AF70" i="44"/>
  <c r="AF71" i="44"/>
  <c r="AF72" i="44"/>
  <c r="AF73" i="44"/>
  <c r="AF74" i="44"/>
  <c r="AF75" i="44"/>
  <c r="AF76" i="44"/>
  <c r="AF77" i="44"/>
  <c r="AF78" i="44"/>
  <c r="AF79" i="44"/>
  <c r="AF80" i="44"/>
  <c r="AF81" i="44"/>
  <c r="AF82" i="44"/>
  <c r="AF83" i="44"/>
  <c r="AF84" i="44"/>
  <c r="AF85" i="44"/>
  <c r="AF86" i="44"/>
  <c r="AF87" i="44"/>
  <c r="AF88" i="44"/>
  <c r="J12" i="44"/>
  <c r="J11" i="44"/>
  <c r="J10" i="44"/>
  <c r="J9" i="44"/>
  <c r="J8" i="44"/>
  <c r="J7" i="44"/>
  <c r="J6" i="44"/>
  <c r="J5" i="44"/>
  <c r="J4" i="44"/>
  <c r="J12" i="43"/>
  <c r="J11" i="43"/>
  <c r="J10" i="43"/>
  <c r="J9" i="43"/>
  <c r="J8" i="43"/>
  <c r="J7" i="43"/>
  <c r="J12" i="42"/>
  <c r="J11" i="42"/>
  <c r="J10" i="42"/>
  <c r="J9" i="42"/>
  <c r="J8" i="42"/>
  <c r="J12" i="41"/>
  <c r="J11" i="41"/>
  <c r="J10" i="41"/>
  <c r="J9" i="41"/>
  <c r="J8" i="41"/>
  <c r="AB135" i="44"/>
  <c r="AB134" i="44"/>
  <c r="AB133" i="44"/>
  <c r="AB132" i="44"/>
  <c r="AB131" i="44"/>
  <c r="AB130" i="44"/>
  <c r="AB129" i="44"/>
  <c r="AB128" i="44"/>
  <c r="AB127" i="44"/>
  <c r="AB126" i="44"/>
  <c r="AB125" i="44"/>
  <c r="AB124" i="44"/>
  <c r="AB123" i="44"/>
  <c r="AB122" i="44"/>
  <c r="AB121" i="44"/>
  <c r="AB120" i="44"/>
  <c r="AB119" i="44"/>
  <c r="AB118" i="44"/>
  <c r="AB117" i="44"/>
  <c r="AB116" i="44"/>
  <c r="AB115" i="44"/>
  <c r="AB114" i="44"/>
  <c r="AB113" i="44"/>
  <c r="AB112" i="44"/>
  <c r="AB111" i="44"/>
  <c r="AB110" i="44"/>
  <c r="AB109" i="44"/>
  <c r="AB108" i="44"/>
  <c r="AB107" i="44"/>
  <c r="AB106" i="44"/>
  <c r="AB105" i="44"/>
  <c r="AB104" i="44"/>
  <c r="AB103" i="44"/>
  <c r="AB102" i="44"/>
  <c r="AB101" i="44"/>
  <c r="AB100" i="44"/>
  <c r="AB99" i="44"/>
  <c r="AB98" i="44"/>
  <c r="AB97" i="44"/>
  <c r="AB96" i="44"/>
  <c r="AB95" i="44"/>
  <c r="AB94" i="44"/>
  <c r="AB93" i="44"/>
  <c r="AB92" i="44"/>
  <c r="AB91" i="44"/>
  <c r="AB90" i="44"/>
  <c r="AB89" i="44"/>
  <c r="AB88" i="44"/>
  <c r="AB87" i="44"/>
  <c r="AB86" i="44"/>
  <c r="AB85" i="44"/>
  <c r="AB84" i="44"/>
  <c r="AB83" i="44"/>
  <c r="AB82" i="44"/>
  <c r="AB81" i="44"/>
  <c r="AB80" i="44"/>
  <c r="AB79" i="44"/>
  <c r="AB78" i="44"/>
  <c r="AB77" i="44"/>
  <c r="AB76" i="44"/>
  <c r="AB75" i="44"/>
  <c r="AB74" i="44"/>
  <c r="AB73" i="44"/>
  <c r="AB72" i="44"/>
  <c r="AB71" i="44"/>
  <c r="AB70" i="44"/>
  <c r="AB69" i="44"/>
  <c r="AB68" i="44"/>
  <c r="AB67" i="44"/>
  <c r="AB66" i="44"/>
  <c r="AB65" i="44"/>
  <c r="AB64" i="44"/>
  <c r="AB135" i="43"/>
  <c r="AB134" i="43"/>
  <c r="AB133" i="43"/>
  <c r="AB132" i="43"/>
  <c r="AB131" i="43"/>
  <c r="AB130" i="43"/>
  <c r="AB129" i="43"/>
  <c r="AB128" i="43"/>
  <c r="AB127" i="43"/>
  <c r="AB126" i="43"/>
  <c r="AB125" i="43"/>
  <c r="AB124" i="43"/>
  <c r="AB123" i="43"/>
  <c r="AB122" i="43"/>
  <c r="AB121" i="43"/>
  <c r="AB120" i="43"/>
  <c r="AB119" i="43"/>
  <c r="AB118" i="43"/>
  <c r="AB117" i="43"/>
  <c r="AB116" i="43"/>
  <c r="AB115" i="43"/>
  <c r="AB114" i="43"/>
  <c r="AB113" i="43"/>
  <c r="AB112" i="43"/>
  <c r="AB111" i="43"/>
  <c r="AB110" i="43"/>
  <c r="AB109" i="43"/>
  <c r="AB108" i="43"/>
  <c r="AB107" i="43"/>
  <c r="AB106" i="43"/>
  <c r="AB105" i="43"/>
  <c r="AB104" i="43"/>
  <c r="AB103" i="43"/>
  <c r="AB102" i="43"/>
  <c r="AB101" i="43"/>
  <c r="AB100" i="43"/>
  <c r="AB99" i="43"/>
  <c r="AB98" i="43"/>
  <c r="AB97" i="43"/>
  <c r="AB96" i="43"/>
  <c r="AB95" i="43"/>
  <c r="AB94" i="43"/>
  <c r="AB93" i="43"/>
  <c r="AB92" i="43"/>
  <c r="AB91" i="43"/>
  <c r="AB90" i="43"/>
  <c r="AB89" i="43"/>
  <c r="AB88" i="43"/>
  <c r="AB87" i="43"/>
  <c r="AB86" i="43"/>
  <c r="AB85" i="43"/>
  <c r="AB84" i="43"/>
  <c r="AB83" i="43"/>
  <c r="AB82" i="43"/>
  <c r="AB81" i="43"/>
  <c r="AB80" i="43"/>
  <c r="AB79" i="43"/>
  <c r="AB78" i="43"/>
  <c r="AB77" i="43"/>
  <c r="AB76" i="43"/>
  <c r="AB75" i="43"/>
  <c r="AB74" i="43"/>
  <c r="AB73" i="43"/>
  <c r="AB72" i="43"/>
  <c r="AB71" i="43"/>
  <c r="AB70" i="43"/>
  <c r="AB69" i="43"/>
  <c r="AB68" i="43"/>
  <c r="AB67" i="43"/>
  <c r="AB66" i="43"/>
  <c r="AB65" i="43"/>
  <c r="AB64" i="43"/>
  <c r="AB135" i="42"/>
  <c r="AB134" i="42"/>
  <c r="AB133" i="42"/>
  <c r="AB132" i="42"/>
  <c r="AB131" i="42"/>
  <c r="AB130" i="42"/>
  <c r="AB129" i="42"/>
  <c r="AB128" i="42"/>
  <c r="AB127" i="42"/>
  <c r="AB126" i="42"/>
  <c r="AB125" i="42"/>
  <c r="AB124" i="42"/>
  <c r="AB123" i="42"/>
  <c r="AB122" i="42"/>
  <c r="AB121" i="42"/>
  <c r="AB120" i="42"/>
  <c r="AB119" i="42"/>
  <c r="AB118" i="42"/>
  <c r="AB117" i="42"/>
  <c r="AB116" i="42"/>
  <c r="AB115" i="42"/>
  <c r="AB114" i="42"/>
  <c r="AB113"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135" i="41"/>
  <c r="AB134" i="41"/>
  <c r="AB133" i="41"/>
  <c r="AB132" i="41"/>
  <c r="AB131" i="41"/>
  <c r="AB130" i="41"/>
  <c r="AB129" i="41"/>
  <c r="AB128" i="41"/>
  <c r="AB127" i="41"/>
  <c r="AB126" i="41"/>
  <c r="AB125" i="41"/>
  <c r="AB124" i="41"/>
  <c r="AB123" i="41"/>
  <c r="AB122" i="41"/>
  <c r="AB121" i="41"/>
  <c r="AB120" i="41"/>
  <c r="AB119" i="41"/>
  <c r="AB118" i="41"/>
  <c r="AB117" i="41"/>
  <c r="AB116" i="41"/>
  <c r="AB115" i="41"/>
  <c r="AB114" i="41"/>
  <c r="AB113" i="41"/>
  <c r="AB112" i="41"/>
  <c r="AB111" i="41"/>
  <c r="AB110" i="41"/>
  <c r="AB109" i="41"/>
  <c r="AB108" i="41"/>
  <c r="AB107" i="41"/>
  <c r="AB106" i="41"/>
  <c r="AB105" i="41"/>
  <c r="AB104" i="41"/>
  <c r="AB103" i="41"/>
  <c r="AB102" i="41"/>
  <c r="AB101" i="41"/>
  <c r="AB100" i="41"/>
  <c r="AB99" i="41"/>
  <c r="AB98" i="41"/>
  <c r="AB97" i="41"/>
  <c r="AB96" i="41"/>
  <c r="AB95" i="41"/>
  <c r="AB94" i="41"/>
  <c r="AB93" i="41"/>
  <c r="AB92" i="41"/>
  <c r="AB91" i="41"/>
  <c r="AB90" i="41"/>
  <c r="AB89" i="41"/>
  <c r="AB88" i="41"/>
  <c r="AB87" i="41"/>
  <c r="AB86" i="41"/>
  <c r="AB85" i="41"/>
  <c r="AB84" i="41"/>
  <c r="AB83" i="41"/>
  <c r="AB82" i="41"/>
  <c r="AB81" i="41"/>
  <c r="AB80" i="41"/>
  <c r="AB79" i="41"/>
  <c r="AB78" i="41"/>
  <c r="AB77" i="41"/>
  <c r="AB76" i="41"/>
  <c r="AB75" i="41"/>
  <c r="AB74" i="41"/>
  <c r="AB73" i="41"/>
  <c r="AB72" i="41"/>
  <c r="AB71" i="41"/>
  <c r="AB70" i="41"/>
  <c r="AB69" i="41"/>
  <c r="AB68" i="41"/>
  <c r="AB67" i="41"/>
  <c r="AB66" i="41"/>
  <c r="AB65" i="41"/>
  <c r="AB64" i="41"/>
  <c r="J8" i="40"/>
  <c r="J9" i="40"/>
  <c r="J10" i="40"/>
  <c r="J11" i="40"/>
  <c r="J12" i="40"/>
  <c r="V64" i="31"/>
  <c r="AE64" i="31"/>
  <c r="V65" i="31"/>
  <c r="X65" i="31"/>
  <c r="Y65" i="31"/>
  <c r="AG65" i="31"/>
  <c r="AH65" i="31"/>
  <c r="AE65" i="31"/>
  <c r="V66" i="31"/>
  <c r="V67" i="31"/>
  <c r="V68" i="31"/>
  <c r="V69" i="31"/>
  <c r="V70" i="31"/>
  <c r="V71" i="31"/>
  <c r="V72" i="31"/>
  <c r="V73" i="31"/>
  <c r="V74" i="31"/>
  <c r="V75" i="31"/>
  <c r="V76" i="31"/>
  <c r="V77" i="31"/>
  <c r="V78" i="31"/>
  <c r="V79" i="31"/>
  <c r="V80" i="31"/>
  <c r="V81" i="31"/>
  <c r="X66" i="31"/>
  <c r="Y66" i="31"/>
  <c r="AG66" i="31"/>
  <c r="AH66" i="31"/>
  <c r="AE66" i="31"/>
  <c r="X67" i="31"/>
  <c r="Y67" i="31"/>
  <c r="AG67" i="31"/>
  <c r="AH67" i="31"/>
  <c r="AE67" i="31"/>
  <c r="X68" i="31"/>
  <c r="Y68" i="31"/>
  <c r="AG68" i="31"/>
  <c r="AH68" i="31"/>
  <c r="AE68" i="31"/>
  <c r="X69" i="31"/>
  <c r="Y69" i="31"/>
  <c r="AG69" i="31"/>
  <c r="AH69" i="31"/>
  <c r="AE69" i="31"/>
  <c r="AE70" i="31"/>
  <c r="X71" i="31"/>
  <c r="Y71" i="31"/>
  <c r="AG71" i="31"/>
  <c r="AH71" i="31"/>
  <c r="AE71" i="31"/>
  <c r="X72" i="31"/>
  <c r="Y72" i="31"/>
  <c r="AG72" i="31"/>
  <c r="AH72" i="31"/>
  <c r="AE72" i="31"/>
  <c r="X73" i="31"/>
  <c r="Y73" i="31"/>
  <c r="AG73" i="31"/>
  <c r="AH73" i="31"/>
  <c r="AE73" i="31"/>
  <c r="X74" i="31"/>
  <c r="Y74" i="31"/>
  <c r="AG74" i="31"/>
  <c r="AH74" i="31"/>
  <c r="AE74" i="31"/>
  <c r="X75" i="31"/>
  <c r="Y75" i="31"/>
  <c r="AG75" i="31"/>
  <c r="AH75" i="31"/>
  <c r="AE75" i="31"/>
  <c r="AE76" i="31"/>
  <c r="X77" i="31"/>
  <c r="Y77" i="31"/>
  <c r="AG77" i="31"/>
  <c r="AH77" i="31"/>
  <c r="AE77" i="31"/>
  <c r="X78" i="31"/>
  <c r="Y78" i="31"/>
  <c r="AG78" i="31"/>
  <c r="AH78" i="31"/>
  <c r="AE78" i="31"/>
  <c r="X79" i="31"/>
  <c r="Y79" i="31"/>
  <c r="AG79" i="31"/>
  <c r="AH79" i="31"/>
  <c r="AE79" i="31"/>
  <c r="X80" i="31"/>
  <c r="Y80" i="31"/>
  <c r="AG80" i="31"/>
  <c r="AH80" i="31"/>
  <c r="AE80" i="31"/>
  <c r="X81" i="31"/>
  <c r="Y81" i="31"/>
  <c r="AG81" i="31"/>
  <c r="AH81" i="31"/>
  <c r="AE81" i="31"/>
  <c r="W64" i="31"/>
  <c r="W65" i="31"/>
  <c r="W66" i="31"/>
  <c r="W67" i="31"/>
  <c r="W68" i="31"/>
  <c r="W69" i="31"/>
  <c r="W70" i="31"/>
  <c r="W71" i="31"/>
  <c r="W72" i="31"/>
  <c r="W73" i="31"/>
  <c r="W74" i="31"/>
  <c r="W75" i="31"/>
  <c r="W76" i="31"/>
  <c r="W77" i="31"/>
  <c r="W78" i="31"/>
  <c r="W79" i="31"/>
  <c r="W80" i="31"/>
  <c r="W81" i="31"/>
  <c r="AF64" i="31"/>
  <c r="AF65" i="31"/>
  <c r="AF66" i="31"/>
  <c r="AF67" i="31"/>
  <c r="AF68" i="31"/>
  <c r="AF69" i="31"/>
  <c r="AF70" i="31"/>
  <c r="AF71" i="31"/>
  <c r="AF72" i="31"/>
  <c r="AF73" i="31"/>
  <c r="AF74" i="31"/>
  <c r="AF75" i="31"/>
  <c r="AF76" i="31"/>
  <c r="AF77" i="31"/>
  <c r="AF78" i="31"/>
  <c r="AF79" i="31"/>
  <c r="AF80" i="31"/>
  <c r="AF81" i="31"/>
  <c r="J12" i="31"/>
  <c r="J11" i="31"/>
  <c r="J10" i="31"/>
  <c r="J9" i="31"/>
  <c r="J8" i="31"/>
  <c r="J7" i="31"/>
  <c r="Q66" i="31"/>
  <c r="F6" i="31"/>
  <c r="J6" i="31"/>
  <c r="Q65" i="31"/>
  <c r="F5" i="31"/>
  <c r="J5" i="31"/>
  <c r="Q64" i="31"/>
  <c r="F4" i="31"/>
  <c r="J4" i="31"/>
  <c r="V64" i="30"/>
  <c r="AE64" i="30"/>
  <c r="V65" i="30"/>
  <c r="X65" i="30"/>
  <c r="Y65" i="30"/>
  <c r="AG65" i="30"/>
  <c r="AH65" i="30"/>
  <c r="AE65" i="30"/>
  <c r="V66" i="30"/>
  <c r="V67" i="30"/>
  <c r="V68" i="30"/>
  <c r="V69" i="30"/>
  <c r="V70" i="30"/>
  <c r="V71" i="30"/>
  <c r="V72" i="30"/>
  <c r="V73" i="30"/>
  <c r="V74" i="30"/>
  <c r="V75" i="30"/>
  <c r="V76" i="30"/>
  <c r="V77" i="30"/>
  <c r="V78" i="30"/>
  <c r="V79" i="30"/>
  <c r="V80" i="30"/>
  <c r="V81" i="30"/>
  <c r="X66" i="30"/>
  <c r="Y66" i="30"/>
  <c r="AG66" i="30"/>
  <c r="AH66" i="30"/>
  <c r="AE66" i="30"/>
  <c r="X67" i="30"/>
  <c r="Y67" i="30"/>
  <c r="AG67" i="30"/>
  <c r="AH67" i="30"/>
  <c r="AE67" i="30"/>
  <c r="X68" i="30"/>
  <c r="Y68" i="30"/>
  <c r="AG68" i="30"/>
  <c r="AH68" i="30"/>
  <c r="AE68" i="30"/>
  <c r="X69" i="30"/>
  <c r="Y69" i="30"/>
  <c r="AG69" i="30"/>
  <c r="AH69" i="30"/>
  <c r="AE69" i="30"/>
  <c r="AE70" i="30"/>
  <c r="X71" i="30"/>
  <c r="Y71" i="30"/>
  <c r="AG71" i="30"/>
  <c r="AH71" i="30"/>
  <c r="AE71" i="30"/>
  <c r="X72" i="30"/>
  <c r="Y72" i="30"/>
  <c r="AG72" i="30"/>
  <c r="AH72" i="30"/>
  <c r="AE72" i="30"/>
  <c r="X73" i="30"/>
  <c r="Y73" i="30"/>
  <c r="AG73" i="30"/>
  <c r="AH73" i="30"/>
  <c r="AE73" i="30"/>
  <c r="X74" i="30"/>
  <c r="Y74" i="30"/>
  <c r="AG74" i="30"/>
  <c r="AH74" i="30"/>
  <c r="AE74" i="30"/>
  <c r="X75" i="30"/>
  <c r="Y75" i="30"/>
  <c r="AG75" i="30"/>
  <c r="AH75" i="30"/>
  <c r="AE75" i="30"/>
  <c r="AE76" i="30"/>
  <c r="X77" i="30"/>
  <c r="Y77" i="30"/>
  <c r="AG77" i="30"/>
  <c r="AH77" i="30"/>
  <c r="AE77" i="30"/>
  <c r="X78" i="30"/>
  <c r="Y78" i="30"/>
  <c r="AG78" i="30"/>
  <c r="AH78" i="30"/>
  <c r="AE78" i="30"/>
  <c r="X79" i="30"/>
  <c r="Y79" i="30"/>
  <c r="AG79" i="30"/>
  <c r="AH79" i="30"/>
  <c r="AE79" i="30"/>
  <c r="X80" i="30"/>
  <c r="Y80" i="30"/>
  <c r="AG80" i="30"/>
  <c r="AH80" i="30"/>
  <c r="AE80" i="30"/>
  <c r="X81" i="30"/>
  <c r="Y81" i="30"/>
  <c r="AG81" i="30"/>
  <c r="AH81" i="30"/>
  <c r="AE81" i="30"/>
  <c r="W64" i="30"/>
  <c r="W65" i="30"/>
  <c r="W66" i="30"/>
  <c r="W67" i="30"/>
  <c r="W68" i="30"/>
  <c r="W69" i="30"/>
  <c r="W70" i="30"/>
  <c r="W71" i="30"/>
  <c r="W72" i="30"/>
  <c r="W73" i="30"/>
  <c r="W74" i="30"/>
  <c r="W75" i="30"/>
  <c r="W76" i="30"/>
  <c r="W77" i="30"/>
  <c r="W78" i="30"/>
  <c r="W79" i="30"/>
  <c r="W80" i="30"/>
  <c r="W81" i="30"/>
  <c r="AF64" i="30"/>
  <c r="AF65" i="30"/>
  <c r="AF66" i="30"/>
  <c r="AF67" i="30"/>
  <c r="AF68" i="30"/>
  <c r="AF69" i="30"/>
  <c r="AF70" i="30"/>
  <c r="AF71" i="30"/>
  <c r="AF72" i="30"/>
  <c r="AF73" i="30"/>
  <c r="AF74" i="30"/>
  <c r="AF75" i="30"/>
  <c r="AF76" i="30"/>
  <c r="AF77" i="30"/>
  <c r="AF78" i="30"/>
  <c r="AF79" i="30"/>
  <c r="AF80" i="30"/>
  <c r="AF81" i="30"/>
  <c r="J12" i="30"/>
  <c r="J11" i="30"/>
  <c r="J10" i="30"/>
  <c r="J9" i="30"/>
  <c r="J8" i="30"/>
  <c r="J7" i="30"/>
  <c r="Q66" i="30"/>
  <c r="F6" i="30"/>
  <c r="J6" i="30"/>
  <c r="Q65" i="30"/>
  <c r="F5" i="30"/>
  <c r="J5" i="30"/>
  <c r="Q64" i="30"/>
  <c r="F4" i="30"/>
  <c r="J4" i="30"/>
  <c r="V64" i="29"/>
  <c r="AE64" i="29"/>
  <c r="V65" i="29"/>
  <c r="X65" i="29"/>
  <c r="Y65" i="29"/>
  <c r="AG65" i="29"/>
  <c r="AH65" i="29"/>
  <c r="AE65" i="29"/>
  <c r="V66" i="29"/>
  <c r="V67" i="29"/>
  <c r="V68" i="29"/>
  <c r="V69" i="29"/>
  <c r="V70" i="29"/>
  <c r="V71" i="29"/>
  <c r="V72" i="29"/>
  <c r="V73" i="29"/>
  <c r="V74" i="29"/>
  <c r="V75" i="29"/>
  <c r="V76" i="29"/>
  <c r="V77" i="29"/>
  <c r="V78" i="29"/>
  <c r="V79" i="29"/>
  <c r="V80" i="29"/>
  <c r="V81" i="29"/>
  <c r="X66" i="29"/>
  <c r="Y66" i="29"/>
  <c r="AG66" i="29"/>
  <c r="AH66" i="29"/>
  <c r="AE66" i="29"/>
  <c r="X67" i="29"/>
  <c r="Y67" i="29"/>
  <c r="AG67" i="29"/>
  <c r="AH67" i="29"/>
  <c r="AE67" i="29"/>
  <c r="X68" i="29"/>
  <c r="Y68" i="29"/>
  <c r="AG68" i="29"/>
  <c r="AH68" i="29"/>
  <c r="AE68" i="29"/>
  <c r="X69" i="29"/>
  <c r="Y69" i="29"/>
  <c r="AG69" i="29"/>
  <c r="AH69" i="29"/>
  <c r="AE69" i="29"/>
  <c r="AE70" i="29"/>
  <c r="X71" i="29"/>
  <c r="Y71" i="29"/>
  <c r="AG71" i="29"/>
  <c r="AH71" i="29"/>
  <c r="AE71" i="29"/>
  <c r="X72" i="29"/>
  <c r="Y72" i="29"/>
  <c r="AG72" i="29"/>
  <c r="AH72" i="29"/>
  <c r="AE72" i="29"/>
  <c r="X73" i="29"/>
  <c r="Y73" i="29"/>
  <c r="AG73" i="29"/>
  <c r="AH73" i="29"/>
  <c r="AE73" i="29"/>
  <c r="X74" i="29"/>
  <c r="Y74" i="29"/>
  <c r="AG74" i="29"/>
  <c r="AH74" i="29"/>
  <c r="AE74" i="29"/>
  <c r="X75" i="29"/>
  <c r="Y75" i="29"/>
  <c r="AG75" i="29"/>
  <c r="AH75" i="29"/>
  <c r="AE75" i="29"/>
  <c r="AE76" i="29"/>
  <c r="X77" i="29"/>
  <c r="Y77" i="29"/>
  <c r="AG77" i="29"/>
  <c r="AH77" i="29"/>
  <c r="AE77" i="29"/>
  <c r="X78" i="29"/>
  <c r="Y78" i="29"/>
  <c r="AG78" i="29"/>
  <c r="AH78" i="29"/>
  <c r="AE78" i="29"/>
  <c r="X79" i="29"/>
  <c r="Y79" i="29"/>
  <c r="AG79" i="29"/>
  <c r="AH79" i="29"/>
  <c r="AE79" i="29"/>
  <c r="X80" i="29"/>
  <c r="Y80" i="29"/>
  <c r="AG80" i="29"/>
  <c r="AH80" i="29"/>
  <c r="AE80" i="29"/>
  <c r="X81" i="29"/>
  <c r="Y81" i="29"/>
  <c r="AG81" i="29"/>
  <c r="AH81" i="29"/>
  <c r="AE81" i="29"/>
  <c r="W64" i="29"/>
  <c r="W65" i="29"/>
  <c r="W66" i="29"/>
  <c r="W67" i="29"/>
  <c r="W68" i="29"/>
  <c r="W69" i="29"/>
  <c r="W70" i="29"/>
  <c r="W71" i="29"/>
  <c r="W72" i="29"/>
  <c r="W73" i="29"/>
  <c r="W74" i="29"/>
  <c r="W75" i="29"/>
  <c r="W76" i="29"/>
  <c r="W77" i="29"/>
  <c r="W78" i="29"/>
  <c r="W79" i="29"/>
  <c r="W80" i="29"/>
  <c r="W81" i="29"/>
  <c r="AF64" i="29"/>
  <c r="AF65" i="29"/>
  <c r="AF66" i="29"/>
  <c r="AF67" i="29"/>
  <c r="AF68" i="29"/>
  <c r="AF69" i="29"/>
  <c r="AF70" i="29"/>
  <c r="AF71" i="29"/>
  <c r="AF72" i="29"/>
  <c r="AF73" i="29"/>
  <c r="AF74" i="29"/>
  <c r="AF75" i="29"/>
  <c r="AF76" i="29"/>
  <c r="AF77" i="29"/>
  <c r="AF78" i="29"/>
  <c r="AF79" i="29"/>
  <c r="AF80" i="29"/>
  <c r="AF81" i="29"/>
  <c r="J12" i="29"/>
  <c r="J11" i="29"/>
  <c r="J10" i="29"/>
  <c r="J9" i="29"/>
  <c r="J8" i="29"/>
  <c r="J7" i="29"/>
  <c r="Q66" i="29"/>
  <c r="F6" i="29"/>
  <c r="J6" i="29"/>
  <c r="Q65" i="29"/>
  <c r="F5" i="29"/>
  <c r="J5" i="29"/>
  <c r="Q64" i="29"/>
  <c r="F4" i="29"/>
  <c r="J4" i="29"/>
  <c r="V64" i="28"/>
  <c r="AE64" i="28"/>
  <c r="V65" i="28"/>
  <c r="X65" i="28"/>
  <c r="Y65" i="28"/>
  <c r="AG65" i="28"/>
  <c r="AH65" i="28"/>
  <c r="AE65" i="28"/>
  <c r="V66" i="28"/>
  <c r="V67" i="28"/>
  <c r="V68" i="28"/>
  <c r="V69" i="28"/>
  <c r="V70" i="28"/>
  <c r="V71" i="28"/>
  <c r="V72" i="28"/>
  <c r="V73" i="28"/>
  <c r="V74" i="28"/>
  <c r="V75" i="28"/>
  <c r="V76" i="28"/>
  <c r="V77" i="28"/>
  <c r="V78" i="28"/>
  <c r="V79" i="28"/>
  <c r="V80" i="28"/>
  <c r="V81" i="28"/>
  <c r="X66" i="28"/>
  <c r="Y66" i="28"/>
  <c r="AG66" i="28"/>
  <c r="AH66" i="28"/>
  <c r="AE66" i="28"/>
  <c r="X67" i="28"/>
  <c r="Y67" i="28"/>
  <c r="AG67" i="28"/>
  <c r="AH67" i="28"/>
  <c r="AE67" i="28"/>
  <c r="X68" i="28"/>
  <c r="Y68" i="28"/>
  <c r="AG68" i="28"/>
  <c r="AH68" i="28"/>
  <c r="AE68" i="28"/>
  <c r="X69" i="28"/>
  <c r="Y69" i="28"/>
  <c r="AG69" i="28"/>
  <c r="AH69" i="28"/>
  <c r="AE69" i="28"/>
  <c r="AE70" i="28"/>
  <c r="X71" i="28"/>
  <c r="Y71" i="28"/>
  <c r="AG71" i="28"/>
  <c r="AH71" i="28"/>
  <c r="AE71" i="28"/>
  <c r="X72" i="28"/>
  <c r="Y72" i="28"/>
  <c r="AG72" i="28"/>
  <c r="AH72" i="28"/>
  <c r="AE72" i="28"/>
  <c r="X73" i="28"/>
  <c r="Y73" i="28"/>
  <c r="AG73" i="28"/>
  <c r="AH73" i="28"/>
  <c r="AE73" i="28"/>
  <c r="X74" i="28"/>
  <c r="Y74" i="28"/>
  <c r="AG74" i="28"/>
  <c r="AH74" i="28"/>
  <c r="AE74" i="28"/>
  <c r="X75" i="28"/>
  <c r="Y75" i="28"/>
  <c r="AG75" i="28"/>
  <c r="AH75" i="28"/>
  <c r="AE75" i="28"/>
  <c r="AE76" i="28"/>
  <c r="X77" i="28"/>
  <c r="Y77" i="28"/>
  <c r="AG77" i="28"/>
  <c r="AH77" i="28"/>
  <c r="AE77" i="28"/>
  <c r="X78" i="28"/>
  <c r="Y78" i="28"/>
  <c r="AG78" i="28"/>
  <c r="AH78" i="28"/>
  <c r="AE78" i="28"/>
  <c r="X79" i="28"/>
  <c r="Y79" i="28"/>
  <c r="AG79" i="28"/>
  <c r="AH79" i="28"/>
  <c r="AE79" i="28"/>
  <c r="X80" i="28"/>
  <c r="Y80" i="28"/>
  <c r="AG80" i="28"/>
  <c r="AH80" i="28"/>
  <c r="AE80" i="28"/>
  <c r="X81" i="28"/>
  <c r="Y81" i="28"/>
  <c r="AG81" i="28"/>
  <c r="AH81" i="28"/>
  <c r="AE81" i="28"/>
  <c r="W64" i="28"/>
  <c r="W65" i="28"/>
  <c r="W66" i="28"/>
  <c r="W67" i="28"/>
  <c r="W68" i="28"/>
  <c r="W69" i="28"/>
  <c r="W70" i="28"/>
  <c r="W71" i="28"/>
  <c r="W72" i="28"/>
  <c r="W73" i="28"/>
  <c r="W74" i="28"/>
  <c r="W75" i="28"/>
  <c r="W76" i="28"/>
  <c r="W77" i="28"/>
  <c r="W78" i="28"/>
  <c r="W79" i="28"/>
  <c r="W80" i="28"/>
  <c r="W81" i="28"/>
  <c r="AF64" i="28"/>
  <c r="AF65" i="28"/>
  <c r="AF66" i="28"/>
  <c r="AF67" i="28"/>
  <c r="AF68" i="28"/>
  <c r="AF69" i="28"/>
  <c r="AF70" i="28"/>
  <c r="AF71" i="28"/>
  <c r="AF72" i="28"/>
  <c r="AF73" i="28"/>
  <c r="AF74" i="28"/>
  <c r="AF75" i="28"/>
  <c r="AF76" i="28"/>
  <c r="AF77" i="28"/>
  <c r="AF78" i="28"/>
  <c r="AF79" i="28"/>
  <c r="AF80" i="28"/>
  <c r="AF81" i="28"/>
  <c r="J12" i="28"/>
  <c r="J11" i="28"/>
  <c r="J10" i="28"/>
  <c r="J9" i="28"/>
  <c r="J8" i="28"/>
  <c r="J7" i="28"/>
  <c r="Q66" i="28"/>
  <c r="F6" i="28"/>
  <c r="J6" i="28"/>
  <c r="Q65" i="28"/>
  <c r="F5" i="28"/>
  <c r="J5" i="28"/>
  <c r="Q64" i="28"/>
  <c r="F4" i="28"/>
  <c r="J4" i="28"/>
  <c r="V64" i="27"/>
  <c r="AE64" i="27"/>
  <c r="V65" i="27"/>
  <c r="X65" i="27"/>
  <c r="Y65" i="27"/>
  <c r="AG65" i="27"/>
  <c r="AH65" i="27"/>
  <c r="AE65" i="27"/>
  <c r="V66" i="27"/>
  <c r="V67" i="27"/>
  <c r="V68" i="27"/>
  <c r="V69" i="27"/>
  <c r="V70" i="27"/>
  <c r="V71" i="27"/>
  <c r="V72" i="27"/>
  <c r="V73" i="27"/>
  <c r="V74" i="27"/>
  <c r="V75" i="27"/>
  <c r="V76" i="27"/>
  <c r="V77" i="27"/>
  <c r="V78" i="27"/>
  <c r="V79" i="27"/>
  <c r="V80" i="27"/>
  <c r="V81" i="27"/>
  <c r="X66" i="27"/>
  <c r="Y66" i="27"/>
  <c r="AG66" i="27"/>
  <c r="AH66" i="27"/>
  <c r="AE66" i="27"/>
  <c r="X67" i="27"/>
  <c r="Y67" i="27"/>
  <c r="AG67" i="27"/>
  <c r="AH67" i="27"/>
  <c r="AE67" i="27"/>
  <c r="X68" i="27"/>
  <c r="Y68" i="27"/>
  <c r="AG68" i="27"/>
  <c r="AH68" i="27"/>
  <c r="AE68" i="27"/>
  <c r="X69" i="27"/>
  <c r="Y69" i="27"/>
  <c r="AG69" i="27"/>
  <c r="AH69" i="27"/>
  <c r="AE69" i="27"/>
  <c r="AE70" i="27"/>
  <c r="X71" i="27"/>
  <c r="Y71" i="27"/>
  <c r="AG71" i="27"/>
  <c r="AH71" i="27"/>
  <c r="AE71" i="27"/>
  <c r="X72" i="27"/>
  <c r="Y72" i="27"/>
  <c r="AG72" i="27"/>
  <c r="AH72" i="27"/>
  <c r="AE72" i="27"/>
  <c r="X73" i="27"/>
  <c r="Y73" i="27"/>
  <c r="AG73" i="27"/>
  <c r="AH73" i="27"/>
  <c r="AE73" i="27"/>
  <c r="X74" i="27"/>
  <c r="Y74" i="27"/>
  <c r="AG74" i="27"/>
  <c r="AH74" i="27"/>
  <c r="AE74" i="27"/>
  <c r="X75" i="27"/>
  <c r="Y75" i="27"/>
  <c r="AG75" i="27"/>
  <c r="AH75" i="27"/>
  <c r="AE75" i="27"/>
  <c r="AE76" i="27"/>
  <c r="X77" i="27"/>
  <c r="Y77" i="27"/>
  <c r="AG77" i="27"/>
  <c r="AH77" i="27"/>
  <c r="AE77" i="27"/>
  <c r="X78" i="27"/>
  <c r="Y78" i="27"/>
  <c r="AG78" i="27"/>
  <c r="AH78" i="27"/>
  <c r="AE78" i="27"/>
  <c r="X79" i="27"/>
  <c r="Y79" i="27"/>
  <c r="AG79" i="27"/>
  <c r="AH79" i="27"/>
  <c r="AE79" i="27"/>
  <c r="X80" i="27"/>
  <c r="Y80" i="27"/>
  <c r="AG80" i="27"/>
  <c r="AH80" i="27"/>
  <c r="AE80" i="27"/>
  <c r="X81" i="27"/>
  <c r="Y81" i="27"/>
  <c r="AG81" i="27"/>
  <c r="AH81" i="27"/>
  <c r="AE81" i="27"/>
  <c r="W64" i="27"/>
  <c r="W65" i="27"/>
  <c r="W66" i="27"/>
  <c r="W67" i="27"/>
  <c r="W68" i="27"/>
  <c r="W69" i="27"/>
  <c r="W70" i="27"/>
  <c r="W71" i="27"/>
  <c r="W72" i="27"/>
  <c r="W73" i="27"/>
  <c r="W74" i="27"/>
  <c r="W75" i="27"/>
  <c r="W76" i="27"/>
  <c r="W77" i="27"/>
  <c r="W78" i="27"/>
  <c r="W79" i="27"/>
  <c r="W80" i="27"/>
  <c r="W81" i="27"/>
  <c r="AF64" i="27"/>
  <c r="AF65" i="27"/>
  <c r="AF66" i="27"/>
  <c r="AF67" i="27"/>
  <c r="AF68" i="27"/>
  <c r="AF69" i="27"/>
  <c r="AF70" i="27"/>
  <c r="AF71" i="27"/>
  <c r="AF72" i="27"/>
  <c r="AF73" i="27"/>
  <c r="AF74" i="27"/>
  <c r="AF75" i="27"/>
  <c r="AF76" i="27"/>
  <c r="AF77" i="27"/>
  <c r="AF78" i="27"/>
  <c r="AF79" i="27"/>
  <c r="AF80" i="27"/>
  <c r="AF81" i="27"/>
  <c r="J12" i="27"/>
  <c r="J11" i="27"/>
  <c r="J10" i="27"/>
  <c r="J9" i="27"/>
  <c r="J8" i="27"/>
  <c r="J7" i="27"/>
  <c r="Q66" i="27"/>
  <c r="F6" i="27"/>
  <c r="J6" i="27"/>
  <c r="Q65" i="27"/>
  <c r="F5" i="27"/>
  <c r="J5" i="27"/>
  <c r="Q64" i="27"/>
  <c r="F4" i="27"/>
  <c r="J4" i="27"/>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135" i="30"/>
  <c r="AB134" i="30"/>
  <c r="AB133" i="30"/>
  <c r="AB132" i="30"/>
  <c r="AB131" i="30"/>
  <c r="AB130" i="30"/>
  <c r="AB129" i="30"/>
  <c r="AB128" i="30"/>
  <c r="AB127" i="30"/>
  <c r="AB126" i="30"/>
  <c r="AB125" i="30"/>
  <c r="AB124" i="30"/>
  <c r="AB123" i="30"/>
  <c r="AB122" i="30"/>
  <c r="AB121" i="30"/>
  <c r="AB120" i="30"/>
  <c r="AB119" i="30"/>
  <c r="AB118" i="30"/>
  <c r="AB117" i="30"/>
  <c r="AB116" i="30"/>
  <c r="AB115" i="30"/>
  <c r="AB114" i="30"/>
  <c r="AB113" i="30"/>
  <c r="AB112" i="30"/>
  <c r="AB111" i="30"/>
  <c r="AB110" i="30"/>
  <c r="AB109" i="30"/>
  <c r="AB108" i="30"/>
  <c r="AB107" i="30"/>
  <c r="AB106" i="30"/>
  <c r="AB105" i="30"/>
  <c r="AB104" i="30"/>
  <c r="AB103" i="30"/>
  <c r="AB102" i="30"/>
  <c r="AB101" i="30"/>
  <c r="AB100" i="30"/>
  <c r="AB99" i="30"/>
  <c r="AB98" i="30"/>
  <c r="AB97" i="30"/>
  <c r="AB96" i="30"/>
  <c r="AB95" i="30"/>
  <c r="AB94" i="30"/>
  <c r="AB93" i="30"/>
  <c r="AB92" i="30"/>
  <c r="AB91" i="30"/>
  <c r="AB90" i="30"/>
  <c r="AB89" i="30"/>
  <c r="AB88" i="30"/>
  <c r="AB87" i="30"/>
  <c r="AB86" i="30"/>
  <c r="AB85" i="30"/>
  <c r="AB84" i="30"/>
  <c r="AB83" i="30"/>
  <c r="AB82" i="30"/>
  <c r="AB81" i="30"/>
  <c r="AB80" i="30"/>
  <c r="AB79" i="30"/>
  <c r="AB78" i="30"/>
  <c r="AB77" i="30"/>
  <c r="AB76" i="30"/>
  <c r="AB75" i="30"/>
  <c r="AB74" i="30"/>
  <c r="AB73" i="30"/>
  <c r="AB72" i="30"/>
  <c r="AB71" i="30"/>
  <c r="AB70" i="30"/>
  <c r="AB69" i="30"/>
  <c r="AB68" i="30"/>
  <c r="AB67" i="30"/>
  <c r="AB66" i="30"/>
  <c r="AB65" i="30"/>
  <c r="AB64" i="30"/>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9" i="29"/>
  <c r="AB108" i="29"/>
  <c r="AB107" i="29"/>
  <c r="AB106" i="29"/>
  <c r="AB105" i="29"/>
  <c r="AB104" i="29"/>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135" i="28"/>
  <c r="AB134" i="28"/>
  <c r="AB133" i="28"/>
  <c r="AB132" i="28"/>
  <c r="AB131" i="28"/>
  <c r="AB130" i="28"/>
  <c r="AB129" i="28"/>
  <c r="AB128" i="28"/>
  <c r="AB127" i="28"/>
  <c r="AB126" i="28"/>
  <c r="AB125" i="28"/>
  <c r="AB124" i="28"/>
  <c r="AB123" i="28"/>
  <c r="AB122" i="28"/>
  <c r="AB121" i="28"/>
  <c r="AB120" i="28"/>
  <c r="AB119" i="28"/>
  <c r="AB118" i="28"/>
  <c r="AB117" i="28"/>
  <c r="AB116" i="28"/>
  <c r="AB115" i="28"/>
  <c r="AB114" i="28"/>
  <c r="AB113" i="28"/>
  <c r="AB112" i="28"/>
  <c r="AB111" i="28"/>
  <c r="AB110" i="28"/>
  <c r="AB109" i="28"/>
  <c r="AB108" i="28"/>
  <c r="AB107" i="28"/>
  <c r="AB106" i="28"/>
  <c r="AB105" i="28"/>
  <c r="AB104" i="28"/>
  <c r="AB103" i="28"/>
  <c r="AB102" i="28"/>
  <c r="AB101" i="28"/>
  <c r="AB100" i="28"/>
  <c r="AB99" i="28"/>
  <c r="AB98" i="28"/>
  <c r="AB97" i="28"/>
  <c r="AB96" i="28"/>
  <c r="AB95" i="28"/>
  <c r="AB94" i="28"/>
  <c r="AB93" i="28"/>
  <c r="AB92" i="28"/>
  <c r="AB91" i="28"/>
  <c r="AB90" i="28"/>
  <c r="AB89" i="28"/>
  <c r="AB88" i="28"/>
  <c r="AB87" i="28"/>
  <c r="AB86" i="28"/>
  <c r="AB85" i="28"/>
  <c r="AB84" i="28"/>
  <c r="AB83" i="28"/>
  <c r="AB82" i="28"/>
  <c r="AB81" i="28"/>
  <c r="AB80" i="28"/>
  <c r="AB79" i="28"/>
  <c r="AB78" i="28"/>
  <c r="AB77" i="28"/>
  <c r="AB76" i="28"/>
  <c r="AB75" i="28"/>
  <c r="AB74" i="28"/>
  <c r="AB73" i="28"/>
  <c r="AB72" i="28"/>
  <c r="AB71" i="28"/>
  <c r="AB70" i="28"/>
  <c r="AB69" i="28"/>
  <c r="AB68" i="28"/>
  <c r="AB67" i="28"/>
  <c r="AB66" i="28"/>
  <c r="AB65" i="28"/>
  <c r="AB64" i="28"/>
  <c r="AB135" i="27"/>
  <c r="AB134" i="27"/>
  <c r="AB133" i="27"/>
  <c r="AB132" i="27"/>
  <c r="AB131" i="27"/>
  <c r="AB130" i="27"/>
  <c r="AB129" i="27"/>
  <c r="AB128" i="27"/>
  <c r="AB127" i="27"/>
  <c r="AB126" i="27"/>
  <c r="AB125" i="27"/>
  <c r="AB124" i="27"/>
  <c r="AB123" i="27"/>
  <c r="AB122" i="27"/>
  <c r="AB121" i="27"/>
  <c r="AB120" i="27"/>
  <c r="AB119" i="27"/>
  <c r="AB118" i="27"/>
  <c r="AB117" i="27"/>
  <c r="AB116" i="27"/>
  <c r="AB115" i="27"/>
  <c r="AB114" i="27"/>
  <c r="AB113" i="27"/>
  <c r="AB112" i="27"/>
  <c r="AB111" i="27"/>
  <c r="AB110" i="27"/>
  <c r="AB109" i="27"/>
  <c r="AB108" i="27"/>
  <c r="AB107" i="27"/>
  <c r="AB106" i="27"/>
  <c r="AB105" i="27"/>
  <c r="AB104" i="27"/>
  <c r="AB103" i="27"/>
  <c r="AB102" i="27"/>
  <c r="AB101" i="27"/>
  <c r="AB100" i="27"/>
  <c r="AB99" i="27"/>
  <c r="AB98" i="27"/>
  <c r="AB97" i="27"/>
  <c r="AB96" i="27"/>
  <c r="AB95" i="27"/>
  <c r="AB94" i="27"/>
  <c r="AB93" i="27"/>
  <c r="AB92" i="27"/>
  <c r="AB91" i="27"/>
  <c r="AB90" i="27"/>
  <c r="AB89" i="27"/>
  <c r="AB88" i="27"/>
  <c r="AB87" i="27"/>
  <c r="AB86" i="27"/>
  <c r="AB85" i="27"/>
  <c r="AB84" i="27"/>
  <c r="AB83" i="27"/>
  <c r="AB82" i="27"/>
  <c r="AB81" i="27"/>
  <c r="AB80" i="27"/>
  <c r="AB79" i="27"/>
  <c r="AB78" i="27"/>
  <c r="AB77" i="27"/>
  <c r="AB76" i="27"/>
  <c r="AB75" i="27"/>
  <c r="AB74" i="27"/>
  <c r="AB73" i="27"/>
  <c r="AB72" i="27"/>
  <c r="AB71" i="27"/>
  <c r="AB70" i="27"/>
  <c r="AB69" i="27"/>
  <c r="AB68" i="27"/>
  <c r="AB67" i="27"/>
  <c r="AB66" i="27"/>
  <c r="AB65" i="27"/>
  <c r="AB64" i="27"/>
  <c r="Q65" i="26"/>
  <c r="F5" i="26"/>
  <c r="V64" i="26"/>
  <c r="AE64" i="26"/>
  <c r="V65" i="26"/>
  <c r="V66" i="26"/>
  <c r="V67" i="26"/>
  <c r="V68" i="26"/>
  <c r="V69" i="26"/>
  <c r="V70" i="26"/>
  <c r="V71" i="26"/>
  <c r="V72" i="26"/>
  <c r="V73" i="26"/>
  <c r="V74" i="26"/>
  <c r="V75" i="26"/>
  <c r="V76" i="26"/>
  <c r="V77" i="26"/>
  <c r="V78" i="26"/>
  <c r="V79" i="26"/>
  <c r="V80" i="26"/>
  <c r="V81" i="26"/>
  <c r="X65" i="26"/>
  <c r="Y65" i="26"/>
  <c r="AG65" i="26"/>
  <c r="AH65" i="26"/>
  <c r="AE65" i="26"/>
  <c r="X66" i="26"/>
  <c r="Y66" i="26"/>
  <c r="AG66" i="26"/>
  <c r="AH66" i="26"/>
  <c r="AE66" i="26"/>
  <c r="X67" i="26"/>
  <c r="Y67" i="26"/>
  <c r="AG67" i="26"/>
  <c r="AH67" i="26"/>
  <c r="AE67" i="26"/>
  <c r="X68" i="26"/>
  <c r="Y68" i="26"/>
  <c r="AG68" i="26"/>
  <c r="AH68" i="26"/>
  <c r="AE68" i="26"/>
  <c r="X69" i="26"/>
  <c r="Y69" i="26"/>
  <c r="AG69" i="26"/>
  <c r="AH69" i="26"/>
  <c r="AE69" i="26"/>
  <c r="AE70" i="26"/>
  <c r="X71" i="26"/>
  <c r="Y71" i="26"/>
  <c r="AG71" i="26"/>
  <c r="AH71" i="26"/>
  <c r="AE71" i="26"/>
  <c r="X72" i="26"/>
  <c r="Y72" i="26"/>
  <c r="AG72" i="26"/>
  <c r="AH72" i="26"/>
  <c r="AE72" i="26"/>
  <c r="X73" i="26"/>
  <c r="Y73" i="26"/>
  <c r="AG73" i="26"/>
  <c r="AH73" i="26"/>
  <c r="AE73" i="26"/>
  <c r="X74" i="26"/>
  <c r="Y74" i="26"/>
  <c r="AG74" i="26"/>
  <c r="AH74" i="26"/>
  <c r="AE74" i="26"/>
  <c r="X75" i="26"/>
  <c r="Y75" i="26"/>
  <c r="AG75" i="26"/>
  <c r="AH75" i="26"/>
  <c r="AE75" i="26"/>
  <c r="AE76" i="26"/>
  <c r="X77" i="26"/>
  <c r="Y77" i="26"/>
  <c r="AG77" i="26"/>
  <c r="AH77" i="26"/>
  <c r="AE77" i="26"/>
  <c r="X78" i="26"/>
  <c r="Y78" i="26"/>
  <c r="AG78" i="26"/>
  <c r="AH78" i="26"/>
  <c r="AE78" i="26"/>
  <c r="X79" i="26"/>
  <c r="Y79" i="26"/>
  <c r="AG79" i="26"/>
  <c r="AH79" i="26"/>
  <c r="AE79" i="26"/>
  <c r="X80" i="26"/>
  <c r="Y80" i="26"/>
  <c r="AG80" i="26"/>
  <c r="AH80" i="26"/>
  <c r="AE80" i="26"/>
  <c r="X81" i="26"/>
  <c r="Y81" i="26"/>
  <c r="AG81" i="26"/>
  <c r="AH81" i="26"/>
  <c r="AE81" i="26"/>
  <c r="W64" i="26"/>
  <c r="W65" i="26"/>
  <c r="W66" i="26"/>
  <c r="W67" i="26"/>
  <c r="W68" i="26"/>
  <c r="W69" i="26"/>
  <c r="W70" i="26"/>
  <c r="W71" i="26"/>
  <c r="W72" i="26"/>
  <c r="W73" i="26"/>
  <c r="W74" i="26"/>
  <c r="W75" i="26"/>
  <c r="W76" i="26"/>
  <c r="W77" i="26"/>
  <c r="W78" i="26"/>
  <c r="W79" i="26"/>
  <c r="W80" i="26"/>
  <c r="W81" i="26"/>
  <c r="AF64" i="26"/>
  <c r="AF65" i="26"/>
  <c r="AF66" i="26"/>
  <c r="AF67" i="26"/>
  <c r="AF68" i="26"/>
  <c r="AF69" i="26"/>
  <c r="AF70" i="26"/>
  <c r="AF71" i="26"/>
  <c r="AF72" i="26"/>
  <c r="AF73" i="26"/>
  <c r="AF74" i="26"/>
  <c r="AF75" i="26"/>
  <c r="AF76" i="26"/>
  <c r="AF77" i="26"/>
  <c r="AF78" i="26"/>
  <c r="AF79" i="26"/>
  <c r="AF80" i="26"/>
  <c r="AF81" i="26"/>
  <c r="J5" i="26"/>
  <c r="Q66" i="26"/>
  <c r="F6" i="26"/>
  <c r="J6" i="26"/>
  <c r="J7" i="26"/>
  <c r="J8" i="26"/>
  <c r="J9" i="26"/>
  <c r="J10" i="26"/>
  <c r="J11" i="26"/>
  <c r="J12" i="26"/>
  <c r="Q64" i="26"/>
  <c r="F4" i="26"/>
  <c r="J4" i="26"/>
  <c r="K4" i="26"/>
  <c r="M4" i="26"/>
  <c r="N4" i="26"/>
  <c r="L4" i="26"/>
  <c r="K5" i="26"/>
  <c r="M5" i="26"/>
  <c r="N5" i="26"/>
  <c r="L5" i="26"/>
  <c r="K6" i="26"/>
  <c r="M6" i="26"/>
  <c r="N6" i="26"/>
  <c r="L6" i="26"/>
  <c r="K7" i="26"/>
  <c r="M7" i="26"/>
  <c r="N7" i="26"/>
  <c r="L7" i="26"/>
  <c r="K8" i="26"/>
  <c r="M8" i="26"/>
  <c r="N8" i="26"/>
  <c r="L8" i="26"/>
  <c r="K9" i="26"/>
  <c r="M9" i="26"/>
  <c r="N9" i="26"/>
  <c r="L9" i="26"/>
  <c r="K10" i="26"/>
  <c r="M10" i="26"/>
  <c r="N10" i="26"/>
  <c r="L10" i="26"/>
  <c r="K11" i="26"/>
  <c r="M11" i="26"/>
  <c r="N11" i="26"/>
  <c r="L11" i="26"/>
  <c r="K12" i="26"/>
  <c r="M12" i="26"/>
  <c r="N12" i="26"/>
  <c r="L12" i="26"/>
  <c r="X64" i="48"/>
  <c r="Y64" i="48"/>
  <c r="AG64" i="48"/>
  <c r="AH64" i="48"/>
  <c r="AE64" i="48"/>
  <c r="X65" i="48"/>
  <c r="Y65" i="48"/>
  <c r="AG65" i="48"/>
  <c r="AH65" i="48"/>
  <c r="AE65" i="48"/>
  <c r="X66" i="48"/>
  <c r="Y66" i="48"/>
  <c r="AG66" i="48"/>
  <c r="AH66" i="48"/>
  <c r="AE66" i="48"/>
  <c r="X67" i="48"/>
  <c r="Y67" i="48"/>
  <c r="AG67" i="48"/>
  <c r="AH67" i="48"/>
  <c r="AE67" i="48"/>
  <c r="X68" i="48"/>
  <c r="Y68" i="48"/>
  <c r="AG68" i="48"/>
  <c r="AH68" i="48"/>
  <c r="AE68" i="48"/>
  <c r="X69" i="48"/>
  <c r="Y69" i="48"/>
  <c r="AG69" i="48"/>
  <c r="AH69" i="48"/>
  <c r="AE69" i="48"/>
  <c r="X70" i="48"/>
  <c r="Y70" i="48"/>
  <c r="AG70" i="48"/>
  <c r="AH70" i="48"/>
  <c r="AE70" i="48"/>
  <c r="X71" i="48"/>
  <c r="Y71" i="48"/>
  <c r="AG71" i="48"/>
  <c r="AH71" i="48"/>
  <c r="AE71" i="48"/>
  <c r="X72" i="48"/>
  <c r="Y72" i="48"/>
  <c r="AG72" i="48"/>
  <c r="AH72" i="48"/>
  <c r="AE72" i="48"/>
  <c r="X73" i="48"/>
  <c r="Y73" i="48"/>
  <c r="AG73" i="48"/>
  <c r="AH73" i="48"/>
  <c r="AE73" i="48"/>
  <c r="X74" i="48"/>
  <c r="Y74" i="48"/>
  <c r="AG74" i="48"/>
  <c r="AH74" i="48"/>
  <c r="AE74" i="48"/>
  <c r="X75" i="48"/>
  <c r="Y75" i="48"/>
  <c r="AG75" i="48"/>
  <c r="AH75" i="48"/>
  <c r="AE75" i="48"/>
  <c r="X76" i="48"/>
  <c r="Y76" i="48"/>
  <c r="AG76" i="48"/>
  <c r="AH76" i="48"/>
  <c r="AE76" i="48"/>
  <c r="X77" i="48"/>
  <c r="Y77" i="48"/>
  <c r="AG77" i="48"/>
  <c r="AH77" i="48"/>
  <c r="AE77" i="48"/>
  <c r="X78" i="48"/>
  <c r="Y78" i="48"/>
  <c r="AG78" i="48"/>
  <c r="AH78" i="48"/>
  <c r="AE78" i="48"/>
  <c r="X79" i="48"/>
  <c r="Y79" i="48"/>
  <c r="AG79" i="48"/>
  <c r="AH79" i="48"/>
  <c r="AE79" i="48"/>
  <c r="X80" i="48"/>
  <c r="Y80" i="48"/>
  <c r="AG80" i="48"/>
  <c r="AH80" i="48"/>
  <c r="AE80" i="48"/>
  <c r="X81" i="48"/>
  <c r="Y81" i="48"/>
  <c r="AG81" i="48"/>
  <c r="AH81" i="48"/>
  <c r="AE81" i="48"/>
  <c r="X82" i="48"/>
  <c r="Y82" i="48"/>
  <c r="AG82" i="48"/>
  <c r="AH82" i="48"/>
  <c r="AE82" i="48"/>
  <c r="X83" i="48"/>
  <c r="Y83" i="48"/>
  <c r="AG83" i="48"/>
  <c r="AH83" i="48"/>
  <c r="AE83" i="48"/>
  <c r="X84" i="48"/>
  <c r="Y84" i="48"/>
  <c r="AG84" i="48"/>
  <c r="AH84" i="48"/>
  <c r="AE84" i="48"/>
  <c r="X85" i="48"/>
  <c r="Y85" i="48"/>
  <c r="AG85" i="48"/>
  <c r="AH85" i="48"/>
  <c r="AE85" i="48"/>
  <c r="X86" i="48"/>
  <c r="Y86" i="48"/>
  <c r="AG86" i="48"/>
  <c r="AH86" i="48"/>
  <c r="AE86" i="48"/>
  <c r="X87" i="48"/>
  <c r="Y87" i="48"/>
  <c r="AG87" i="48"/>
  <c r="AH87" i="48"/>
  <c r="AE87" i="48"/>
  <c r="X88" i="48"/>
  <c r="Y88" i="48"/>
  <c r="AG88" i="48"/>
  <c r="AH88" i="48"/>
  <c r="AE88" i="48"/>
  <c r="X89" i="48"/>
  <c r="Y89" i="48"/>
  <c r="AG89" i="48"/>
  <c r="AH89" i="48"/>
  <c r="AE89" i="48"/>
  <c r="X90" i="48"/>
  <c r="Y90" i="48"/>
  <c r="AG90" i="48"/>
  <c r="AH90" i="48"/>
  <c r="AE90" i="48"/>
  <c r="X91" i="48"/>
  <c r="Y91" i="48"/>
  <c r="AG91" i="48"/>
  <c r="AH91" i="48"/>
  <c r="AE91" i="48"/>
  <c r="X92" i="48"/>
  <c r="Y92" i="48"/>
  <c r="AG92" i="48"/>
  <c r="AH92" i="48"/>
  <c r="AE92" i="48"/>
  <c r="X93" i="48"/>
  <c r="Y93" i="48"/>
  <c r="AG93" i="48"/>
  <c r="AH93" i="48"/>
  <c r="AE93" i="48"/>
  <c r="AE94" i="48"/>
  <c r="AE95" i="48"/>
  <c r="AE96" i="48"/>
  <c r="AE97" i="48"/>
  <c r="AE98" i="48"/>
  <c r="AE99" i="48"/>
  <c r="AE100" i="48"/>
  <c r="AE101" i="48"/>
  <c r="AE102" i="48"/>
  <c r="AE103" i="48"/>
  <c r="AE104" i="48"/>
  <c r="AE105" i="48"/>
  <c r="AE106" i="48"/>
  <c r="AE107" i="48"/>
  <c r="AE108" i="48"/>
  <c r="AF64" i="48"/>
  <c r="AF65" i="48"/>
  <c r="AF66" i="48"/>
  <c r="AF67" i="48"/>
  <c r="AF68" i="48"/>
  <c r="AF69" i="48"/>
  <c r="AF70" i="48"/>
  <c r="AF71" i="48"/>
  <c r="AF72" i="48"/>
  <c r="AF73" i="48"/>
  <c r="AF74" i="48"/>
  <c r="AF75" i="48"/>
  <c r="AF76" i="48"/>
  <c r="AF77" i="48"/>
  <c r="AF78" i="48"/>
  <c r="AF79" i="48"/>
  <c r="AF80" i="48"/>
  <c r="AF81" i="48"/>
  <c r="AF82" i="48"/>
  <c r="AF83" i="48"/>
  <c r="AF84" i="48"/>
  <c r="AF85" i="48"/>
  <c r="AF86" i="48"/>
  <c r="AF87" i="48"/>
  <c r="AF88" i="48"/>
  <c r="AF89" i="48"/>
  <c r="AF90" i="48"/>
  <c r="AF91" i="48"/>
  <c r="AF92" i="48"/>
  <c r="AF93" i="48"/>
  <c r="AF94" i="48"/>
  <c r="AF95" i="48"/>
  <c r="AF96" i="48"/>
  <c r="AF97" i="48"/>
  <c r="AF98" i="48"/>
  <c r="AF99" i="48"/>
  <c r="AF100" i="48"/>
  <c r="AF101" i="48"/>
  <c r="AF102" i="48"/>
  <c r="AF103" i="48"/>
  <c r="AF104" i="48"/>
  <c r="AF105" i="48"/>
  <c r="AF106" i="48"/>
  <c r="AF107" i="48"/>
  <c r="AF108" i="48"/>
  <c r="J12" i="48"/>
  <c r="J11" i="48"/>
  <c r="J10" i="48"/>
  <c r="J9" i="48"/>
  <c r="J8" i="48"/>
  <c r="J7" i="48"/>
  <c r="J6" i="48"/>
  <c r="J5" i="48"/>
  <c r="J4" i="48"/>
  <c r="AB108" i="48"/>
  <c r="AB107" i="48"/>
  <c r="AB106" i="48"/>
  <c r="AB105" i="48"/>
  <c r="AB104" i="48"/>
  <c r="AB103" i="48"/>
  <c r="AB102" i="48"/>
  <c r="AB101" i="48"/>
  <c r="AB100" i="48"/>
  <c r="AB99" i="48"/>
  <c r="AB98" i="48"/>
  <c r="AB97" i="48"/>
  <c r="AB96" i="48"/>
  <c r="AB95" i="48"/>
  <c r="AB94" i="48"/>
  <c r="AB93" i="48"/>
  <c r="AB92" i="48"/>
  <c r="AB91" i="48"/>
  <c r="AB90" i="48"/>
  <c r="AB89" i="48"/>
  <c r="AB88" i="48"/>
  <c r="AB87" i="48"/>
  <c r="AB86" i="48"/>
  <c r="AB85" i="48"/>
  <c r="AB84" i="48"/>
  <c r="AB83" i="48"/>
  <c r="AB82" i="48"/>
  <c r="AB81" i="48"/>
  <c r="AB80" i="48"/>
  <c r="AB79" i="48"/>
  <c r="AB78" i="48"/>
  <c r="AB77" i="48"/>
  <c r="AB76" i="48"/>
  <c r="AB75" i="48"/>
  <c r="AB74" i="48"/>
  <c r="AB73" i="48"/>
  <c r="AB72" i="48"/>
  <c r="AB71" i="48"/>
  <c r="AB70" i="48"/>
  <c r="AB69" i="48"/>
  <c r="AB68" i="48"/>
  <c r="AB67" i="48"/>
  <c r="AB66" i="48"/>
  <c r="AB65" i="48"/>
  <c r="AB64" i="48"/>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108" i="33"/>
  <c r="AB107" i="33"/>
  <c r="AB106" i="33"/>
  <c r="AB105" i="33"/>
  <c r="AB104" i="33"/>
  <c r="AB103" i="33"/>
  <c r="AB102" i="33"/>
  <c r="AB101" i="33"/>
  <c r="AB100" i="33"/>
  <c r="AB99" i="33"/>
  <c r="AB98" i="33"/>
  <c r="AB97" i="33"/>
  <c r="AB96" i="33"/>
  <c r="AB95" i="33"/>
  <c r="AB94" i="33"/>
  <c r="AB93" i="33"/>
  <c r="AB92" i="33"/>
  <c r="AB91" i="33"/>
  <c r="AB90" i="33"/>
  <c r="AB89" i="33"/>
  <c r="AB88" i="33"/>
  <c r="AB87" i="33"/>
  <c r="AB86" i="33"/>
  <c r="AB85" i="33"/>
  <c r="AB84" i="33"/>
  <c r="AB83" i="33"/>
  <c r="AB82" i="33"/>
  <c r="AB81" i="33"/>
  <c r="AB80" i="33"/>
  <c r="AB79" i="33"/>
  <c r="AB78" i="33"/>
  <c r="AB77" i="33"/>
  <c r="AB76" i="33"/>
  <c r="AB75" i="33"/>
  <c r="AB74" i="33"/>
  <c r="AB73" i="33"/>
  <c r="AB72" i="33"/>
  <c r="AB71" i="33"/>
  <c r="AB70" i="33"/>
  <c r="AB69" i="33"/>
  <c r="AB68" i="33"/>
  <c r="AB67" i="33"/>
  <c r="AB66" i="33"/>
  <c r="AB65" i="33"/>
  <c r="AB64" i="33"/>
  <c r="AB108" i="37"/>
  <c r="AB107" i="37"/>
  <c r="AB106" i="37"/>
  <c r="AB105" i="37"/>
  <c r="AB104" i="37"/>
  <c r="AB103" i="37"/>
  <c r="AB102" i="37"/>
  <c r="AB101" i="37"/>
  <c r="AB100" i="37"/>
  <c r="AB99" i="37"/>
  <c r="AB98" i="37"/>
  <c r="AB97" i="37"/>
  <c r="AB96" i="37"/>
  <c r="AB95" i="37"/>
  <c r="AB94" i="37"/>
  <c r="AB93" i="37"/>
  <c r="AB92" i="37"/>
  <c r="AB91" i="37"/>
  <c r="AB90" i="37"/>
  <c r="AB89" i="37"/>
  <c r="AB88" i="37"/>
  <c r="AB87" i="37"/>
  <c r="AB86" i="37"/>
  <c r="AB85" i="37"/>
  <c r="AB84" i="37"/>
  <c r="AB83" i="37"/>
  <c r="AB82" i="37"/>
  <c r="AB81" i="37"/>
  <c r="AB80" i="37"/>
  <c r="AB79" i="37"/>
  <c r="AB78" i="37"/>
  <c r="AB77" i="37"/>
  <c r="AB76" i="37"/>
  <c r="AB75" i="37"/>
  <c r="AB74" i="37"/>
  <c r="AB73" i="37"/>
  <c r="AB72" i="37"/>
  <c r="AB71" i="37"/>
  <c r="AB70" i="37"/>
  <c r="AB69" i="37"/>
  <c r="AB68" i="37"/>
  <c r="AB67" i="37"/>
  <c r="AB66" i="37"/>
  <c r="AB65" i="37"/>
  <c r="AB64" i="37"/>
  <c r="AB108" i="25"/>
  <c r="AB107" i="25"/>
  <c r="AB106" i="25"/>
  <c r="AB105" i="25"/>
  <c r="AB104" i="25"/>
  <c r="AB103" i="25"/>
  <c r="AB102" i="25"/>
  <c r="AB101" i="25"/>
  <c r="AB100" i="25"/>
  <c r="AB99" i="25"/>
  <c r="AB98" i="25"/>
  <c r="AB97" i="25"/>
  <c r="AB96" i="25"/>
  <c r="AB95" i="25"/>
  <c r="AB94" i="25"/>
  <c r="AB93" i="25"/>
  <c r="AB92" i="25"/>
  <c r="AB91" i="25"/>
  <c r="AB90" i="25"/>
  <c r="AB89" i="25"/>
  <c r="AB88" i="25"/>
  <c r="AB87" i="25"/>
  <c r="AB86" i="25"/>
  <c r="AB85" i="25"/>
  <c r="AB84" i="25"/>
  <c r="AB83" i="25"/>
  <c r="AB82" i="25"/>
  <c r="AB81" i="25"/>
  <c r="AB80" i="25"/>
  <c r="AB79" i="25"/>
  <c r="AB78" i="25"/>
  <c r="AB77" i="25"/>
  <c r="AB76" i="25"/>
  <c r="AB75" i="25"/>
  <c r="AB74" i="25"/>
  <c r="AB73" i="25"/>
  <c r="AB72" i="25"/>
  <c r="AB71" i="25"/>
  <c r="AB70" i="25"/>
  <c r="AB69" i="25"/>
  <c r="AB68" i="25"/>
  <c r="AB67" i="25"/>
  <c r="AB66" i="25"/>
  <c r="AB65" i="25"/>
  <c r="AB64" i="25"/>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I31" i="6"/>
  <c r="Z64" i="25"/>
  <c r="Z65" i="25"/>
  <c r="AI64" i="25"/>
  <c r="AI65" i="25"/>
  <c r="Z66" i="25"/>
  <c r="AI66" i="25"/>
  <c r="Z67" i="25"/>
  <c r="AI67" i="25"/>
  <c r="Z68" i="25"/>
  <c r="AI68" i="25"/>
  <c r="Z69" i="25"/>
  <c r="AI69" i="25"/>
  <c r="Z70" i="25"/>
  <c r="AI70" i="25"/>
  <c r="Z71" i="25"/>
  <c r="AI71" i="25"/>
  <c r="Z72" i="25"/>
  <c r="AI72" i="25"/>
  <c r="Z73" i="25"/>
  <c r="AI73" i="25"/>
  <c r="Z74" i="25"/>
  <c r="AI74" i="25"/>
  <c r="Z75" i="25"/>
  <c r="AI75" i="25"/>
  <c r="Z76" i="25"/>
  <c r="AI76" i="25"/>
  <c r="Z77" i="25"/>
  <c r="AI77" i="25"/>
  <c r="Z78" i="25"/>
  <c r="AI78" i="25"/>
  <c r="Z79" i="25"/>
  <c r="AI79" i="25"/>
  <c r="Z80" i="25"/>
  <c r="AI80" i="25"/>
  <c r="Z81" i="25"/>
  <c r="AI81" i="25"/>
  <c r="Z82" i="25"/>
  <c r="AI82" i="25"/>
  <c r="Z83" i="25"/>
  <c r="AI83" i="25"/>
  <c r="Z84" i="25"/>
  <c r="AI84" i="25"/>
  <c r="Z85" i="25"/>
  <c r="AI85" i="25"/>
  <c r="Z86" i="25"/>
  <c r="AI86" i="25"/>
  <c r="Z87" i="25"/>
  <c r="AI87" i="25"/>
  <c r="Z88" i="25"/>
  <c r="AI88" i="25"/>
  <c r="Z89" i="25"/>
  <c r="AI89" i="25"/>
  <c r="Z90" i="25"/>
  <c r="AI90" i="25"/>
  <c r="Z91" i="25"/>
  <c r="AI91" i="25"/>
  <c r="Z92" i="25"/>
  <c r="AI92" i="25"/>
  <c r="Z93" i="25"/>
  <c r="AI93" i="25"/>
  <c r="Z94" i="25"/>
  <c r="AI94" i="25"/>
  <c r="Z95" i="25"/>
  <c r="AI95" i="25"/>
  <c r="Z96" i="25"/>
  <c r="AI96" i="25"/>
  <c r="Z97" i="25"/>
  <c r="AI97" i="25"/>
  <c r="Z98" i="25"/>
  <c r="AI98" i="25"/>
  <c r="Z99" i="25"/>
  <c r="AI99" i="25"/>
  <c r="Z100" i="25"/>
  <c r="AI100" i="25"/>
  <c r="Z101" i="25"/>
  <c r="AI101" i="25"/>
  <c r="Z102" i="25"/>
  <c r="AI102" i="25"/>
  <c r="Z103" i="25"/>
  <c r="AI103" i="25"/>
  <c r="Z104" i="25"/>
  <c r="AI104" i="25"/>
  <c r="Z105" i="25"/>
  <c r="AI105" i="25"/>
  <c r="Z106" i="25"/>
  <c r="AI106" i="25"/>
  <c r="Z107" i="25"/>
  <c r="AI107" i="25"/>
  <c r="Z108" i="25"/>
  <c r="AI108" i="25"/>
  <c r="Z136" i="25"/>
  <c r="AA136" i="25"/>
  <c r="AB136" i="25"/>
  <c r="AI136" i="25"/>
  <c r="Z137" i="25"/>
  <c r="AA137" i="25"/>
  <c r="AB137" i="25"/>
  <c r="AI137" i="25"/>
  <c r="Z138" i="25"/>
  <c r="AA138" i="25"/>
  <c r="AB138" i="25"/>
  <c r="AI138" i="25"/>
  <c r="Z139" i="25"/>
  <c r="AA139" i="25"/>
  <c r="AB139" i="25"/>
  <c r="AI139" i="25"/>
  <c r="Z140" i="25"/>
  <c r="AA140" i="25"/>
  <c r="AB140" i="25"/>
  <c r="AI140" i="25"/>
  <c r="Z141" i="25"/>
  <c r="AA141" i="25"/>
  <c r="AB141" i="25"/>
  <c r="AI141" i="25"/>
  <c r="Z142" i="25"/>
  <c r="AA142" i="25"/>
  <c r="AB142" i="25"/>
  <c r="AI142" i="25"/>
  <c r="Z143" i="25"/>
  <c r="AA143" i="25"/>
  <c r="AB143" i="25"/>
  <c r="AI143" i="25"/>
  <c r="Z144" i="25"/>
  <c r="AA144" i="25"/>
  <c r="AB144" i="25"/>
  <c r="AI144" i="25"/>
  <c r="Z145" i="25"/>
  <c r="AA145" i="25"/>
  <c r="AB145" i="25"/>
  <c r="AI145" i="25"/>
  <c r="Z146" i="25"/>
  <c r="AA146" i="25"/>
  <c r="AB146" i="25"/>
  <c r="AI146" i="25"/>
  <c r="Z147" i="25"/>
  <c r="AA147" i="25"/>
  <c r="AB147" i="25"/>
  <c r="AI147" i="25"/>
  <c r="Z148" i="25"/>
  <c r="AA148" i="25"/>
  <c r="AB148" i="25"/>
  <c r="AI148" i="25"/>
  <c r="Z149" i="25"/>
  <c r="AA149" i="25"/>
  <c r="AB149" i="25"/>
  <c r="AI149" i="25"/>
  <c r="Z150" i="25"/>
  <c r="AA150" i="25"/>
  <c r="AB150" i="25"/>
  <c r="AI150" i="25"/>
  <c r="Z151" i="25"/>
  <c r="AA151" i="25"/>
  <c r="AB151" i="25"/>
  <c r="AI151" i="25"/>
  <c r="Z152" i="25"/>
  <c r="AA152" i="25"/>
  <c r="AB152" i="25"/>
  <c r="AI152" i="25"/>
  <c r="Z153" i="25"/>
  <c r="AA153" i="25"/>
  <c r="AB153" i="25"/>
  <c r="AI153" i="25"/>
  <c r="Z154" i="25"/>
  <c r="AA154" i="25"/>
  <c r="AB154" i="25"/>
  <c r="AI154" i="25"/>
  <c r="Z155" i="25"/>
  <c r="AA155" i="25"/>
  <c r="AB155" i="25"/>
  <c r="AI155" i="25"/>
  <c r="Z156" i="25"/>
  <c r="AA156" i="25"/>
  <c r="AB156" i="25"/>
  <c r="AI156" i="25"/>
  <c r="Z157" i="25"/>
  <c r="AA157" i="25"/>
  <c r="AB157" i="25"/>
  <c r="AI157" i="25"/>
  <c r="Z158" i="25"/>
  <c r="AA158" i="25"/>
  <c r="AB158" i="25"/>
  <c r="AI158" i="25"/>
  <c r="Z159" i="25"/>
  <c r="AA159" i="25"/>
  <c r="AB159" i="25"/>
  <c r="AI159" i="25"/>
  <c r="Z160" i="25"/>
  <c r="AA160" i="25"/>
  <c r="AB160" i="25"/>
  <c r="AI160" i="25"/>
  <c r="Z161" i="25"/>
  <c r="AA161" i="25"/>
  <c r="AB161" i="25"/>
  <c r="AI161" i="25"/>
  <c r="Z162" i="25"/>
  <c r="AA162" i="25"/>
  <c r="AB162" i="25"/>
  <c r="AI162" i="25"/>
  <c r="Z163" i="25"/>
  <c r="AA163" i="25"/>
  <c r="AB163" i="25"/>
  <c r="AI163" i="25"/>
  <c r="Z164" i="25"/>
  <c r="AA164" i="25"/>
  <c r="AB164" i="25"/>
  <c r="AI164" i="25"/>
  <c r="Z165" i="25"/>
  <c r="AA165" i="25"/>
  <c r="AB165" i="25"/>
  <c r="AI165" i="25"/>
  <c r="Z166" i="25"/>
  <c r="AA166" i="25"/>
  <c r="AB166" i="25"/>
  <c r="AI166" i="25"/>
  <c r="Z167" i="25"/>
  <c r="AA167" i="25"/>
  <c r="AB167" i="25"/>
  <c r="AI167" i="25"/>
  <c r="Z168" i="25"/>
  <c r="AA168" i="25"/>
  <c r="AB168" i="25"/>
  <c r="AI168" i="25"/>
  <c r="Z169" i="25"/>
  <c r="AA169" i="25"/>
  <c r="AB169" i="25"/>
  <c r="AI169" i="25"/>
  <c r="Z170" i="25"/>
  <c r="AA170" i="25"/>
  <c r="AB170" i="25"/>
  <c r="AI170" i="25"/>
  <c r="Z171" i="25"/>
  <c r="AA171" i="25"/>
  <c r="AB171" i="25"/>
  <c r="AI171" i="25"/>
  <c r="Z172" i="25"/>
  <c r="AA172" i="25"/>
  <c r="AB172" i="25"/>
  <c r="AI172" i="25"/>
  <c r="Z173" i="25"/>
  <c r="AA173" i="25"/>
  <c r="AB173" i="25"/>
  <c r="AI173" i="25"/>
  <c r="Z174" i="25"/>
  <c r="AA174" i="25"/>
  <c r="AB174" i="25"/>
  <c r="AI174" i="25"/>
  <c r="Z175" i="25"/>
  <c r="AA175" i="25"/>
  <c r="AB175" i="25"/>
  <c r="AI175" i="25"/>
  <c r="Z176" i="25"/>
  <c r="AA176" i="25"/>
  <c r="AB176" i="25"/>
  <c r="AI176" i="25"/>
  <c r="Z177" i="25"/>
  <c r="AA177" i="25"/>
  <c r="AB177" i="25"/>
  <c r="AI177" i="25"/>
  <c r="Z178" i="25"/>
  <c r="AA178" i="25"/>
  <c r="AB178" i="25"/>
  <c r="AI178" i="25"/>
  <c r="Z179" i="25"/>
  <c r="AA179" i="25"/>
  <c r="AB179" i="25"/>
  <c r="AI179" i="25"/>
  <c r="Z180" i="25"/>
  <c r="AA180" i="25"/>
  <c r="AB180" i="25"/>
  <c r="AI180" i="25"/>
  <c r="AI37" i="6"/>
  <c r="AH31" i="6"/>
  <c r="AH37" i="6"/>
  <c r="AG31" i="6"/>
  <c r="AG37" i="6"/>
  <c r="AF31" i="6"/>
  <c r="AF37" i="6"/>
  <c r="AE31" i="6"/>
  <c r="AE37" i="6"/>
  <c r="AJ31" i="6"/>
  <c r="AJ36" i="6"/>
  <c r="E123" i="9"/>
  <c r="G17" i="14"/>
  <c r="AH36" i="6"/>
  <c r="AG36" i="6"/>
  <c r="AF36" i="6"/>
  <c r="AE36" i="6"/>
  <c r="AJ35" i="6"/>
  <c r="AI35" i="6"/>
  <c r="AG35" i="6"/>
  <c r="AF35" i="6"/>
  <c r="AE35" i="6"/>
  <c r="AJ34" i="6"/>
  <c r="AI34" i="6"/>
  <c r="AH34" i="6"/>
  <c r="AF34" i="6"/>
  <c r="AE34" i="6"/>
  <c r="AJ33" i="6"/>
  <c r="AI33" i="6"/>
  <c r="AH33" i="6"/>
  <c r="AG33" i="6"/>
  <c r="AE33" i="6"/>
  <c r="AJ32" i="6"/>
  <c r="AI32" i="6"/>
  <c r="AH32" i="6"/>
  <c r="AG32" i="6"/>
  <c r="AF32" i="6"/>
  <c r="AI21" i="6"/>
  <c r="Z64" i="17"/>
  <c r="Z65" i="17"/>
  <c r="AI64" i="17"/>
  <c r="AI65" i="17"/>
  <c r="Z66" i="17"/>
  <c r="AI66" i="17"/>
  <c r="Z67" i="17"/>
  <c r="AI67" i="17"/>
  <c r="Z68" i="17"/>
  <c r="AI68" i="17"/>
  <c r="Z69" i="17"/>
  <c r="AI69" i="17"/>
  <c r="Z70" i="17"/>
  <c r="AI70" i="17"/>
  <c r="Z71" i="17"/>
  <c r="AI71" i="17"/>
  <c r="Z72" i="17"/>
  <c r="AI72" i="17"/>
  <c r="Z73" i="17"/>
  <c r="AI73" i="17"/>
  <c r="Z74" i="17"/>
  <c r="AI74" i="17"/>
  <c r="Z75" i="17"/>
  <c r="AI75" i="17"/>
  <c r="Z76" i="17"/>
  <c r="AI76" i="17"/>
  <c r="Z77" i="17"/>
  <c r="AI77" i="17"/>
  <c r="Z78" i="17"/>
  <c r="AI78" i="17"/>
  <c r="Z79" i="17"/>
  <c r="AI79" i="17"/>
  <c r="Z80" i="17"/>
  <c r="AI80" i="17"/>
  <c r="Z81" i="17"/>
  <c r="AI81" i="17"/>
  <c r="Z82" i="17"/>
  <c r="AI82" i="17"/>
  <c r="Z83" i="17"/>
  <c r="AI83" i="17"/>
  <c r="Z84" i="17"/>
  <c r="AI84" i="17"/>
  <c r="Z85" i="17"/>
  <c r="AI85" i="17"/>
  <c r="Z86" i="17"/>
  <c r="AI86" i="17"/>
  <c r="Z87" i="17"/>
  <c r="AI87" i="17"/>
  <c r="Z88" i="17"/>
  <c r="AI88" i="17"/>
  <c r="Z89" i="17"/>
  <c r="AI89" i="17"/>
  <c r="Z90" i="17"/>
  <c r="AI90" i="17"/>
  <c r="Z91" i="17"/>
  <c r="AI91" i="17"/>
  <c r="Z92" i="17"/>
  <c r="AI92" i="17"/>
  <c r="Z93" i="17"/>
  <c r="AI93" i="17"/>
  <c r="Z94" i="17"/>
  <c r="AI94" i="17"/>
  <c r="Z95" i="17"/>
  <c r="AI95" i="17"/>
  <c r="Z96" i="17"/>
  <c r="AI96" i="17"/>
  <c r="Z97" i="17"/>
  <c r="AI97" i="17"/>
  <c r="Z98" i="17"/>
  <c r="AI98" i="17"/>
  <c r="Z99" i="17"/>
  <c r="AI99" i="17"/>
  <c r="Z100" i="17"/>
  <c r="AI100" i="17"/>
  <c r="Z101" i="17"/>
  <c r="AI101" i="17"/>
  <c r="Z102" i="17"/>
  <c r="AI102" i="17"/>
  <c r="Z103" i="17"/>
  <c r="AI103" i="17"/>
  <c r="Z104" i="17"/>
  <c r="AI104" i="17"/>
  <c r="Z105" i="17"/>
  <c r="AI105" i="17"/>
  <c r="Z106" i="17"/>
  <c r="AI106" i="17"/>
  <c r="Z107" i="17"/>
  <c r="AI107" i="17"/>
  <c r="Z108" i="17"/>
  <c r="AI108" i="17"/>
  <c r="Z136" i="17"/>
  <c r="AA136" i="17"/>
  <c r="AB136" i="17"/>
  <c r="AI136" i="17"/>
  <c r="Z137" i="17"/>
  <c r="AA137" i="17"/>
  <c r="AB137" i="17"/>
  <c r="AI137" i="17"/>
  <c r="Z138" i="17"/>
  <c r="AA138" i="17"/>
  <c r="AB138" i="17"/>
  <c r="AI138" i="17"/>
  <c r="Z139" i="17"/>
  <c r="AA139" i="17"/>
  <c r="AB139" i="17"/>
  <c r="AI139" i="17"/>
  <c r="Z140" i="17"/>
  <c r="AA140" i="17"/>
  <c r="AB140" i="17"/>
  <c r="AI140" i="17"/>
  <c r="Z141" i="17"/>
  <c r="AA141" i="17"/>
  <c r="AB141" i="17"/>
  <c r="AI141" i="17"/>
  <c r="Z142" i="17"/>
  <c r="AA142" i="17"/>
  <c r="AB142" i="17"/>
  <c r="AI142" i="17"/>
  <c r="Z143" i="17"/>
  <c r="AA143" i="17"/>
  <c r="AB143" i="17"/>
  <c r="AI143" i="17"/>
  <c r="Z144" i="17"/>
  <c r="AA144" i="17"/>
  <c r="AB144" i="17"/>
  <c r="AI144" i="17"/>
  <c r="Z145" i="17"/>
  <c r="AA145" i="17"/>
  <c r="AB145" i="17"/>
  <c r="AI145" i="17"/>
  <c r="Z146" i="17"/>
  <c r="AA146" i="17"/>
  <c r="AB146" i="17"/>
  <c r="AI146" i="17"/>
  <c r="Z147" i="17"/>
  <c r="AA147" i="17"/>
  <c r="AB147" i="17"/>
  <c r="AI147" i="17"/>
  <c r="Z148" i="17"/>
  <c r="AA148" i="17"/>
  <c r="AB148" i="17"/>
  <c r="AI148" i="17"/>
  <c r="Z149" i="17"/>
  <c r="AA149" i="17"/>
  <c r="AB149" i="17"/>
  <c r="AI149" i="17"/>
  <c r="Z150" i="17"/>
  <c r="AA150" i="17"/>
  <c r="AB150" i="17"/>
  <c r="AI150" i="17"/>
  <c r="Z151" i="17"/>
  <c r="AA151" i="17"/>
  <c r="AB151" i="17"/>
  <c r="AI151" i="17"/>
  <c r="Z152" i="17"/>
  <c r="AA152" i="17"/>
  <c r="AB152" i="17"/>
  <c r="AI152" i="17"/>
  <c r="Z153" i="17"/>
  <c r="AA153" i="17"/>
  <c r="AB153" i="17"/>
  <c r="AI153" i="17"/>
  <c r="Z154" i="17"/>
  <c r="AA154" i="17"/>
  <c r="AB154" i="17"/>
  <c r="AI154" i="17"/>
  <c r="Z155" i="17"/>
  <c r="AA155" i="17"/>
  <c r="AB155" i="17"/>
  <c r="AI155" i="17"/>
  <c r="Z156" i="17"/>
  <c r="AA156" i="17"/>
  <c r="AB156" i="17"/>
  <c r="AI156" i="17"/>
  <c r="Z157" i="17"/>
  <c r="AA157" i="17"/>
  <c r="AB157" i="17"/>
  <c r="AI157" i="17"/>
  <c r="Z158" i="17"/>
  <c r="AA158" i="17"/>
  <c r="AB158" i="17"/>
  <c r="AI158" i="17"/>
  <c r="Z159" i="17"/>
  <c r="AA159" i="17"/>
  <c r="AB159" i="17"/>
  <c r="AI159" i="17"/>
  <c r="Z160" i="17"/>
  <c r="AA160" i="17"/>
  <c r="AB160" i="17"/>
  <c r="AI160" i="17"/>
  <c r="Z161" i="17"/>
  <c r="AA161" i="17"/>
  <c r="AB161" i="17"/>
  <c r="AI161" i="17"/>
  <c r="Z162" i="17"/>
  <c r="AA162" i="17"/>
  <c r="AB162" i="17"/>
  <c r="AI162" i="17"/>
  <c r="Z163" i="17"/>
  <c r="AA163" i="17"/>
  <c r="AB163" i="17"/>
  <c r="AI163" i="17"/>
  <c r="Z164" i="17"/>
  <c r="AA164" i="17"/>
  <c r="AB164" i="17"/>
  <c r="AI164" i="17"/>
  <c r="Z165" i="17"/>
  <c r="AA165" i="17"/>
  <c r="AB165" i="17"/>
  <c r="AI165" i="17"/>
  <c r="Z166" i="17"/>
  <c r="AA166" i="17"/>
  <c r="AB166" i="17"/>
  <c r="AI166" i="17"/>
  <c r="Z167" i="17"/>
  <c r="AA167" i="17"/>
  <c r="AB167" i="17"/>
  <c r="AI167" i="17"/>
  <c r="Z168" i="17"/>
  <c r="AA168" i="17"/>
  <c r="AB168" i="17"/>
  <c r="AI168" i="17"/>
  <c r="Z169" i="17"/>
  <c r="AA169" i="17"/>
  <c r="AB169" i="17"/>
  <c r="AI169" i="17"/>
  <c r="Z170" i="17"/>
  <c r="AA170" i="17"/>
  <c r="AB170" i="17"/>
  <c r="AI170" i="17"/>
  <c r="Z171" i="17"/>
  <c r="AA171" i="17"/>
  <c r="AB171" i="17"/>
  <c r="AI171" i="17"/>
  <c r="Z172" i="17"/>
  <c r="AA172" i="17"/>
  <c r="AB172" i="17"/>
  <c r="AI172" i="17"/>
  <c r="Z173" i="17"/>
  <c r="AA173" i="17"/>
  <c r="AB173" i="17"/>
  <c r="AI173" i="17"/>
  <c r="Z174" i="17"/>
  <c r="AA174" i="17"/>
  <c r="AB174" i="17"/>
  <c r="AI174" i="17"/>
  <c r="Z175" i="17"/>
  <c r="AA175" i="17"/>
  <c r="AB175" i="17"/>
  <c r="AI175" i="17"/>
  <c r="Z176" i="17"/>
  <c r="AA176" i="17"/>
  <c r="AB176" i="17"/>
  <c r="AI176" i="17"/>
  <c r="Z177" i="17"/>
  <c r="AA177" i="17"/>
  <c r="AB177" i="17"/>
  <c r="AI177" i="17"/>
  <c r="Z178" i="17"/>
  <c r="AA178" i="17"/>
  <c r="AB178" i="17"/>
  <c r="AI178" i="17"/>
  <c r="Z179" i="17"/>
  <c r="AA179" i="17"/>
  <c r="AB179" i="17"/>
  <c r="AI179" i="17"/>
  <c r="Z180" i="17"/>
  <c r="AA180" i="17"/>
  <c r="AB180" i="17"/>
  <c r="AI180" i="17"/>
  <c r="AI27" i="6"/>
  <c r="AH21" i="6"/>
  <c r="AH27" i="6"/>
  <c r="AG21" i="6"/>
  <c r="AG27" i="6"/>
  <c r="AF21" i="6"/>
  <c r="AF27" i="6"/>
  <c r="AE21" i="6"/>
  <c r="AE27" i="6"/>
  <c r="AJ21" i="6"/>
  <c r="AJ26" i="6"/>
  <c r="AH26" i="6"/>
  <c r="AG26" i="6"/>
  <c r="AF26" i="6"/>
  <c r="AE26" i="6"/>
  <c r="AJ25" i="6"/>
  <c r="AI25" i="6"/>
  <c r="AG25" i="6"/>
  <c r="AF25" i="6"/>
  <c r="AE25" i="6"/>
  <c r="AJ24" i="6"/>
  <c r="AI24" i="6"/>
  <c r="AH24" i="6"/>
  <c r="AF24" i="6"/>
  <c r="AE24" i="6"/>
  <c r="AJ23" i="6"/>
  <c r="AI23" i="6"/>
  <c r="AH23" i="6"/>
  <c r="AG23" i="6"/>
  <c r="AE23" i="6"/>
  <c r="AJ22" i="6"/>
  <c r="AI22" i="6"/>
  <c r="AH22" i="6"/>
  <c r="AG22" i="6"/>
  <c r="AF22" i="6"/>
  <c r="AI11" i="6"/>
  <c r="Z64" i="3"/>
  <c r="Z65" i="3"/>
  <c r="AB64" i="3"/>
  <c r="AI64" i="3"/>
  <c r="AB65" i="3"/>
  <c r="AI65" i="3"/>
  <c r="Z66" i="3"/>
  <c r="AB66" i="3"/>
  <c r="AI66" i="3"/>
  <c r="Z67" i="3"/>
  <c r="AB67" i="3"/>
  <c r="AI67" i="3"/>
  <c r="Z68" i="3"/>
  <c r="AB68" i="3"/>
  <c r="AI68" i="3"/>
  <c r="Z69" i="3"/>
  <c r="AB69" i="3"/>
  <c r="AI69" i="3"/>
  <c r="Z70" i="3"/>
  <c r="AB70" i="3"/>
  <c r="AI70" i="3"/>
  <c r="Z71" i="3"/>
  <c r="AB71" i="3"/>
  <c r="AI71" i="3"/>
  <c r="Z72" i="3"/>
  <c r="AB72" i="3"/>
  <c r="AI72" i="3"/>
  <c r="Z73" i="3"/>
  <c r="AB73" i="3"/>
  <c r="AI73" i="3"/>
  <c r="Z74" i="3"/>
  <c r="AB74" i="3"/>
  <c r="AI74" i="3"/>
  <c r="Z75" i="3"/>
  <c r="AB75" i="3"/>
  <c r="AI75" i="3"/>
  <c r="Z76" i="3"/>
  <c r="AB76" i="3"/>
  <c r="AI76" i="3"/>
  <c r="Z77" i="3"/>
  <c r="AB77" i="3"/>
  <c r="AI77" i="3"/>
  <c r="Z78" i="3"/>
  <c r="AB78" i="3"/>
  <c r="AI78" i="3"/>
  <c r="Z79" i="3"/>
  <c r="AB79" i="3"/>
  <c r="AI79" i="3"/>
  <c r="Z80" i="3"/>
  <c r="AB80" i="3"/>
  <c r="AI80" i="3"/>
  <c r="Z81" i="3"/>
  <c r="AB81" i="3"/>
  <c r="AI81" i="3"/>
  <c r="Z82" i="3"/>
  <c r="AB82" i="3"/>
  <c r="AI82" i="3"/>
  <c r="Z83" i="3"/>
  <c r="AB83" i="3"/>
  <c r="AI83" i="3"/>
  <c r="Z84" i="3"/>
  <c r="AB84" i="3"/>
  <c r="AI84" i="3"/>
  <c r="Z85" i="3"/>
  <c r="AB85" i="3"/>
  <c r="AI85" i="3"/>
  <c r="Z86" i="3"/>
  <c r="AB86" i="3"/>
  <c r="AI86" i="3"/>
  <c r="Z87" i="3"/>
  <c r="AB87" i="3"/>
  <c r="AI87" i="3"/>
  <c r="Z88" i="3"/>
  <c r="AB88" i="3"/>
  <c r="AI88" i="3"/>
  <c r="Z89" i="3"/>
  <c r="AB89" i="3"/>
  <c r="AI89" i="3"/>
  <c r="Z90" i="3"/>
  <c r="AB90" i="3"/>
  <c r="AI90" i="3"/>
  <c r="Z91" i="3"/>
  <c r="AB91" i="3"/>
  <c r="AI91" i="3"/>
  <c r="Z92" i="3"/>
  <c r="AB92" i="3"/>
  <c r="AI92" i="3"/>
  <c r="Z93" i="3"/>
  <c r="AB93" i="3"/>
  <c r="AI93" i="3"/>
  <c r="Z94" i="3"/>
  <c r="AB94" i="3"/>
  <c r="AI94" i="3"/>
  <c r="Z95" i="3"/>
  <c r="AB95" i="3"/>
  <c r="AI95" i="3"/>
  <c r="Z96" i="3"/>
  <c r="AB96" i="3"/>
  <c r="AI96" i="3"/>
  <c r="Z97" i="3"/>
  <c r="AB97" i="3"/>
  <c r="AI97" i="3"/>
  <c r="Z98" i="3"/>
  <c r="AB98" i="3"/>
  <c r="AI98" i="3"/>
  <c r="Z99" i="3"/>
  <c r="AB99" i="3"/>
  <c r="AI99" i="3"/>
  <c r="Z100" i="3"/>
  <c r="AB100" i="3"/>
  <c r="AI100" i="3"/>
  <c r="Z101" i="3"/>
  <c r="AB101" i="3"/>
  <c r="AI101" i="3"/>
  <c r="Z102" i="3"/>
  <c r="AB102" i="3"/>
  <c r="AI102" i="3"/>
  <c r="Z103" i="3"/>
  <c r="AB103" i="3"/>
  <c r="AI103" i="3"/>
  <c r="Z104" i="3"/>
  <c r="AB104" i="3"/>
  <c r="AI104" i="3"/>
  <c r="Z105" i="3"/>
  <c r="AB105" i="3"/>
  <c r="AI105" i="3"/>
  <c r="Z106" i="3"/>
  <c r="AB106" i="3"/>
  <c r="AI106" i="3"/>
  <c r="Z107" i="3"/>
  <c r="AB107" i="3"/>
  <c r="AI107" i="3"/>
  <c r="Z108" i="3"/>
  <c r="AB108" i="3"/>
  <c r="AI108" i="3"/>
  <c r="Z136" i="3"/>
  <c r="AA136" i="3"/>
  <c r="AB136" i="3"/>
  <c r="AI136" i="3"/>
  <c r="Z137" i="3"/>
  <c r="AA137" i="3"/>
  <c r="AB137" i="3"/>
  <c r="AI137" i="3"/>
  <c r="Z138" i="3"/>
  <c r="AA138" i="3"/>
  <c r="AB138" i="3"/>
  <c r="AI138" i="3"/>
  <c r="Z139" i="3"/>
  <c r="AA139" i="3"/>
  <c r="AB139" i="3"/>
  <c r="AI139" i="3"/>
  <c r="Z140" i="3"/>
  <c r="AA140" i="3"/>
  <c r="AB140" i="3"/>
  <c r="AI140" i="3"/>
  <c r="Z141" i="3"/>
  <c r="AA141" i="3"/>
  <c r="AB141" i="3"/>
  <c r="AI141" i="3"/>
  <c r="Z142" i="3"/>
  <c r="AA142" i="3"/>
  <c r="AB142" i="3"/>
  <c r="AI142" i="3"/>
  <c r="Z143" i="3"/>
  <c r="AA143" i="3"/>
  <c r="AB143" i="3"/>
  <c r="AI143" i="3"/>
  <c r="Z144" i="3"/>
  <c r="AA144" i="3"/>
  <c r="AB144" i="3"/>
  <c r="AI144" i="3"/>
  <c r="Z145" i="3"/>
  <c r="AA145" i="3"/>
  <c r="AB145" i="3"/>
  <c r="AI145" i="3"/>
  <c r="Z146" i="3"/>
  <c r="AA146" i="3"/>
  <c r="AB146" i="3"/>
  <c r="AI146" i="3"/>
  <c r="Z147" i="3"/>
  <c r="AA147" i="3"/>
  <c r="AB147" i="3"/>
  <c r="AI147" i="3"/>
  <c r="Z148" i="3"/>
  <c r="AA148" i="3"/>
  <c r="AB148" i="3"/>
  <c r="AI148" i="3"/>
  <c r="Z149" i="3"/>
  <c r="AA149" i="3"/>
  <c r="AB149" i="3"/>
  <c r="AI149" i="3"/>
  <c r="Z150" i="3"/>
  <c r="AA150" i="3"/>
  <c r="AB150" i="3"/>
  <c r="AI150" i="3"/>
  <c r="Z151" i="3"/>
  <c r="AA151" i="3"/>
  <c r="AB151" i="3"/>
  <c r="AI151" i="3"/>
  <c r="Z152" i="3"/>
  <c r="AA152" i="3"/>
  <c r="AB152" i="3"/>
  <c r="AI152" i="3"/>
  <c r="Z153" i="3"/>
  <c r="AA153" i="3"/>
  <c r="AB153" i="3"/>
  <c r="AI153" i="3"/>
  <c r="Z154" i="3"/>
  <c r="AA154" i="3"/>
  <c r="AB154" i="3"/>
  <c r="AI154" i="3"/>
  <c r="Z155" i="3"/>
  <c r="AA155" i="3"/>
  <c r="AB155" i="3"/>
  <c r="AI155" i="3"/>
  <c r="Z156" i="3"/>
  <c r="AA156" i="3"/>
  <c r="AB156" i="3"/>
  <c r="AI156" i="3"/>
  <c r="Z157" i="3"/>
  <c r="AA157" i="3"/>
  <c r="AB157" i="3"/>
  <c r="AI157" i="3"/>
  <c r="Z158" i="3"/>
  <c r="AA158" i="3"/>
  <c r="AB158" i="3"/>
  <c r="AI158" i="3"/>
  <c r="Z159" i="3"/>
  <c r="AA159" i="3"/>
  <c r="AB159" i="3"/>
  <c r="AI159" i="3"/>
  <c r="Z160" i="3"/>
  <c r="AA160" i="3"/>
  <c r="AB160" i="3"/>
  <c r="AI160" i="3"/>
  <c r="Z161" i="3"/>
  <c r="AA161" i="3"/>
  <c r="AB161" i="3"/>
  <c r="AI161" i="3"/>
  <c r="Z162" i="3"/>
  <c r="AA162" i="3"/>
  <c r="AB162" i="3"/>
  <c r="AI162" i="3"/>
  <c r="Z163" i="3"/>
  <c r="AA163" i="3"/>
  <c r="AB163" i="3"/>
  <c r="AI163" i="3"/>
  <c r="Z164" i="3"/>
  <c r="AA164" i="3"/>
  <c r="AB164" i="3"/>
  <c r="AI164" i="3"/>
  <c r="Z165" i="3"/>
  <c r="AA165" i="3"/>
  <c r="AB165" i="3"/>
  <c r="AI165" i="3"/>
  <c r="Z166" i="3"/>
  <c r="AA166" i="3"/>
  <c r="AB166" i="3"/>
  <c r="AI166" i="3"/>
  <c r="Z167" i="3"/>
  <c r="AA167" i="3"/>
  <c r="AB167" i="3"/>
  <c r="AI167" i="3"/>
  <c r="Z168" i="3"/>
  <c r="AA168" i="3"/>
  <c r="AB168" i="3"/>
  <c r="AI168" i="3"/>
  <c r="Z169" i="3"/>
  <c r="AA169" i="3"/>
  <c r="AB169" i="3"/>
  <c r="AI169" i="3"/>
  <c r="Z170" i="3"/>
  <c r="AA170" i="3"/>
  <c r="AB170" i="3"/>
  <c r="AI170" i="3"/>
  <c r="Z171" i="3"/>
  <c r="AA171" i="3"/>
  <c r="AB171" i="3"/>
  <c r="AI171" i="3"/>
  <c r="Z172" i="3"/>
  <c r="AA172" i="3"/>
  <c r="AB172" i="3"/>
  <c r="AI172" i="3"/>
  <c r="Z173" i="3"/>
  <c r="AA173" i="3"/>
  <c r="AB173" i="3"/>
  <c r="AI173" i="3"/>
  <c r="Z174" i="3"/>
  <c r="AA174" i="3"/>
  <c r="AB174" i="3"/>
  <c r="AI174" i="3"/>
  <c r="Z175" i="3"/>
  <c r="AA175" i="3"/>
  <c r="AB175" i="3"/>
  <c r="AI175" i="3"/>
  <c r="Z176" i="3"/>
  <c r="AA176" i="3"/>
  <c r="AB176" i="3"/>
  <c r="AI176" i="3"/>
  <c r="Z177" i="3"/>
  <c r="AA177" i="3"/>
  <c r="AB177" i="3"/>
  <c r="AI177" i="3"/>
  <c r="Z178" i="3"/>
  <c r="AA178" i="3"/>
  <c r="AB178" i="3"/>
  <c r="AI178" i="3"/>
  <c r="Z179" i="3"/>
  <c r="AA179" i="3"/>
  <c r="AB179" i="3"/>
  <c r="AI179" i="3"/>
  <c r="Z180" i="3"/>
  <c r="AA180" i="3"/>
  <c r="AB180" i="3"/>
  <c r="AI180" i="3"/>
  <c r="AI17" i="6"/>
  <c r="AH11" i="6"/>
  <c r="AH17" i="6"/>
  <c r="AG11" i="6"/>
  <c r="AG17" i="6"/>
  <c r="AF11" i="6"/>
  <c r="AF17" i="6"/>
  <c r="AE11" i="6"/>
  <c r="AE17" i="6"/>
  <c r="AJ11" i="6"/>
  <c r="AJ16" i="6"/>
  <c r="AH16" i="6"/>
  <c r="AG16" i="6"/>
  <c r="AF16" i="6"/>
  <c r="AE16" i="6"/>
  <c r="AJ15" i="6"/>
  <c r="AI15" i="6"/>
  <c r="AG15" i="6"/>
  <c r="AF15" i="6"/>
  <c r="AE15" i="6"/>
  <c r="AJ14" i="6"/>
  <c r="AI14" i="6"/>
  <c r="AH14" i="6"/>
  <c r="AF14" i="6"/>
  <c r="AE14" i="6"/>
  <c r="AJ13" i="6"/>
  <c r="AI13" i="6"/>
  <c r="AH13" i="6"/>
  <c r="AG13" i="6"/>
  <c r="AE13" i="6"/>
  <c r="AJ12" i="6"/>
  <c r="AI12" i="6"/>
  <c r="AH12" i="6"/>
  <c r="AG12" i="6"/>
  <c r="AF12" i="6"/>
  <c r="E122" i="9"/>
  <c r="B15" i="14"/>
  <c r="E124" i="9"/>
  <c r="M4" i="45"/>
  <c r="N4" i="45"/>
  <c r="L4" i="45"/>
  <c r="M5" i="45"/>
  <c r="N5" i="45"/>
  <c r="L5" i="45"/>
  <c r="M6" i="45"/>
  <c r="N6" i="45"/>
  <c r="L6" i="45"/>
  <c r="M7" i="45"/>
  <c r="N7" i="45"/>
  <c r="L7" i="45"/>
  <c r="M8" i="45"/>
  <c r="N8" i="45"/>
  <c r="L8" i="45"/>
  <c r="M9" i="45"/>
  <c r="N9" i="45"/>
  <c r="L9" i="45"/>
  <c r="M10" i="45"/>
  <c r="N10" i="45"/>
  <c r="L10" i="45"/>
  <c r="M11" i="45"/>
  <c r="N11" i="45"/>
  <c r="L11" i="45"/>
  <c r="M12" i="45"/>
  <c r="N12" i="45"/>
  <c r="L12" i="45"/>
  <c r="M4" i="37"/>
  <c r="N4" i="37"/>
  <c r="L4" i="37"/>
  <c r="M5" i="37"/>
  <c r="N5" i="37"/>
  <c r="L5" i="37"/>
  <c r="M6" i="37"/>
  <c r="N6" i="37"/>
  <c r="L6" i="37"/>
  <c r="M7" i="37"/>
  <c r="N7" i="37"/>
  <c r="L7" i="37"/>
  <c r="M8" i="37"/>
  <c r="N8" i="37"/>
  <c r="L8" i="37"/>
  <c r="M9" i="37"/>
  <c r="N9" i="37"/>
  <c r="L9" i="37"/>
  <c r="M10" i="37"/>
  <c r="N10" i="37"/>
  <c r="L10" i="37"/>
  <c r="M11" i="37"/>
  <c r="N11" i="37"/>
  <c r="L11" i="37"/>
  <c r="M12" i="37"/>
  <c r="N12" i="37"/>
  <c r="L12" i="37"/>
  <c r="M5" i="33"/>
  <c r="N5" i="33"/>
  <c r="L5" i="33"/>
  <c r="M6" i="33"/>
  <c r="N6" i="33"/>
  <c r="L6" i="33"/>
  <c r="M7" i="33"/>
  <c r="N7" i="33"/>
  <c r="L7" i="33"/>
  <c r="M8" i="33"/>
  <c r="N8" i="33"/>
  <c r="L8" i="33"/>
  <c r="M9" i="33"/>
  <c r="N9" i="33"/>
  <c r="L9" i="33"/>
  <c r="M10" i="33"/>
  <c r="N10" i="33"/>
  <c r="L10" i="33"/>
  <c r="M11" i="33"/>
  <c r="N11" i="33"/>
  <c r="L11" i="33"/>
  <c r="M12" i="33"/>
  <c r="N12" i="33"/>
  <c r="L12" i="33"/>
  <c r="M4" i="46"/>
  <c r="N4" i="46"/>
  <c r="L4" i="46"/>
  <c r="M5" i="46"/>
  <c r="N5" i="46"/>
  <c r="L5" i="46"/>
  <c r="M6" i="46"/>
  <c r="N6" i="46"/>
  <c r="L6" i="46"/>
  <c r="M7" i="46"/>
  <c r="N7" i="46"/>
  <c r="L7" i="46"/>
  <c r="M8" i="46"/>
  <c r="N8" i="46"/>
  <c r="L8" i="46"/>
  <c r="M9" i="46"/>
  <c r="N9" i="46"/>
  <c r="L9" i="46"/>
  <c r="M10" i="46"/>
  <c r="N10" i="46"/>
  <c r="L10" i="46"/>
  <c r="M11" i="46"/>
  <c r="N11" i="46"/>
  <c r="L11" i="46"/>
  <c r="M12" i="46"/>
  <c r="N12" i="46"/>
  <c r="L12" i="46"/>
  <c r="M4" i="47"/>
  <c r="N4" i="47"/>
  <c r="L4" i="47"/>
  <c r="M5" i="47"/>
  <c r="N5" i="47"/>
  <c r="L5" i="47"/>
  <c r="M6" i="47"/>
  <c r="N6" i="47"/>
  <c r="L6" i="47"/>
  <c r="M7" i="47"/>
  <c r="N7" i="47"/>
  <c r="L7" i="47"/>
  <c r="M8" i="47"/>
  <c r="N8" i="47"/>
  <c r="L8" i="47"/>
  <c r="M9" i="47"/>
  <c r="N9" i="47"/>
  <c r="L9" i="47"/>
  <c r="M10" i="47"/>
  <c r="N10" i="47"/>
  <c r="L10" i="47"/>
  <c r="M11" i="47"/>
  <c r="N11" i="47"/>
  <c r="L11" i="47"/>
  <c r="M12" i="47"/>
  <c r="N12" i="47"/>
  <c r="L12" i="47"/>
  <c r="AD45" i="39"/>
  <c r="M4" i="43"/>
  <c r="N4" i="43"/>
  <c r="L4" i="43"/>
  <c r="M5" i="43"/>
  <c r="N5" i="43"/>
  <c r="L5" i="43"/>
  <c r="M6" i="43"/>
  <c r="N6" i="43"/>
  <c r="L6" i="43"/>
  <c r="M7" i="43"/>
  <c r="N7" i="43"/>
  <c r="L7" i="43"/>
  <c r="K20" i="43"/>
  <c r="Y64" i="43"/>
  <c r="X64" i="43"/>
  <c r="AH64" i="43"/>
  <c r="AG64" i="43"/>
  <c r="H7" i="43"/>
  <c r="G7" i="43"/>
  <c r="I7" i="43"/>
  <c r="J20" i="43"/>
  <c r="M8" i="43"/>
  <c r="N8" i="43"/>
  <c r="L8" i="43"/>
  <c r="K21" i="43"/>
  <c r="H8" i="43"/>
  <c r="G8" i="43"/>
  <c r="I8" i="43"/>
  <c r="J21" i="43"/>
  <c r="M9" i="43"/>
  <c r="N9" i="43"/>
  <c r="L9" i="43"/>
  <c r="K22" i="43"/>
  <c r="H9" i="43"/>
  <c r="G9" i="43"/>
  <c r="I9" i="43"/>
  <c r="J22" i="43"/>
  <c r="M10" i="43"/>
  <c r="N10" i="43"/>
  <c r="L10" i="43"/>
  <c r="K23" i="43"/>
  <c r="H10" i="43"/>
  <c r="G10" i="43"/>
  <c r="I10" i="43"/>
  <c r="J23" i="43"/>
  <c r="M11" i="43"/>
  <c r="N11" i="43"/>
  <c r="L11" i="43"/>
  <c r="K24" i="43"/>
  <c r="H11" i="43"/>
  <c r="G11" i="43"/>
  <c r="I11" i="43"/>
  <c r="J24" i="43"/>
  <c r="M12" i="43"/>
  <c r="N12" i="43"/>
  <c r="L12" i="43"/>
  <c r="K25" i="43"/>
  <c r="H12" i="43"/>
  <c r="G12" i="43"/>
  <c r="I12" i="43"/>
  <c r="J25"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AR4" i="43"/>
  <c r="AR5" i="43"/>
  <c r="AR6" i="43"/>
  <c r="AR7" i="43"/>
  <c r="AR8" i="43"/>
  <c r="AR9" i="43"/>
  <c r="AR10" i="43"/>
  <c r="AR11" i="43"/>
  <c r="AR12" i="43"/>
  <c r="AD39" i="39"/>
  <c r="AD38" i="39"/>
  <c r="AD37" i="39"/>
  <c r="M4" i="42"/>
  <c r="N4" i="42"/>
  <c r="L4" i="42"/>
  <c r="M5" i="42"/>
  <c r="N5" i="42"/>
  <c r="L5" i="42"/>
  <c r="M6" i="42"/>
  <c r="N6" i="42"/>
  <c r="L6" i="42"/>
  <c r="M7" i="42"/>
  <c r="N7" i="42"/>
  <c r="L7" i="42"/>
  <c r="M8" i="42"/>
  <c r="N8" i="42"/>
  <c r="L8" i="42"/>
  <c r="K21" i="42"/>
  <c r="Y64" i="42"/>
  <c r="Y73" i="42"/>
  <c r="Y81" i="42"/>
  <c r="X64" i="42"/>
  <c r="X65" i="42"/>
  <c r="X73" i="42"/>
  <c r="X81" i="42"/>
  <c r="AH64" i="42"/>
  <c r="AH65" i="42"/>
  <c r="AH73" i="42"/>
  <c r="AH81" i="42"/>
  <c r="AG64" i="42"/>
  <c r="AG65" i="42"/>
  <c r="AG73" i="42"/>
  <c r="AG81" i="42"/>
  <c r="H8" i="42"/>
  <c r="Y65" i="42"/>
  <c r="G8" i="42"/>
  <c r="I8" i="42"/>
  <c r="J21" i="42"/>
  <c r="M9" i="42"/>
  <c r="N9" i="42"/>
  <c r="L9" i="42"/>
  <c r="K22" i="42"/>
  <c r="H9" i="42"/>
  <c r="G9" i="42"/>
  <c r="I9" i="42"/>
  <c r="J22" i="42"/>
  <c r="M10" i="42"/>
  <c r="N10" i="42"/>
  <c r="L10" i="42"/>
  <c r="K23" i="42"/>
  <c r="H10" i="42"/>
  <c r="G10" i="42"/>
  <c r="I10" i="42"/>
  <c r="J23" i="42"/>
  <c r="M11" i="42"/>
  <c r="N11" i="42"/>
  <c r="L11" i="42"/>
  <c r="K24" i="42"/>
  <c r="H11" i="42"/>
  <c r="G11" i="42"/>
  <c r="I11" i="42"/>
  <c r="J24" i="42"/>
  <c r="M12" i="42"/>
  <c r="N12" i="42"/>
  <c r="L12" i="42"/>
  <c r="K25" i="42"/>
  <c r="H12" i="42"/>
  <c r="G12" i="42"/>
  <c r="I12" i="42"/>
  <c r="J25"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AR4" i="42"/>
  <c r="AR5" i="42"/>
  <c r="AR6" i="42"/>
  <c r="C7" i="42"/>
  <c r="AR7" i="42"/>
  <c r="C8" i="42"/>
  <c r="AR8" i="42"/>
  <c r="C9" i="42"/>
  <c r="AR9" i="42"/>
  <c r="C10" i="42"/>
  <c r="AR10" i="42"/>
  <c r="C11" i="42"/>
  <c r="AR11" i="42"/>
  <c r="C12" i="42"/>
  <c r="AR12" i="42"/>
  <c r="AD31" i="39"/>
  <c r="AD30" i="39"/>
  <c r="AD29" i="39"/>
  <c r="M4" i="41"/>
  <c r="N4" i="41"/>
  <c r="L4" i="41"/>
  <c r="M5" i="41"/>
  <c r="N5" i="41"/>
  <c r="L5" i="41"/>
  <c r="M6" i="41"/>
  <c r="N6" i="41"/>
  <c r="L6" i="41"/>
  <c r="M7" i="41"/>
  <c r="N7" i="41"/>
  <c r="L7" i="41"/>
  <c r="M8" i="41"/>
  <c r="N8" i="41"/>
  <c r="L8" i="41"/>
  <c r="K21" i="41"/>
  <c r="Y64" i="41"/>
  <c r="Y73" i="41"/>
  <c r="Y81" i="41"/>
  <c r="X64" i="41"/>
  <c r="X65" i="41"/>
  <c r="X73" i="41"/>
  <c r="X81" i="41"/>
  <c r="AH64" i="41"/>
  <c r="AH65" i="41"/>
  <c r="AH73" i="41"/>
  <c r="AH81" i="41"/>
  <c r="AG64" i="41"/>
  <c r="AG65" i="41"/>
  <c r="AG73" i="41"/>
  <c r="AG81" i="41"/>
  <c r="H8" i="41"/>
  <c r="Y65" i="41"/>
  <c r="G8" i="41"/>
  <c r="I8" i="41"/>
  <c r="J21" i="41"/>
  <c r="M9" i="41"/>
  <c r="N9" i="41"/>
  <c r="L9" i="41"/>
  <c r="K22" i="41"/>
  <c r="H9" i="41"/>
  <c r="G9" i="41"/>
  <c r="I9" i="41"/>
  <c r="J22" i="41"/>
  <c r="M10" i="41"/>
  <c r="N10" i="41"/>
  <c r="L10" i="41"/>
  <c r="K23" i="41"/>
  <c r="H10" i="41"/>
  <c r="G10" i="41"/>
  <c r="I10" i="41"/>
  <c r="J23" i="41"/>
  <c r="M11" i="41"/>
  <c r="N11" i="41"/>
  <c r="L11" i="41"/>
  <c r="K24" i="41"/>
  <c r="H11" i="41"/>
  <c r="G11" i="41"/>
  <c r="I11" i="41"/>
  <c r="J24" i="41"/>
  <c r="M12" i="41"/>
  <c r="N12" i="41"/>
  <c r="L12" i="41"/>
  <c r="K25" i="41"/>
  <c r="H12" i="41"/>
  <c r="G12" i="41"/>
  <c r="I12" i="41"/>
  <c r="J25"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AR4" i="41"/>
  <c r="AR5" i="41"/>
  <c r="AR6" i="41"/>
  <c r="C7" i="41"/>
  <c r="AR7" i="41"/>
  <c r="C8" i="41"/>
  <c r="AR8" i="41"/>
  <c r="C9" i="41"/>
  <c r="AR9" i="41"/>
  <c r="C10" i="41"/>
  <c r="AR10" i="41"/>
  <c r="C11" i="41"/>
  <c r="AR11" i="41"/>
  <c r="C12" i="41"/>
  <c r="AR12" i="41"/>
  <c r="AD23" i="39"/>
  <c r="AD22" i="39"/>
  <c r="AD21" i="39"/>
  <c r="K4" i="40"/>
  <c r="K5" i="40"/>
  <c r="K6" i="40"/>
  <c r="K7" i="40"/>
  <c r="K8" i="40"/>
  <c r="K9" i="40"/>
  <c r="K10" i="40"/>
  <c r="K11" i="40"/>
  <c r="K12" i="40"/>
  <c r="K13" i="40"/>
  <c r="M4" i="40"/>
  <c r="N4" i="40"/>
  <c r="L4" i="40"/>
  <c r="M5" i="40"/>
  <c r="N5" i="40"/>
  <c r="L5" i="40"/>
  <c r="M6" i="40"/>
  <c r="N6" i="40"/>
  <c r="L6" i="40"/>
  <c r="M7" i="40"/>
  <c r="N7" i="40"/>
  <c r="L7" i="40"/>
  <c r="M8" i="40"/>
  <c r="N8" i="40"/>
  <c r="L8" i="40"/>
  <c r="K21" i="40"/>
  <c r="Y64" i="40"/>
  <c r="Y73" i="40"/>
  <c r="Y81" i="40"/>
  <c r="X64" i="40"/>
  <c r="X65" i="40"/>
  <c r="X73" i="40"/>
  <c r="X81" i="40"/>
  <c r="AH64" i="40"/>
  <c r="AH65" i="40"/>
  <c r="AH73" i="40"/>
  <c r="AH81" i="40"/>
  <c r="AG64" i="40"/>
  <c r="AG65" i="40"/>
  <c r="AG73" i="40"/>
  <c r="AG81" i="40"/>
  <c r="H8" i="40"/>
  <c r="Y65" i="40"/>
  <c r="G8" i="40"/>
  <c r="I8" i="40"/>
  <c r="J21" i="40"/>
  <c r="M9" i="40"/>
  <c r="N9" i="40"/>
  <c r="L9" i="40"/>
  <c r="K22" i="40"/>
  <c r="H9" i="40"/>
  <c r="G9" i="40"/>
  <c r="I9" i="40"/>
  <c r="J22" i="40"/>
  <c r="M10" i="40"/>
  <c r="N10" i="40"/>
  <c r="L10" i="40"/>
  <c r="K23" i="40"/>
  <c r="H10" i="40"/>
  <c r="G10" i="40"/>
  <c r="I10" i="40"/>
  <c r="J23" i="40"/>
  <c r="M11" i="40"/>
  <c r="N11" i="40"/>
  <c r="L11" i="40"/>
  <c r="K24" i="40"/>
  <c r="H11" i="40"/>
  <c r="G11" i="40"/>
  <c r="I11" i="40"/>
  <c r="J24" i="40"/>
  <c r="M12" i="40"/>
  <c r="N12" i="40"/>
  <c r="L12" i="40"/>
  <c r="K25" i="40"/>
  <c r="H12" i="40"/>
  <c r="G12" i="40"/>
  <c r="I12" i="40"/>
  <c r="J25" i="40"/>
  <c r="M21" i="40"/>
  <c r="N21" i="40" a="1"/>
  <c r="N21" i="40"/>
  <c r="O21"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E34" i="40" a="1"/>
  <c r="E34" i="40"/>
  <c r="F34" i="40" a="1"/>
  <c r="F34" i="40"/>
  <c r="G34" i="40" a="1"/>
  <c r="H34" i="40" a="1"/>
  <c r="M22" i="40"/>
  <c r="N22" i="40" a="1"/>
  <c r="N22" i="40"/>
  <c r="O22" i="40"/>
  <c r="I34" i="40" a="1"/>
  <c r="M23" i="40"/>
  <c r="N23" i="40" a="1"/>
  <c r="N23" i="40"/>
  <c r="O23" i="40"/>
  <c r="J34" i="40" a="1"/>
  <c r="M24" i="40"/>
  <c r="N24" i="40" a="1"/>
  <c r="N24" i="40"/>
  <c r="O24" i="40"/>
  <c r="K34" i="40" a="1"/>
  <c r="M25" i="40"/>
  <c r="N25" i="40" a="1"/>
  <c r="N25" i="40"/>
  <c r="O25" i="40"/>
  <c r="L34" i="40" a="1"/>
  <c r="P21" i="40"/>
  <c r="M34" i="40" a="1"/>
  <c r="N34" i="40" a="1"/>
  <c r="O34" i="40" a="1"/>
  <c r="P34" i="40" a="1"/>
  <c r="P22" i="40"/>
  <c r="Q34" i="40" a="1"/>
  <c r="P23" i="40"/>
  <c r="R34" i="40" a="1"/>
  <c r="P24" i="40"/>
  <c r="S34" i="40" a="1"/>
  <c r="P25" i="40"/>
  <c r="T34" i="40" a="1"/>
  <c r="Q21" i="40"/>
  <c r="U34" i="40" a="1"/>
  <c r="V34" i="40" a="1"/>
  <c r="W34" i="40" a="1"/>
  <c r="X34" i="40" a="1"/>
  <c r="Q22" i="40"/>
  <c r="Y34" i="40" a="1"/>
  <c r="Q23" i="40"/>
  <c r="Z34" i="40" a="1"/>
  <c r="Q24" i="40"/>
  <c r="AA34" i="40" a="1"/>
  <c r="Q25" i="40"/>
  <c r="AB34" i="40" a="1"/>
  <c r="R21" i="40"/>
  <c r="AC34" i="40" a="1"/>
  <c r="AD34" i="40" a="1"/>
  <c r="AE34" i="40" a="1"/>
  <c r="AF34" i="40" a="1"/>
  <c r="R22" i="40"/>
  <c r="AG34" i="40" a="1"/>
  <c r="R23" i="40"/>
  <c r="AH34" i="40" a="1"/>
  <c r="R24" i="40"/>
  <c r="AI34" i="40" a="1"/>
  <c r="R25" i="40"/>
  <c r="AJ34" i="40" a="1"/>
  <c r="S21" i="40"/>
  <c r="AK34" i="40" a="1"/>
  <c r="AL34" i="40" a="1"/>
  <c r="AM34" i="40" a="1"/>
  <c r="AN34" i="40" a="1"/>
  <c r="S22" i="40"/>
  <c r="AO34" i="40" a="1"/>
  <c r="S23" i="40"/>
  <c r="AP34" i="40" a="1"/>
  <c r="S24" i="40"/>
  <c r="AQ34" i="40" a="1"/>
  <c r="S25" i="40"/>
  <c r="AR34" i="40" a="1"/>
  <c r="T21" i="40"/>
  <c r="AS34" i="40" a="1"/>
  <c r="AT34" i="40" a="1"/>
  <c r="AU34" i="40" a="1"/>
  <c r="AV34" i="40" a="1"/>
  <c r="T22" i="40"/>
  <c r="AW34" i="40" a="1"/>
  <c r="T23" i="40"/>
  <c r="AX34" i="40" a="1"/>
  <c r="T24" i="40"/>
  <c r="AY34" i="40" a="1"/>
  <c r="T25" i="40"/>
  <c r="AZ34" i="40" a="1"/>
  <c r="U21" i="40"/>
  <c r="BA34" i="40" a="1"/>
  <c r="BB34" i="40" a="1"/>
  <c r="BC34" i="40" a="1"/>
  <c r="BD34" i="40" a="1"/>
  <c r="U22" i="40"/>
  <c r="BE34" i="40" a="1"/>
  <c r="U23" i="40"/>
  <c r="BF34" i="40" a="1"/>
  <c r="U24" i="40"/>
  <c r="BG34" i="40" a="1"/>
  <c r="U25" i="40"/>
  <c r="BH34" i="40" a="1"/>
  <c r="V21" i="40"/>
  <c r="BI34" i="40" a="1"/>
  <c r="BJ34" i="40" a="1"/>
  <c r="BK34" i="40" a="1"/>
  <c r="BL34" i="40" a="1"/>
  <c r="V22" i="40"/>
  <c r="BM34" i="40" a="1"/>
  <c r="V23" i="40"/>
  <c r="BN34" i="40" a="1"/>
  <c r="V24" i="40"/>
  <c r="BO34" i="40" a="1"/>
  <c r="V25" i="40"/>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E36" i="40" a="1"/>
  <c r="E36" i="40"/>
  <c r="F36" i="40" a="1"/>
  <c r="F36" i="40"/>
  <c r="G36" i="40" a="1"/>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G36" i="40"/>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E47" i="40" a="1"/>
  <c r="E47" i="40"/>
  <c r="F47" i="40" a="1"/>
  <c r="F47" i="40"/>
  <c r="G47" i="40" a="1"/>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G47" i="40"/>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E37" i="40" a="1"/>
  <c r="E37" i="40"/>
  <c r="F37" i="40" a="1"/>
  <c r="F37" i="40"/>
  <c r="G37" i="40" a="1"/>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G37" i="40"/>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E48" i="40" a="1"/>
  <c r="E48" i="40"/>
  <c r="F48" i="40" a="1"/>
  <c r="F48" i="40"/>
  <c r="G48" i="40" a="1"/>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G48" i="40"/>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E38" i="40" a="1"/>
  <c r="E38" i="40"/>
  <c r="F38" i="40" a="1"/>
  <c r="F38" i="40"/>
  <c r="G38" i="40" a="1"/>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E49" i="40" a="1"/>
  <c r="E49" i="40"/>
  <c r="F49" i="40" a="1"/>
  <c r="F49" i="40"/>
  <c r="G49" i="40" a="1"/>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G49" i="40"/>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AI12" i="39"/>
  <c r="Y17" i="40"/>
  <c r="X17" i="40"/>
  <c r="AI13" i="39"/>
  <c r="Y18" i="40"/>
  <c r="X18" i="40"/>
  <c r="AI14" i="39"/>
  <c r="Y19" i="40"/>
  <c r="X19" i="40"/>
  <c r="AI15" i="39"/>
  <c r="Y20" i="40"/>
  <c r="X20" i="40"/>
  <c r="X21" i="40"/>
  <c r="X22" i="40"/>
  <c r="X23" i="40"/>
  <c r="X24" i="40"/>
  <c r="X25" i="40"/>
  <c r="E4" i="40"/>
  <c r="D4" i="40"/>
  <c r="E5" i="40"/>
  <c r="D5" i="40"/>
  <c r="E6" i="40"/>
  <c r="D6" i="40"/>
  <c r="E7" i="40"/>
  <c r="D7" i="40"/>
  <c r="E8" i="40"/>
  <c r="D8" i="40"/>
  <c r="E9" i="40"/>
  <c r="D9" i="40"/>
  <c r="E10" i="40"/>
  <c r="D10" i="40"/>
  <c r="E11" i="40"/>
  <c r="D11" i="40"/>
  <c r="E12" i="40"/>
  <c r="D12" i="40"/>
  <c r="C4" i="40"/>
  <c r="C5" i="40"/>
  <c r="C6" i="40"/>
  <c r="AR4" i="40"/>
  <c r="AR5" i="40"/>
  <c r="AR6" i="40"/>
  <c r="C7" i="40"/>
  <c r="AR7" i="40"/>
  <c r="C8" i="40"/>
  <c r="AR8" i="40"/>
  <c r="C9" i="40"/>
  <c r="AR9" i="40"/>
  <c r="C10" i="40"/>
  <c r="AR10" i="40"/>
  <c r="C11" i="40"/>
  <c r="AR11" i="40"/>
  <c r="C12" i="40"/>
  <c r="AR12" i="40"/>
  <c r="AD15" i="39"/>
  <c r="AD14" i="39"/>
  <c r="AD13" i="39"/>
  <c r="AD44" i="39"/>
  <c r="AD36" i="39"/>
  <c r="AD28" i="39"/>
  <c r="AD20" i="39"/>
  <c r="AD12" i="39"/>
  <c r="AR5" i="37"/>
  <c r="E86" i="9"/>
  <c r="AD43" i="39"/>
  <c r="AD35" i="39"/>
  <c r="AD27" i="39"/>
  <c r="AD19" i="39"/>
  <c r="AD11" i="39"/>
  <c r="AU41" i="39"/>
  <c r="AU35" i="39"/>
  <c r="AU29" i="39"/>
  <c r="AU23" i="39"/>
  <c r="AU17" i="39"/>
  <c r="AU11" i="39"/>
  <c r="AU44" i="39"/>
  <c r="AU43" i="39"/>
  <c r="AR5" i="47"/>
  <c r="AU38" i="39"/>
  <c r="AR4" i="47"/>
  <c r="AU37" i="39"/>
  <c r="AR5" i="46"/>
  <c r="AU32" i="39"/>
  <c r="AR6" i="46"/>
  <c r="AU31" i="39"/>
  <c r="AR5" i="33"/>
  <c r="AR6" i="33"/>
  <c r="AU26" i="39"/>
  <c r="AU25" i="39"/>
  <c r="AR4" i="37"/>
  <c r="AR6" i="37"/>
  <c r="AU20" i="39"/>
  <c r="AU19" i="39"/>
  <c r="AR4" i="45"/>
  <c r="AR6" i="45"/>
  <c r="AU14" i="39"/>
  <c r="AR5" i="45"/>
  <c r="AU13" i="39"/>
  <c r="AU42" i="39"/>
  <c r="AR6" i="47"/>
  <c r="C7" i="47"/>
  <c r="AR7" i="47"/>
  <c r="C8" i="47"/>
  <c r="AR8" i="47"/>
  <c r="C9" i="47"/>
  <c r="AR9" i="47"/>
  <c r="C10" i="47"/>
  <c r="AR10" i="47"/>
  <c r="C11" i="47"/>
  <c r="AR11" i="47"/>
  <c r="C12" i="47"/>
  <c r="AR12" i="47"/>
  <c r="AU36" i="39"/>
  <c r="AR4" i="46"/>
  <c r="AU30" i="39"/>
  <c r="AR4" i="33"/>
  <c r="AU24" i="39"/>
  <c r="AU12" i="39"/>
  <c r="C7" i="37"/>
  <c r="AR7" i="37"/>
  <c r="C8" i="37"/>
  <c r="AR8" i="37"/>
  <c r="C9" i="37"/>
  <c r="AR9" i="37"/>
  <c r="C10" i="37"/>
  <c r="AR10" i="37"/>
  <c r="C11" i="37"/>
  <c r="AR11" i="37"/>
  <c r="C12" i="37"/>
  <c r="AR12" i="37"/>
  <c r="AU18" i="39"/>
  <c r="AG14" i="36"/>
  <c r="AG13" i="36"/>
  <c r="AG12" i="36"/>
  <c r="AG11" i="36"/>
  <c r="AG14" i="24"/>
  <c r="AG13" i="24"/>
  <c r="AG12" i="24"/>
  <c r="AH18" i="21"/>
  <c r="AH25" i="21"/>
  <c r="AH32" i="21"/>
  <c r="AH39" i="21"/>
  <c r="AH46" i="21"/>
  <c r="K13" i="26"/>
  <c r="X64" i="26"/>
  <c r="Y64" i="26"/>
  <c r="AG64" i="26"/>
  <c r="AH64" i="26"/>
  <c r="K17" i="26"/>
  <c r="H4" i="26"/>
  <c r="G4" i="26"/>
  <c r="I4" i="26"/>
  <c r="J17" i="26"/>
  <c r="L17" i="26"/>
  <c r="K18" i="26"/>
  <c r="H5" i="26"/>
  <c r="G5" i="26"/>
  <c r="I5" i="26"/>
  <c r="J18" i="26"/>
  <c r="L18" i="26"/>
  <c r="K19" i="26"/>
  <c r="H6" i="26"/>
  <c r="G6" i="26"/>
  <c r="I6" i="26"/>
  <c r="J19" i="26"/>
  <c r="L19" i="26"/>
  <c r="K20" i="26"/>
  <c r="Y70" i="26"/>
  <c r="Y76" i="26"/>
  <c r="X70" i="26"/>
  <c r="X76" i="26"/>
  <c r="AH70" i="26"/>
  <c r="AH76" i="26"/>
  <c r="AG70" i="26"/>
  <c r="AG76" i="26"/>
  <c r="H7" i="26"/>
  <c r="G7" i="26"/>
  <c r="I7" i="26"/>
  <c r="J20" i="26"/>
  <c r="L20" i="26"/>
  <c r="K21" i="26"/>
  <c r="H8" i="26"/>
  <c r="G8" i="26"/>
  <c r="I8" i="26"/>
  <c r="J21" i="26"/>
  <c r="L21" i="26"/>
  <c r="K22" i="26"/>
  <c r="H9" i="26"/>
  <c r="G9" i="26"/>
  <c r="I9" i="26"/>
  <c r="J22" i="26"/>
  <c r="L22" i="26"/>
  <c r="K23" i="26"/>
  <c r="H10" i="26"/>
  <c r="G10" i="26"/>
  <c r="I10" i="26"/>
  <c r="J23" i="26"/>
  <c r="L23" i="26"/>
  <c r="K24" i="26"/>
  <c r="H11" i="26"/>
  <c r="G11" i="26"/>
  <c r="I11" i="26"/>
  <c r="J24" i="26"/>
  <c r="L24" i="26"/>
  <c r="K25" i="26"/>
  <c r="H12" i="26"/>
  <c r="G12" i="26"/>
  <c r="I12" i="26"/>
  <c r="J25" i="26"/>
  <c r="L25" i="26"/>
  <c r="M17" i="26"/>
  <c r="N17" i="26" a="1"/>
  <c r="N17" i="26"/>
  <c r="O17" i="26"/>
  <c r="C17" i="26"/>
  <c r="E30" i="26" a="1"/>
  <c r="E30" i="26"/>
  <c r="F30" i="26" a="1"/>
  <c r="F30" i="26"/>
  <c r="G30" i="26" a="1"/>
  <c r="H30" i="26" a="1"/>
  <c r="I30" i="26" a="1"/>
  <c r="J30" i="26" a="1"/>
  <c r="K30" i="26" a="1"/>
  <c r="L30" i="26" a="1"/>
  <c r="P17" i="26"/>
  <c r="M30" i="26" a="1"/>
  <c r="N30" i="26" a="1"/>
  <c r="O30" i="26" a="1"/>
  <c r="P30" i="26" a="1"/>
  <c r="Q30" i="26" a="1"/>
  <c r="R30" i="26" a="1"/>
  <c r="S30" i="26" a="1"/>
  <c r="T30" i="26" a="1"/>
  <c r="Q17" i="26"/>
  <c r="U30" i="26" a="1"/>
  <c r="V30" i="26" a="1"/>
  <c r="W30" i="26" a="1"/>
  <c r="X30" i="26" a="1"/>
  <c r="Y30" i="26" a="1"/>
  <c r="Z30" i="26" a="1"/>
  <c r="AA30" i="26" a="1"/>
  <c r="AB30" i="26" a="1"/>
  <c r="R17" i="26"/>
  <c r="AC30" i="26" a="1"/>
  <c r="AD30" i="26" a="1"/>
  <c r="AE30" i="26" a="1"/>
  <c r="AF30" i="26" a="1"/>
  <c r="AG30" i="26" a="1"/>
  <c r="AH30" i="26" a="1"/>
  <c r="AI30" i="26" a="1"/>
  <c r="AJ30" i="26" a="1"/>
  <c r="S17" i="26"/>
  <c r="AK30" i="26" a="1"/>
  <c r="AL30" i="26" a="1"/>
  <c r="AM30" i="26" a="1"/>
  <c r="AN30" i="26" a="1"/>
  <c r="AO30" i="26" a="1"/>
  <c r="AP30" i="26" a="1"/>
  <c r="AQ30" i="26" a="1"/>
  <c r="AR30" i="26" a="1"/>
  <c r="T17" i="26"/>
  <c r="AS30" i="26" a="1"/>
  <c r="AT30" i="26" a="1"/>
  <c r="AU30" i="26" a="1"/>
  <c r="AV30" i="26" a="1"/>
  <c r="AW30" i="26" a="1"/>
  <c r="AX30" i="26" a="1"/>
  <c r="AY30" i="26" a="1"/>
  <c r="AZ30" i="26" a="1"/>
  <c r="U17" i="26"/>
  <c r="BA30" i="26" a="1"/>
  <c r="BB30" i="26" a="1"/>
  <c r="BC30" i="26" a="1"/>
  <c r="BD30" i="26" a="1"/>
  <c r="BE30" i="26" a="1"/>
  <c r="BF30" i="26" a="1"/>
  <c r="BG30" i="26" a="1"/>
  <c r="BH30" i="26" a="1"/>
  <c r="V17" i="26"/>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W17" i="26"/>
  <c r="M18" i="26"/>
  <c r="N18" i="26" a="1"/>
  <c r="N18" i="26"/>
  <c r="O18" i="26"/>
  <c r="C18" i="26"/>
  <c r="E31" i="26" a="1"/>
  <c r="E31" i="26"/>
  <c r="F31" i="26" a="1"/>
  <c r="F31" i="26"/>
  <c r="G31" i="26" a="1"/>
  <c r="H31" i="26" a="1"/>
  <c r="I31" i="26" a="1"/>
  <c r="J31" i="26" a="1"/>
  <c r="K31" i="26" a="1"/>
  <c r="L31" i="26" a="1"/>
  <c r="P18" i="26"/>
  <c r="M31" i="26" a="1"/>
  <c r="N31" i="26" a="1"/>
  <c r="O31" i="26" a="1"/>
  <c r="P31" i="26" a="1"/>
  <c r="Q31" i="26" a="1"/>
  <c r="R31" i="26" a="1"/>
  <c r="S31" i="26" a="1"/>
  <c r="T31" i="26" a="1"/>
  <c r="Q18" i="26"/>
  <c r="U31" i="26" a="1"/>
  <c r="V31" i="26" a="1"/>
  <c r="W31" i="26" a="1"/>
  <c r="X31" i="26" a="1"/>
  <c r="Y31" i="26" a="1"/>
  <c r="Z31" i="26" a="1"/>
  <c r="AA31" i="26" a="1"/>
  <c r="AB31" i="26" a="1"/>
  <c r="R18" i="26"/>
  <c r="AC31" i="26" a="1"/>
  <c r="AD31" i="26" a="1"/>
  <c r="AE31" i="26" a="1"/>
  <c r="AF31" i="26" a="1"/>
  <c r="AG31" i="26" a="1"/>
  <c r="AH31" i="26" a="1"/>
  <c r="AI31" i="26" a="1"/>
  <c r="AJ31" i="26" a="1"/>
  <c r="S18" i="26"/>
  <c r="AK31" i="26" a="1"/>
  <c r="AL31" i="26" a="1"/>
  <c r="AM31" i="26" a="1"/>
  <c r="AN31" i="26" a="1"/>
  <c r="AO31" i="26" a="1"/>
  <c r="AP31" i="26" a="1"/>
  <c r="AQ31" i="26" a="1"/>
  <c r="AR31" i="26" a="1"/>
  <c r="T18" i="26"/>
  <c r="AS31" i="26" a="1"/>
  <c r="AT31" i="26" a="1"/>
  <c r="AU31" i="26" a="1"/>
  <c r="AV31" i="26" a="1"/>
  <c r="AW31" i="26" a="1"/>
  <c r="AX31" i="26" a="1"/>
  <c r="AY31" i="26" a="1"/>
  <c r="AZ31" i="26" a="1"/>
  <c r="U18" i="26"/>
  <c r="BA31" i="26" a="1"/>
  <c r="BB31" i="26" a="1"/>
  <c r="BC31" i="26" a="1"/>
  <c r="BD31" i="26" a="1"/>
  <c r="BE31" i="26" a="1"/>
  <c r="BF31" i="26" a="1"/>
  <c r="BG31" i="26" a="1"/>
  <c r="BH31" i="26" a="1"/>
  <c r="V18" i="26"/>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W18" i="26"/>
  <c r="M19" i="26"/>
  <c r="N19" i="26" a="1"/>
  <c r="N19" i="26"/>
  <c r="O19" i="26"/>
  <c r="C19" i="26"/>
  <c r="E32" i="26" a="1"/>
  <c r="E32" i="26"/>
  <c r="F32" i="26" a="1"/>
  <c r="F32" i="26"/>
  <c r="G32" i="26" a="1"/>
  <c r="H32" i="26" a="1"/>
  <c r="I32" i="26" a="1"/>
  <c r="J32" i="26" a="1"/>
  <c r="K32" i="26" a="1"/>
  <c r="L32" i="26" a="1"/>
  <c r="P19" i="26"/>
  <c r="M32" i="26" a="1"/>
  <c r="N32" i="26" a="1"/>
  <c r="O32" i="26" a="1"/>
  <c r="P32" i="26" a="1"/>
  <c r="Q32" i="26" a="1"/>
  <c r="R32" i="26" a="1"/>
  <c r="S32" i="26" a="1"/>
  <c r="T32" i="26" a="1"/>
  <c r="Q19" i="26"/>
  <c r="U32" i="26" a="1"/>
  <c r="V32" i="26" a="1"/>
  <c r="W32" i="26" a="1"/>
  <c r="X32" i="26" a="1"/>
  <c r="Y32" i="26" a="1"/>
  <c r="Z32" i="26" a="1"/>
  <c r="AA32" i="26" a="1"/>
  <c r="AB32" i="26" a="1"/>
  <c r="R19" i="26"/>
  <c r="AC32" i="26" a="1"/>
  <c r="AD32" i="26" a="1"/>
  <c r="AE32" i="26" a="1"/>
  <c r="AF32" i="26" a="1"/>
  <c r="AG32" i="26" a="1"/>
  <c r="AH32" i="26" a="1"/>
  <c r="AI32" i="26" a="1"/>
  <c r="AJ32" i="26" a="1"/>
  <c r="S19" i="26"/>
  <c r="AK32" i="26" a="1"/>
  <c r="AL32" i="26" a="1"/>
  <c r="AM32" i="26" a="1"/>
  <c r="AN32" i="26" a="1"/>
  <c r="AO32" i="26" a="1"/>
  <c r="AP32" i="26" a="1"/>
  <c r="AQ32" i="26" a="1"/>
  <c r="AR32" i="26" a="1"/>
  <c r="T19" i="26"/>
  <c r="AS32" i="26" a="1"/>
  <c r="AT32" i="26" a="1"/>
  <c r="AU32" i="26" a="1"/>
  <c r="AV32" i="26" a="1"/>
  <c r="AW32" i="26" a="1"/>
  <c r="AX32" i="26" a="1"/>
  <c r="AY32" i="26" a="1"/>
  <c r="AZ32" i="26" a="1"/>
  <c r="U19" i="26"/>
  <c r="BA32" i="26" a="1"/>
  <c r="BB32" i="26" a="1"/>
  <c r="BC32" i="26" a="1"/>
  <c r="BD32" i="26" a="1"/>
  <c r="BE32" i="26" a="1"/>
  <c r="BF32" i="26" a="1"/>
  <c r="BG32" i="26" a="1"/>
  <c r="BH32" i="26" a="1"/>
  <c r="V19" i="26"/>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W19" i="26"/>
  <c r="M20" i="26"/>
  <c r="N20" i="26" a="1"/>
  <c r="N20" i="26"/>
  <c r="O20"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M21" i="26"/>
  <c r="N21" i="26" a="1"/>
  <c r="N21" i="26"/>
  <c r="O21" i="26"/>
  <c r="H33" i="26" a="1"/>
  <c r="M22" i="26"/>
  <c r="N22" i="26" a="1"/>
  <c r="N22" i="26"/>
  <c r="O22" i="26"/>
  <c r="I33" i="26" a="1"/>
  <c r="M23" i="26"/>
  <c r="N23" i="26" a="1"/>
  <c r="N23" i="26"/>
  <c r="O23" i="26"/>
  <c r="J33" i="26" a="1"/>
  <c r="M24" i="26"/>
  <c r="N24" i="26" a="1"/>
  <c r="N24" i="26"/>
  <c r="O24" i="26"/>
  <c r="K33" i="26" a="1"/>
  <c r="M25" i="26"/>
  <c r="N25" i="26" a="1"/>
  <c r="N25" i="26"/>
  <c r="O25" i="26"/>
  <c r="L33" i="26" a="1"/>
  <c r="P20" i="26"/>
  <c r="M33" i="26" a="1"/>
  <c r="N33" i="26" a="1"/>
  <c r="O33" i="26" a="1"/>
  <c r="P21" i="26"/>
  <c r="P33" i="26" a="1"/>
  <c r="P22" i="26"/>
  <c r="Q33" i="26" a="1"/>
  <c r="P23" i="26"/>
  <c r="R33" i="26" a="1"/>
  <c r="P24" i="26"/>
  <c r="S33" i="26" a="1"/>
  <c r="P25" i="26"/>
  <c r="T33" i="26" a="1"/>
  <c r="Q20" i="26"/>
  <c r="U33" i="26" a="1"/>
  <c r="V33" i="26" a="1"/>
  <c r="W33" i="26" a="1"/>
  <c r="Q21" i="26"/>
  <c r="X33" i="26" a="1"/>
  <c r="Q22" i="26"/>
  <c r="Y33" i="26" a="1"/>
  <c r="Q23" i="26"/>
  <c r="Z33" i="26" a="1"/>
  <c r="Q24" i="26"/>
  <c r="AA33" i="26" a="1"/>
  <c r="Q25" i="26"/>
  <c r="AB33" i="26" a="1"/>
  <c r="R20" i="26"/>
  <c r="AC33" i="26" a="1"/>
  <c r="AD33" i="26" a="1"/>
  <c r="AE33" i="26" a="1"/>
  <c r="R21" i="26"/>
  <c r="AF33" i="26" a="1"/>
  <c r="R22" i="26"/>
  <c r="AG33" i="26" a="1"/>
  <c r="R23" i="26"/>
  <c r="AH33" i="26" a="1"/>
  <c r="R24" i="26"/>
  <c r="AI33" i="26" a="1"/>
  <c r="R25" i="26"/>
  <c r="AJ33" i="26" a="1"/>
  <c r="S20" i="26"/>
  <c r="AK33" i="26" a="1"/>
  <c r="AL33" i="26" a="1"/>
  <c r="AM33" i="26" a="1"/>
  <c r="S21" i="26"/>
  <c r="AN33" i="26" a="1"/>
  <c r="S22" i="26"/>
  <c r="AO33" i="26" a="1"/>
  <c r="S23" i="26"/>
  <c r="AP33" i="26" a="1"/>
  <c r="S24" i="26"/>
  <c r="AQ33" i="26" a="1"/>
  <c r="S25" i="26"/>
  <c r="AR33" i="26" a="1"/>
  <c r="T20" i="26"/>
  <c r="AS33" i="26" a="1"/>
  <c r="AT33" i="26" a="1"/>
  <c r="AU33" i="26" a="1"/>
  <c r="T21" i="26"/>
  <c r="AV33" i="26" a="1"/>
  <c r="T22" i="26"/>
  <c r="AW33" i="26" a="1"/>
  <c r="T23" i="26"/>
  <c r="AX33" i="26" a="1"/>
  <c r="T24" i="26"/>
  <c r="AY33" i="26" a="1"/>
  <c r="T25" i="26"/>
  <c r="AZ33" i="26" a="1"/>
  <c r="U20" i="26"/>
  <c r="BA33" i="26" a="1"/>
  <c r="BB33" i="26" a="1"/>
  <c r="BC33" i="26" a="1"/>
  <c r="U21" i="26"/>
  <c r="BD33" i="26" a="1"/>
  <c r="U22" i="26"/>
  <c r="BE33" i="26" a="1"/>
  <c r="U23" i="26"/>
  <c r="BF33" i="26" a="1"/>
  <c r="U24" i="26"/>
  <c r="BG33" i="26" a="1"/>
  <c r="U25" i="26"/>
  <c r="BH33" i="26" a="1"/>
  <c r="V20" i="26"/>
  <c r="BI33" i="26" a="1"/>
  <c r="BJ33" i="26" a="1"/>
  <c r="BK33" i="26" a="1"/>
  <c r="V21" i="26"/>
  <c r="BL33" i="26" a="1"/>
  <c r="V22" i="26"/>
  <c r="BM33" i="26" a="1"/>
  <c r="V23" i="26"/>
  <c r="BN33" i="26" a="1"/>
  <c r="V24" i="26"/>
  <c r="BO33" i="26" a="1"/>
  <c r="V25" i="26"/>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W22" i="26"/>
  <c r="E36" i="26" a="1"/>
  <c r="E36" i="26"/>
  <c r="F36" i="26" a="1"/>
  <c r="F36" i="26"/>
  <c r="G36" i="26" a="1"/>
  <c r="H36" i="26" a="1"/>
  <c r="I36" i="26" a="1"/>
  <c r="J36" i="26" a="1"/>
  <c r="K36" i="26" a="1"/>
  <c r="L36" i="26" a="1"/>
  <c r="M36" i="26" a="1"/>
  <c r="N36" i="26" a="1"/>
  <c r="O36" i="26" a="1"/>
  <c r="P36" i="26" a="1"/>
  <c r="Q36" i="26" a="1"/>
  <c r="R36" i="26" a="1"/>
  <c r="S36" i="26" a="1"/>
  <c r="T36" i="26" a="1"/>
  <c r="U36" i="26" a="1"/>
  <c r="V36" i="26" a="1"/>
  <c r="W36" i="26" a="1"/>
  <c r="X36" i="26" a="1"/>
  <c r="Y36" i="26" a="1"/>
  <c r="Z36" i="26" a="1"/>
  <c r="AA36" i="26" a="1"/>
  <c r="AB36" i="26" a="1"/>
  <c r="AC36" i="26" a="1"/>
  <c r="AD36" i="26" a="1"/>
  <c r="AE36" i="26" a="1"/>
  <c r="AF36" i="26" a="1"/>
  <c r="AG36" i="26" a="1"/>
  <c r="AH36" i="26" a="1"/>
  <c r="AI36" i="26" a="1"/>
  <c r="AJ36" i="26" a="1"/>
  <c r="AK36" i="26" a="1"/>
  <c r="AL36" i="26" a="1"/>
  <c r="AM36" i="26" a="1"/>
  <c r="AN36" i="26" a="1"/>
  <c r="AO36" i="26" a="1"/>
  <c r="AP36" i="26" a="1"/>
  <c r="AQ36" i="26" a="1"/>
  <c r="AR36" i="26" a="1"/>
  <c r="AS36" i="26" a="1"/>
  <c r="AT36" i="26" a="1"/>
  <c r="AU36" i="26" a="1"/>
  <c r="AV36" i="26" a="1"/>
  <c r="AW36" i="26" a="1"/>
  <c r="AX36" i="26" a="1"/>
  <c r="AY36" i="26" a="1"/>
  <c r="AZ36" i="26" a="1"/>
  <c r="BA36" i="26" a="1"/>
  <c r="BB36" i="26" a="1"/>
  <c r="BC36" i="26" a="1"/>
  <c r="BD36" i="26" a="1"/>
  <c r="BE36" i="26" a="1"/>
  <c r="BF36" i="26" a="1"/>
  <c r="BG36" i="26" a="1"/>
  <c r="BH36" i="26" a="1"/>
  <c r="BI36" i="26" a="1"/>
  <c r="BJ36" i="26" a="1"/>
  <c r="BK36" i="26" a="1"/>
  <c r="BL36" i="26" a="1"/>
  <c r="BM36" i="26" a="1"/>
  <c r="BN36" i="26" a="1"/>
  <c r="BO36" i="26" a="1"/>
  <c r="BP36" i="26" a="1"/>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BO36" i="26"/>
  <c r="BP36" i="26"/>
  <c r="AA23" i="26"/>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W23" i="26"/>
  <c r="E37" i="26" a="1"/>
  <c r="E37" i="26"/>
  <c r="F37" i="26" a="1"/>
  <c r="F37" i="26"/>
  <c r="G37" i="26" a="1"/>
  <c r="H37" i="26" a="1"/>
  <c r="I37" i="26" a="1"/>
  <c r="J37" i="26" a="1"/>
  <c r="K37" i="26" a="1"/>
  <c r="L37" i="26" a="1"/>
  <c r="M37" i="26" a="1"/>
  <c r="N37" i="26" a="1"/>
  <c r="O37" i="26" a="1"/>
  <c r="P37" i="26" a="1"/>
  <c r="Q37" i="26" a="1"/>
  <c r="R37" i="26" a="1"/>
  <c r="S37" i="26" a="1"/>
  <c r="T37" i="26" a="1"/>
  <c r="U37" i="26" a="1"/>
  <c r="V37" i="26" a="1"/>
  <c r="W37" i="26" a="1"/>
  <c r="X37" i="26" a="1"/>
  <c r="Y37" i="26" a="1"/>
  <c r="Z37" i="26" a="1"/>
  <c r="AA37" i="26" a="1"/>
  <c r="AB37" i="26" a="1"/>
  <c r="AC37" i="26" a="1"/>
  <c r="AD37" i="26" a="1"/>
  <c r="AE37" i="26" a="1"/>
  <c r="AF37" i="26" a="1"/>
  <c r="AG37" i="26" a="1"/>
  <c r="AH37" i="26" a="1"/>
  <c r="AI37" i="26" a="1"/>
  <c r="AJ37" i="26" a="1"/>
  <c r="AK37" i="26" a="1"/>
  <c r="AL37" i="26" a="1"/>
  <c r="AM37" i="26" a="1"/>
  <c r="AN37" i="26" a="1"/>
  <c r="AO37" i="26" a="1"/>
  <c r="AP37" i="26" a="1"/>
  <c r="AQ37" i="26" a="1"/>
  <c r="AR37" i="26" a="1"/>
  <c r="AS37" i="26" a="1"/>
  <c r="AT37" i="26" a="1"/>
  <c r="AU37" i="26" a="1"/>
  <c r="AV37" i="26" a="1"/>
  <c r="AW37" i="26" a="1"/>
  <c r="AX37" i="26" a="1"/>
  <c r="AY37" i="26" a="1"/>
  <c r="AZ37" i="26" a="1"/>
  <c r="BA37" i="26" a="1"/>
  <c r="BB37" i="26" a="1"/>
  <c r="BC37" i="26" a="1"/>
  <c r="BD37" i="26" a="1"/>
  <c r="BE37" i="26" a="1"/>
  <c r="BF37" i="26" a="1"/>
  <c r="BG37" i="26" a="1"/>
  <c r="BH37" i="26" a="1"/>
  <c r="BI37" i="26" a="1"/>
  <c r="BJ37" i="26" a="1"/>
  <c r="BK37" i="26" a="1"/>
  <c r="BL37" i="26" a="1"/>
  <c r="BM37" i="26" a="1"/>
  <c r="BN37" i="26" a="1"/>
  <c r="BO37" i="26" a="1"/>
  <c r="BP37" i="26" a="1"/>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BE37" i="26"/>
  <c r="BF37" i="26"/>
  <c r="BG37" i="26"/>
  <c r="BH37" i="26"/>
  <c r="BI37" i="26"/>
  <c r="BJ37" i="26"/>
  <c r="BK37" i="26"/>
  <c r="BL37" i="26"/>
  <c r="BM37" i="26"/>
  <c r="BN37" i="26"/>
  <c r="BO37" i="26"/>
  <c r="BP37" i="26"/>
  <c r="AA24"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W24" i="26"/>
  <c r="E38" i="26" a="1"/>
  <c r="E38" i="26"/>
  <c r="F38" i="26" a="1"/>
  <c r="F38" i="26"/>
  <c r="G38" i="26" a="1"/>
  <c r="H38" i="26" a="1"/>
  <c r="I38" i="26" a="1"/>
  <c r="J38" i="26" a="1"/>
  <c r="K38" i="26" a="1"/>
  <c r="L38" i="26" a="1"/>
  <c r="M38" i="26" a="1"/>
  <c r="N38" i="26" a="1"/>
  <c r="O38" i="26" a="1"/>
  <c r="P38" i="26" a="1"/>
  <c r="Q38" i="26" a="1"/>
  <c r="R38" i="26" a="1"/>
  <c r="S38" i="26" a="1"/>
  <c r="T38" i="26" a="1"/>
  <c r="U38" i="26" a="1"/>
  <c r="V38" i="26" a="1"/>
  <c r="W38" i="26" a="1"/>
  <c r="X38" i="26" a="1"/>
  <c r="Y38" i="26" a="1"/>
  <c r="Z38" i="26" a="1"/>
  <c r="AA38" i="26" a="1"/>
  <c r="AB38" i="26" a="1"/>
  <c r="AC38" i="26" a="1"/>
  <c r="AD38" i="26" a="1"/>
  <c r="AE38" i="26" a="1"/>
  <c r="AF38" i="26" a="1"/>
  <c r="AG38" i="26" a="1"/>
  <c r="AH38" i="26" a="1"/>
  <c r="AI38" i="26" a="1"/>
  <c r="AJ38" i="26" a="1"/>
  <c r="AK38" i="26" a="1"/>
  <c r="AL38" i="26" a="1"/>
  <c r="AM38" i="26" a="1"/>
  <c r="AN38" i="26" a="1"/>
  <c r="AO38" i="26" a="1"/>
  <c r="AP38" i="26" a="1"/>
  <c r="AQ38" i="26" a="1"/>
  <c r="AR38" i="26" a="1"/>
  <c r="AS38" i="26" a="1"/>
  <c r="AT38" i="26" a="1"/>
  <c r="AU38" i="26" a="1"/>
  <c r="AV38" i="26" a="1"/>
  <c r="AW38" i="26" a="1"/>
  <c r="AX38" i="26" a="1"/>
  <c r="AY38" i="26" a="1"/>
  <c r="AZ38" i="26" a="1"/>
  <c r="BA38" i="26" a="1"/>
  <c r="BB38" i="26" a="1"/>
  <c r="BC38" i="26" a="1"/>
  <c r="BD38" i="26" a="1"/>
  <c r="BE38" i="26" a="1"/>
  <c r="BF38" i="26" a="1"/>
  <c r="BG38" i="26" a="1"/>
  <c r="BH38" i="26" a="1"/>
  <c r="BI38" i="26" a="1"/>
  <c r="BJ38" i="26" a="1"/>
  <c r="BK38" i="26" a="1"/>
  <c r="BL38" i="26" a="1"/>
  <c r="BM38" i="26" a="1"/>
  <c r="BN38" i="26" a="1"/>
  <c r="BO38" i="26" a="1"/>
  <c r="BP38" i="26" a="1"/>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BE38" i="26"/>
  <c r="BF38" i="26"/>
  <c r="BG38" i="26"/>
  <c r="BH38" i="26"/>
  <c r="BI38" i="26"/>
  <c r="BJ38" i="26"/>
  <c r="BK38" i="26"/>
  <c r="BL38" i="26"/>
  <c r="BM38" i="26"/>
  <c r="BN38" i="26"/>
  <c r="BO38" i="26"/>
  <c r="BP38" i="26"/>
  <c r="AA25"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W25" i="26"/>
  <c r="I25" i="49"/>
  <c r="K25" i="49"/>
  <c r="AC25" i="49"/>
  <c r="AD25" i="49"/>
  <c r="U25" i="49"/>
  <c r="I26" i="49"/>
  <c r="K26" i="49"/>
  <c r="AC26" i="49"/>
  <c r="AD26" i="49"/>
  <c r="U26" i="49"/>
  <c r="I27" i="49"/>
  <c r="K27" i="49"/>
  <c r="AC27" i="49"/>
  <c r="AD27" i="49"/>
  <c r="U27" i="49"/>
  <c r="I28" i="49"/>
  <c r="K28" i="49"/>
  <c r="AC28" i="49"/>
  <c r="AD28" i="49"/>
  <c r="U28" i="49"/>
  <c r="I29" i="49"/>
  <c r="K29" i="49"/>
  <c r="AC29" i="49"/>
  <c r="AD29" i="49"/>
  <c r="U29" i="49"/>
  <c r="I30" i="49"/>
  <c r="K30" i="49"/>
  <c r="AC30" i="49"/>
  <c r="AD30" i="49"/>
  <c r="U30" i="49"/>
  <c r="AJ12" i="21"/>
  <c r="Y17" i="26"/>
  <c r="X17" i="26"/>
  <c r="AJ13" i="21"/>
  <c r="Y18" i="26"/>
  <c r="X18" i="26"/>
  <c r="AJ14" i="21"/>
  <c r="Y19" i="26"/>
  <c r="X19" i="26"/>
  <c r="X20" i="26"/>
  <c r="X21" i="26"/>
  <c r="X22" i="26"/>
  <c r="X23" i="26"/>
  <c r="X24" i="26"/>
  <c r="X25" i="26"/>
  <c r="E4" i="26"/>
  <c r="D4" i="26"/>
  <c r="E5" i="26"/>
  <c r="D5" i="26"/>
  <c r="E6" i="26"/>
  <c r="D6" i="26"/>
  <c r="E7" i="26"/>
  <c r="D7" i="26"/>
  <c r="E8" i="26"/>
  <c r="D8" i="26"/>
  <c r="E9" i="26"/>
  <c r="D9" i="26"/>
  <c r="E10" i="26"/>
  <c r="D10" i="26"/>
  <c r="E11" i="26"/>
  <c r="D11" i="26"/>
  <c r="E12" i="26"/>
  <c r="D12" i="26"/>
  <c r="C4" i="26"/>
  <c r="AR4" i="26"/>
  <c r="AG11" i="24"/>
  <c r="K4" i="31"/>
  <c r="K5" i="31"/>
  <c r="K6" i="31"/>
  <c r="K7" i="31"/>
  <c r="K8" i="31"/>
  <c r="K9" i="31"/>
  <c r="K10" i="31"/>
  <c r="K11" i="31"/>
  <c r="K12" i="31"/>
  <c r="K13" i="31"/>
  <c r="AD49" i="21"/>
  <c r="AD48" i="21"/>
  <c r="K4" i="30"/>
  <c r="K5" i="30"/>
  <c r="K6" i="30"/>
  <c r="K7" i="30"/>
  <c r="K8" i="30"/>
  <c r="K9" i="30"/>
  <c r="K10" i="30"/>
  <c r="K11" i="30"/>
  <c r="K12" i="30"/>
  <c r="K13" i="30"/>
  <c r="M4" i="30"/>
  <c r="N4" i="30"/>
  <c r="L4" i="30"/>
  <c r="K17" i="30"/>
  <c r="H4" i="30"/>
  <c r="G4" i="30"/>
  <c r="I4" i="30"/>
  <c r="J17" i="30"/>
  <c r="L17" i="30"/>
  <c r="M5" i="30"/>
  <c r="N5" i="30"/>
  <c r="L5" i="30"/>
  <c r="K18" i="30"/>
  <c r="H5" i="30"/>
  <c r="G5" i="30"/>
  <c r="I5" i="30"/>
  <c r="J18" i="30"/>
  <c r="L18" i="30"/>
  <c r="M6" i="30"/>
  <c r="N6" i="30"/>
  <c r="L6" i="30"/>
  <c r="K19" i="30"/>
  <c r="H6" i="30"/>
  <c r="G6" i="30"/>
  <c r="I6" i="30"/>
  <c r="J19" i="30"/>
  <c r="L19" i="30"/>
  <c r="M7" i="30"/>
  <c r="N7" i="30"/>
  <c r="L7" i="30"/>
  <c r="K20" i="30"/>
  <c r="Y64" i="30"/>
  <c r="Y70" i="30"/>
  <c r="Y76" i="30"/>
  <c r="X64" i="30"/>
  <c r="X70" i="30"/>
  <c r="X76" i="30"/>
  <c r="AH64" i="30"/>
  <c r="AH70" i="30"/>
  <c r="AH76" i="30"/>
  <c r="AG64" i="30"/>
  <c r="AG70" i="30"/>
  <c r="AG76" i="30"/>
  <c r="H7" i="30"/>
  <c r="G7" i="30"/>
  <c r="I7" i="30"/>
  <c r="J20" i="30"/>
  <c r="L20" i="30"/>
  <c r="M8" i="30"/>
  <c r="N8" i="30"/>
  <c r="L8" i="30"/>
  <c r="K21" i="30"/>
  <c r="H8" i="30"/>
  <c r="G8" i="30"/>
  <c r="I8" i="30"/>
  <c r="J21" i="30"/>
  <c r="L21" i="30"/>
  <c r="M9" i="30"/>
  <c r="N9" i="30"/>
  <c r="L9" i="30"/>
  <c r="K22" i="30"/>
  <c r="H9" i="30"/>
  <c r="G9" i="30"/>
  <c r="I9" i="30"/>
  <c r="J22" i="30"/>
  <c r="L22" i="30"/>
  <c r="M10" i="30"/>
  <c r="N10" i="30"/>
  <c r="L10" i="30"/>
  <c r="K23" i="30"/>
  <c r="H10" i="30"/>
  <c r="G10" i="30"/>
  <c r="I10" i="30"/>
  <c r="J23" i="30"/>
  <c r="L23" i="30"/>
  <c r="M11" i="30"/>
  <c r="N11" i="30"/>
  <c r="L11" i="30"/>
  <c r="K24" i="30"/>
  <c r="H11" i="30"/>
  <c r="G11" i="30"/>
  <c r="I11" i="30"/>
  <c r="J24" i="30"/>
  <c r="L24" i="30"/>
  <c r="M12" i="30"/>
  <c r="N12" i="30"/>
  <c r="L12" i="30"/>
  <c r="K25" i="30"/>
  <c r="H12" i="30"/>
  <c r="G12" i="30"/>
  <c r="I12" i="30"/>
  <c r="J25" i="30"/>
  <c r="L25" i="30"/>
  <c r="M17" i="30"/>
  <c r="N17" i="30" a="1"/>
  <c r="N17" i="30"/>
  <c r="O17" i="30"/>
  <c r="C17" i="30"/>
  <c r="E30" i="30" a="1"/>
  <c r="E30" i="30"/>
  <c r="F30" i="30" a="1"/>
  <c r="F30" i="30"/>
  <c r="G30" i="30" a="1"/>
  <c r="H30" i="30" a="1"/>
  <c r="I30" i="30" a="1"/>
  <c r="J30" i="30" a="1"/>
  <c r="K30" i="30" a="1"/>
  <c r="L30" i="30" a="1"/>
  <c r="P17" i="30"/>
  <c r="M30" i="30" a="1"/>
  <c r="N30" i="30" a="1"/>
  <c r="O30" i="30" a="1"/>
  <c r="P30" i="30" a="1"/>
  <c r="Q30" i="30" a="1"/>
  <c r="R30" i="30" a="1"/>
  <c r="S30" i="30" a="1"/>
  <c r="T30" i="30" a="1"/>
  <c r="Q17" i="30"/>
  <c r="U30" i="30" a="1"/>
  <c r="V30" i="30" a="1"/>
  <c r="W30" i="30" a="1"/>
  <c r="X30" i="30" a="1"/>
  <c r="Y30" i="30" a="1"/>
  <c r="Z30" i="30" a="1"/>
  <c r="AA30" i="30" a="1"/>
  <c r="AB30" i="30" a="1"/>
  <c r="R17" i="30"/>
  <c r="AC30" i="30" a="1"/>
  <c r="AD30" i="30" a="1"/>
  <c r="AE30" i="30" a="1"/>
  <c r="AF30" i="30" a="1"/>
  <c r="AG30" i="30" a="1"/>
  <c r="AH30" i="30" a="1"/>
  <c r="AI30" i="30" a="1"/>
  <c r="AJ30" i="30" a="1"/>
  <c r="S17" i="30"/>
  <c r="AK30" i="30" a="1"/>
  <c r="AL30" i="30" a="1"/>
  <c r="AM30" i="30" a="1"/>
  <c r="AN30" i="30" a="1"/>
  <c r="AO30" i="30" a="1"/>
  <c r="AP30" i="30" a="1"/>
  <c r="AQ30" i="30" a="1"/>
  <c r="AR30" i="30" a="1"/>
  <c r="T17" i="30"/>
  <c r="AS30" i="30" a="1"/>
  <c r="AT30" i="30" a="1"/>
  <c r="AU30" i="30" a="1"/>
  <c r="AV30" i="30" a="1"/>
  <c r="AW30" i="30" a="1"/>
  <c r="AX30" i="30" a="1"/>
  <c r="AY30" i="30" a="1"/>
  <c r="AZ30" i="30" a="1"/>
  <c r="U17" i="30"/>
  <c r="BA30" i="30" a="1"/>
  <c r="BB30" i="30" a="1"/>
  <c r="BC30" i="30" a="1"/>
  <c r="BD30" i="30" a="1"/>
  <c r="BE30" i="30" a="1"/>
  <c r="BF30" i="30" a="1"/>
  <c r="BG30" i="30" a="1"/>
  <c r="BH30" i="30" a="1"/>
  <c r="V17" i="30"/>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W17" i="30"/>
  <c r="M18" i="30"/>
  <c r="N18" i="30" a="1"/>
  <c r="N18" i="30"/>
  <c r="O18" i="30"/>
  <c r="C18" i="30"/>
  <c r="E31" i="30" a="1"/>
  <c r="E31" i="30"/>
  <c r="F31" i="30" a="1"/>
  <c r="F31" i="30"/>
  <c r="G31" i="30" a="1"/>
  <c r="H31" i="30" a="1"/>
  <c r="I31" i="30" a="1"/>
  <c r="J31" i="30" a="1"/>
  <c r="K31" i="30" a="1"/>
  <c r="L31" i="30" a="1"/>
  <c r="P18" i="30"/>
  <c r="M31" i="30" a="1"/>
  <c r="N31" i="30" a="1"/>
  <c r="O31" i="30" a="1"/>
  <c r="P31" i="30" a="1"/>
  <c r="Q31" i="30" a="1"/>
  <c r="R31" i="30" a="1"/>
  <c r="S31" i="30" a="1"/>
  <c r="T31" i="30" a="1"/>
  <c r="Q18" i="30"/>
  <c r="U31" i="30" a="1"/>
  <c r="V31" i="30" a="1"/>
  <c r="W31" i="30" a="1"/>
  <c r="X31" i="30" a="1"/>
  <c r="Y31" i="30" a="1"/>
  <c r="Z31" i="30" a="1"/>
  <c r="AA31" i="30" a="1"/>
  <c r="AB31" i="30" a="1"/>
  <c r="R18" i="30"/>
  <c r="AC31" i="30" a="1"/>
  <c r="AD31" i="30" a="1"/>
  <c r="AE31" i="30" a="1"/>
  <c r="AF31" i="30" a="1"/>
  <c r="AG31" i="30" a="1"/>
  <c r="AH31" i="30" a="1"/>
  <c r="AI31" i="30" a="1"/>
  <c r="AJ31" i="30" a="1"/>
  <c r="S18" i="30"/>
  <c r="AK31" i="30" a="1"/>
  <c r="AL31" i="30" a="1"/>
  <c r="AM31" i="30" a="1"/>
  <c r="AN31" i="30" a="1"/>
  <c r="AO31" i="30" a="1"/>
  <c r="AP31" i="30" a="1"/>
  <c r="AQ31" i="30" a="1"/>
  <c r="AR31" i="30" a="1"/>
  <c r="T18" i="30"/>
  <c r="AS31" i="30" a="1"/>
  <c r="AT31" i="30" a="1"/>
  <c r="AU31" i="30" a="1"/>
  <c r="AV31" i="30" a="1"/>
  <c r="AW31" i="30" a="1"/>
  <c r="AX31" i="30" a="1"/>
  <c r="AY31" i="30" a="1"/>
  <c r="AZ31" i="30" a="1"/>
  <c r="U18" i="30"/>
  <c r="BA31" i="30" a="1"/>
  <c r="BB31" i="30" a="1"/>
  <c r="BC31" i="30" a="1"/>
  <c r="BD31" i="30" a="1"/>
  <c r="BE31" i="30" a="1"/>
  <c r="BF31" i="30" a="1"/>
  <c r="BG31" i="30" a="1"/>
  <c r="BH31" i="30" a="1"/>
  <c r="V18" i="30"/>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W18" i="30"/>
  <c r="M19" i="30"/>
  <c r="N19" i="30" a="1"/>
  <c r="N19" i="30"/>
  <c r="O19" i="30"/>
  <c r="C19" i="30"/>
  <c r="E32" i="30" a="1"/>
  <c r="E32" i="30"/>
  <c r="F32" i="30" a="1"/>
  <c r="F32" i="30"/>
  <c r="G32" i="30" a="1"/>
  <c r="H32" i="30" a="1"/>
  <c r="I32" i="30" a="1"/>
  <c r="J32" i="30" a="1"/>
  <c r="K32" i="30" a="1"/>
  <c r="L32" i="30" a="1"/>
  <c r="P19" i="30"/>
  <c r="M32" i="30" a="1"/>
  <c r="N32" i="30" a="1"/>
  <c r="O32" i="30" a="1"/>
  <c r="P32" i="30" a="1"/>
  <c r="Q32" i="30" a="1"/>
  <c r="R32" i="30" a="1"/>
  <c r="S32" i="30" a="1"/>
  <c r="T32" i="30" a="1"/>
  <c r="Q19" i="30"/>
  <c r="U32" i="30" a="1"/>
  <c r="V32" i="30" a="1"/>
  <c r="W32" i="30" a="1"/>
  <c r="X32" i="30" a="1"/>
  <c r="Y32" i="30" a="1"/>
  <c r="Z32" i="30" a="1"/>
  <c r="AA32" i="30" a="1"/>
  <c r="AB32" i="30" a="1"/>
  <c r="R19" i="30"/>
  <c r="AC32" i="30" a="1"/>
  <c r="AD32" i="30" a="1"/>
  <c r="AE32" i="30" a="1"/>
  <c r="AF32" i="30" a="1"/>
  <c r="AG32" i="30" a="1"/>
  <c r="AH32" i="30" a="1"/>
  <c r="AI32" i="30" a="1"/>
  <c r="AJ32" i="30" a="1"/>
  <c r="S19" i="30"/>
  <c r="AK32" i="30" a="1"/>
  <c r="AL32" i="30" a="1"/>
  <c r="AM32" i="30" a="1"/>
  <c r="AN32" i="30" a="1"/>
  <c r="AO32" i="30" a="1"/>
  <c r="AP32" i="30" a="1"/>
  <c r="AQ32" i="30" a="1"/>
  <c r="AR32" i="30" a="1"/>
  <c r="T19" i="30"/>
  <c r="AS32" i="30" a="1"/>
  <c r="AT32" i="30" a="1"/>
  <c r="AU32" i="30" a="1"/>
  <c r="AV32" i="30" a="1"/>
  <c r="AW32" i="30" a="1"/>
  <c r="AX32" i="30" a="1"/>
  <c r="AY32" i="30" a="1"/>
  <c r="AZ32" i="30" a="1"/>
  <c r="U19" i="30"/>
  <c r="BA32" i="30" a="1"/>
  <c r="BB32" i="30" a="1"/>
  <c r="BC32" i="30" a="1"/>
  <c r="BD32" i="30" a="1"/>
  <c r="BE32" i="30" a="1"/>
  <c r="BF32" i="30" a="1"/>
  <c r="BG32" i="30" a="1"/>
  <c r="BH32" i="30" a="1"/>
  <c r="V19" i="30"/>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W19" i="30"/>
  <c r="M20" i="30"/>
  <c r="N20" i="30" a="1"/>
  <c r="N20" i="30"/>
  <c r="O20"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3" i="30" a="1"/>
  <c r="E33" i="30"/>
  <c r="F33" i="30" a="1"/>
  <c r="F33" i="30"/>
  <c r="G33" i="30" a="1"/>
  <c r="M21" i="30"/>
  <c r="N21" i="30" a="1"/>
  <c r="N21" i="30"/>
  <c r="O21" i="30"/>
  <c r="H33" i="30" a="1"/>
  <c r="M22" i="30"/>
  <c r="N22" i="30" a="1"/>
  <c r="N22" i="30"/>
  <c r="O22" i="30"/>
  <c r="I33" i="30" a="1"/>
  <c r="M23" i="30"/>
  <c r="N23" i="30" a="1"/>
  <c r="N23" i="30"/>
  <c r="O23" i="30"/>
  <c r="J33" i="30" a="1"/>
  <c r="M24" i="30"/>
  <c r="N24" i="30" a="1"/>
  <c r="N24" i="30"/>
  <c r="O24" i="30"/>
  <c r="K33" i="30" a="1"/>
  <c r="M25" i="30"/>
  <c r="N25" i="30" a="1"/>
  <c r="N25" i="30"/>
  <c r="O25" i="30"/>
  <c r="L33" i="30" a="1"/>
  <c r="P20" i="30"/>
  <c r="M33" i="30" a="1"/>
  <c r="N33" i="30" a="1"/>
  <c r="O33" i="30" a="1"/>
  <c r="P21" i="30"/>
  <c r="P33" i="30" a="1"/>
  <c r="P22" i="30"/>
  <c r="Q33" i="30" a="1"/>
  <c r="P23" i="30"/>
  <c r="R33" i="30" a="1"/>
  <c r="P24" i="30"/>
  <c r="S33" i="30" a="1"/>
  <c r="P25" i="30"/>
  <c r="T33" i="30" a="1"/>
  <c r="Q20" i="30"/>
  <c r="U33" i="30" a="1"/>
  <c r="V33" i="30" a="1"/>
  <c r="W33" i="30" a="1"/>
  <c r="Q21" i="30"/>
  <c r="X33" i="30" a="1"/>
  <c r="Q22" i="30"/>
  <c r="Y33" i="30" a="1"/>
  <c r="Q23" i="30"/>
  <c r="Z33" i="30" a="1"/>
  <c r="Q24" i="30"/>
  <c r="AA33" i="30" a="1"/>
  <c r="Q25" i="30"/>
  <c r="AB33" i="30" a="1"/>
  <c r="R20" i="30"/>
  <c r="AC33" i="30" a="1"/>
  <c r="AD33" i="30" a="1"/>
  <c r="AE33" i="30" a="1"/>
  <c r="R21" i="30"/>
  <c r="AF33" i="30" a="1"/>
  <c r="R22" i="30"/>
  <c r="AG33" i="30" a="1"/>
  <c r="R23" i="30"/>
  <c r="AH33" i="30" a="1"/>
  <c r="R24" i="30"/>
  <c r="AI33" i="30" a="1"/>
  <c r="R25" i="30"/>
  <c r="AJ33" i="30" a="1"/>
  <c r="S20" i="30"/>
  <c r="AK33" i="30" a="1"/>
  <c r="AL33" i="30" a="1"/>
  <c r="AM33" i="30" a="1"/>
  <c r="S21" i="30"/>
  <c r="AN33" i="30" a="1"/>
  <c r="S22" i="30"/>
  <c r="AO33" i="30" a="1"/>
  <c r="S23" i="30"/>
  <c r="AP33" i="30" a="1"/>
  <c r="S24" i="30"/>
  <c r="AQ33" i="30" a="1"/>
  <c r="S25" i="30"/>
  <c r="AR33" i="30" a="1"/>
  <c r="T20" i="30"/>
  <c r="AS33" i="30" a="1"/>
  <c r="AT33" i="30" a="1"/>
  <c r="AU33" i="30" a="1"/>
  <c r="T21" i="30"/>
  <c r="AV33" i="30" a="1"/>
  <c r="T22" i="30"/>
  <c r="AW33" i="30" a="1"/>
  <c r="T23" i="30"/>
  <c r="AX33" i="30" a="1"/>
  <c r="T24" i="30"/>
  <c r="AY33" i="30" a="1"/>
  <c r="T25" i="30"/>
  <c r="AZ33" i="30" a="1"/>
  <c r="U20" i="30"/>
  <c r="BA33" i="30" a="1"/>
  <c r="BB33" i="30" a="1"/>
  <c r="BC33" i="30" a="1"/>
  <c r="U21" i="30"/>
  <c r="BD33" i="30" a="1"/>
  <c r="U22" i="30"/>
  <c r="BE33" i="30" a="1"/>
  <c r="U23" i="30"/>
  <c r="BF33" i="30" a="1"/>
  <c r="U24" i="30"/>
  <c r="BG33" i="30" a="1"/>
  <c r="U25" i="30"/>
  <c r="BH33" i="30" a="1"/>
  <c r="V20" i="30"/>
  <c r="BI33" i="30" a="1"/>
  <c r="BJ33" i="30" a="1"/>
  <c r="BK33" i="30" a="1"/>
  <c r="V21" i="30"/>
  <c r="BL33" i="30" a="1"/>
  <c r="V22" i="30"/>
  <c r="BM33" i="30" a="1"/>
  <c r="V23" i="30"/>
  <c r="BN33" i="30" a="1"/>
  <c r="V24" i="30"/>
  <c r="BO33" i="30" a="1"/>
  <c r="V25" i="30"/>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W22" i="30"/>
  <c r="E36" i="30" a="1"/>
  <c r="E36" i="30"/>
  <c r="F36" i="30" a="1"/>
  <c r="F36" i="30"/>
  <c r="G36" i="30" a="1"/>
  <c r="H36" i="30" a="1"/>
  <c r="I36" i="30" a="1"/>
  <c r="J36" i="30" a="1"/>
  <c r="K36" i="30" a="1"/>
  <c r="L36" i="30" a="1"/>
  <c r="M36" i="30" a="1"/>
  <c r="N36" i="30" a="1"/>
  <c r="O36" i="30" a="1"/>
  <c r="P36" i="30" a="1"/>
  <c r="Q36" i="30" a="1"/>
  <c r="R36" i="30" a="1"/>
  <c r="S36" i="30" a="1"/>
  <c r="T36" i="30" a="1"/>
  <c r="U36" i="30" a="1"/>
  <c r="V36" i="30" a="1"/>
  <c r="W36" i="30" a="1"/>
  <c r="X36" i="30" a="1"/>
  <c r="Y36" i="30" a="1"/>
  <c r="Z36" i="30" a="1"/>
  <c r="AA36" i="30" a="1"/>
  <c r="AB36" i="30" a="1"/>
  <c r="AC36" i="30" a="1"/>
  <c r="AD36" i="30" a="1"/>
  <c r="AE36" i="30" a="1"/>
  <c r="AF36" i="30" a="1"/>
  <c r="AG36" i="30" a="1"/>
  <c r="AH36" i="30" a="1"/>
  <c r="AI36" i="30" a="1"/>
  <c r="AJ36" i="30" a="1"/>
  <c r="AK36" i="30" a="1"/>
  <c r="AL36" i="30" a="1"/>
  <c r="AM36" i="30" a="1"/>
  <c r="AN36" i="30" a="1"/>
  <c r="AO36" i="30" a="1"/>
  <c r="AP36" i="30" a="1"/>
  <c r="AQ36" i="30" a="1"/>
  <c r="AR36" i="30" a="1"/>
  <c r="AS36" i="30" a="1"/>
  <c r="AT36" i="30" a="1"/>
  <c r="AU36" i="30" a="1"/>
  <c r="AV36" i="30" a="1"/>
  <c r="AW36" i="30" a="1"/>
  <c r="AX36" i="30" a="1"/>
  <c r="AY36" i="30" a="1"/>
  <c r="AZ36" i="30" a="1"/>
  <c r="BA36" i="30" a="1"/>
  <c r="BB36" i="30" a="1"/>
  <c r="BC36" i="30" a="1"/>
  <c r="BD36" i="30" a="1"/>
  <c r="BE36" i="30" a="1"/>
  <c r="BF36" i="30" a="1"/>
  <c r="BG36" i="30" a="1"/>
  <c r="BH36" i="30" a="1"/>
  <c r="BI36" i="30" a="1"/>
  <c r="BJ36" i="30" a="1"/>
  <c r="BK36" i="30" a="1"/>
  <c r="BL36" i="30" a="1"/>
  <c r="BM36" i="30" a="1"/>
  <c r="BN36" i="30" a="1"/>
  <c r="BO36" i="30" a="1"/>
  <c r="BP36" i="30" a="1"/>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AA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W23" i="30"/>
  <c r="E37" i="30" a="1"/>
  <c r="E37" i="30"/>
  <c r="F37" i="30" a="1"/>
  <c r="F37" i="30"/>
  <c r="G37" i="30" a="1"/>
  <c r="H37" i="30" a="1"/>
  <c r="I37" i="30" a="1"/>
  <c r="J37" i="30" a="1"/>
  <c r="K37" i="30" a="1"/>
  <c r="L37" i="30" a="1"/>
  <c r="M37" i="30" a="1"/>
  <c r="N37" i="30" a="1"/>
  <c r="O37" i="30" a="1"/>
  <c r="P37" i="30" a="1"/>
  <c r="Q37" i="30" a="1"/>
  <c r="R37" i="30" a="1"/>
  <c r="S37" i="30" a="1"/>
  <c r="T37" i="30" a="1"/>
  <c r="U37" i="30" a="1"/>
  <c r="V37" i="30" a="1"/>
  <c r="W37" i="30" a="1"/>
  <c r="X37" i="30" a="1"/>
  <c r="Y37" i="30" a="1"/>
  <c r="Z37" i="30" a="1"/>
  <c r="AA37" i="30" a="1"/>
  <c r="AB37" i="30" a="1"/>
  <c r="AC37" i="30" a="1"/>
  <c r="AD37" i="30" a="1"/>
  <c r="AE37" i="30" a="1"/>
  <c r="AF37" i="30" a="1"/>
  <c r="AG37" i="30" a="1"/>
  <c r="AH37" i="30" a="1"/>
  <c r="AI37" i="30" a="1"/>
  <c r="AJ37" i="30" a="1"/>
  <c r="AK37" i="30" a="1"/>
  <c r="AL37" i="30" a="1"/>
  <c r="AM37" i="30" a="1"/>
  <c r="AN37" i="30" a="1"/>
  <c r="AO37" i="30" a="1"/>
  <c r="AP37" i="30" a="1"/>
  <c r="AQ37" i="30" a="1"/>
  <c r="AR37" i="30" a="1"/>
  <c r="AS37" i="30" a="1"/>
  <c r="AT37" i="30" a="1"/>
  <c r="AU37" i="30" a="1"/>
  <c r="AV37" i="30" a="1"/>
  <c r="AW37" i="30" a="1"/>
  <c r="AX37" i="30" a="1"/>
  <c r="AY37" i="30" a="1"/>
  <c r="AZ37" i="30" a="1"/>
  <c r="BA37" i="30" a="1"/>
  <c r="BB37" i="30" a="1"/>
  <c r="BC37" i="30" a="1"/>
  <c r="BD37" i="30" a="1"/>
  <c r="BE37" i="30" a="1"/>
  <c r="BF37" i="30" a="1"/>
  <c r="BG37" i="30" a="1"/>
  <c r="BH37" i="30" a="1"/>
  <c r="BI37" i="30" a="1"/>
  <c r="BJ37" i="30" a="1"/>
  <c r="BK37" i="30" a="1"/>
  <c r="BL37" i="30" a="1"/>
  <c r="BM37" i="30" a="1"/>
  <c r="BN37" i="30" a="1"/>
  <c r="BO37" i="30" a="1"/>
  <c r="BP37" i="30" a="1"/>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AA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W24" i="30"/>
  <c r="E38" i="30" a="1"/>
  <c r="E38" i="30"/>
  <c r="F38" i="30" a="1"/>
  <c r="F38" i="30"/>
  <c r="G38" i="30" a="1"/>
  <c r="H38" i="30" a="1"/>
  <c r="I38" i="30" a="1"/>
  <c r="J38" i="30" a="1"/>
  <c r="K38" i="30" a="1"/>
  <c r="L38" i="30" a="1"/>
  <c r="M38" i="30" a="1"/>
  <c r="N38" i="30" a="1"/>
  <c r="O38" i="30" a="1"/>
  <c r="P38" i="30" a="1"/>
  <c r="Q38" i="30" a="1"/>
  <c r="R38" i="30" a="1"/>
  <c r="S38" i="30" a="1"/>
  <c r="T38" i="30" a="1"/>
  <c r="U38" i="30" a="1"/>
  <c r="V38" i="30" a="1"/>
  <c r="W38" i="30" a="1"/>
  <c r="X38" i="30" a="1"/>
  <c r="Y38" i="30" a="1"/>
  <c r="Z38" i="30" a="1"/>
  <c r="AA38" i="30" a="1"/>
  <c r="AB38" i="30" a="1"/>
  <c r="AC38" i="30" a="1"/>
  <c r="AD38" i="30" a="1"/>
  <c r="AE38" i="30" a="1"/>
  <c r="AF38" i="30" a="1"/>
  <c r="AG38" i="30" a="1"/>
  <c r="AH38" i="30" a="1"/>
  <c r="AI38" i="30" a="1"/>
  <c r="AJ38" i="30" a="1"/>
  <c r="AK38" i="30" a="1"/>
  <c r="AL38" i="30" a="1"/>
  <c r="AM38" i="30" a="1"/>
  <c r="AN38" i="30" a="1"/>
  <c r="AO38" i="30" a="1"/>
  <c r="AP38" i="30" a="1"/>
  <c r="AQ38" i="30" a="1"/>
  <c r="AR38" i="30" a="1"/>
  <c r="AS38" i="30" a="1"/>
  <c r="AT38" i="30" a="1"/>
  <c r="AU38" i="30" a="1"/>
  <c r="AV38" i="30" a="1"/>
  <c r="AW38" i="30" a="1"/>
  <c r="AX38" i="30" a="1"/>
  <c r="AY38" i="30" a="1"/>
  <c r="AZ38" i="30" a="1"/>
  <c r="BA38" i="30" a="1"/>
  <c r="BB38" i="30" a="1"/>
  <c r="BC38" i="30" a="1"/>
  <c r="BD38" i="30" a="1"/>
  <c r="BE38" i="30" a="1"/>
  <c r="BF38" i="30" a="1"/>
  <c r="BG38" i="30" a="1"/>
  <c r="BH38" i="30" a="1"/>
  <c r="BI38" i="30" a="1"/>
  <c r="BJ38" i="30" a="1"/>
  <c r="BK38" i="30" a="1"/>
  <c r="BL38" i="30" a="1"/>
  <c r="BM38" i="30" a="1"/>
  <c r="BN38" i="30" a="1"/>
  <c r="BO38" i="30" a="1"/>
  <c r="BP38" i="30" a="1"/>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AA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W25" i="30"/>
  <c r="AJ40" i="21"/>
  <c r="Y17" i="30"/>
  <c r="X17" i="30"/>
  <c r="AJ41" i="21"/>
  <c r="Y18" i="30"/>
  <c r="X18" i="30"/>
  <c r="AJ42" i="21"/>
  <c r="Y19" i="30"/>
  <c r="X19" i="30"/>
  <c r="X20" i="30"/>
  <c r="X21" i="30"/>
  <c r="X22" i="30"/>
  <c r="X23" i="30"/>
  <c r="X24" i="30"/>
  <c r="X25" i="30"/>
  <c r="E4" i="30"/>
  <c r="D4" i="30"/>
  <c r="E5" i="30"/>
  <c r="D5" i="30"/>
  <c r="E6" i="30"/>
  <c r="D6" i="30"/>
  <c r="E7" i="30"/>
  <c r="D7" i="30"/>
  <c r="E8" i="30"/>
  <c r="D8" i="30"/>
  <c r="E9" i="30"/>
  <c r="D9" i="30"/>
  <c r="E10" i="30"/>
  <c r="D10" i="30"/>
  <c r="E11" i="30"/>
  <c r="D11" i="30"/>
  <c r="E12" i="30"/>
  <c r="D12" i="30"/>
  <c r="C4" i="30"/>
  <c r="AR4" i="30"/>
  <c r="C5" i="30"/>
  <c r="AR5" i="30"/>
  <c r="AD42" i="21"/>
  <c r="C6" i="30"/>
  <c r="AR6" i="30"/>
  <c r="AD41" i="21"/>
  <c r="K4" i="29"/>
  <c r="K5" i="29"/>
  <c r="K6" i="29"/>
  <c r="K7" i="29"/>
  <c r="K8" i="29"/>
  <c r="K9" i="29"/>
  <c r="K10" i="29"/>
  <c r="K11" i="29"/>
  <c r="K12" i="29"/>
  <c r="K13" i="29"/>
  <c r="M4" i="29"/>
  <c r="N4" i="29"/>
  <c r="L4" i="29"/>
  <c r="K17" i="29"/>
  <c r="H4" i="29"/>
  <c r="G4" i="29"/>
  <c r="I4" i="29"/>
  <c r="J17" i="29"/>
  <c r="L17" i="29"/>
  <c r="M5" i="29"/>
  <c r="N5" i="29"/>
  <c r="L5" i="29"/>
  <c r="K18" i="29"/>
  <c r="H5" i="29"/>
  <c r="G5" i="29"/>
  <c r="I5" i="29"/>
  <c r="J18" i="29"/>
  <c r="L18" i="29"/>
  <c r="M6" i="29"/>
  <c r="N6" i="29"/>
  <c r="L6" i="29"/>
  <c r="K19" i="29"/>
  <c r="H6" i="29"/>
  <c r="G6" i="29"/>
  <c r="I6" i="29"/>
  <c r="J19" i="29"/>
  <c r="L19" i="29"/>
  <c r="M7" i="29"/>
  <c r="N7" i="29"/>
  <c r="L7" i="29"/>
  <c r="K20" i="29"/>
  <c r="Y64" i="29"/>
  <c r="Y70" i="29"/>
  <c r="Y76" i="29"/>
  <c r="X64" i="29"/>
  <c r="X70" i="29"/>
  <c r="X76" i="29"/>
  <c r="AH64" i="29"/>
  <c r="AH70" i="29"/>
  <c r="AH76" i="29"/>
  <c r="AG64" i="29"/>
  <c r="AG70" i="29"/>
  <c r="AG76" i="29"/>
  <c r="H7" i="29"/>
  <c r="G7" i="29"/>
  <c r="I7" i="29"/>
  <c r="J20" i="29"/>
  <c r="L20" i="29"/>
  <c r="M8" i="29"/>
  <c r="N8" i="29"/>
  <c r="L8" i="29"/>
  <c r="K21" i="29"/>
  <c r="H8" i="29"/>
  <c r="G8" i="29"/>
  <c r="I8" i="29"/>
  <c r="J21" i="29"/>
  <c r="L21" i="29"/>
  <c r="M9" i="29"/>
  <c r="N9" i="29"/>
  <c r="L9" i="29"/>
  <c r="K22" i="29"/>
  <c r="H9" i="29"/>
  <c r="G9" i="29"/>
  <c r="I9" i="29"/>
  <c r="J22" i="29"/>
  <c r="L22" i="29"/>
  <c r="M10" i="29"/>
  <c r="N10" i="29"/>
  <c r="L10" i="29"/>
  <c r="K23" i="29"/>
  <c r="H10" i="29"/>
  <c r="G10" i="29"/>
  <c r="I10" i="29"/>
  <c r="J23" i="29"/>
  <c r="L23" i="29"/>
  <c r="M11" i="29"/>
  <c r="N11" i="29"/>
  <c r="L11" i="29"/>
  <c r="K24" i="29"/>
  <c r="H11" i="29"/>
  <c r="G11" i="29"/>
  <c r="I11" i="29"/>
  <c r="J24" i="29"/>
  <c r="L24" i="29"/>
  <c r="M12" i="29"/>
  <c r="N12" i="29"/>
  <c r="L12" i="29"/>
  <c r="K25" i="29"/>
  <c r="H12" i="29"/>
  <c r="G12" i="29"/>
  <c r="I12" i="29"/>
  <c r="J25" i="29"/>
  <c r="L25" i="29"/>
  <c r="M17" i="29"/>
  <c r="N17" i="29" a="1"/>
  <c r="N17" i="29"/>
  <c r="O17" i="29"/>
  <c r="C17" i="29"/>
  <c r="E30" i="29" a="1"/>
  <c r="E30" i="29"/>
  <c r="F30" i="29" a="1"/>
  <c r="F30" i="29"/>
  <c r="G30" i="29" a="1"/>
  <c r="H30" i="29" a="1"/>
  <c r="I30" i="29" a="1"/>
  <c r="J30" i="29" a="1"/>
  <c r="K30" i="29" a="1"/>
  <c r="L30" i="29" a="1"/>
  <c r="P17" i="29"/>
  <c r="M30" i="29" a="1"/>
  <c r="N30" i="29" a="1"/>
  <c r="O30" i="29" a="1"/>
  <c r="P30" i="29" a="1"/>
  <c r="Q30" i="29" a="1"/>
  <c r="R30" i="29" a="1"/>
  <c r="S30" i="29" a="1"/>
  <c r="T30" i="29" a="1"/>
  <c r="Q17" i="29"/>
  <c r="U30" i="29" a="1"/>
  <c r="V30" i="29" a="1"/>
  <c r="W30" i="29" a="1"/>
  <c r="X30" i="29" a="1"/>
  <c r="Y30" i="29" a="1"/>
  <c r="Z30" i="29" a="1"/>
  <c r="AA30" i="29" a="1"/>
  <c r="AB30" i="29" a="1"/>
  <c r="R17" i="29"/>
  <c r="AC30" i="29" a="1"/>
  <c r="AD30" i="29" a="1"/>
  <c r="AE30" i="29" a="1"/>
  <c r="AF30" i="29" a="1"/>
  <c r="AG30" i="29" a="1"/>
  <c r="AH30" i="29" a="1"/>
  <c r="AI30" i="29" a="1"/>
  <c r="AJ30" i="29" a="1"/>
  <c r="S17" i="29"/>
  <c r="AK30" i="29" a="1"/>
  <c r="AL30" i="29" a="1"/>
  <c r="AM30" i="29" a="1"/>
  <c r="AN30" i="29" a="1"/>
  <c r="AO30" i="29" a="1"/>
  <c r="AP30" i="29" a="1"/>
  <c r="AQ30" i="29" a="1"/>
  <c r="AR30" i="29" a="1"/>
  <c r="T17" i="29"/>
  <c r="AS30" i="29" a="1"/>
  <c r="AT30" i="29" a="1"/>
  <c r="AU30" i="29" a="1"/>
  <c r="AV30" i="29" a="1"/>
  <c r="AW30" i="29" a="1"/>
  <c r="AX30" i="29" a="1"/>
  <c r="AY30" i="29" a="1"/>
  <c r="AZ30" i="29" a="1"/>
  <c r="U17" i="29"/>
  <c r="BA30" i="29" a="1"/>
  <c r="BB30" i="29" a="1"/>
  <c r="BC30" i="29" a="1"/>
  <c r="BD30" i="29" a="1"/>
  <c r="BE30" i="29" a="1"/>
  <c r="BF30" i="29" a="1"/>
  <c r="BG30" i="29" a="1"/>
  <c r="BH30" i="29" a="1"/>
  <c r="V17" i="29"/>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W17" i="29"/>
  <c r="M18" i="29"/>
  <c r="N18" i="29" a="1"/>
  <c r="N18" i="29"/>
  <c r="O18" i="29"/>
  <c r="C18" i="29"/>
  <c r="E31" i="29" a="1"/>
  <c r="E31" i="29"/>
  <c r="F31" i="29" a="1"/>
  <c r="F31" i="29"/>
  <c r="G31" i="29" a="1"/>
  <c r="H31" i="29" a="1"/>
  <c r="I31" i="29" a="1"/>
  <c r="J31" i="29" a="1"/>
  <c r="K31" i="29" a="1"/>
  <c r="L31" i="29" a="1"/>
  <c r="P18" i="29"/>
  <c r="M31" i="29" a="1"/>
  <c r="N31" i="29" a="1"/>
  <c r="O31" i="29" a="1"/>
  <c r="P31" i="29" a="1"/>
  <c r="Q31" i="29" a="1"/>
  <c r="R31" i="29" a="1"/>
  <c r="S31" i="29" a="1"/>
  <c r="T31" i="29" a="1"/>
  <c r="Q18" i="29"/>
  <c r="U31" i="29" a="1"/>
  <c r="V31" i="29" a="1"/>
  <c r="W31" i="29" a="1"/>
  <c r="X31" i="29" a="1"/>
  <c r="Y31" i="29" a="1"/>
  <c r="Z31" i="29" a="1"/>
  <c r="AA31" i="29" a="1"/>
  <c r="AB31" i="29" a="1"/>
  <c r="R18" i="29"/>
  <c r="AC31" i="29" a="1"/>
  <c r="AD31" i="29" a="1"/>
  <c r="AE31" i="29" a="1"/>
  <c r="AF31" i="29" a="1"/>
  <c r="AG31" i="29" a="1"/>
  <c r="AH31" i="29" a="1"/>
  <c r="AI31" i="29" a="1"/>
  <c r="AJ31" i="29" a="1"/>
  <c r="S18" i="29"/>
  <c r="AK31" i="29" a="1"/>
  <c r="AL31" i="29" a="1"/>
  <c r="AM31" i="29" a="1"/>
  <c r="AN31" i="29" a="1"/>
  <c r="AO31" i="29" a="1"/>
  <c r="AP31" i="29" a="1"/>
  <c r="AQ31" i="29" a="1"/>
  <c r="AR31" i="29" a="1"/>
  <c r="T18" i="29"/>
  <c r="AS31" i="29" a="1"/>
  <c r="AT31" i="29" a="1"/>
  <c r="AU31" i="29" a="1"/>
  <c r="AV31" i="29" a="1"/>
  <c r="AW31" i="29" a="1"/>
  <c r="AX31" i="29" a="1"/>
  <c r="AY31" i="29" a="1"/>
  <c r="AZ31" i="29" a="1"/>
  <c r="U18" i="29"/>
  <c r="BA31" i="29" a="1"/>
  <c r="BB31" i="29" a="1"/>
  <c r="BC31" i="29" a="1"/>
  <c r="BD31" i="29" a="1"/>
  <c r="BE31" i="29" a="1"/>
  <c r="BF31" i="29" a="1"/>
  <c r="BG31" i="29" a="1"/>
  <c r="BH31" i="29" a="1"/>
  <c r="V18" i="29"/>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W18" i="29"/>
  <c r="M19" i="29"/>
  <c r="N19" i="29" a="1"/>
  <c r="N19" i="29"/>
  <c r="O19" i="29"/>
  <c r="C19" i="29"/>
  <c r="E32" i="29" a="1"/>
  <c r="E32" i="29"/>
  <c r="F32" i="29" a="1"/>
  <c r="F32" i="29"/>
  <c r="G32" i="29" a="1"/>
  <c r="H32" i="29" a="1"/>
  <c r="I32" i="29" a="1"/>
  <c r="J32" i="29" a="1"/>
  <c r="K32" i="29" a="1"/>
  <c r="L32" i="29" a="1"/>
  <c r="P19" i="29"/>
  <c r="M32" i="29" a="1"/>
  <c r="N32" i="29" a="1"/>
  <c r="O32" i="29" a="1"/>
  <c r="P32" i="29" a="1"/>
  <c r="Q32" i="29" a="1"/>
  <c r="R32" i="29" a="1"/>
  <c r="S32" i="29" a="1"/>
  <c r="T32" i="29" a="1"/>
  <c r="Q19" i="29"/>
  <c r="U32" i="29" a="1"/>
  <c r="V32" i="29" a="1"/>
  <c r="W32" i="29" a="1"/>
  <c r="X32" i="29" a="1"/>
  <c r="Y32" i="29" a="1"/>
  <c r="Z32" i="29" a="1"/>
  <c r="AA32" i="29" a="1"/>
  <c r="AB32" i="29" a="1"/>
  <c r="R19" i="29"/>
  <c r="AC32" i="29" a="1"/>
  <c r="AD32" i="29" a="1"/>
  <c r="AE32" i="29" a="1"/>
  <c r="AF32" i="29" a="1"/>
  <c r="AG32" i="29" a="1"/>
  <c r="AH32" i="29" a="1"/>
  <c r="AI32" i="29" a="1"/>
  <c r="AJ32" i="29" a="1"/>
  <c r="S19" i="29"/>
  <c r="AK32" i="29" a="1"/>
  <c r="AL32" i="29" a="1"/>
  <c r="AM32" i="29" a="1"/>
  <c r="AN32" i="29" a="1"/>
  <c r="AO32" i="29" a="1"/>
  <c r="AP32" i="29" a="1"/>
  <c r="AQ32" i="29" a="1"/>
  <c r="AR32" i="29" a="1"/>
  <c r="T19" i="29"/>
  <c r="AS32" i="29" a="1"/>
  <c r="AT32" i="29" a="1"/>
  <c r="AU32" i="29" a="1"/>
  <c r="AV32" i="29" a="1"/>
  <c r="AW32" i="29" a="1"/>
  <c r="AX32" i="29" a="1"/>
  <c r="AY32" i="29" a="1"/>
  <c r="AZ32" i="29" a="1"/>
  <c r="U19" i="29"/>
  <c r="BA32" i="29" a="1"/>
  <c r="BB32" i="29" a="1"/>
  <c r="BC32" i="29" a="1"/>
  <c r="BD32" i="29" a="1"/>
  <c r="BE32" i="29" a="1"/>
  <c r="BF32" i="29" a="1"/>
  <c r="BG32" i="29" a="1"/>
  <c r="BH32" i="29" a="1"/>
  <c r="V19" i="29"/>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W19" i="29"/>
  <c r="M20" i="29"/>
  <c r="N20" i="29" a="1"/>
  <c r="N20" i="29"/>
  <c r="O20"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3" i="29" a="1"/>
  <c r="E33" i="29"/>
  <c r="F33" i="29" a="1"/>
  <c r="F33" i="29"/>
  <c r="G33" i="29" a="1"/>
  <c r="M21" i="29"/>
  <c r="N21" i="29" a="1"/>
  <c r="N21" i="29"/>
  <c r="O21" i="29"/>
  <c r="H33" i="29" a="1"/>
  <c r="M22" i="29"/>
  <c r="N22" i="29" a="1"/>
  <c r="N22" i="29"/>
  <c r="O22" i="29"/>
  <c r="I33" i="29" a="1"/>
  <c r="M23" i="29"/>
  <c r="N23" i="29" a="1"/>
  <c r="N23" i="29"/>
  <c r="O23" i="29"/>
  <c r="J33" i="29" a="1"/>
  <c r="M24" i="29"/>
  <c r="N24" i="29" a="1"/>
  <c r="N24" i="29"/>
  <c r="O24" i="29"/>
  <c r="K33" i="29" a="1"/>
  <c r="M25" i="29"/>
  <c r="N25" i="29" a="1"/>
  <c r="N25" i="29"/>
  <c r="O25" i="29"/>
  <c r="L33" i="29" a="1"/>
  <c r="P20" i="29"/>
  <c r="M33" i="29" a="1"/>
  <c r="N33" i="29" a="1"/>
  <c r="O33" i="29" a="1"/>
  <c r="P21" i="29"/>
  <c r="P33" i="29" a="1"/>
  <c r="P22" i="29"/>
  <c r="Q33" i="29" a="1"/>
  <c r="P23" i="29"/>
  <c r="R33" i="29" a="1"/>
  <c r="P24" i="29"/>
  <c r="S33" i="29" a="1"/>
  <c r="P25" i="29"/>
  <c r="T33" i="29" a="1"/>
  <c r="Q20" i="29"/>
  <c r="U33" i="29" a="1"/>
  <c r="V33" i="29" a="1"/>
  <c r="W33" i="29" a="1"/>
  <c r="Q21" i="29"/>
  <c r="X33" i="29" a="1"/>
  <c r="Q22" i="29"/>
  <c r="Y33" i="29" a="1"/>
  <c r="Q23" i="29"/>
  <c r="Z33" i="29" a="1"/>
  <c r="Q24" i="29"/>
  <c r="AA33" i="29" a="1"/>
  <c r="Q25" i="29"/>
  <c r="AB33" i="29" a="1"/>
  <c r="R20" i="29"/>
  <c r="AC33" i="29" a="1"/>
  <c r="AD33" i="29" a="1"/>
  <c r="AE33" i="29" a="1"/>
  <c r="R21" i="29"/>
  <c r="AF33" i="29" a="1"/>
  <c r="R22" i="29"/>
  <c r="AG33" i="29" a="1"/>
  <c r="R23" i="29"/>
  <c r="AH33" i="29" a="1"/>
  <c r="R24" i="29"/>
  <c r="AI33" i="29" a="1"/>
  <c r="R25" i="29"/>
  <c r="AJ33" i="29" a="1"/>
  <c r="S20" i="29"/>
  <c r="AK33" i="29" a="1"/>
  <c r="AL33" i="29" a="1"/>
  <c r="AM33" i="29" a="1"/>
  <c r="S21" i="29"/>
  <c r="AN33" i="29" a="1"/>
  <c r="S22" i="29"/>
  <c r="AO33" i="29" a="1"/>
  <c r="S23" i="29"/>
  <c r="AP33" i="29" a="1"/>
  <c r="S24" i="29"/>
  <c r="AQ33" i="29" a="1"/>
  <c r="S25" i="29"/>
  <c r="AR33" i="29" a="1"/>
  <c r="T20" i="29"/>
  <c r="AS33" i="29" a="1"/>
  <c r="AT33" i="29" a="1"/>
  <c r="AU33" i="29" a="1"/>
  <c r="T21" i="29"/>
  <c r="AV33" i="29" a="1"/>
  <c r="T22" i="29"/>
  <c r="AW33" i="29" a="1"/>
  <c r="T23" i="29"/>
  <c r="AX33" i="29" a="1"/>
  <c r="T24" i="29"/>
  <c r="AY33" i="29" a="1"/>
  <c r="T25" i="29"/>
  <c r="AZ33" i="29" a="1"/>
  <c r="U20" i="29"/>
  <c r="BA33" i="29" a="1"/>
  <c r="BB33" i="29" a="1"/>
  <c r="BC33" i="29" a="1"/>
  <c r="U21" i="29"/>
  <c r="BD33" i="29" a="1"/>
  <c r="U22" i="29"/>
  <c r="BE33" i="29" a="1"/>
  <c r="U23" i="29"/>
  <c r="BF33" i="29" a="1"/>
  <c r="U24" i="29"/>
  <c r="BG33" i="29" a="1"/>
  <c r="U25" i="29"/>
  <c r="BH33" i="29" a="1"/>
  <c r="V20" i="29"/>
  <c r="BI33" i="29" a="1"/>
  <c r="BJ33" i="29" a="1"/>
  <c r="BK33" i="29" a="1"/>
  <c r="V21" i="29"/>
  <c r="BL33" i="29" a="1"/>
  <c r="V22" i="29"/>
  <c r="BM33" i="29" a="1"/>
  <c r="V23" i="29"/>
  <c r="BN33" i="29" a="1"/>
  <c r="V24" i="29"/>
  <c r="BO33" i="29" a="1"/>
  <c r="V25" i="29"/>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W22" i="29"/>
  <c r="E36" i="29" a="1"/>
  <c r="E36" i="29"/>
  <c r="F36" i="29" a="1"/>
  <c r="F36" i="29"/>
  <c r="G36" i="29" a="1"/>
  <c r="H36" i="29" a="1"/>
  <c r="I36" i="29" a="1"/>
  <c r="J36" i="29" a="1"/>
  <c r="K36" i="29" a="1"/>
  <c r="L36" i="29" a="1"/>
  <c r="M36" i="29" a="1"/>
  <c r="N36" i="29" a="1"/>
  <c r="O36" i="29" a="1"/>
  <c r="P36" i="29" a="1"/>
  <c r="Q36" i="29" a="1"/>
  <c r="R36" i="29" a="1"/>
  <c r="S36" i="29" a="1"/>
  <c r="T36" i="29" a="1"/>
  <c r="U36" i="29" a="1"/>
  <c r="V36" i="29" a="1"/>
  <c r="W36" i="29" a="1"/>
  <c r="X36" i="29" a="1"/>
  <c r="Y36" i="29" a="1"/>
  <c r="Z36" i="29" a="1"/>
  <c r="AA36" i="29" a="1"/>
  <c r="AB36" i="29" a="1"/>
  <c r="AC36" i="29" a="1"/>
  <c r="AD36" i="29" a="1"/>
  <c r="AE36" i="29" a="1"/>
  <c r="AF36" i="29" a="1"/>
  <c r="AG36" i="29" a="1"/>
  <c r="AH36" i="29" a="1"/>
  <c r="AI36" i="29" a="1"/>
  <c r="AJ36" i="29" a="1"/>
  <c r="AK36" i="29" a="1"/>
  <c r="AL36" i="29" a="1"/>
  <c r="AM36" i="29" a="1"/>
  <c r="AN36" i="29" a="1"/>
  <c r="AO36" i="29" a="1"/>
  <c r="AP36" i="29" a="1"/>
  <c r="AQ36" i="29" a="1"/>
  <c r="AR36" i="29" a="1"/>
  <c r="AS36" i="29" a="1"/>
  <c r="AT36" i="29" a="1"/>
  <c r="AU36" i="29" a="1"/>
  <c r="AV36" i="29" a="1"/>
  <c r="AW36" i="29" a="1"/>
  <c r="AX36" i="29" a="1"/>
  <c r="AY36" i="29" a="1"/>
  <c r="AZ36" i="29" a="1"/>
  <c r="BA36" i="29" a="1"/>
  <c r="BB36" i="29" a="1"/>
  <c r="BC36" i="29" a="1"/>
  <c r="BD36" i="29" a="1"/>
  <c r="BE36" i="29" a="1"/>
  <c r="BF36" i="29" a="1"/>
  <c r="BG36" i="29" a="1"/>
  <c r="BH36" i="29" a="1"/>
  <c r="BI36" i="29" a="1"/>
  <c r="BJ36" i="29" a="1"/>
  <c r="BK36" i="29" a="1"/>
  <c r="BL36" i="29" a="1"/>
  <c r="BM36" i="29" a="1"/>
  <c r="BN36" i="29" a="1"/>
  <c r="BO36" i="29" a="1"/>
  <c r="BP36" i="29" a="1"/>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AA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W23" i="29"/>
  <c r="E37" i="29" a="1"/>
  <c r="E37" i="29"/>
  <c r="F37" i="29" a="1"/>
  <c r="F37" i="29"/>
  <c r="G37" i="29" a="1"/>
  <c r="H37" i="29" a="1"/>
  <c r="I37" i="29" a="1"/>
  <c r="J37" i="29" a="1"/>
  <c r="K37" i="29" a="1"/>
  <c r="L37" i="29" a="1"/>
  <c r="M37" i="29" a="1"/>
  <c r="N37" i="29" a="1"/>
  <c r="O37" i="29" a="1"/>
  <c r="P37" i="29" a="1"/>
  <c r="Q37" i="29" a="1"/>
  <c r="R37" i="29" a="1"/>
  <c r="S37" i="29" a="1"/>
  <c r="T37" i="29" a="1"/>
  <c r="U37" i="29" a="1"/>
  <c r="V37" i="29" a="1"/>
  <c r="W37" i="29" a="1"/>
  <c r="X37" i="29" a="1"/>
  <c r="Y37" i="29" a="1"/>
  <c r="Z37" i="29" a="1"/>
  <c r="AA37" i="29" a="1"/>
  <c r="AB37" i="29" a="1"/>
  <c r="AC37" i="29" a="1"/>
  <c r="AD37" i="29" a="1"/>
  <c r="AE37" i="29" a="1"/>
  <c r="AF37" i="29" a="1"/>
  <c r="AG37" i="29" a="1"/>
  <c r="AH37" i="29" a="1"/>
  <c r="AI37" i="29" a="1"/>
  <c r="AJ37" i="29" a="1"/>
  <c r="AK37" i="29" a="1"/>
  <c r="AL37" i="29" a="1"/>
  <c r="AM37" i="29" a="1"/>
  <c r="AN37" i="29" a="1"/>
  <c r="AO37" i="29" a="1"/>
  <c r="AP37" i="29" a="1"/>
  <c r="AQ37" i="29" a="1"/>
  <c r="AR37" i="29" a="1"/>
  <c r="AS37" i="29" a="1"/>
  <c r="AT37" i="29" a="1"/>
  <c r="AU37" i="29" a="1"/>
  <c r="AV37" i="29" a="1"/>
  <c r="AW37" i="29" a="1"/>
  <c r="AX37" i="29" a="1"/>
  <c r="AY37" i="29" a="1"/>
  <c r="AZ37" i="29" a="1"/>
  <c r="BA37" i="29" a="1"/>
  <c r="BB37" i="29" a="1"/>
  <c r="BC37" i="29" a="1"/>
  <c r="BD37" i="29" a="1"/>
  <c r="BE37" i="29" a="1"/>
  <c r="BF37" i="29" a="1"/>
  <c r="BG37" i="29" a="1"/>
  <c r="BH37" i="29" a="1"/>
  <c r="BI37" i="29" a="1"/>
  <c r="BJ37" i="29" a="1"/>
  <c r="BK37" i="29" a="1"/>
  <c r="BL37" i="29" a="1"/>
  <c r="BM37" i="29" a="1"/>
  <c r="BN37" i="29" a="1"/>
  <c r="BO37" i="29" a="1"/>
  <c r="BP37" i="29" a="1"/>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AA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W24" i="29"/>
  <c r="E38" i="29" a="1"/>
  <c r="E38" i="29"/>
  <c r="F38" i="29" a="1"/>
  <c r="F38" i="29"/>
  <c r="G38" i="29" a="1"/>
  <c r="H38" i="29" a="1"/>
  <c r="I38" i="29" a="1"/>
  <c r="J38" i="29" a="1"/>
  <c r="K38" i="29" a="1"/>
  <c r="L38" i="29" a="1"/>
  <c r="M38" i="29" a="1"/>
  <c r="N38" i="29" a="1"/>
  <c r="O38" i="29" a="1"/>
  <c r="P38" i="29" a="1"/>
  <c r="Q38" i="29" a="1"/>
  <c r="R38" i="29" a="1"/>
  <c r="S38" i="29" a="1"/>
  <c r="T38" i="29" a="1"/>
  <c r="U38" i="29" a="1"/>
  <c r="V38" i="29" a="1"/>
  <c r="W38" i="29" a="1"/>
  <c r="X38" i="29" a="1"/>
  <c r="Y38" i="29" a="1"/>
  <c r="Z38" i="29" a="1"/>
  <c r="AA38" i="29" a="1"/>
  <c r="AB38" i="29" a="1"/>
  <c r="AC38" i="29" a="1"/>
  <c r="AD38" i="29" a="1"/>
  <c r="AE38" i="29" a="1"/>
  <c r="AF38" i="29" a="1"/>
  <c r="AG38" i="29" a="1"/>
  <c r="AH38" i="29" a="1"/>
  <c r="AI38" i="29" a="1"/>
  <c r="AJ38" i="29" a="1"/>
  <c r="AK38" i="29" a="1"/>
  <c r="AL38" i="29" a="1"/>
  <c r="AM38" i="29" a="1"/>
  <c r="AN38" i="29" a="1"/>
  <c r="AO38" i="29" a="1"/>
  <c r="AP38" i="29" a="1"/>
  <c r="AQ38" i="29" a="1"/>
  <c r="AR38" i="29" a="1"/>
  <c r="AS38" i="29" a="1"/>
  <c r="AT38" i="29" a="1"/>
  <c r="AU38" i="29" a="1"/>
  <c r="AV38" i="29" a="1"/>
  <c r="AW38" i="29" a="1"/>
  <c r="AX38" i="29" a="1"/>
  <c r="AY38" i="29" a="1"/>
  <c r="AZ38" i="29" a="1"/>
  <c r="BA38" i="29" a="1"/>
  <c r="BB38" i="29" a="1"/>
  <c r="BC38" i="29" a="1"/>
  <c r="BD38" i="29" a="1"/>
  <c r="BE38" i="29" a="1"/>
  <c r="BF38" i="29" a="1"/>
  <c r="BG38" i="29" a="1"/>
  <c r="BH38" i="29" a="1"/>
  <c r="BI38" i="29" a="1"/>
  <c r="BJ38" i="29" a="1"/>
  <c r="BK38" i="29" a="1"/>
  <c r="BL38" i="29" a="1"/>
  <c r="BM38" i="29" a="1"/>
  <c r="BN38" i="29" a="1"/>
  <c r="BO38" i="29" a="1"/>
  <c r="BP38" i="29" a="1"/>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AA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W25" i="29"/>
  <c r="AJ33" i="21"/>
  <c r="Y17" i="29"/>
  <c r="X17" i="29"/>
  <c r="AJ34" i="21"/>
  <c r="Y18" i="29"/>
  <c r="X18" i="29"/>
  <c r="AJ35" i="21"/>
  <c r="Y19" i="29"/>
  <c r="X19" i="29"/>
  <c r="X20" i="29"/>
  <c r="X21" i="29"/>
  <c r="X22" i="29"/>
  <c r="X23" i="29"/>
  <c r="X24" i="29"/>
  <c r="X25" i="29"/>
  <c r="E4" i="29"/>
  <c r="D4" i="29"/>
  <c r="E5" i="29"/>
  <c r="D5" i="29"/>
  <c r="E6" i="29"/>
  <c r="D6" i="29"/>
  <c r="E7" i="29"/>
  <c r="D7" i="29"/>
  <c r="E8" i="29"/>
  <c r="D8" i="29"/>
  <c r="E9" i="29"/>
  <c r="D9" i="29"/>
  <c r="E10" i="29"/>
  <c r="D10" i="29"/>
  <c r="E11" i="29"/>
  <c r="D11" i="29"/>
  <c r="E12" i="29"/>
  <c r="D12" i="29"/>
  <c r="C4" i="29"/>
  <c r="C5" i="29"/>
  <c r="AR5" i="29"/>
  <c r="AD35" i="21"/>
  <c r="C6" i="29"/>
  <c r="AR6" i="29"/>
  <c r="AD34" i="21"/>
  <c r="K4" i="28"/>
  <c r="K5" i="28"/>
  <c r="K6" i="28"/>
  <c r="K7" i="28"/>
  <c r="K8" i="28"/>
  <c r="K9" i="28"/>
  <c r="K10" i="28"/>
  <c r="K11" i="28"/>
  <c r="K12" i="28"/>
  <c r="K13" i="28"/>
  <c r="M4" i="28"/>
  <c r="N4" i="28"/>
  <c r="L4" i="28"/>
  <c r="K17" i="28"/>
  <c r="H4" i="28"/>
  <c r="G4" i="28"/>
  <c r="I4" i="28"/>
  <c r="J17" i="28"/>
  <c r="L17" i="28"/>
  <c r="M5" i="28"/>
  <c r="N5" i="28"/>
  <c r="L5" i="28"/>
  <c r="K18" i="28"/>
  <c r="H5" i="28"/>
  <c r="G5" i="28"/>
  <c r="I5" i="28"/>
  <c r="J18" i="28"/>
  <c r="L18" i="28"/>
  <c r="M6" i="28"/>
  <c r="N6" i="28"/>
  <c r="L6" i="28"/>
  <c r="K19" i="28"/>
  <c r="H6" i="28"/>
  <c r="G6" i="28"/>
  <c r="I6" i="28"/>
  <c r="J19" i="28"/>
  <c r="L19" i="28"/>
  <c r="M7" i="28"/>
  <c r="N7" i="28"/>
  <c r="L7" i="28"/>
  <c r="K20" i="28"/>
  <c r="Y64" i="28"/>
  <c r="Y70" i="28"/>
  <c r="Y76" i="28"/>
  <c r="X64" i="28"/>
  <c r="X70" i="28"/>
  <c r="X76" i="28"/>
  <c r="AH64" i="28"/>
  <c r="AH70" i="28"/>
  <c r="AH76" i="28"/>
  <c r="AG64" i="28"/>
  <c r="AG70" i="28"/>
  <c r="AG76" i="28"/>
  <c r="H7" i="28"/>
  <c r="G7" i="28"/>
  <c r="I7" i="28"/>
  <c r="J20" i="28"/>
  <c r="L20" i="28"/>
  <c r="M8" i="28"/>
  <c r="N8" i="28"/>
  <c r="L8" i="28"/>
  <c r="K21" i="28"/>
  <c r="H8" i="28"/>
  <c r="G8" i="28"/>
  <c r="I8" i="28"/>
  <c r="J21" i="28"/>
  <c r="L21" i="28"/>
  <c r="M9" i="28"/>
  <c r="N9" i="28"/>
  <c r="L9" i="28"/>
  <c r="K22" i="28"/>
  <c r="H9" i="28"/>
  <c r="G9" i="28"/>
  <c r="I9" i="28"/>
  <c r="J22" i="28"/>
  <c r="L22" i="28"/>
  <c r="M10" i="28"/>
  <c r="N10" i="28"/>
  <c r="L10" i="28"/>
  <c r="K23" i="28"/>
  <c r="H10" i="28"/>
  <c r="G10" i="28"/>
  <c r="I10" i="28"/>
  <c r="J23" i="28"/>
  <c r="L23" i="28"/>
  <c r="M11" i="28"/>
  <c r="N11" i="28"/>
  <c r="L11" i="28"/>
  <c r="K24" i="28"/>
  <c r="H11" i="28"/>
  <c r="G11" i="28"/>
  <c r="I11" i="28"/>
  <c r="J24" i="28"/>
  <c r="L24" i="28"/>
  <c r="M12" i="28"/>
  <c r="N12" i="28"/>
  <c r="L12" i="28"/>
  <c r="K25" i="28"/>
  <c r="H12" i="28"/>
  <c r="G12" i="28"/>
  <c r="I12" i="28"/>
  <c r="J25" i="28"/>
  <c r="L25" i="28"/>
  <c r="M17" i="28"/>
  <c r="N17" i="28" a="1"/>
  <c r="N17" i="28"/>
  <c r="O17" i="28"/>
  <c r="C17" i="28"/>
  <c r="E30" i="28" a="1"/>
  <c r="E30" i="28"/>
  <c r="F30" i="28" a="1"/>
  <c r="F30" i="28"/>
  <c r="G30" i="28" a="1"/>
  <c r="H30" i="28" a="1"/>
  <c r="I30" i="28" a="1"/>
  <c r="J30" i="28" a="1"/>
  <c r="K30" i="28" a="1"/>
  <c r="L30" i="28" a="1"/>
  <c r="P17" i="28"/>
  <c r="M30" i="28" a="1"/>
  <c r="N30" i="28" a="1"/>
  <c r="O30" i="28" a="1"/>
  <c r="P30" i="28" a="1"/>
  <c r="Q30" i="28" a="1"/>
  <c r="R30" i="28" a="1"/>
  <c r="S30" i="28" a="1"/>
  <c r="T30" i="28" a="1"/>
  <c r="Q17" i="28"/>
  <c r="U30" i="28" a="1"/>
  <c r="V30" i="28" a="1"/>
  <c r="W30" i="28" a="1"/>
  <c r="X30" i="28" a="1"/>
  <c r="Y30" i="28" a="1"/>
  <c r="Z30" i="28" a="1"/>
  <c r="AA30" i="28" a="1"/>
  <c r="AB30" i="28" a="1"/>
  <c r="R17" i="28"/>
  <c r="AC30" i="28" a="1"/>
  <c r="AD30" i="28" a="1"/>
  <c r="AE30" i="28" a="1"/>
  <c r="AF30" i="28" a="1"/>
  <c r="AG30" i="28" a="1"/>
  <c r="AH30" i="28" a="1"/>
  <c r="AI30" i="28" a="1"/>
  <c r="AJ30" i="28" a="1"/>
  <c r="S17" i="28"/>
  <c r="AK30" i="28" a="1"/>
  <c r="AL30" i="28" a="1"/>
  <c r="AM30" i="28" a="1"/>
  <c r="AN30" i="28" a="1"/>
  <c r="AO30" i="28" a="1"/>
  <c r="AP30" i="28" a="1"/>
  <c r="AQ30" i="28" a="1"/>
  <c r="AR30" i="28" a="1"/>
  <c r="T17" i="28"/>
  <c r="AS30" i="28" a="1"/>
  <c r="AT30" i="28" a="1"/>
  <c r="AU30" i="28" a="1"/>
  <c r="AV30" i="28" a="1"/>
  <c r="AW30" i="28" a="1"/>
  <c r="AX30" i="28" a="1"/>
  <c r="AY30" i="28" a="1"/>
  <c r="AZ30" i="28" a="1"/>
  <c r="U17" i="28"/>
  <c r="BA30" i="28" a="1"/>
  <c r="BB30" i="28" a="1"/>
  <c r="BC30" i="28" a="1"/>
  <c r="BD30" i="28" a="1"/>
  <c r="BE30" i="28" a="1"/>
  <c r="BF30" i="28" a="1"/>
  <c r="BG30" i="28" a="1"/>
  <c r="BH30" i="28" a="1"/>
  <c r="V17" i="28"/>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W17" i="28"/>
  <c r="M18" i="28"/>
  <c r="N18" i="28" a="1"/>
  <c r="N18" i="28"/>
  <c r="O18" i="28"/>
  <c r="C18" i="28"/>
  <c r="E31" i="28" a="1"/>
  <c r="E31" i="28"/>
  <c r="F31" i="28" a="1"/>
  <c r="F31" i="28"/>
  <c r="G31" i="28" a="1"/>
  <c r="H31" i="28" a="1"/>
  <c r="I31" i="28" a="1"/>
  <c r="J31" i="28" a="1"/>
  <c r="K31" i="28" a="1"/>
  <c r="L31" i="28" a="1"/>
  <c r="P18" i="28"/>
  <c r="M31" i="28" a="1"/>
  <c r="N31" i="28" a="1"/>
  <c r="O31" i="28" a="1"/>
  <c r="P31" i="28" a="1"/>
  <c r="Q31" i="28" a="1"/>
  <c r="R31" i="28" a="1"/>
  <c r="S31" i="28" a="1"/>
  <c r="T31" i="28" a="1"/>
  <c r="Q18" i="28"/>
  <c r="U31" i="28" a="1"/>
  <c r="V31" i="28" a="1"/>
  <c r="W31" i="28" a="1"/>
  <c r="X31" i="28" a="1"/>
  <c r="Y31" i="28" a="1"/>
  <c r="Z31" i="28" a="1"/>
  <c r="AA31" i="28" a="1"/>
  <c r="AB31" i="28" a="1"/>
  <c r="R18" i="28"/>
  <c r="AC31" i="28" a="1"/>
  <c r="AD31" i="28" a="1"/>
  <c r="AE31" i="28" a="1"/>
  <c r="AF31" i="28" a="1"/>
  <c r="AG31" i="28" a="1"/>
  <c r="AH31" i="28" a="1"/>
  <c r="AI31" i="28" a="1"/>
  <c r="AJ31" i="28" a="1"/>
  <c r="S18" i="28"/>
  <c r="AK31" i="28" a="1"/>
  <c r="AL31" i="28" a="1"/>
  <c r="AM31" i="28" a="1"/>
  <c r="AN31" i="28" a="1"/>
  <c r="AO31" i="28" a="1"/>
  <c r="AP31" i="28" a="1"/>
  <c r="AQ31" i="28" a="1"/>
  <c r="AR31" i="28" a="1"/>
  <c r="T18" i="28"/>
  <c r="AS31" i="28" a="1"/>
  <c r="AT31" i="28" a="1"/>
  <c r="AU31" i="28" a="1"/>
  <c r="AV31" i="28" a="1"/>
  <c r="AW31" i="28" a="1"/>
  <c r="AX31" i="28" a="1"/>
  <c r="AY31" i="28" a="1"/>
  <c r="AZ31" i="28" a="1"/>
  <c r="U18" i="28"/>
  <c r="BA31" i="28" a="1"/>
  <c r="BB31" i="28" a="1"/>
  <c r="BC31" i="28" a="1"/>
  <c r="BD31" i="28" a="1"/>
  <c r="BE31" i="28" a="1"/>
  <c r="BF31" i="28" a="1"/>
  <c r="BG31" i="28" a="1"/>
  <c r="BH31" i="28" a="1"/>
  <c r="V18" i="28"/>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W18" i="28"/>
  <c r="M19" i="28"/>
  <c r="N19" i="28" a="1"/>
  <c r="N19" i="28"/>
  <c r="O19" i="28"/>
  <c r="C19" i="28"/>
  <c r="E32" i="28" a="1"/>
  <c r="E32" i="28"/>
  <c r="F32" i="28" a="1"/>
  <c r="F32" i="28"/>
  <c r="G32" i="28" a="1"/>
  <c r="H32" i="28" a="1"/>
  <c r="I32" i="28" a="1"/>
  <c r="J32" i="28" a="1"/>
  <c r="K32" i="28" a="1"/>
  <c r="L32" i="28" a="1"/>
  <c r="P19" i="28"/>
  <c r="M32" i="28" a="1"/>
  <c r="N32" i="28" a="1"/>
  <c r="O32" i="28" a="1"/>
  <c r="P32" i="28" a="1"/>
  <c r="Q32" i="28" a="1"/>
  <c r="R32" i="28" a="1"/>
  <c r="S32" i="28" a="1"/>
  <c r="T32" i="28" a="1"/>
  <c r="Q19" i="28"/>
  <c r="U32" i="28" a="1"/>
  <c r="V32" i="28" a="1"/>
  <c r="W32" i="28" a="1"/>
  <c r="X32" i="28" a="1"/>
  <c r="Y32" i="28" a="1"/>
  <c r="Z32" i="28" a="1"/>
  <c r="AA32" i="28" a="1"/>
  <c r="AB32" i="28" a="1"/>
  <c r="R19" i="28"/>
  <c r="AC32" i="28" a="1"/>
  <c r="AD32" i="28" a="1"/>
  <c r="AE32" i="28" a="1"/>
  <c r="AF32" i="28" a="1"/>
  <c r="AG32" i="28" a="1"/>
  <c r="AH32" i="28" a="1"/>
  <c r="AI32" i="28" a="1"/>
  <c r="AJ32" i="28" a="1"/>
  <c r="S19" i="28"/>
  <c r="AK32" i="28" a="1"/>
  <c r="AL32" i="28" a="1"/>
  <c r="AM32" i="28" a="1"/>
  <c r="AN32" i="28" a="1"/>
  <c r="AO32" i="28" a="1"/>
  <c r="AP32" i="28" a="1"/>
  <c r="AQ32" i="28" a="1"/>
  <c r="AR32" i="28" a="1"/>
  <c r="T19" i="28"/>
  <c r="AS32" i="28" a="1"/>
  <c r="AT32" i="28" a="1"/>
  <c r="AU32" i="28" a="1"/>
  <c r="AV32" i="28" a="1"/>
  <c r="AW32" i="28" a="1"/>
  <c r="AX32" i="28" a="1"/>
  <c r="AY32" i="28" a="1"/>
  <c r="AZ32" i="28" a="1"/>
  <c r="U19" i="28"/>
  <c r="BA32" i="28" a="1"/>
  <c r="BB32" i="28" a="1"/>
  <c r="BC32" i="28" a="1"/>
  <c r="BD32" i="28" a="1"/>
  <c r="BE32" i="28" a="1"/>
  <c r="BF32" i="28" a="1"/>
  <c r="BG32" i="28" a="1"/>
  <c r="BH32" i="28" a="1"/>
  <c r="V19" i="28"/>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W19" i="28"/>
  <c r="M20" i="28"/>
  <c r="N20" i="28" a="1"/>
  <c r="N20" i="28"/>
  <c r="O20" i="28"/>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E33" i="28" a="1"/>
  <c r="E33" i="28"/>
  <c r="F33" i="28" a="1"/>
  <c r="F33" i="28"/>
  <c r="G33" i="28" a="1"/>
  <c r="M21" i="28"/>
  <c r="N21" i="28" a="1"/>
  <c r="N21" i="28"/>
  <c r="O21" i="28"/>
  <c r="H33" i="28" a="1"/>
  <c r="M22" i="28"/>
  <c r="N22" i="28" a="1"/>
  <c r="N22" i="28"/>
  <c r="O22" i="28"/>
  <c r="I33" i="28" a="1"/>
  <c r="M23" i="28"/>
  <c r="N23" i="28" a="1"/>
  <c r="N23" i="28"/>
  <c r="O23" i="28"/>
  <c r="J33" i="28" a="1"/>
  <c r="M24" i="28"/>
  <c r="N24" i="28" a="1"/>
  <c r="N24" i="28"/>
  <c r="O24" i="28"/>
  <c r="K33" i="28" a="1"/>
  <c r="M25" i="28"/>
  <c r="N25" i="28" a="1"/>
  <c r="N25" i="28"/>
  <c r="O25" i="28"/>
  <c r="L33" i="28" a="1"/>
  <c r="P20" i="28"/>
  <c r="M33" i="28" a="1"/>
  <c r="N33" i="28" a="1"/>
  <c r="O33" i="28" a="1"/>
  <c r="P21" i="28"/>
  <c r="P33" i="28" a="1"/>
  <c r="P22" i="28"/>
  <c r="Q33" i="28" a="1"/>
  <c r="P23" i="28"/>
  <c r="R33" i="28" a="1"/>
  <c r="P24" i="28"/>
  <c r="S33" i="28" a="1"/>
  <c r="P25" i="28"/>
  <c r="T33" i="28" a="1"/>
  <c r="Q20" i="28"/>
  <c r="U33" i="28" a="1"/>
  <c r="V33" i="28" a="1"/>
  <c r="W33" i="28" a="1"/>
  <c r="Q21" i="28"/>
  <c r="X33" i="28" a="1"/>
  <c r="Q22" i="28"/>
  <c r="Y33" i="28" a="1"/>
  <c r="Q23" i="28"/>
  <c r="Z33" i="28" a="1"/>
  <c r="Q24" i="28"/>
  <c r="AA33" i="28" a="1"/>
  <c r="Q25" i="28"/>
  <c r="AB33" i="28" a="1"/>
  <c r="R20" i="28"/>
  <c r="AC33" i="28" a="1"/>
  <c r="AD33" i="28" a="1"/>
  <c r="AE33" i="28" a="1"/>
  <c r="R21" i="28"/>
  <c r="AF33" i="28" a="1"/>
  <c r="R22" i="28"/>
  <c r="AG33" i="28" a="1"/>
  <c r="R23" i="28"/>
  <c r="AH33" i="28" a="1"/>
  <c r="R24" i="28"/>
  <c r="AI33" i="28" a="1"/>
  <c r="R25" i="28"/>
  <c r="AJ33" i="28" a="1"/>
  <c r="S20" i="28"/>
  <c r="AK33" i="28" a="1"/>
  <c r="AL33" i="28" a="1"/>
  <c r="AM33" i="28" a="1"/>
  <c r="S21" i="28"/>
  <c r="AN33" i="28" a="1"/>
  <c r="S22" i="28"/>
  <c r="AO33" i="28" a="1"/>
  <c r="S23" i="28"/>
  <c r="AP33" i="28" a="1"/>
  <c r="S24" i="28"/>
  <c r="AQ33" i="28" a="1"/>
  <c r="S25" i="28"/>
  <c r="AR33" i="28" a="1"/>
  <c r="T20" i="28"/>
  <c r="AS33" i="28" a="1"/>
  <c r="AT33" i="28" a="1"/>
  <c r="AU33" i="28" a="1"/>
  <c r="T21" i="28"/>
  <c r="AV33" i="28" a="1"/>
  <c r="T22" i="28"/>
  <c r="AW33" i="28" a="1"/>
  <c r="T23" i="28"/>
  <c r="AX33" i="28" a="1"/>
  <c r="T24" i="28"/>
  <c r="AY33" i="28" a="1"/>
  <c r="T25" i="28"/>
  <c r="AZ33" i="28" a="1"/>
  <c r="U20" i="28"/>
  <c r="BA33" i="28" a="1"/>
  <c r="BB33" i="28" a="1"/>
  <c r="BC33" i="28" a="1"/>
  <c r="U21" i="28"/>
  <c r="BD33" i="28" a="1"/>
  <c r="U22" i="28"/>
  <c r="BE33" i="28" a="1"/>
  <c r="U23" i="28"/>
  <c r="BF33" i="28" a="1"/>
  <c r="U24" i="28"/>
  <c r="BG33" i="28" a="1"/>
  <c r="U25" i="28"/>
  <c r="BH33" i="28" a="1"/>
  <c r="V20" i="28"/>
  <c r="BI33" i="28" a="1"/>
  <c r="BJ33" i="28" a="1"/>
  <c r="BK33" i="28" a="1"/>
  <c r="V21" i="28"/>
  <c r="BL33" i="28" a="1"/>
  <c r="V22" i="28"/>
  <c r="BM33" i="28" a="1"/>
  <c r="V23" i="28"/>
  <c r="BN33" i="28" a="1"/>
  <c r="V24" i="28"/>
  <c r="BO33" i="28" a="1"/>
  <c r="V25" i="28"/>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W22" i="28"/>
  <c r="E36" i="28" a="1"/>
  <c r="E36" i="28"/>
  <c r="F36" i="28" a="1"/>
  <c r="F36" i="28"/>
  <c r="G36" i="28" a="1"/>
  <c r="H36" i="28" a="1"/>
  <c r="I36" i="28" a="1"/>
  <c r="J36" i="28" a="1"/>
  <c r="K36" i="28" a="1"/>
  <c r="L36" i="28" a="1"/>
  <c r="M36" i="28" a="1"/>
  <c r="N36" i="28" a="1"/>
  <c r="O36" i="28" a="1"/>
  <c r="P36" i="28" a="1"/>
  <c r="Q36" i="28" a="1"/>
  <c r="R36" i="28" a="1"/>
  <c r="S36" i="28" a="1"/>
  <c r="T36" i="28" a="1"/>
  <c r="U36" i="28" a="1"/>
  <c r="V36" i="28" a="1"/>
  <c r="W36" i="28" a="1"/>
  <c r="X36" i="28" a="1"/>
  <c r="Y36" i="28" a="1"/>
  <c r="Z36" i="28" a="1"/>
  <c r="AA36" i="28" a="1"/>
  <c r="AB36" i="28" a="1"/>
  <c r="AC36" i="28" a="1"/>
  <c r="AD36" i="28" a="1"/>
  <c r="AE36" i="28" a="1"/>
  <c r="AF36" i="28" a="1"/>
  <c r="AG36" i="28" a="1"/>
  <c r="AH36" i="28" a="1"/>
  <c r="AI36" i="28" a="1"/>
  <c r="AJ36" i="28" a="1"/>
  <c r="AK36" i="28" a="1"/>
  <c r="AL36" i="28" a="1"/>
  <c r="AM36" i="28" a="1"/>
  <c r="AN36" i="28" a="1"/>
  <c r="AO36" i="28" a="1"/>
  <c r="AP36" i="28" a="1"/>
  <c r="AQ36" i="28" a="1"/>
  <c r="AR36" i="28" a="1"/>
  <c r="AS36" i="28" a="1"/>
  <c r="AT36" i="28" a="1"/>
  <c r="AU36" i="28" a="1"/>
  <c r="AV36" i="28" a="1"/>
  <c r="AW36" i="28" a="1"/>
  <c r="AX36" i="28" a="1"/>
  <c r="AY36" i="28" a="1"/>
  <c r="AZ36" i="28" a="1"/>
  <c r="BA36" i="28" a="1"/>
  <c r="BB36" i="28" a="1"/>
  <c r="BC36" i="28" a="1"/>
  <c r="BD36" i="28" a="1"/>
  <c r="BE36" i="28" a="1"/>
  <c r="BF36" i="28" a="1"/>
  <c r="BG36" i="28" a="1"/>
  <c r="BH36" i="28" a="1"/>
  <c r="BI36" i="28" a="1"/>
  <c r="BJ36" i="28" a="1"/>
  <c r="BK36" i="28" a="1"/>
  <c r="BL36" i="28" a="1"/>
  <c r="BM36" i="28" a="1"/>
  <c r="BN36" i="28" a="1"/>
  <c r="BO36" i="28" a="1"/>
  <c r="BP36" i="28" a="1"/>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AA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W23" i="28"/>
  <c r="E37" i="28" a="1"/>
  <c r="E37" i="28"/>
  <c r="F37" i="28" a="1"/>
  <c r="F37" i="28"/>
  <c r="G37" i="28" a="1"/>
  <c r="H37" i="28" a="1"/>
  <c r="I37" i="28" a="1"/>
  <c r="J37" i="28" a="1"/>
  <c r="K37" i="28" a="1"/>
  <c r="L37" i="28" a="1"/>
  <c r="M37" i="28" a="1"/>
  <c r="N37" i="28" a="1"/>
  <c r="O37" i="28" a="1"/>
  <c r="P37" i="28" a="1"/>
  <c r="Q37" i="28" a="1"/>
  <c r="R37" i="28" a="1"/>
  <c r="S37" i="28" a="1"/>
  <c r="T37" i="28" a="1"/>
  <c r="U37" i="28" a="1"/>
  <c r="V37" i="28" a="1"/>
  <c r="W37" i="28" a="1"/>
  <c r="X37" i="28" a="1"/>
  <c r="Y37" i="28" a="1"/>
  <c r="Z37" i="28" a="1"/>
  <c r="AA37" i="28" a="1"/>
  <c r="AB37" i="28" a="1"/>
  <c r="AC37" i="28" a="1"/>
  <c r="AD37" i="28" a="1"/>
  <c r="AE37" i="28" a="1"/>
  <c r="AF37" i="28" a="1"/>
  <c r="AG37" i="28" a="1"/>
  <c r="AH37" i="28" a="1"/>
  <c r="AI37" i="28" a="1"/>
  <c r="AJ37" i="28" a="1"/>
  <c r="AK37" i="28" a="1"/>
  <c r="AL37" i="28" a="1"/>
  <c r="AM37" i="28" a="1"/>
  <c r="AN37" i="28" a="1"/>
  <c r="AO37" i="28" a="1"/>
  <c r="AP37" i="28" a="1"/>
  <c r="AQ37" i="28" a="1"/>
  <c r="AR37" i="28" a="1"/>
  <c r="AS37" i="28" a="1"/>
  <c r="AT37" i="28" a="1"/>
  <c r="AU37" i="28" a="1"/>
  <c r="AV37" i="28" a="1"/>
  <c r="AW37" i="28" a="1"/>
  <c r="AX37" i="28" a="1"/>
  <c r="AY37" i="28" a="1"/>
  <c r="AZ37" i="28" a="1"/>
  <c r="BA37" i="28" a="1"/>
  <c r="BB37" i="28" a="1"/>
  <c r="BC37" i="28" a="1"/>
  <c r="BD37" i="28" a="1"/>
  <c r="BE37" i="28" a="1"/>
  <c r="BF37" i="28" a="1"/>
  <c r="BG37" i="28" a="1"/>
  <c r="BH37" i="28" a="1"/>
  <c r="BI37" i="28" a="1"/>
  <c r="BJ37" i="28" a="1"/>
  <c r="BK37" i="28" a="1"/>
  <c r="BL37" i="28" a="1"/>
  <c r="BM37" i="28" a="1"/>
  <c r="BN37" i="28" a="1"/>
  <c r="BO37" i="28" a="1"/>
  <c r="BP37" i="28" a="1"/>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AA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W24" i="28"/>
  <c r="E38" i="28" a="1"/>
  <c r="E38" i="28"/>
  <c r="F38" i="28" a="1"/>
  <c r="F38" i="28"/>
  <c r="G38" i="28" a="1"/>
  <c r="H38" i="28" a="1"/>
  <c r="I38" i="28" a="1"/>
  <c r="J38" i="28" a="1"/>
  <c r="K38" i="28" a="1"/>
  <c r="L38" i="28" a="1"/>
  <c r="M38" i="28" a="1"/>
  <c r="N38" i="28" a="1"/>
  <c r="O38" i="28" a="1"/>
  <c r="P38" i="28" a="1"/>
  <c r="Q38" i="28" a="1"/>
  <c r="R38" i="28" a="1"/>
  <c r="S38" i="28" a="1"/>
  <c r="T38" i="28" a="1"/>
  <c r="U38" i="28" a="1"/>
  <c r="V38" i="28" a="1"/>
  <c r="W38" i="28" a="1"/>
  <c r="X38" i="28" a="1"/>
  <c r="Y38" i="28" a="1"/>
  <c r="Z38" i="28" a="1"/>
  <c r="AA38" i="28" a="1"/>
  <c r="AB38" i="28" a="1"/>
  <c r="AC38" i="28" a="1"/>
  <c r="AD38" i="28" a="1"/>
  <c r="AE38" i="28" a="1"/>
  <c r="AF38" i="28" a="1"/>
  <c r="AG38" i="28" a="1"/>
  <c r="AH38" i="28" a="1"/>
  <c r="AI38" i="28" a="1"/>
  <c r="AJ38" i="28" a="1"/>
  <c r="AK38" i="28" a="1"/>
  <c r="AL38" i="28" a="1"/>
  <c r="AM38" i="28" a="1"/>
  <c r="AN38" i="28" a="1"/>
  <c r="AO38" i="28" a="1"/>
  <c r="AP38" i="28" a="1"/>
  <c r="AQ38" i="28" a="1"/>
  <c r="AR38" i="28" a="1"/>
  <c r="AS38" i="28" a="1"/>
  <c r="AT38" i="28" a="1"/>
  <c r="AU38" i="28" a="1"/>
  <c r="AV38" i="28" a="1"/>
  <c r="AW38" i="28" a="1"/>
  <c r="AX38" i="28" a="1"/>
  <c r="AY38" i="28" a="1"/>
  <c r="AZ38" i="28" a="1"/>
  <c r="BA38" i="28" a="1"/>
  <c r="BB38" i="28" a="1"/>
  <c r="BC38" i="28" a="1"/>
  <c r="BD38" i="28" a="1"/>
  <c r="BE38" i="28" a="1"/>
  <c r="BF38" i="28" a="1"/>
  <c r="BG38" i="28" a="1"/>
  <c r="BH38" i="28" a="1"/>
  <c r="BI38" i="28" a="1"/>
  <c r="BJ38" i="28" a="1"/>
  <c r="BK38" i="28" a="1"/>
  <c r="BL38" i="28" a="1"/>
  <c r="BM38" i="28" a="1"/>
  <c r="BN38" i="28" a="1"/>
  <c r="BO38" i="28" a="1"/>
  <c r="BP38" i="28" a="1"/>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AA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W25" i="28"/>
  <c r="AJ26" i="21"/>
  <c r="Y17" i="28"/>
  <c r="X17" i="28"/>
  <c r="AJ27" i="21"/>
  <c r="Y18" i="28"/>
  <c r="X18" i="28"/>
  <c r="AJ28" i="21"/>
  <c r="Y19" i="28"/>
  <c r="X19" i="28"/>
  <c r="X20" i="28"/>
  <c r="X21" i="28"/>
  <c r="X22" i="28"/>
  <c r="X23" i="28"/>
  <c r="X24" i="28"/>
  <c r="X25" i="28"/>
  <c r="E4" i="28"/>
  <c r="D4" i="28"/>
  <c r="E5" i="28"/>
  <c r="D5" i="28"/>
  <c r="E6" i="28"/>
  <c r="D6" i="28"/>
  <c r="E7" i="28"/>
  <c r="D7" i="28"/>
  <c r="E8" i="28"/>
  <c r="D8" i="28"/>
  <c r="E9" i="28"/>
  <c r="D9" i="28"/>
  <c r="E10" i="28"/>
  <c r="D10" i="28"/>
  <c r="E11" i="28"/>
  <c r="D11" i="28"/>
  <c r="E12" i="28"/>
  <c r="D12" i="28"/>
  <c r="C4" i="28"/>
  <c r="C5" i="28"/>
  <c r="AR5" i="28"/>
  <c r="AD28" i="21"/>
  <c r="C6" i="28"/>
  <c r="AR6" i="28"/>
  <c r="AD27" i="21"/>
  <c r="K4" i="27"/>
  <c r="K5" i="27"/>
  <c r="K6" i="27"/>
  <c r="K7" i="27"/>
  <c r="K8" i="27"/>
  <c r="K9" i="27"/>
  <c r="K10" i="27"/>
  <c r="K11" i="27"/>
  <c r="K12" i="27"/>
  <c r="K13" i="27"/>
  <c r="M4" i="27"/>
  <c r="N4" i="27"/>
  <c r="L4" i="27"/>
  <c r="K17" i="27"/>
  <c r="H4" i="27"/>
  <c r="G4" i="27"/>
  <c r="I4" i="27"/>
  <c r="J17" i="27"/>
  <c r="L17" i="27"/>
  <c r="M5" i="27"/>
  <c r="N5" i="27"/>
  <c r="L5" i="27"/>
  <c r="K18" i="27"/>
  <c r="H5" i="27"/>
  <c r="G5" i="27"/>
  <c r="I5" i="27"/>
  <c r="J18" i="27"/>
  <c r="L18" i="27"/>
  <c r="M6" i="27"/>
  <c r="N6" i="27"/>
  <c r="L6" i="27"/>
  <c r="K19" i="27"/>
  <c r="H6" i="27"/>
  <c r="G6" i="27"/>
  <c r="I6" i="27"/>
  <c r="J19" i="27"/>
  <c r="L19" i="27"/>
  <c r="M7" i="27"/>
  <c r="N7" i="27"/>
  <c r="L7" i="27"/>
  <c r="K20" i="27"/>
  <c r="Y64" i="27"/>
  <c r="Y70" i="27"/>
  <c r="Y76" i="27"/>
  <c r="X64" i="27"/>
  <c r="X70" i="27"/>
  <c r="X76" i="27"/>
  <c r="AH64" i="27"/>
  <c r="AH70" i="27"/>
  <c r="AH76" i="27"/>
  <c r="AG64" i="27"/>
  <c r="AG70" i="27"/>
  <c r="AG76" i="27"/>
  <c r="H7" i="27"/>
  <c r="G7" i="27"/>
  <c r="I7" i="27"/>
  <c r="J20" i="27"/>
  <c r="L20" i="27"/>
  <c r="M8" i="27"/>
  <c r="N8" i="27"/>
  <c r="L8" i="27"/>
  <c r="K21" i="27"/>
  <c r="H8" i="27"/>
  <c r="G8" i="27"/>
  <c r="I8" i="27"/>
  <c r="J21" i="27"/>
  <c r="L21" i="27"/>
  <c r="M9" i="27"/>
  <c r="N9" i="27"/>
  <c r="L9" i="27"/>
  <c r="K22" i="27"/>
  <c r="H9" i="27"/>
  <c r="G9" i="27"/>
  <c r="I9" i="27"/>
  <c r="J22" i="27"/>
  <c r="L22" i="27"/>
  <c r="M10" i="27"/>
  <c r="N10" i="27"/>
  <c r="L10" i="27"/>
  <c r="K23" i="27"/>
  <c r="H10" i="27"/>
  <c r="G10" i="27"/>
  <c r="I10" i="27"/>
  <c r="J23" i="27"/>
  <c r="L23" i="27"/>
  <c r="M11" i="27"/>
  <c r="N11" i="27"/>
  <c r="L11" i="27"/>
  <c r="K24" i="27"/>
  <c r="H11" i="27"/>
  <c r="G11" i="27"/>
  <c r="I11" i="27"/>
  <c r="J24" i="27"/>
  <c r="L24" i="27"/>
  <c r="M12" i="27"/>
  <c r="N12" i="27"/>
  <c r="L12" i="27"/>
  <c r="K25" i="27"/>
  <c r="H12" i="27"/>
  <c r="G12" i="27"/>
  <c r="I12" i="27"/>
  <c r="J25" i="27"/>
  <c r="L25" i="27"/>
  <c r="M17" i="27"/>
  <c r="N17" i="27" a="1"/>
  <c r="N17" i="27"/>
  <c r="O17" i="27"/>
  <c r="C17" i="27"/>
  <c r="E30" i="27" a="1"/>
  <c r="E30" i="27"/>
  <c r="F30" i="27" a="1"/>
  <c r="F30" i="27"/>
  <c r="G30" i="27" a="1"/>
  <c r="H30" i="27" a="1"/>
  <c r="I30" i="27" a="1"/>
  <c r="J30" i="27" a="1"/>
  <c r="K30" i="27" a="1"/>
  <c r="L30" i="27" a="1"/>
  <c r="P17" i="27"/>
  <c r="M30" i="27" a="1"/>
  <c r="N30" i="27" a="1"/>
  <c r="O30" i="27" a="1"/>
  <c r="P30" i="27" a="1"/>
  <c r="Q30" i="27" a="1"/>
  <c r="R30" i="27" a="1"/>
  <c r="S30" i="27" a="1"/>
  <c r="T30" i="27" a="1"/>
  <c r="Q17" i="27"/>
  <c r="U30" i="27" a="1"/>
  <c r="V30" i="27" a="1"/>
  <c r="W30" i="27" a="1"/>
  <c r="X30" i="27" a="1"/>
  <c r="Y30" i="27" a="1"/>
  <c r="Z30" i="27" a="1"/>
  <c r="AA30" i="27" a="1"/>
  <c r="AB30" i="27" a="1"/>
  <c r="R17" i="27"/>
  <c r="AC30" i="27" a="1"/>
  <c r="AD30" i="27" a="1"/>
  <c r="AE30" i="27" a="1"/>
  <c r="AF30" i="27" a="1"/>
  <c r="AG30" i="27" a="1"/>
  <c r="AH30" i="27" a="1"/>
  <c r="AI30" i="27" a="1"/>
  <c r="AJ30" i="27" a="1"/>
  <c r="S17" i="27"/>
  <c r="AK30" i="27" a="1"/>
  <c r="AL30" i="27" a="1"/>
  <c r="AM30" i="27" a="1"/>
  <c r="AN30" i="27" a="1"/>
  <c r="AO30" i="27" a="1"/>
  <c r="AP30" i="27" a="1"/>
  <c r="AQ30" i="27" a="1"/>
  <c r="AR30" i="27" a="1"/>
  <c r="T17" i="27"/>
  <c r="AS30" i="27" a="1"/>
  <c r="AT30" i="27" a="1"/>
  <c r="AU30" i="27" a="1"/>
  <c r="AV30" i="27" a="1"/>
  <c r="AW30" i="27" a="1"/>
  <c r="AX30" i="27" a="1"/>
  <c r="AY30" i="27" a="1"/>
  <c r="AZ30" i="27" a="1"/>
  <c r="U17" i="27"/>
  <c r="BA30" i="27" a="1"/>
  <c r="BB30" i="27" a="1"/>
  <c r="BC30" i="27" a="1"/>
  <c r="BD30" i="27" a="1"/>
  <c r="BE30" i="27" a="1"/>
  <c r="BF30" i="27" a="1"/>
  <c r="BG30" i="27" a="1"/>
  <c r="BH30" i="27" a="1"/>
  <c r="V17" i="27"/>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W17" i="27"/>
  <c r="M18" i="27"/>
  <c r="N18" i="27" a="1"/>
  <c r="N18" i="27"/>
  <c r="O18" i="27"/>
  <c r="C18" i="27"/>
  <c r="E31" i="27" a="1"/>
  <c r="E31" i="27"/>
  <c r="F31" i="27" a="1"/>
  <c r="F31" i="27"/>
  <c r="G31" i="27" a="1"/>
  <c r="H31" i="27" a="1"/>
  <c r="I31" i="27" a="1"/>
  <c r="J31" i="27" a="1"/>
  <c r="K31" i="27" a="1"/>
  <c r="L31" i="27" a="1"/>
  <c r="P18" i="27"/>
  <c r="M31" i="27" a="1"/>
  <c r="N31" i="27" a="1"/>
  <c r="O31" i="27" a="1"/>
  <c r="P31" i="27" a="1"/>
  <c r="Q31" i="27" a="1"/>
  <c r="R31" i="27" a="1"/>
  <c r="S31" i="27" a="1"/>
  <c r="T31" i="27" a="1"/>
  <c r="Q18" i="27"/>
  <c r="U31" i="27" a="1"/>
  <c r="V31" i="27" a="1"/>
  <c r="W31" i="27" a="1"/>
  <c r="X31" i="27" a="1"/>
  <c r="Y31" i="27" a="1"/>
  <c r="Z31" i="27" a="1"/>
  <c r="AA31" i="27" a="1"/>
  <c r="AB31" i="27" a="1"/>
  <c r="R18" i="27"/>
  <c r="AC31" i="27" a="1"/>
  <c r="AD31" i="27" a="1"/>
  <c r="AE31" i="27" a="1"/>
  <c r="AF31" i="27" a="1"/>
  <c r="AG31" i="27" a="1"/>
  <c r="AH31" i="27" a="1"/>
  <c r="AI31" i="27" a="1"/>
  <c r="AJ31" i="27" a="1"/>
  <c r="S18" i="27"/>
  <c r="AK31" i="27" a="1"/>
  <c r="AL31" i="27" a="1"/>
  <c r="AM31" i="27" a="1"/>
  <c r="AN31" i="27" a="1"/>
  <c r="AO31" i="27" a="1"/>
  <c r="AP31" i="27" a="1"/>
  <c r="AQ31" i="27" a="1"/>
  <c r="AR31" i="27" a="1"/>
  <c r="T18" i="27"/>
  <c r="AS31" i="27" a="1"/>
  <c r="AT31" i="27" a="1"/>
  <c r="AU31" i="27" a="1"/>
  <c r="AV31" i="27" a="1"/>
  <c r="AW31" i="27" a="1"/>
  <c r="AX31" i="27" a="1"/>
  <c r="AY31" i="27" a="1"/>
  <c r="AZ31" i="27" a="1"/>
  <c r="U18" i="27"/>
  <c r="BA31" i="27" a="1"/>
  <c r="BB31" i="27" a="1"/>
  <c r="BC31" i="27" a="1"/>
  <c r="BD31" i="27" a="1"/>
  <c r="BE31" i="27" a="1"/>
  <c r="BF31" i="27" a="1"/>
  <c r="BG31" i="27" a="1"/>
  <c r="BH31" i="27" a="1"/>
  <c r="V18" i="27"/>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W18" i="27"/>
  <c r="M19" i="27"/>
  <c r="N19" i="27" a="1"/>
  <c r="N19" i="27"/>
  <c r="O19" i="27"/>
  <c r="C19" i="27"/>
  <c r="E32" i="27" a="1"/>
  <c r="E32" i="27"/>
  <c r="F32" i="27" a="1"/>
  <c r="F32" i="27"/>
  <c r="G32" i="27" a="1"/>
  <c r="H32" i="27" a="1"/>
  <c r="I32" i="27" a="1"/>
  <c r="J32" i="27" a="1"/>
  <c r="K32" i="27" a="1"/>
  <c r="L32" i="27" a="1"/>
  <c r="P19" i="27"/>
  <c r="M32" i="27" a="1"/>
  <c r="N32" i="27" a="1"/>
  <c r="O32" i="27" a="1"/>
  <c r="P32" i="27" a="1"/>
  <c r="Q32" i="27" a="1"/>
  <c r="R32" i="27" a="1"/>
  <c r="S32" i="27" a="1"/>
  <c r="T32" i="27" a="1"/>
  <c r="Q19" i="27"/>
  <c r="U32" i="27" a="1"/>
  <c r="V32" i="27" a="1"/>
  <c r="W32" i="27" a="1"/>
  <c r="X32" i="27" a="1"/>
  <c r="Y32" i="27" a="1"/>
  <c r="Z32" i="27" a="1"/>
  <c r="AA32" i="27" a="1"/>
  <c r="AB32" i="27" a="1"/>
  <c r="R19" i="27"/>
  <c r="AC32" i="27" a="1"/>
  <c r="AD32" i="27" a="1"/>
  <c r="AE32" i="27" a="1"/>
  <c r="AF32" i="27" a="1"/>
  <c r="AG32" i="27" a="1"/>
  <c r="AH32" i="27" a="1"/>
  <c r="AI32" i="27" a="1"/>
  <c r="AJ32" i="27" a="1"/>
  <c r="S19" i="27"/>
  <c r="AK32" i="27" a="1"/>
  <c r="AL32" i="27" a="1"/>
  <c r="AM32" i="27" a="1"/>
  <c r="AN32" i="27" a="1"/>
  <c r="AO32" i="27" a="1"/>
  <c r="AP32" i="27" a="1"/>
  <c r="AQ32" i="27" a="1"/>
  <c r="AR32" i="27" a="1"/>
  <c r="T19" i="27"/>
  <c r="AS32" i="27" a="1"/>
  <c r="AT32" i="27" a="1"/>
  <c r="AU32" i="27" a="1"/>
  <c r="AV32" i="27" a="1"/>
  <c r="AW32" i="27" a="1"/>
  <c r="AX32" i="27" a="1"/>
  <c r="AY32" i="27" a="1"/>
  <c r="AZ32" i="27" a="1"/>
  <c r="U19" i="27"/>
  <c r="BA32" i="27" a="1"/>
  <c r="BB32" i="27" a="1"/>
  <c r="BC32" i="27" a="1"/>
  <c r="BD32" i="27" a="1"/>
  <c r="BE32" i="27" a="1"/>
  <c r="BF32" i="27" a="1"/>
  <c r="BG32" i="27" a="1"/>
  <c r="BH32" i="27" a="1"/>
  <c r="V19" i="27"/>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W19" i="27"/>
  <c r="M20" i="27"/>
  <c r="N20" i="27" a="1"/>
  <c r="N20" i="27"/>
  <c r="O20"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M21" i="27"/>
  <c r="N21" i="27" a="1"/>
  <c r="N21" i="27"/>
  <c r="O21" i="27"/>
  <c r="H33" i="27" a="1"/>
  <c r="M22" i="27"/>
  <c r="N22" i="27" a="1"/>
  <c r="N22" i="27"/>
  <c r="O22" i="27"/>
  <c r="I33" i="27" a="1"/>
  <c r="M23" i="27"/>
  <c r="N23" i="27" a="1"/>
  <c r="N23" i="27"/>
  <c r="O23" i="27"/>
  <c r="J33" i="27" a="1"/>
  <c r="M24" i="27"/>
  <c r="N24" i="27" a="1"/>
  <c r="N24" i="27"/>
  <c r="O24" i="27"/>
  <c r="K33" i="27" a="1"/>
  <c r="M25" i="27"/>
  <c r="N25" i="27" a="1"/>
  <c r="N25" i="27"/>
  <c r="O25" i="27"/>
  <c r="L33" i="27" a="1"/>
  <c r="P20" i="27"/>
  <c r="M33" i="27" a="1"/>
  <c r="N33" i="27" a="1"/>
  <c r="O33" i="27" a="1"/>
  <c r="P21" i="27"/>
  <c r="P33" i="27" a="1"/>
  <c r="P22" i="27"/>
  <c r="Q33" i="27" a="1"/>
  <c r="P23" i="27"/>
  <c r="R33" i="27" a="1"/>
  <c r="P24" i="27"/>
  <c r="S33" i="27" a="1"/>
  <c r="P25" i="27"/>
  <c r="T33" i="27" a="1"/>
  <c r="Q20" i="27"/>
  <c r="U33" i="27" a="1"/>
  <c r="V33" i="27" a="1"/>
  <c r="W33" i="27" a="1"/>
  <c r="Q21" i="27"/>
  <c r="X33" i="27" a="1"/>
  <c r="Q22" i="27"/>
  <c r="Y33" i="27" a="1"/>
  <c r="Q23" i="27"/>
  <c r="Z33" i="27" a="1"/>
  <c r="Q24" i="27"/>
  <c r="AA33" i="27" a="1"/>
  <c r="Q25" i="27"/>
  <c r="AB33" i="27" a="1"/>
  <c r="R20" i="27"/>
  <c r="AC33" i="27" a="1"/>
  <c r="AD33" i="27" a="1"/>
  <c r="AE33" i="27" a="1"/>
  <c r="R21" i="27"/>
  <c r="AF33" i="27" a="1"/>
  <c r="R22" i="27"/>
  <c r="AG33" i="27" a="1"/>
  <c r="R23" i="27"/>
  <c r="AH33" i="27" a="1"/>
  <c r="R24" i="27"/>
  <c r="AI33" i="27" a="1"/>
  <c r="R25" i="27"/>
  <c r="AJ33" i="27" a="1"/>
  <c r="S20" i="27"/>
  <c r="AK33" i="27" a="1"/>
  <c r="AL33" i="27" a="1"/>
  <c r="AM33" i="27" a="1"/>
  <c r="S21" i="27"/>
  <c r="AN33" i="27" a="1"/>
  <c r="S22" i="27"/>
  <c r="AO33" i="27" a="1"/>
  <c r="S23" i="27"/>
  <c r="AP33" i="27" a="1"/>
  <c r="S24" i="27"/>
  <c r="AQ33" i="27" a="1"/>
  <c r="S25" i="27"/>
  <c r="AR33" i="27" a="1"/>
  <c r="T20" i="27"/>
  <c r="AS33" i="27" a="1"/>
  <c r="AT33" i="27" a="1"/>
  <c r="AU33" i="27" a="1"/>
  <c r="T21" i="27"/>
  <c r="AV33" i="27" a="1"/>
  <c r="T22" i="27"/>
  <c r="AW33" i="27" a="1"/>
  <c r="T23" i="27"/>
  <c r="AX33" i="27" a="1"/>
  <c r="T24" i="27"/>
  <c r="AY33" i="27" a="1"/>
  <c r="T25" i="27"/>
  <c r="AZ33" i="27" a="1"/>
  <c r="U20" i="27"/>
  <c r="BA33" i="27" a="1"/>
  <c r="BB33" i="27" a="1"/>
  <c r="BC33" i="27" a="1"/>
  <c r="U21" i="27"/>
  <c r="BD33" i="27" a="1"/>
  <c r="U22" i="27"/>
  <c r="BE33" i="27" a="1"/>
  <c r="U23" i="27"/>
  <c r="BF33" i="27" a="1"/>
  <c r="U24" i="27"/>
  <c r="BG33" i="27" a="1"/>
  <c r="U25" i="27"/>
  <c r="BH33" i="27" a="1"/>
  <c r="V20" i="27"/>
  <c r="BI33" i="27" a="1"/>
  <c r="BJ33" i="27" a="1"/>
  <c r="BK33" i="27" a="1"/>
  <c r="V21" i="27"/>
  <c r="BL33" i="27" a="1"/>
  <c r="V22" i="27"/>
  <c r="BM33" i="27" a="1"/>
  <c r="V23" i="27"/>
  <c r="BN33" i="27" a="1"/>
  <c r="V24" i="27"/>
  <c r="BO33" i="27" a="1"/>
  <c r="V25" i="27"/>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W22" i="27"/>
  <c r="E36" i="27" a="1"/>
  <c r="E36" i="27"/>
  <c r="F36" i="27" a="1"/>
  <c r="F36" i="27"/>
  <c r="G36" i="27" a="1"/>
  <c r="H36" i="27" a="1"/>
  <c r="I36" i="27" a="1"/>
  <c r="J36" i="27" a="1"/>
  <c r="K36" i="27" a="1"/>
  <c r="L36" i="27" a="1"/>
  <c r="M36" i="27" a="1"/>
  <c r="N36" i="27" a="1"/>
  <c r="O36" i="27" a="1"/>
  <c r="P36" i="27" a="1"/>
  <c r="Q36" i="27" a="1"/>
  <c r="R36" i="27" a="1"/>
  <c r="S36" i="27" a="1"/>
  <c r="T36" i="27" a="1"/>
  <c r="U36" i="27" a="1"/>
  <c r="V36" i="27" a="1"/>
  <c r="W36" i="27" a="1"/>
  <c r="X36" i="27" a="1"/>
  <c r="Y36" i="27" a="1"/>
  <c r="Z36" i="27" a="1"/>
  <c r="AA36" i="27" a="1"/>
  <c r="AB36" i="27" a="1"/>
  <c r="AC36" i="27" a="1"/>
  <c r="AD36" i="27" a="1"/>
  <c r="AE36" i="27" a="1"/>
  <c r="AF36" i="27" a="1"/>
  <c r="AG36" i="27" a="1"/>
  <c r="AH36" i="27" a="1"/>
  <c r="AI36" i="27" a="1"/>
  <c r="AJ36" i="27" a="1"/>
  <c r="AK36" i="27" a="1"/>
  <c r="AL36" i="27" a="1"/>
  <c r="AM36" i="27" a="1"/>
  <c r="AN36" i="27" a="1"/>
  <c r="AO36" i="27" a="1"/>
  <c r="AP36" i="27" a="1"/>
  <c r="AQ36" i="27" a="1"/>
  <c r="AR36" i="27" a="1"/>
  <c r="AS36" i="27" a="1"/>
  <c r="AT36" i="27" a="1"/>
  <c r="AU36" i="27" a="1"/>
  <c r="AV36" i="27" a="1"/>
  <c r="AW36" i="27" a="1"/>
  <c r="AX36" i="27" a="1"/>
  <c r="AY36" i="27" a="1"/>
  <c r="AZ36" i="27" a="1"/>
  <c r="BA36" i="27" a="1"/>
  <c r="BB36" i="27" a="1"/>
  <c r="BC36" i="27" a="1"/>
  <c r="BD36" i="27" a="1"/>
  <c r="BE36" i="27" a="1"/>
  <c r="BF36" i="27" a="1"/>
  <c r="BG36" i="27" a="1"/>
  <c r="BH36" i="27" a="1"/>
  <c r="BI36" i="27" a="1"/>
  <c r="BJ36" i="27" a="1"/>
  <c r="BK36" i="27" a="1"/>
  <c r="BL36" i="27" a="1"/>
  <c r="BM36" i="27" a="1"/>
  <c r="BN36" i="27" a="1"/>
  <c r="BO36" i="27" a="1"/>
  <c r="BP36" i="27" a="1"/>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AA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W23" i="27"/>
  <c r="E37" i="27" a="1"/>
  <c r="E37" i="27"/>
  <c r="F37" i="27" a="1"/>
  <c r="F37" i="27"/>
  <c r="G37" i="27" a="1"/>
  <c r="H37" i="27" a="1"/>
  <c r="I37" i="27" a="1"/>
  <c r="J37" i="27" a="1"/>
  <c r="K37" i="27" a="1"/>
  <c r="L37" i="27" a="1"/>
  <c r="M37" i="27" a="1"/>
  <c r="N37" i="27" a="1"/>
  <c r="O37" i="27" a="1"/>
  <c r="P37" i="27" a="1"/>
  <c r="Q37" i="27" a="1"/>
  <c r="R37" i="27" a="1"/>
  <c r="S37" i="27" a="1"/>
  <c r="T37" i="27" a="1"/>
  <c r="U37" i="27" a="1"/>
  <c r="V37" i="27" a="1"/>
  <c r="W37" i="27" a="1"/>
  <c r="X37" i="27" a="1"/>
  <c r="Y37" i="27" a="1"/>
  <c r="Z37" i="27" a="1"/>
  <c r="AA37" i="27" a="1"/>
  <c r="AB37" i="27" a="1"/>
  <c r="AC37" i="27" a="1"/>
  <c r="AD37" i="27" a="1"/>
  <c r="AE37" i="27" a="1"/>
  <c r="AF37" i="27" a="1"/>
  <c r="AG37" i="27" a="1"/>
  <c r="AH37" i="27" a="1"/>
  <c r="AI37" i="27" a="1"/>
  <c r="AJ37" i="27" a="1"/>
  <c r="AK37" i="27" a="1"/>
  <c r="AL37" i="27" a="1"/>
  <c r="AM37" i="27" a="1"/>
  <c r="AN37" i="27" a="1"/>
  <c r="AO37" i="27" a="1"/>
  <c r="AP37" i="27" a="1"/>
  <c r="AQ37" i="27" a="1"/>
  <c r="AR37" i="27" a="1"/>
  <c r="AS37" i="27" a="1"/>
  <c r="AT37" i="27" a="1"/>
  <c r="AU37" i="27" a="1"/>
  <c r="AV37" i="27" a="1"/>
  <c r="AW37" i="27" a="1"/>
  <c r="AX37" i="27" a="1"/>
  <c r="AY37" i="27" a="1"/>
  <c r="AZ37" i="27" a="1"/>
  <c r="BA37" i="27" a="1"/>
  <c r="BB37" i="27" a="1"/>
  <c r="BC37" i="27" a="1"/>
  <c r="BD37" i="27" a="1"/>
  <c r="BE37" i="27" a="1"/>
  <c r="BF37" i="27" a="1"/>
  <c r="BG37" i="27" a="1"/>
  <c r="BH37" i="27" a="1"/>
  <c r="BI37" i="27" a="1"/>
  <c r="BJ37" i="27" a="1"/>
  <c r="BK37" i="27" a="1"/>
  <c r="BL37" i="27" a="1"/>
  <c r="BM37" i="27" a="1"/>
  <c r="BN37" i="27" a="1"/>
  <c r="BO37" i="27" a="1"/>
  <c r="BP37" i="27" a="1"/>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AA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W24" i="27"/>
  <c r="E38" i="27" a="1"/>
  <c r="E38" i="27"/>
  <c r="F38" i="27" a="1"/>
  <c r="F38" i="27"/>
  <c r="G38" i="27" a="1"/>
  <c r="H38" i="27" a="1"/>
  <c r="I38" i="27" a="1"/>
  <c r="J38" i="27" a="1"/>
  <c r="K38" i="27" a="1"/>
  <c r="L38" i="27" a="1"/>
  <c r="M38" i="27" a="1"/>
  <c r="N38" i="27" a="1"/>
  <c r="O38" i="27" a="1"/>
  <c r="P38" i="27" a="1"/>
  <c r="Q38" i="27" a="1"/>
  <c r="R38" i="27" a="1"/>
  <c r="S38" i="27" a="1"/>
  <c r="T38" i="27" a="1"/>
  <c r="U38" i="27" a="1"/>
  <c r="V38" i="27" a="1"/>
  <c r="W38" i="27" a="1"/>
  <c r="X38" i="27" a="1"/>
  <c r="Y38" i="27" a="1"/>
  <c r="Z38" i="27" a="1"/>
  <c r="AA38" i="27" a="1"/>
  <c r="AB38" i="27" a="1"/>
  <c r="AC38" i="27" a="1"/>
  <c r="AD38" i="27" a="1"/>
  <c r="AE38" i="27" a="1"/>
  <c r="AF38" i="27" a="1"/>
  <c r="AG38" i="27" a="1"/>
  <c r="AH38" i="27" a="1"/>
  <c r="AI38" i="27" a="1"/>
  <c r="AJ38" i="27" a="1"/>
  <c r="AK38" i="27" a="1"/>
  <c r="AL38" i="27" a="1"/>
  <c r="AM38" i="27" a="1"/>
  <c r="AN38" i="27" a="1"/>
  <c r="AO38" i="27" a="1"/>
  <c r="AP38" i="27" a="1"/>
  <c r="AQ38" i="27" a="1"/>
  <c r="AR38" i="27" a="1"/>
  <c r="AS38" i="27" a="1"/>
  <c r="AT38" i="27" a="1"/>
  <c r="AU38" i="27" a="1"/>
  <c r="AV38" i="27" a="1"/>
  <c r="AW38" i="27" a="1"/>
  <c r="AX38" i="27" a="1"/>
  <c r="AY38" i="27" a="1"/>
  <c r="AZ38" i="27" a="1"/>
  <c r="BA38" i="27" a="1"/>
  <c r="BB38" i="27" a="1"/>
  <c r="BC38" i="27" a="1"/>
  <c r="BD38" i="27" a="1"/>
  <c r="BE38" i="27" a="1"/>
  <c r="BF38" i="27" a="1"/>
  <c r="BG38" i="27" a="1"/>
  <c r="BH38" i="27" a="1"/>
  <c r="BI38" i="27" a="1"/>
  <c r="BJ38" i="27" a="1"/>
  <c r="BK38" i="27" a="1"/>
  <c r="BL38" i="27" a="1"/>
  <c r="BM38" i="27" a="1"/>
  <c r="BN38" i="27" a="1"/>
  <c r="BO38" i="27" a="1"/>
  <c r="BP38" i="27" a="1"/>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AA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W25" i="27"/>
  <c r="AJ19" i="21"/>
  <c r="Y17" i="27"/>
  <c r="X17" i="27"/>
  <c r="AJ20" i="21"/>
  <c r="Y18" i="27"/>
  <c r="X18" i="27"/>
  <c r="AJ21" i="21"/>
  <c r="Y19" i="27"/>
  <c r="X19" i="27"/>
  <c r="X20" i="27"/>
  <c r="X21" i="27"/>
  <c r="X22" i="27"/>
  <c r="X23" i="27"/>
  <c r="X24" i="27"/>
  <c r="X25" i="27"/>
  <c r="E4" i="27"/>
  <c r="D4" i="27"/>
  <c r="E5" i="27"/>
  <c r="D5" i="27"/>
  <c r="E6" i="27"/>
  <c r="D6" i="27"/>
  <c r="E7" i="27"/>
  <c r="D7" i="27"/>
  <c r="E8" i="27"/>
  <c r="D8" i="27"/>
  <c r="E9" i="27"/>
  <c r="D9" i="27"/>
  <c r="E10" i="27"/>
  <c r="D10" i="27"/>
  <c r="E11" i="27"/>
  <c r="D11" i="27"/>
  <c r="E12" i="27"/>
  <c r="D12" i="27"/>
  <c r="C4" i="27"/>
  <c r="C5" i="27"/>
  <c r="C6" i="27"/>
  <c r="AR4" i="27"/>
  <c r="AR5" i="27"/>
  <c r="AR6" i="27"/>
  <c r="C7" i="27"/>
  <c r="AR7" i="27"/>
  <c r="C8" i="27"/>
  <c r="AR8" i="27"/>
  <c r="C9" i="27"/>
  <c r="AR9" i="27"/>
  <c r="C10" i="27"/>
  <c r="AR10" i="27"/>
  <c r="C11" i="27"/>
  <c r="AR11" i="27"/>
  <c r="C12" i="27"/>
  <c r="AR12" i="27"/>
  <c r="AD21" i="21"/>
  <c r="AD20" i="21"/>
  <c r="C5" i="26"/>
  <c r="C6" i="26"/>
  <c r="AR5" i="26"/>
  <c r="AR6" i="26"/>
  <c r="C7" i="26"/>
  <c r="AR7" i="26"/>
  <c r="C8" i="26"/>
  <c r="AR8" i="26"/>
  <c r="C9" i="26"/>
  <c r="AR9" i="26"/>
  <c r="C10" i="26"/>
  <c r="AR10" i="26"/>
  <c r="C11" i="26"/>
  <c r="AR11" i="26"/>
  <c r="C12" i="26"/>
  <c r="AR12" i="26"/>
  <c r="AD14" i="21"/>
  <c r="AD13" i="21"/>
  <c r="AD47" i="21"/>
  <c r="AD40" i="21"/>
  <c r="AR4" i="29"/>
  <c r="AD33" i="21"/>
  <c r="AR4" i="28"/>
  <c r="AD26" i="21"/>
  <c r="AD19" i="21"/>
  <c r="AD12" i="21"/>
  <c r="AD46" i="21"/>
  <c r="AD39" i="21"/>
  <c r="AD32" i="21"/>
  <c r="AD25" i="21"/>
  <c r="AD18" i="21"/>
  <c r="AD11" i="21"/>
  <c r="AC37" i="6"/>
  <c r="AC36" i="6"/>
  <c r="AC35" i="6"/>
  <c r="AC34" i="6"/>
  <c r="AC33" i="6"/>
  <c r="AC32" i="6"/>
  <c r="AC27" i="6"/>
  <c r="AC26" i="6"/>
  <c r="AC25" i="6"/>
  <c r="AC24" i="6"/>
  <c r="AC23" i="6"/>
  <c r="AC22" i="6"/>
  <c r="Z18" i="3"/>
  <c r="Z21" i="3"/>
  <c r="AC17" i="6"/>
  <c r="AC16" i="6"/>
  <c r="AC15" i="6"/>
  <c r="AC14" i="6"/>
  <c r="AC13" i="6"/>
  <c r="AC12" i="6"/>
  <c r="AC31" i="6"/>
  <c r="AC21" i="6"/>
  <c r="F6" i="44"/>
  <c r="F7" i="44"/>
  <c r="F8" i="44"/>
  <c r="F9" i="44"/>
  <c r="F10" i="44"/>
  <c r="F11" i="44"/>
  <c r="F12" i="44"/>
  <c r="F13" i="44"/>
  <c r="B13" i="44"/>
  <c r="Y64" i="44"/>
  <c r="Y73" i="44"/>
  <c r="Y81" i="44"/>
  <c r="X64" i="44"/>
  <c r="X65" i="44"/>
  <c r="X73" i="44"/>
  <c r="X81" i="44"/>
  <c r="AH64" i="44"/>
  <c r="AH65" i="44"/>
  <c r="AH73" i="44"/>
  <c r="AH81" i="44"/>
  <c r="AG64" i="44"/>
  <c r="AG65" i="44"/>
  <c r="AG73" i="44"/>
  <c r="AG81" i="44"/>
  <c r="H12" i="44"/>
  <c r="Y65" i="44"/>
  <c r="G12" i="44"/>
  <c r="I12" i="44"/>
  <c r="AR12" i="44"/>
  <c r="N12" i="44"/>
  <c r="M12" i="44"/>
  <c r="L12" i="44"/>
  <c r="K25" i="44"/>
  <c r="J25" i="44"/>
  <c r="M4" i="44"/>
  <c r="N4" i="44"/>
  <c r="L4" i="44"/>
  <c r="K17" i="44"/>
  <c r="H4" i="44"/>
  <c r="G4" i="44"/>
  <c r="I4" i="44"/>
  <c r="J17" i="44"/>
  <c r="M5" i="44"/>
  <c r="N5" i="44"/>
  <c r="L5" i="44"/>
  <c r="K18" i="44"/>
  <c r="H5" i="44"/>
  <c r="G5" i="44"/>
  <c r="I5" i="44"/>
  <c r="J18" i="44"/>
  <c r="M6" i="44"/>
  <c r="N6" i="44"/>
  <c r="L6" i="44"/>
  <c r="K19" i="44"/>
  <c r="H6" i="44"/>
  <c r="G6" i="44"/>
  <c r="I6" i="44"/>
  <c r="J19" i="44"/>
  <c r="M7" i="44"/>
  <c r="N7" i="44"/>
  <c r="L7" i="44"/>
  <c r="K20" i="44"/>
  <c r="H7" i="44"/>
  <c r="G7" i="44"/>
  <c r="I7" i="44"/>
  <c r="J20" i="44"/>
  <c r="M8" i="44"/>
  <c r="N8" i="44"/>
  <c r="L8" i="44"/>
  <c r="K21" i="44"/>
  <c r="H8" i="44"/>
  <c r="G8" i="44"/>
  <c r="I8" i="44"/>
  <c r="J21" i="44"/>
  <c r="M9" i="44"/>
  <c r="N9" i="44"/>
  <c r="L9" i="44"/>
  <c r="K22" i="44"/>
  <c r="H9" i="44"/>
  <c r="G9" i="44"/>
  <c r="I9" i="44"/>
  <c r="J22" i="44"/>
  <c r="M10" i="44"/>
  <c r="N10" i="44"/>
  <c r="L10" i="44"/>
  <c r="K23" i="44"/>
  <c r="H10" i="44"/>
  <c r="G10" i="44"/>
  <c r="I10" i="44"/>
  <c r="J23" i="44"/>
  <c r="M11" i="44"/>
  <c r="N11" i="44"/>
  <c r="L11" i="44"/>
  <c r="K24" i="44"/>
  <c r="H11" i="44"/>
  <c r="G11" i="44"/>
  <c r="I11" i="44"/>
  <c r="J24" i="44"/>
  <c r="AR11" i="44"/>
  <c r="AR10" i="44"/>
  <c r="AR9" i="44"/>
  <c r="AR8" i="44"/>
  <c r="AR7" i="44"/>
  <c r="AR6" i="44"/>
  <c r="AR5" i="44"/>
  <c r="AR4" i="44"/>
  <c r="F8" i="43"/>
  <c r="F9" i="43"/>
  <c r="F10" i="43"/>
  <c r="F11" i="43"/>
  <c r="F12" i="43"/>
  <c r="F13" i="43"/>
  <c r="B13" i="43"/>
  <c r="F8" i="42"/>
  <c r="F9" i="42"/>
  <c r="F10" i="42"/>
  <c r="F11" i="42"/>
  <c r="F12" i="42"/>
  <c r="F13" i="42"/>
  <c r="B13" i="42"/>
  <c r="F8" i="41"/>
  <c r="F9" i="41"/>
  <c r="F10" i="41"/>
  <c r="F11" i="41"/>
  <c r="F12" i="41"/>
  <c r="F13" i="41"/>
  <c r="B13" i="41"/>
  <c r="F7" i="31"/>
  <c r="F8" i="31"/>
  <c r="F9" i="31"/>
  <c r="F10" i="31"/>
  <c r="F11" i="31"/>
  <c r="F12" i="31"/>
  <c r="F13" i="31"/>
  <c r="B13" i="31"/>
  <c r="Y64" i="31"/>
  <c r="Y70" i="31"/>
  <c r="Y76" i="31"/>
  <c r="X64" i="31"/>
  <c r="X70" i="31"/>
  <c r="X76" i="31"/>
  <c r="AH64" i="31"/>
  <c r="AH70" i="31"/>
  <c r="AH76" i="31"/>
  <c r="AG64" i="31"/>
  <c r="AG70" i="31"/>
  <c r="AG76" i="31"/>
  <c r="H12" i="31"/>
  <c r="G12" i="31"/>
  <c r="I12" i="31"/>
  <c r="AR12" i="31"/>
  <c r="N12" i="31"/>
  <c r="M12" i="31"/>
  <c r="L12" i="31"/>
  <c r="K25" i="31"/>
  <c r="J25" i="31"/>
  <c r="L25" i="31"/>
  <c r="M4" i="31"/>
  <c r="N4" i="31"/>
  <c r="L4" i="31"/>
  <c r="K17" i="31"/>
  <c r="H4" i="31"/>
  <c r="G4" i="31"/>
  <c r="I4" i="31"/>
  <c r="J17" i="31"/>
  <c r="L17" i="31"/>
  <c r="M5" i="31"/>
  <c r="N5" i="31"/>
  <c r="L5" i="31"/>
  <c r="K18" i="31"/>
  <c r="H5" i="31"/>
  <c r="G5" i="31"/>
  <c r="I5" i="31"/>
  <c r="J18" i="31"/>
  <c r="L18" i="31"/>
  <c r="M6" i="31"/>
  <c r="N6" i="31"/>
  <c r="L6" i="31"/>
  <c r="K19" i="31"/>
  <c r="H6" i="31"/>
  <c r="G6" i="31"/>
  <c r="I6" i="31"/>
  <c r="J19" i="31"/>
  <c r="L19" i="31"/>
  <c r="M7" i="31"/>
  <c r="N7" i="31"/>
  <c r="L7" i="31"/>
  <c r="K20" i="31"/>
  <c r="H7" i="31"/>
  <c r="G7" i="31"/>
  <c r="I7" i="31"/>
  <c r="J20" i="31"/>
  <c r="L20" i="31"/>
  <c r="M8" i="31"/>
  <c r="N8" i="31"/>
  <c r="L8" i="31"/>
  <c r="K21" i="31"/>
  <c r="H8" i="31"/>
  <c r="G8" i="31"/>
  <c r="I8" i="31"/>
  <c r="J21" i="31"/>
  <c r="L21" i="31"/>
  <c r="M9" i="31"/>
  <c r="N9" i="31"/>
  <c r="L9" i="31"/>
  <c r="K22" i="31"/>
  <c r="H9" i="31"/>
  <c r="G9" i="31"/>
  <c r="I9" i="31"/>
  <c r="J22" i="31"/>
  <c r="L22" i="31"/>
  <c r="M10" i="31"/>
  <c r="N10" i="31"/>
  <c r="L10" i="31"/>
  <c r="K23" i="31"/>
  <c r="H10" i="31"/>
  <c r="G10" i="31"/>
  <c r="I10" i="31"/>
  <c r="J23" i="31"/>
  <c r="L23" i="31"/>
  <c r="M11" i="31"/>
  <c r="N11" i="31"/>
  <c r="L11" i="31"/>
  <c r="K24" i="31"/>
  <c r="H11" i="31"/>
  <c r="G11" i="31"/>
  <c r="I11" i="31"/>
  <c r="J24" i="31"/>
  <c r="L24" i="31"/>
  <c r="M25" i="31"/>
  <c r="N25" i="31" a="1"/>
  <c r="N25" i="31"/>
  <c r="O25" i="31"/>
  <c r="AR11" i="31"/>
  <c r="M24" i="31"/>
  <c r="N24" i="31" a="1"/>
  <c r="N24" i="31"/>
  <c r="O24" i="31"/>
  <c r="AR10" i="31"/>
  <c r="M23" i="31"/>
  <c r="N23" i="31" a="1"/>
  <c r="N23" i="31"/>
  <c r="O23" i="31"/>
  <c r="AR9" i="31"/>
  <c r="M22" i="31"/>
  <c r="N22" i="31" a="1"/>
  <c r="N22" i="31"/>
  <c r="O22" i="31"/>
  <c r="AR8" i="31"/>
  <c r="M21" i="31"/>
  <c r="N21" i="31" a="1"/>
  <c r="N21" i="31"/>
  <c r="O21" i="31"/>
  <c r="AR7" i="31"/>
  <c r="M20" i="31"/>
  <c r="N20" i="31" a="1"/>
  <c r="N20" i="31"/>
  <c r="O20" i="31"/>
  <c r="AR6" i="31"/>
  <c r="M19" i="31"/>
  <c r="N19" i="31" a="1"/>
  <c r="N19" i="31"/>
  <c r="C19" i="31"/>
  <c r="O19" i="31"/>
  <c r="AR5" i="31"/>
  <c r="M18" i="31"/>
  <c r="N18" i="31" a="1"/>
  <c r="N18" i="31"/>
  <c r="C18" i="31"/>
  <c r="O18" i="31"/>
  <c r="AR4" i="31"/>
  <c r="M17" i="31"/>
  <c r="N17" i="31" a="1"/>
  <c r="N17" i="31"/>
  <c r="C17" i="31"/>
  <c r="O17" i="31"/>
  <c r="F7" i="30"/>
  <c r="F8" i="30"/>
  <c r="F9" i="30"/>
  <c r="F10" i="30"/>
  <c r="F11" i="30"/>
  <c r="F12" i="30"/>
  <c r="F13" i="30"/>
  <c r="B13" i="30"/>
  <c r="AR12" i="30"/>
  <c r="AR11" i="30"/>
  <c r="AR10" i="30"/>
  <c r="AR9" i="30"/>
  <c r="AR8" i="30"/>
  <c r="AR7" i="30"/>
  <c r="F7" i="29"/>
  <c r="F8" i="29"/>
  <c r="F9" i="29"/>
  <c r="F10" i="29"/>
  <c r="F11" i="29"/>
  <c r="F12" i="29"/>
  <c r="F13" i="29"/>
  <c r="B13" i="29"/>
  <c r="AR12" i="29"/>
  <c r="AR11" i="29"/>
  <c r="AR10" i="29"/>
  <c r="AR9" i="29"/>
  <c r="AR8" i="29"/>
  <c r="AR7" i="29"/>
  <c r="F7" i="28"/>
  <c r="F8" i="28"/>
  <c r="F9" i="28"/>
  <c r="F10" i="28"/>
  <c r="F11" i="28"/>
  <c r="F12" i="28"/>
  <c r="F13" i="28"/>
  <c r="B13" i="28"/>
  <c r="AR12" i="28"/>
  <c r="AR11" i="28"/>
  <c r="AR10" i="28"/>
  <c r="AR9" i="28"/>
  <c r="AR8" i="28"/>
  <c r="AR7" i="28"/>
  <c r="F7" i="27"/>
  <c r="F8" i="27"/>
  <c r="F9" i="27"/>
  <c r="F10" i="27"/>
  <c r="F11" i="27"/>
  <c r="F12" i="27"/>
  <c r="F13" i="27"/>
  <c r="B13" i="27"/>
  <c r="F7" i="48"/>
  <c r="F8" i="48"/>
  <c r="F9" i="48"/>
  <c r="F10" i="48"/>
  <c r="F11" i="48"/>
  <c r="F12" i="48"/>
  <c r="F13" i="48"/>
  <c r="F14" i="48"/>
  <c r="B13" i="48"/>
  <c r="B13" i="17"/>
  <c r="B13" i="25"/>
  <c r="B14" i="48"/>
  <c r="Y94" i="48"/>
  <c r="Y95" i="48"/>
  <c r="Y96" i="48"/>
  <c r="Y97" i="48"/>
  <c r="Y98" i="48"/>
  <c r="Y99" i="48"/>
  <c r="Y100" i="48"/>
  <c r="Y101" i="48"/>
  <c r="Y102" i="48"/>
  <c r="Y103" i="48"/>
  <c r="Y104" i="48"/>
  <c r="Y105" i="48"/>
  <c r="Y106" i="48"/>
  <c r="Y107" i="48"/>
  <c r="Y108" i="48"/>
  <c r="X94" i="48"/>
  <c r="X95" i="48"/>
  <c r="X96" i="48"/>
  <c r="X97" i="48"/>
  <c r="X98" i="48"/>
  <c r="X99" i="48"/>
  <c r="X100" i="48"/>
  <c r="X101" i="48"/>
  <c r="X102" i="48"/>
  <c r="X103" i="48"/>
  <c r="X104" i="48"/>
  <c r="X105" i="48"/>
  <c r="X106" i="48"/>
  <c r="X107" i="48"/>
  <c r="X108" i="48"/>
  <c r="AH94" i="48"/>
  <c r="AH95" i="48"/>
  <c r="AH96" i="48"/>
  <c r="AH97" i="48"/>
  <c r="AH98" i="48"/>
  <c r="AH99" i="48"/>
  <c r="AH100" i="48"/>
  <c r="AH101" i="48"/>
  <c r="AH102" i="48"/>
  <c r="AH103" i="48"/>
  <c r="AH104" i="48"/>
  <c r="AH105" i="48"/>
  <c r="AH106" i="48"/>
  <c r="AH107" i="48"/>
  <c r="AH108" i="48"/>
  <c r="AG94" i="48"/>
  <c r="AG95" i="48"/>
  <c r="AG96" i="48"/>
  <c r="AG97" i="48"/>
  <c r="AG98" i="48"/>
  <c r="AG99" i="48"/>
  <c r="AG100" i="48"/>
  <c r="AG101" i="48"/>
  <c r="AG102" i="48"/>
  <c r="AG103" i="48"/>
  <c r="AG104" i="48"/>
  <c r="AG105" i="48"/>
  <c r="AG106" i="48"/>
  <c r="AG107" i="48"/>
  <c r="AG108" i="48"/>
  <c r="H12" i="48"/>
  <c r="G12" i="48"/>
  <c r="I12" i="48"/>
  <c r="AR12" i="48"/>
  <c r="N12" i="48"/>
  <c r="M12" i="48"/>
  <c r="L12" i="48"/>
  <c r="K25" i="48"/>
  <c r="J25" i="48"/>
  <c r="H25" i="48"/>
  <c r="L25" i="48"/>
  <c r="M4" i="48"/>
  <c r="N4" i="48"/>
  <c r="L4" i="48"/>
  <c r="K17" i="48"/>
  <c r="H4" i="48"/>
  <c r="G4" i="48"/>
  <c r="I4" i="48"/>
  <c r="J17" i="48"/>
  <c r="H17" i="48"/>
  <c r="L17" i="48"/>
  <c r="M5" i="48"/>
  <c r="N5" i="48"/>
  <c r="L5" i="48"/>
  <c r="K18" i="48"/>
  <c r="H5" i="48"/>
  <c r="G5" i="48"/>
  <c r="I5" i="48"/>
  <c r="J18" i="48"/>
  <c r="H18" i="48"/>
  <c r="L18" i="48"/>
  <c r="M6" i="48"/>
  <c r="N6" i="48"/>
  <c r="L6" i="48"/>
  <c r="K19" i="48"/>
  <c r="H6" i="48"/>
  <c r="G6" i="48"/>
  <c r="I6" i="48"/>
  <c r="J19" i="48"/>
  <c r="H19" i="48"/>
  <c r="L19" i="48"/>
  <c r="M7" i="48"/>
  <c r="N7" i="48"/>
  <c r="L7" i="48"/>
  <c r="K20" i="48"/>
  <c r="H7" i="48"/>
  <c r="G7" i="48"/>
  <c r="I7" i="48"/>
  <c r="J20" i="48"/>
  <c r="H20" i="48"/>
  <c r="L20" i="48"/>
  <c r="M8" i="48"/>
  <c r="N8" i="48"/>
  <c r="L8" i="48"/>
  <c r="K21" i="48"/>
  <c r="H8" i="48"/>
  <c r="G8" i="48"/>
  <c r="I8" i="48"/>
  <c r="J21" i="48"/>
  <c r="H21" i="48"/>
  <c r="L21" i="48"/>
  <c r="M9" i="48"/>
  <c r="N9" i="48"/>
  <c r="L9" i="48"/>
  <c r="K22" i="48"/>
  <c r="H9" i="48"/>
  <c r="G9" i="48"/>
  <c r="I9" i="48"/>
  <c r="J22" i="48"/>
  <c r="H22" i="48"/>
  <c r="L22" i="48"/>
  <c r="M10" i="48"/>
  <c r="N10" i="48"/>
  <c r="L10" i="48"/>
  <c r="K23" i="48"/>
  <c r="H10" i="48"/>
  <c r="G10" i="48"/>
  <c r="I10" i="48"/>
  <c r="J23" i="48"/>
  <c r="H23" i="48"/>
  <c r="L23" i="48"/>
  <c r="M11" i="48"/>
  <c r="N11" i="48"/>
  <c r="L11" i="48"/>
  <c r="K24" i="48"/>
  <c r="H11" i="48"/>
  <c r="G11" i="48"/>
  <c r="I11" i="48"/>
  <c r="J24" i="48"/>
  <c r="H24" i="48"/>
  <c r="L24" i="48"/>
  <c r="M17" i="48"/>
  <c r="N17" i="48" a="1"/>
  <c r="N17" i="48"/>
  <c r="C17" i="48"/>
  <c r="O17" i="48"/>
  <c r="M18" i="48"/>
  <c r="N18" i="48" a="1"/>
  <c r="N18" i="48"/>
  <c r="C18" i="48"/>
  <c r="O18" i="48"/>
  <c r="M19" i="48"/>
  <c r="N19" i="48" a="1"/>
  <c r="N19" i="48"/>
  <c r="C19" i="48"/>
  <c r="O19" i="48"/>
  <c r="AR11" i="48"/>
  <c r="AR10" i="48"/>
  <c r="AR9" i="48"/>
  <c r="AR8" i="48"/>
  <c r="AR7" i="48"/>
  <c r="AR6" i="48"/>
  <c r="AR5" i="48"/>
  <c r="AR4" i="48"/>
  <c r="F7" i="47"/>
  <c r="F8" i="47"/>
  <c r="F9" i="47"/>
  <c r="F10" i="47"/>
  <c r="F11" i="47"/>
  <c r="F12" i="47"/>
  <c r="F13" i="47"/>
  <c r="F14" i="47"/>
  <c r="B13" i="47"/>
  <c r="B14" i="47"/>
  <c r="F7" i="46"/>
  <c r="F8" i="46"/>
  <c r="F9" i="46"/>
  <c r="F10" i="46"/>
  <c r="F11" i="46"/>
  <c r="F12" i="46"/>
  <c r="F13" i="46"/>
  <c r="F14" i="46"/>
  <c r="B13" i="46"/>
  <c r="B14" i="46"/>
  <c r="AR12" i="46"/>
  <c r="C12" i="46"/>
  <c r="AR11" i="46"/>
  <c r="C11" i="46"/>
  <c r="AR10" i="46"/>
  <c r="C10" i="46"/>
  <c r="AR9" i="46"/>
  <c r="C9" i="46"/>
  <c r="AR8" i="46"/>
  <c r="C8" i="46"/>
  <c r="AR7" i="46"/>
  <c r="C7" i="46"/>
  <c r="F7" i="33"/>
  <c r="F8" i="33"/>
  <c r="F9" i="33"/>
  <c r="F10" i="33"/>
  <c r="F11" i="33"/>
  <c r="F12" i="33"/>
  <c r="F13" i="33"/>
  <c r="F14" i="33"/>
  <c r="B13" i="33"/>
  <c r="B14" i="33"/>
  <c r="AR12" i="33"/>
  <c r="C12" i="33"/>
  <c r="AR11" i="33"/>
  <c r="C11" i="33"/>
  <c r="AR10" i="33"/>
  <c r="C10" i="33"/>
  <c r="AR9" i="33"/>
  <c r="C9" i="33"/>
  <c r="AR8" i="33"/>
  <c r="C8" i="33"/>
  <c r="AR7" i="33"/>
  <c r="C7" i="33"/>
  <c r="F7" i="37"/>
  <c r="F8" i="37"/>
  <c r="F9" i="37"/>
  <c r="F10" i="37"/>
  <c r="F11" i="37"/>
  <c r="F12" i="37"/>
  <c r="F13" i="37"/>
  <c r="F14" i="37"/>
  <c r="B13" i="37"/>
  <c r="B14" i="37"/>
  <c r="AR12" i="45"/>
  <c r="AR11" i="45"/>
  <c r="AR10" i="45"/>
  <c r="AR9" i="45"/>
  <c r="AR8" i="45"/>
  <c r="AR7" i="45"/>
  <c r="F12" i="25"/>
  <c r="F10" i="25"/>
  <c r="F11" i="25"/>
  <c r="AD17" i="25"/>
  <c r="AD18" i="25"/>
  <c r="AD19" i="25"/>
  <c r="AD20" i="25"/>
  <c r="AD21" i="25"/>
  <c r="AD22" i="25"/>
  <c r="AD23" i="25"/>
  <c r="AD24" i="25"/>
  <c r="AD25" i="25"/>
  <c r="F12" i="17"/>
  <c r="F10" i="17"/>
  <c r="F11" i="17"/>
  <c r="AD17" i="17"/>
  <c r="AD18" i="17"/>
  <c r="AD19" i="17"/>
  <c r="AD20" i="17"/>
  <c r="AD21" i="17"/>
  <c r="AD22" i="17"/>
  <c r="AD23" i="17"/>
  <c r="AD24" i="17"/>
  <c r="AD25" i="17"/>
  <c r="AC11" i="6"/>
  <c r="F12" i="3"/>
  <c r="F10" i="3"/>
  <c r="F11" i="3"/>
  <c r="AD17" i="3"/>
  <c r="AD18" i="3"/>
  <c r="AD19" i="3"/>
  <c r="AD20" i="3"/>
  <c r="AD21" i="3"/>
  <c r="AD22" i="3"/>
  <c r="AD23" i="3"/>
  <c r="AD24" i="3"/>
  <c r="AD25" i="3"/>
  <c r="B13" i="3"/>
  <c r="B14" i="3"/>
  <c r="E80" i="9"/>
  <c r="AD11" i="36"/>
  <c r="AD11" i="24"/>
  <c r="E120" i="9"/>
  <c r="F37" i="49"/>
  <c r="F24" i="49"/>
  <c r="E121" i="9"/>
  <c r="F10" i="49"/>
  <c r="F11" i="49"/>
  <c r="C4" i="9"/>
  <c r="E101" i="9"/>
  <c r="BY51" i="3"/>
  <c r="BZ51" i="3"/>
  <c r="CA51" i="3"/>
  <c r="BR58" i="3"/>
  <c r="BR59" i="3"/>
  <c r="BR60" i="3"/>
  <c r="BY29" i="3"/>
  <c r="BR36" i="3"/>
  <c r="BZ29" i="3"/>
  <c r="BR37" i="3"/>
  <c r="CA29" i="3"/>
  <c r="BR38" i="3"/>
  <c r="X12" i="49"/>
  <c r="Y12" i="49"/>
  <c r="Z12" i="49"/>
  <c r="AA12" i="49"/>
  <c r="AE17" i="3"/>
  <c r="AE18" i="3"/>
  <c r="AE19" i="3"/>
  <c r="AE20" i="3"/>
  <c r="AE21" i="3"/>
  <c r="AE22" i="3"/>
  <c r="AE23" i="3"/>
  <c r="AE24" i="3"/>
  <c r="AE25" i="3"/>
  <c r="AF17" i="3"/>
  <c r="AF18" i="3"/>
  <c r="AF19" i="3"/>
  <c r="AF20" i="3"/>
  <c r="AF21" i="3"/>
  <c r="AF22" i="3"/>
  <c r="AF23" i="3"/>
  <c r="AF24" i="3"/>
  <c r="AF25" i="3"/>
  <c r="BY51" i="17"/>
  <c r="BZ51" i="17"/>
  <c r="CA51" i="17"/>
  <c r="BR58" i="17"/>
  <c r="BR59" i="17"/>
  <c r="BR60" i="17"/>
  <c r="BY29" i="17"/>
  <c r="BR36" i="17"/>
  <c r="BZ29" i="17"/>
  <c r="BR37" i="17"/>
  <c r="CA29" i="17"/>
  <c r="BR38" i="17"/>
  <c r="AE17" i="17"/>
  <c r="AE18" i="17"/>
  <c r="AE19" i="17"/>
  <c r="AE20" i="17"/>
  <c r="AE21" i="17"/>
  <c r="AE22" i="17"/>
  <c r="AE23" i="17"/>
  <c r="AE24" i="17"/>
  <c r="AE25" i="17"/>
  <c r="AF17" i="17"/>
  <c r="AF18" i="17"/>
  <c r="AF19" i="17"/>
  <c r="AF20" i="17"/>
  <c r="AF21" i="17"/>
  <c r="AF22" i="17"/>
  <c r="AF23" i="17"/>
  <c r="AF24" i="17"/>
  <c r="AF25" i="17"/>
  <c r="BY51" i="25"/>
  <c r="BZ51" i="25"/>
  <c r="CA51" i="25"/>
  <c r="BR58" i="25"/>
  <c r="BR59" i="25"/>
  <c r="BR60" i="25"/>
  <c r="BY29" i="25"/>
  <c r="BR36" i="25"/>
  <c r="BZ29" i="25"/>
  <c r="BR37" i="25"/>
  <c r="CA29" i="25"/>
  <c r="BR38" i="25"/>
  <c r="AE17" i="25"/>
  <c r="AE18" i="25"/>
  <c r="AE19" i="25"/>
  <c r="AE20" i="25"/>
  <c r="AE21" i="25"/>
  <c r="AE22" i="25"/>
  <c r="AE23" i="25"/>
  <c r="AE24" i="25"/>
  <c r="AE25" i="25"/>
  <c r="AF17" i="25"/>
  <c r="AF18" i="25"/>
  <c r="AF19" i="25"/>
  <c r="AF20" i="25"/>
  <c r="AF21" i="25"/>
  <c r="AF22" i="25"/>
  <c r="AF23" i="25"/>
  <c r="AF24" i="25"/>
  <c r="AF25" i="25"/>
  <c r="BR55" i="37"/>
  <c r="BW51" i="37"/>
  <c r="BW55" i="37"/>
  <c r="BX51" i="37"/>
  <c r="BX55" i="37"/>
  <c r="BY51" i="37"/>
  <c r="BY55" i="37"/>
  <c r="BZ51" i="37"/>
  <c r="BZ55" i="37"/>
  <c r="CA51" i="37"/>
  <c r="CA55" i="37"/>
  <c r="BR56" i="37"/>
  <c r="BV51" i="37"/>
  <c r="BV56" i="37"/>
  <c r="BX56" i="37"/>
  <c r="BY56" i="37"/>
  <c r="BZ56" i="37"/>
  <c r="CA56" i="37"/>
  <c r="BR57" i="37"/>
  <c r="BV57" i="37"/>
  <c r="BW57" i="37"/>
  <c r="BY57" i="37"/>
  <c r="BZ57" i="37"/>
  <c r="CA57" i="37"/>
  <c r="BR58" i="37"/>
  <c r="BV58" i="37"/>
  <c r="BW58" i="37"/>
  <c r="BX58" i="37"/>
  <c r="BZ58" i="37"/>
  <c r="CA58" i="37"/>
  <c r="BR59" i="37"/>
  <c r="BV59" i="37"/>
  <c r="BW59" i="37"/>
  <c r="BX59" i="37"/>
  <c r="BY59" i="37"/>
  <c r="CA59" i="37"/>
  <c r="BR60" i="37"/>
  <c r="BV60" i="37"/>
  <c r="BW60" i="37"/>
  <c r="BX60" i="37"/>
  <c r="BY60" i="37"/>
  <c r="BZ60" i="37"/>
  <c r="BR33" i="37"/>
  <c r="BW29" i="37"/>
  <c r="BW33" i="37"/>
  <c r="BR34" i="37"/>
  <c r="BV29" i="37"/>
  <c r="BV34" i="37"/>
  <c r="BW44" i="37"/>
  <c r="BX29" i="37"/>
  <c r="BX33" i="37"/>
  <c r="BR35" i="37"/>
  <c r="BV35" i="37"/>
  <c r="BX44" i="37"/>
  <c r="BY29" i="37"/>
  <c r="BY33" i="37"/>
  <c r="BR36" i="37"/>
  <c r="BV36" i="37"/>
  <c r="BY44" i="37"/>
  <c r="BZ29" i="37"/>
  <c r="BZ33" i="37"/>
  <c r="BR37" i="37"/>
  <c r="BV37" i="37"/>
  <c r="BZ44" i="37"/>
  <c r="CA29" i="37"/>
  <c r="CA33" i="37"/>
  <c r="BR38" i="37"/>
  <c r="BV38" i="37"/>
  <c r="CA44" i="37"/>
  <c r="BV45" i="37"/>
  <c r="BX34" i="37"/>
  <c r="BW35" i="37"/>
  <c r="BX45" i="37"/>
  <c r="BY34" i="37"/>
  <c r="BW36" i="37"/>
  <c r="BY45" i="37"/>
  <c r="BZ34" i="37"/>
  <c r="BW37" i="37"/>
  <c r="BZ45" i="37"/>
  <c r="CA34" i="37"/>
  <c r="BW38" i="37"/>
  <c r="CA45" i="37"/>
  <c r="BV46" i="37"/>
  <c r="BW46" i="37"/>
  <c r="BY35" i="37"/>
  <c r="BX36" i="37"/>
  <c r="BY46" i="37"/>
  <c r="BZ35" i="37"/>
  <c r="BX37" i="37"/>
  <c r="BZ46" i="37"/>
  <c r="CA35" i="37"/>
  <c r="BX38" i="37"/>
  <c r="CA46" i="37"/>
  <c r="BV47" i="37"/>
  <c r="BW47" i="37"/>
  <c r="BX47" i="37"/>
  <c r="BZ36" i="37"/>
  <c r="BY37" i="37"/>
  <c r="BZ47" i="37"/>
  <c r="CA36" i="37"/>
  <c r="BY38" i="37"/>
  <c r="CA47" i="37"/>
  <c r="BV48" i="37"/>
  <c r="BW48" i="37"/>
  <c r="BX48" i="37"/>
  <c r="BY48" i="37"/>
  <c r="CA37" i="37"/>
  <c r="BZ38" i="37"/>
  <c r="CA48" i="37"/>
  <c r="BV49" i="37"/>
  <c r="BW49" i="37"/>
  <c r="BX49" i="37"/>
  <c r="BY49" i="37"/>
  <c r="BZ49" i="37"/>
  <c r="AE20" i="37"/>
  <c r="AE21" i="37"/>
  <c r="AE22" i="37"/>
  <c r="E81" i="9"/>
  <c r="R11" i="36"/>
  <c r="E79" i="9"/>
  <c r="O11" i="36"/>
  <c r="E78" i="9"/>
  <c r="L11" i="36"/>
  <c r="S17" i="36"/>
  <c r="S16" i="36"/>
  <c r="S13" i="36"/>
  <c r="S12" i="36"/>
  <c r="BR55" i="33"/>
  <c r="BW51" i="33"/>
  <c r="BW55" i="33"/>
  <c r="BX51" i="33"/>
  <c r="BX55" i="33"/>
  <c r="BY51" i="33"/>
  <c r="BY55" i="33"/>
  <c r="BZ51" i="33"/>
  <c r="BZ55" i="33"/>
  <c r="CA51" i="33"/>
  <c r="CA55" i="33"/>
  <c r="BR56" i="33"/>
  <c r="BV51" i="33"/>
  <c r="BV56" i="33"/>
  <c r="BX56" i="33"/>
  <c r="BY56" i="33"/>
  <c r="BZ56" i="33"/>
  <c r="CA56" i="33"/>
  <c r="BR57" i="33"/>
  <c r="BV57" i="33"/>
  <c r="BW57" i="33"/>
  <c r="BY57" i="33"/>
  <c r="BZ57" i="33"/>
  <c r="CA57" i="33"/>
  <c r="BR58" i="33"/>
  <c r="BV58" i="33"/>
  <c r="BW58" i="33"/>
  <c r="BX58" i="33"/>
  <c r="BZ58" i="33"/>
  <c r="CA58" i="33"/>
  <c r="BR59" i="33"/>
  <c r="BV59" i="33"/>
  <c r="BW59" i="33"/>
  <c r="BX59" i="33"/>
  <c r="BY59" i="33"/>
  <c r="CA59" i="33"/>
  <c r="BR60" i="33"/>
  <c r="BV60" i="33"/>
  <c r="BW60" i="33"/>
  <c r="BX60" i="33"/>
  <c r="BY60" i="33"/>
  <c r="BZ60" i="33"/>
  <c r="BR33" i="33"/>
  <c r="BW29" i="33"/>
  <c r="BW33" i="33"/>
  <c r="BR34" i="33"/>
  <c r="BV29" i="33"/>
  <c r="BV34" i="33"/>
  <c r="BW44" i="33"/>
  <c r="BX29" i="33"/>
  <c r="BX33" i="33"/>
  <c r="BR35" i="33"/>
  <c r="BV35" i="33"/>
  <c r="BX44" i="33"/>
  <c r="BY29" i="33"/>
  <c r="BY33" i="33"/>
  <c r="BR36" i="33"/>
  <c r="BV36" i="33"/>
  <c r="BY44" i="33"/>
  <c r="BZ29" i="33"/>
  <c r="BZ33" i="33"/>
  <c r="BR37" i="33"/>
  <c r="BV37" i="33"/>
  <c r="BZ44" i="33"/>
  <c r="CA29" i="33"/>
  <c r="CA33" i="33"/>
  <c r="BR38" i="33"/>
  <c r="BV38" i="33"/>
  <c r="CA44" i="33"/>
  <c r="BV45" i="33"/>
  <c r="BX34" i="33"/>
  <c r="BW35" i="33"/>
  <c r="BX45" i="33"/>
  <c r="BY34" i="33"/>
  <c r="BW36" i="33"/>
  <c r="BY45" i="33"/>
  <c r="BZ34" i="33"/>
  <c r="BW37" i="33"/>
  <c r="BZ45" i="33"/>
  <c r="CA34" i="33"/>
  <c r="BW38" i="33"/>
  <c r="CA45" i="33"/>
  <c r="BV46" i="33"/>
  <c r="BW46" i="33"/>
  <c r="BY35" i="33"/>
  <c r="BX36" i="33"/>
  <c r="BY46" i="33"/>
  <c r="BZ35" i="33"/>
  <c r="BX37" i="33"/>
  <c r="BZ46" i="33"/>
  <c r="CA35" i="33"/>
  <c r="BX38" i="33"/>
  <c r="CA46" i="33"/>
  <c r="BV47" i="33"/>
  <c r="BW47" i="33"/>
  <c r="BX47" i="33"/>
  <c r="BZ36" i="33"/>
  <c r="BY37" i="33"/>
  <c r="BZ47" i="33"/>
  <c r="CA36" i="33"/>
  <c r="BY38" i="33"/>
  <c r="CA47" i="33"/>
  <c r="BV48" i="33"/>
  <c r="BW48" i="33"/>
  <c r="BX48" i="33"/>
  <c r="BY48" i="33"/>
  <c r="CA37" i="33"/>
  <c r="BZ38" i="33"/>
  <c r="CA48" i="33"/>
  <c r="BV49" i="33"/>
  <c r="BW49" i="33"/>
  <c r="BX49" i="33"/>
  <c r="BY49" i="33"/>
  <c r="BZ49" i="33"/>
  <c r="AE20" i="33"/>
  <c r="AE21" i="33"/>
  <c r="AE22" i="33"/>
  <c r="R11" i="24"/>
  <c r="O11" i="24"/>
  <c r="L11" i="24"/>
  <c r="S21" i="24"/>
  <c r="S20" i="24"/>
  <c r="S18" i="24"/>
  <c r="S17" i="24"/>
  <c r="S15" i="24"/>
  <c r="S14" i="24"/>
  <c r="S13" i="24"/>
  <c r="S12" i="24"/>
  <c r="F12" i="45"/>
  <c r="BR60" i="45"/>
  <c r="F11" i="45"/>
  <c r="BZ51" i="45"/>
  <c r="F10" i="45"/>
  <c r="BY51" i="45"/>
  <c r="F9" i="45"/>
  <c r="BX51" i="45"/>
  <c r="F8" i="45"/>
  <c r="BW51" i="45"/>
  <c r="F7" i="45"/>
  <c r="BV51" i="45"/>
  <c r="X13" i="49"/>
  <c r="Y13" i="49"/>
  <c r="Z13" i="49"/>
  <c r="AA13" i="49"/>
  <c r="BR59" i="45"/>
  <c r="CA51" i="45"/>
  <c r="BR58" i="45"/>
  <c r="BR57" i="45"/>
  <c r="BR56" i="45"/>
  <c r="BR55" i="45"/>
  <c r="BR37" i="45"/>
  <c r="CA29" i="45"/>
  <c r="BR38" i="45"/>
  <c r="BZ29" i="45"/>
  <c r="BR36" i="45"/>
  <c r="BY29" i="45"/>
  <c r="BR35" i="45"/>
  <c r="BX29" i="45"/>
  <c r="BR34" i="45"/>
  <c r="BW29" i="45"/>
  <c r="BR33" i="45"/>
  <c r="BV29" i="45"/>
  <c r="BR49" i="45"/>
  <c r="C25" i="45"/>
  <c r="BR48" i="45"/>
  <c r="C24" i="45"/>
  <c r="BR47" i="45"/>
  <c r="C23" i="45"/>
  <c r="BR46" i="45"/>
  <c r="C22" i="45"/>
  <c r="BR45" i="45"/>
  <c r="C21" i="45"/>
  <c r="BR44" i="45"/>
  <c r="C20" i="45"/>
  <c r="CA40" i="45"/>
  <c r="BZ40" i="45"/>
  <c r="BY40" i="45"/>
  <c r="BX40" i="45"/>
  <c r="BW40" i="45"/>
  <c r="BV40" i="45"/>
  <c r="C38" i="45"/>
  <c r="C37" i="45"/>
  <c r="C36" i="45"/>
  <c r="C35" i="45"/>
  <c r="C34" i="45"/>
  <c r="C33" i="45"/>
  <c r="AE25" i="45"/>
  <c r="AE20" i="45"/>
  <c r="AE21" i="45"/>
  <c r="AE22" i="45"/>
  <c r="AE23" i="45"/>
  <c r="AE24" i="45"/>
  <c r="I25" i="45"/>
  <c r="H25" i="45"/>
  <c r="G25" i="45"/>
  <c r="F25" i="45"/>
  <c r="E25" i="45"/>
  <c r="D25" i="45"/>
  <c r="I24" i="45"/>
  <c r="H24" i="45"/>
  <c r="G24" i="45"/>
  <c r="F24" i="45"/>
  <c r="E24" i="45"/>
  <c r="D24" i="45"/>
  <c r="I23" i="45"/>
  <c r="H23" i="45"/>
  <c r="G23" i="45"/>
  <c r="F23" i="45"/>
  <c r="E23" i="45"/>
  <c r="D23" i="45"/>
  <c r="I22" i="45"/>
  <c r="H22" i="45"/>
  <c r="G22" i="45"/>
  <c r="F22" i="45"/>
  <c r="E22" i="45"/>
  <c r="D22" i="45"/>
  <c r="I21" i="45"/>
  <c r="H21" i="45"/>
  <c r="G21" i="45"/>
  <c r="F21" i="45"/>
  <c r="E21" i="45"/>
  <c r="D21" i="45"/>
  <c r="I20" i="45"/>
  <c r="H20" i="45"/>
  <c r="G20" i="45"/>
  <c r="F20" i="45"/>
  <c r="E20" i="45"/>
  <c r="D20" i="45"/>
  <c r="AB207" i="48"/>
  <c r="Z207" i="48"/>
  <c r="AB206" i="48"/>
  <c r="Z206" i="48"/>
  <c r="AB205" i="48"/>
  <c r="Z205" i="48"/>
  <c r="AB204" i="48"/>
  <c r="Z204" i="48"/>
  <c r="AB203" i="48"/>
  <c r="Z203" i="48"/>
  <c r="AB202" i="48"/>
  <c r="Z202" i="48"/>
  <c r="AB201" i="48"/>
  <c r="Z201" i="48"/>
  <c r="AB200" i="48"/>
  <c r="Z200" i="48"/>
  <c r="AB199" i="48"/>
  <c r="Z199" i="48"/>
  <c r="AB198" i="48"/>
  <c r="Z198" i="48"/>
  <c r="AB197" i="48"/>
  <c r="Z197" i="48"/>
  <c r="AB196" i="48"/>
  <c r="Z196" i="48"/>
  <c r="AB195" i="48"/>
  <c r="Z195" i="48"/>
  <c r="AB194" i="48"/>
  <c r="Z194" i="48"/>
  <c r="AB193" i="48"/>
  <c r="Z193" i="48"/>
  <c r="AB192" i="48"/>
  <c r="Z192" i="48"/>
  <c r="AB191" i="48"/>
  <c r="Z191" i="48"/>
  <c r="AB190" i="48"/>
  <c r="Z190" i="48"/>
  <c r="AB189" i="48"/>
  <c r="Z189" i="48"/>
  <c r="AB188" i="48"/>
  <c r="Z188" i="48"/>
  <c r="AB187" i="48"/>
  <c r="Z187" i="48"/>
  <c r="AB186" i="48"/>
  <c r="Z186" i="48"/>
  <c r="AB185" i="48"/>
  <c r="Z185" i="48"/>
  <c r="AB184" i="48"/>
  <c r="Z184" i="48"/>
  <c r="AB183" i="48"/>
  <c r="Z183" i="48"/>
  <c r="AB182" i="48"/>
  <c r="Z182" i="48"/>
  <c r="AB181" i="48"/>
  <c r="Z181" i="48"/>
  <c r="AI180" i="48"/>
  <c r="AA180" i="48"/>
  <c r="AB180" i="48"/>
  <c r="Z180" i="48"/>
  <c r="AI179" i="48"/>
  <c r="AA179" i="48"/>
  <c r="AB179" i="48"/>
  <c r="Z179" i="48"/>
  <c r="AI178" i="48"/>
  <c r="AA178" i="48"/>
  <c r="AB178" i="48"/>
  <c r="Z178" i="48"/>
  <c r="AI177" i="48"/>
  <c r="AA177" i="48"/>
  <c r="AB177" i="48"/>
  <c r="Z177" i="48"/>
  <c r="AI176" i="48"/>
  <c r="AA176" i="48"/>
  <c r="AB176" i="48"/>
  <c r="Z176" i="48"/>
  <c r="AI175" i="48"/>
  <c r="AA175" i="48"/>
  <c r="AB175" i="48"/>
  <c r="Z175" i="48"/>
  <c r="AI174" i="48"/>
  <c r="AA174" i="48"/>
  <c r="AB174" i="48"/>
  <c r="Z174" i="48"/>
  <c r="AI173" i="48"/>
  <c r="AA173" i="48"/>
  <c r="AB173" i="48"/>
  <c r="Z173" i="48"/>
  <c r="AI172" i="48"/>
  <c r="AA172" i="48"/>
  <c r="AB172" i="48"/>
  <c r="Z172" i="48"/>
  <c r="AI171" i="48"/>
  <c r="AA171" i="48"/>
  <c r="AB171" i="48"/>
  <c r="Z171" i="48"/>
  <c r="AI170" i="48"/>
  <c r="AA170" i="48"/>
  <c r="AB170" i="48"/>
  <c r="Z170" i="48"/>
  <c r="AI169" i="48"/>
  <c r="AA169" i="48"/>
  <c r="AB169" i="48"/>
  <c r="Z169" i="48"/>
  <c r="AI168" i="48"/>
  <c r="AA168" i="48"/>
  <c r="AB168" i="48"/>
  <c r="Z168" i="48"/>
  <c r="AI167" i="48"/>
  <c r="AA167" i="48"/>
  <c r="AB167" i="48"/>
  <c r="Z167" i="48"/>
  <c r="AI166" i="48"/>
  <c r="AA166" i="48"/>
  <c r="AB166" i="48"/>
  <c r="Z166" i="48"/>
  <c r="AI165" i="48"/>
  <c r="AA165" i="48"/>
  <c r="AB165" i="48"/>
  <c r="Z165" i="48"/>
  <c r="AI164" i="48"/>
  <c r="AA164" i="48"/>
  <c r="AB164" i="48"/>
  <c r="Z164" i="48"/>
  <c r="AI163" i="48"/>
  <c r="AA163" i="48"/>
  <c r="AB163" i="48"/>
  <c r="Z163" i="48"/>
  <c r="AI162" i="48"/>
  <c r="AA162" i="48"/>
  <c r="AB162" i="48"/>
  <c r="Z162" i="48"/>
  <c r="AI161" i="48"/>
  <c r="AA161" i="48"/>
  <c r="AB161" i="48"/>
  <c r="Z161" i="48"/>
  <c r="AI160" i="48"/>
  <c r="AA160" i="48"/>
  <c r="AB160" i="48"/>
  <c r="Z160" i="48"/>
  <c r="AI159" i="48"/>
  <c r="AA159" i="48"/>
  <c r="AB159" i="48"/>
  <c r="Z159" i="48"/>
  <c r="AI158" i="48"/>
  <c r="AA158" i="48"/>
  <c r="AB158" i="48"/>
  <c r="Z158" i="48"/>
  <c r="AI157" i="48"/>
  <c r="AA157" i="48"/>
  <c r="AB157" i="48"/>
  <c r="Z157" i="48"/>
  <c r="AI156" i="48"/>
  <c r="AA156" i="48"/>
  <c r="AB156" i="48"/>
  <c r="Z156" i="48"/>
  <c r="AI155" i="48"/>
  <c r="AA155" i="48"/>
  <c r="AB155" i="48"/>
  <c r="Z155" i="48"/>
  <c r="AI154" i="48"/>
  <c r="AA154" i="48"/>
  <c r="AB154" i="48"/>
  <c r="Z154" i="48"/>
  <c r="AI153" i="48"/>
  <c r="AA153" i="48"/>
  <c r="AB153" i="48"/>
  <c r="Z153" i="48"/>
  <c r="AI152" i="48"/>
  <c r="AA152" i="48"/>
  <c r="AB152" i="48"/>
  <c r="Z152" i="48"/>
  <c r="AI151" i="48"/>
  <c r="AA151" i="48"/>
  <c r="AB151" i="48"/>
  <c r="Z151" i="48"/>
  <c r="AI150" i="48"/>
  <c r="AA150" i="48"/>
  <c r="AB150" i="48"/>
  <c r="Z150" i="48"/>
  <c r="AI149" i="48"/>
  <c r="AA149" i="48"/>
  <c r="AB149" i="48"/>
  <c r="Z149" i="48"/>
  <c r="AI148" i="48"/>
  <c r="AA148" i="48"/>
  <c r="AB148" i="48"/>
  <c r="Z148" i="48"/>
  <c r="AI147" i="48"/>
  <c r="AA147" i="48"/>
  <c r="AB147" i="48"/>
  <c r="Z147" i="48"/>
  <c r="AI146" i="48"/>
  <c r="AA146" i="48"/>
  <c r="AB146" i="48"/>
  <c r="Z146" i="48"/>
  <c r="AI145" i="48"/>
  <c r="AA145" i="48"/>
  <c r="AB145" i="48"/>
  <c r="Z145" i="48"/>
  <c r="AI144" i="48"/>
  <c r="AA144" i="48"/>
  <c r="AB144" i="48"/>
  <c r="Z144" i="48"/>
  <c r="AI143" i="48"/>
  <c r="AA143" i="48"/>
  <c r="AB143" i="48"/>
  <c r="Z143" i="48"/>
  <c r="AI142" i="48"/>
  <c r="AA142" i="48"/>
  <c r="AB142" i="48"/>
  <c r="Z142" i="48"/>
  <c r="AI141" i="48"/>
  <c r="AA141" i="48"/>
  <c r="AB141" i="48"/>
  <c r="Z141" i="48"/>
  <c r="AI140" i="48"/>
  <c r="AA140" i="48"/>
  <c r="AB140" i="48"/>
  <c r="Z140" i="48"/>
  <c r="AI139" i="48"/>
  <c r="AA139" i="48"/>
  <c r="AB139" i="48"/>
  <c r="Z139" i="48"/>
  <c r="AI138" i="48"/>
  <c r="AA138" i="48"/>
  <c r="AB138" i="48"/>
  <c r="Z138" i="48"/>
  <c r="AI137" i="48"/>
  <c r="AA137" i="48"/>
  <c r="AB137" i="48"/>
  <c r="Z137" i="48"/>
  <c r="AI136" i="48"/>
  <c r="AA136" i="48"/>
  <c r="AB136" i="48"/>
  <c r="Z136" i="48"/>
  <c r="AH135" i="48"/>
  <c r="AG135" i="48"/>
  <c r="AB135" i="48"/>
  <c r="Z135" i="48"/>
  <c r="Y135" i="48"/>
  <c r="X135" i="48"/>
  <c r="W135" i="48"/>
  <c r="V135" i="48"/>
  <c r="AH134" i="48"/>
  <c r="AG134" i="48"/>
  <c r="AB134" i="48"/>
  <c r="Z134" i="48"/>
  <c r="Y134" i="48"/>
  <c r="X134" i="48"/>
  <c r="W134" i="48"/>
  <c r="V134" i="48"/>
  <c r="AH133" i="48"/>
  <c r="AG133" i="48"/>
  <c r="AB133" i="48"/>
  <c r="Z133" i="48"/>
  <c r="Y133" i="48"/>
  <c r="X133" i="48"/>
  <c r="W133" i="48"/>
  <c r="V133" i="48"/>
  <c r="AH132" i="48"/>
  <c r="AG132" i="48"/>
  <c r="AB132" i="48"/>
  <c r="Z132" i="48"/>
  <c r="Y132" i="48"/>
  <c r="X132" i="48"/>
  <c r="W132" i="48"/>
  <c r="V132" i="48"/>
  <c r="AH131" i="48"/>
  <c r="AG131" i="48"/>
  <c r="AB131" i="48"/>
  <c r="Z131" i="48"/>
  <c r="Y131" i="48"/>
  <c r="X131" i="48"/>
  <c r="W131" i="48"/>
  <c r="V131" i="48"/>
  <c r="AH130" i="48"/>
  <c r="AG130" i="48"/>
  <c r="AB130" i="48"/>
  <c r="Z130" i="48"/>
  <c r="Y130" i="48"/>
  <c r="X130" i="48"/>
  <c r="W130" i="48"/>
  <c r="V130" i="48"/>
  <c r="AH129" i="48"/>
  <c r="AG129" i="48"/>
  <c r="AB129" i="48"/>
  <c r="Z129" i="48"/>
  <c r="Y129" i="48"/>
  <c r="X129" i="48"/>
  <c r="W129" i="48"/>
  <c r="V129" i="48"/>
  <c r="AH128" i="48"/>
  <c r="AG128" i="48"/>
  <c r="AB128" i="48"/>
  <c r="Z128" i="48"/>
  <c r="Y128" i="48"/>
  <c r="X128" i="48"/>
  <c r="W128" i="48"/>
  <c r="V128" i="48"/>
  <c r="AH127" i="48"/>
  <c r="AG127" i="48"/>
  <c r="AB127" i="48"/>
  <c r="Z127" i="48"/>
  <c r="Y127" i="48"/>
  <c r="X127" i="48"/>
  <c r="W127" i="48"/>
  <c r="V127" i="48"/>
  <c r="AH126" i="48"/>
  <c r="AG126" i="48"/>
  <c r="AB126" i="48"/>
  <c r="Z126" i="48"/>
  <c r="Y126" i="48"/>
  <c r="X126" i="48"/>
  <c r="W126" i="48"/>
  <c r="V126" i="48"/>
  <c r="AH125" i="48"/>
  <c r="AG125" i="48"/>
  <c r="AB125" i="48"/>
  <c r="Z125" i="48"/>
  <c r="Y125" i="48"/>
  <c r="X125" i="48"/>
  <c r="W125" i="48"/>
  <c r="V125" i="48"/>
  <c r="AH124" i="48"/>
  <c r="AG124" i="48"/>
  <c r="AB124" i="48"/>
  <c r="Z124" i="48"/>
  <c r="Y124" i="48"/>
  <c r="X124" i="48"/>
  <c r="W124" i="48"/>
  <c r="V124" i="48"/>
  <c r="AH123" i="48"/>
  <c r="AG123" i="48"/>
  <c r="AB123" i="48"/>
  <c r="Z123" i="48"/>
  <c r="Y123" i="48"/>
  <c r="X123" i="48"/>
  <c r="W123" i="48"/>
  <c r="V123" i="48"/>
  <c r="AH122" i="48"/>
  <c r="AG122" i="48"/>
  <c r="AB122" i="48"/>
  <c r="Z122" i="48"/>
  <c r="Y122" i="48"/>
  <c r="X122" i="48"/>
  <c r="W122" i="48"/>
  <c r="V122" i="48"/>
  <c r="AH121" i="48"/>
  <c r="AG121" i="48"/>
  <c r="AB121" i="48"/>
  <c r="Z121" i="48"/>
  <c r="Y121" i="48"/>
  <c r="X121" i="48"/>
  <c r="W121" i="48"/>
  <c r="V121" i="48"/>
  <c r="AH120" i="48"/>
  <c r="AG120" i="48"/>
  <c r="AB120" i="48"/>
  <c r="Z120" i="48"/>
  <c r="Y120" i="48"/>
  <c r="X120" i="48"/>
  <c r="W120" i="48"/>
  <c r="V120" i="48"/>
  <c r="AH119" i="48"/>
  <c r="AG119" i="48"/>
  <c r="AB119" i="48"/>
  <c r="Z119" i="48"/>
  <c r="Y119" i="48"/>
  <c r="X119" i="48"/>
  <c r="W119" i="48"/>
  <c r="V119" i="48"/>
  <c r="AH118" i="48"/>
  <c r="AG118" i="48"/>
  <c r="AB118" i="48"/>
  <c r="Z118" i="48"/>
  <c r="Y118" i="48"/>
  <c r="X118" i="48"/>
  <c r="W118" i="48"/>
  <c r="V118" i="48"/>
  <c r="AH117" i="48"/>
  <c r="AG117" i="48"/>
  <c r="AB117" i="48"/>
  <c r="Z117" i="48"/>
  <c r="Y117" i="48"/>
  <c r="X117" i="48"/>
  <c r="W117" i="48"/>
  <c r="V117" i="48"/>
  <c r="AH116" i="48"/>
  <c r="AG116" i="48"/>
  <c r="AB116" i="48"/>
  <c r="Z116" i="48"/>
  <c r="Y116" i="48"/>
  <c r="X116" i="48"/>
  <c r="W116" i="48"/>
  <c r="V116" i="48"/>
  <c r="AH115" i="48"/>
  <c r="AG115" i="48"/>
  <c r="AB115" i="48"/>
  <c r="Z115" i="48"/>
  <c r="Y115" i="48"/>
  <c r="X115" i="48"/>
  <c r="W115" i="48"/>
  <c r="V115" i="48"/>
  <c r="AH114" i="48"/>
  <c r="AG114" i="48"/>
  <c r="AB114" i="48"/>
  <c r="Z114" i="48"/>
  <c r="Y114" i="48"/>
  <c r="X114" i="48"/>
  <c r="W114" i="48"/>
  <c r="V114" i="48"/>
  <c r="AH113" i="48"/>
  <c r="AG113" i="48"/>
  <c r="AB113" i="48"/>
  <c r="Z113" i="48"/>
  <c r="Y113" i="48"/>
  <c r="X113" i="48"/>
  <c r="W113" i="48"/>
  <c r="V113" i="48"/>
  <c r="AH112" i="48"/>
  <c r="AG112" i="48"/>
  <c r="AB112" i="48"/>
  <c r="Z112" i="48"/>
  <c r="Y112" i="48"/>
  <c r="X112" i="48"/>
  <c r="W112" i="48"/>
  <c r="V112" i="48"/>
  <c r="AH111" i="48"/>
  <c r="AG111" i="48"/>
  <c r="AB111" i="48"/>
  <c r="Z111" i="48"/>
  <c r="Y111" i="48"/>
  <c r="X111" i="48"/>
  <c r="W111" i="48"/>
  <c r="V111" i="48"/>
  <c r="AH110" i="48"/>
  <c r="AG110" i="48"/>
  <c r="AB110" i="48"/>
  <c r="Z110" i="48"/>
  <c r="Y110" i="48"/>
  <c r="X110" i="48"/>
  <c r="W110" i="48"/>
  <c r="V110" i="48"/>
  <c r="AH109" i="48"/>
  <c r="AG109" i="48"/>
  <c r="AB109" i="48"/>
  <c r="Z109" i="48"/>
  <c r="Y109" i="48"/>
  <c r="X109" i="48"/>
  <c r="W109" i="48"/>
  <c r="V109" i="48"/>
  <c r="AI108" i="48"/>
  <c r="Z108" i="48"/>
  <c r="AI107" i="48"/>
  <c r="Z107" i="48"/>
  <c r="AI106" i="48"/>
  <c r="Z106" i="48"/>
  <c r="AI105" i="48"/>
  <c r="Z105" i="48"/>
  <c r="AI104" i="48"/>
  <c r="Z104" i="48"/>
  <c r="AI103" i="48"/>
  <c r="Z103" i="48"/>
  <c r="AI102" i="48"/>
  <c r="Z102" i="48"/>
  <c r="AI101" i="48"/>
  <c r="Z101" i="48"/>
  <c r="AI100" i="48"/>
  <c r="Z100" i="48"/>
  <c r="AI99" i="48"/>
  <c r="Z99" i="48"/>
  <c r="AI98" i="48"/>
  <c r="Z98" i="48"/>
  <c r="AI97" i="48"/>
  <c r="Z97" i="48"/>
  <c r="AI96" i="48"/>
  <c r="Z96" i="48"/>
  <c r="AI95" i="48"/>
  <c r="Z95" i="48"/>
  <c r="AI94" i="48"/>
  <c r="Z94" i="48"/>
  <c r="AI93" i="48"/>
  <c r="Z93" i="48"/>
  <c r="AI92" i="48"/>
  <c r="Z92" i="48"/>
  <c r="AI91" i="48"/>
  <c r="Z91" i="48"/>
  <c r="AI90" i="48"/>
  <c r="Z90" i="48"/>
  <c r="AI89" i="48"/>
  <c r="Z89" i="48"/>
  <c r="AI88" i="48"/>
  <c r="Z88" i="48"/>
  <c r="AI87" i="48"/>
  <c r="Z87" i="48"/>
  <c r="AI86" i="48"/>
  <c r="Z86" i="48"/>
  <c r="AI85" i="48"/>
  <c r="Z85" i="48"/>
  <c r="AI84" i="48"/>
  <c r="Z84" i="48"/>
  <c r="AI83" i="48"/>
  <c r="Z83" i="48"/>
  <c r="AI82" i="48"/>
  <c r="Z82" i="48"/>
  <c r="AI81" i="48"/>
  <c r="Z81" i="48"/>
  <c r="AI80" i="48"/>
  <c r="Z80" i="48"/>
  <c r="AI79" i="48"/>
  <c r="Z79" i="48"/>
  <c r="AI78" i="48"/>
  <c r="Z78" i="48"/>
  <c r="AI77" i="48"/>
  <c r="Z77" i="48"/>
  <c r="AI76" i="48"/>
  <c r="Z76" i="48"/>
  <c r="AI75" i="48"/>
  <c r="Z75" i="48"/>
  <c r="AI74" i="48"/>
  <c r="Z74" i="48"/>
  <c r="AI73" i="48"/>
  <c r="Z73" i="48"/>
  <c r="AI72" i="48"/>
  <c r="Z72" i="48"/>
  <c r="AI71" i="48"/>
  <c r="Z71" i="48"/>
  <c r="AI70" i="48"/>
  <c r="Z70" i="48"/>
  <c r="AI69" i="48"/>
  <c r="Z69" i="48"/>
  <c r="AI68" i="48"/>
  <c r="Z68" i="48"/>
  <c r="AI67" i="48"/>
  <c r="Z67" i="48"/>
  <c r="AI66" i="48"/>
  <c r="Z66" i="48"/>
  <c r="AI65" i="48"/>
  <c r="Z65" i="48"/>
  <c r="AI64" i="48"/>
  <c r="Z64" i="48"/>
  <c r="AB207" i="47"/>
  <c r="Z207" i="47"/>
  <c r="AB206" i="47"/>
  <c r="Z206" i="47"/>
  <c r="AB205" i="47"/>
  <c r="Z205" i="47"/>
  <c r="AB204" i="47"/>
  <c r="Z204" i="47"/>
  <c r="AB203" i="47"/>
  <c r="Z203" i="47"/>
  <c r="AB202" i="47"/>
  <c r="Z202" i="47"/>
  <c r="AB201" i="47"/>
  <c r="Z201" i="47"/>
  <c r="AB200" i="47"/>
  <c r="Z200" i="47"/>
  <c r="AB199" i="47"/>
  <c r="Z199" i="47"/>
  <c r="AB198" i="47"/>
  <c r="Z198" i="47"/>
  <c r="AB197" i="47"/>
  <c r="Z197" i="47"/>
  <c r="AB196" i="47"/>
  <c r="Z196" i="47"/>
  <c r="AB195" i="47"/>
  <c r="Z195" i="47"/>
  <c r="AB194" i="47"/>
  <c r="Z194" i="47"/>
  <c r="AB193" i="47"/>
  <c r="Z193" i="47"/>
  <c r="AB192" i="47"/>
  <c r="Z192" i="47"/>
  <c r="AB191" i="47"/>
  <c r="Z191" i="47"/>
  <c r="AB190" i="47"/>
  <c r="Z190" i="47"/>
  <c r="AB189" i="47"/>
  <c r="Z189" i="47"/>
  <c r="AB188" i="47"/>
  <c r="Z188" i="47"/>
  <c r="AB187" i="47"/>
  <c r="Z187" i="47"/>
  <c r="AB186" i="47"/>
  <c r="Z186" i="47"/>
  <c r="AB185" i="47"/>
  <c r="Z185" i="47"/>
  <c r="AB184" i="47"/>
  <c r="Z184" i="47"/>
  <c r="AB183" i="47"/>
  <c r="Z183" i="47"/>
  <c r="AB182" i="47"/>
  <c r="Z182" i="47"/>
  <c r="AB181" i="47"/>
  <c r="Z181" i="47"/>
  <c r="AI180" i="47"/>
  <c r="AA180" i="47"/>
  <c r="AB180" i="47"/>
  <c r="Z180" i="47"/>
  <c r="AI179" i="47"/>
  <c r="AA179" i="47"/>
  <c r="AB179" i="47"/>
  <c r="Z179" i="47"/>
  <c r="AI178" i="47"/>
  <c r="AA178" i="47"/>
  <c r="AB178" i="47"/>
  <c r="Z178" i="47"/>
  <c r="AI177" i="47"/>
  <c r="AA177" i="47"/>
  <c r="AB177" i="47"/>
  <c r="Z177" i="47"/>
  <c r="AI176" i="47"/>
  <c r="AA176" i="47"/>
  <c r="AB176" i="47"/>
  <c r="Z176" i="47"/>
  <c r="AI175" i="47"/>
  <c r="AA175" i="47"/>
  <c r="AB175" i="47"/>
  <c r="Z175" i="47"/>
  <c r="AI174" i="47"/>
  <c r="AA174" i="47"/>
  <c r="AB174" i="47"/>
  <c r="Z174" i="47"/>
  <c r="AI173" i="47"/>
  <c r="AA173" i="47"/>
  <c r="AB173" i="47"/>
  <c r="Z173" i="47"/>
  <c r="AI172" i="47"/>
  <c r="AA172" i="47"/>
  <c r="AB172" i="47"/>
  <c r="Z172" i="47"/>
  <c r="AI171" i="47"/>
  <c r="AA171" i="47"/>
  <c r="AB171" i="47"/>
  <c r="Z171" i="47"/>
  <c r="AI170" i="47"/>
  <c r="AA170" i="47"/>
  <c r="AB170" i="47"/>
  <c r="Z170" i="47"/>
  <c r="AI169" i="47"/>
  <c r="AA169" i="47"/>
  <c r="AB169" i="47"/>
  <c r="Z169" i="47"/>
  <c r="AI168" i="47"/>
  <c r="AA168" i="47"/>
  <c r="AB168" i="47"/>
  <c r="Z168" i="47"/>
  <c r="AI167" i="47"/>
  <c r="AA167" i="47"/>
  <c r="AB167" i="47"/>
  <c r="Z167" i="47"/>
  <c r="AI166" i="47"/>
  <c r="AA166" i="47"/>
  <c r="AB166" i="47"/>
  <c r="Z166" i="47"/>
  <c r="AI165" i="47"/>
  <c r="AA165" i="47"/>
  <c r="AB165" i="47"/>
  <c r="Z165" i="47"/>
  <c r="AI164" i="47"/>
  <c r="AA164" i="47"/>
  <c r="AB164" i="47"/>
  <c r="Z164" i="47"/>
  <c r="AI163" i="47"/>
  <c r="AA163" i="47"/>
  <c r="AB163" i="47"/>
  <c r="Z163" i="47"/>
  <c r="AI162" i="47"/>
  <c r="AA162" i="47"/>
  <c r="AB162" i="47"/>
  <c r="Z162" i="47"/>
  <c r="AI161" i="47"/>
  <c r="AA161" i="47"/>
  <c r="AB161" i="47"/>
  <c r="Z161" i="47"/>
  <c r="AI160" i="47"/>
  <c r="AA160" i="47"/>
  <c r="AB160" i="47"/>
  <c r="Z160" i="47"/>
  <c r="AI159" i="47"/>
  <c r="AA159" i="47"/>
  <c r="AB159" i="47"/>
  <c r="Z159" i="47"/>
  <c r="AI158" i="47"/>
  <c r="AA158" i="47"/>
  <c r="AB158" i="47"/>
  <c r="Z158" i="47"/>
  <c r="AI157" i="47"/>
  <c r="AA157" i="47"/>
  <c r="AB157" i="47"/>
  <c r="Z157" i="47"/>
  <c r="AI156" i="47"/>
  <c r="AA156" i="47"/>
  <c r="AB156" i="47"/>
  <c r="Z156" i="47"/>
  <c r="AI155" i="47"/>
  <c r="AA155" i="47"/>
  <c r="AB155" i="47"/>
  <c r="Z155" i="47"/>
  <c r="AI154" i="47"/>
  <c r="AA154" i="47"/>
  <c r="AB154" i="47"/>
  <c r="Z154" i="47"/>
  <c r="AI153" i="47"/>
  <c r="AA153" i="47"/>
  <c r="AB153" i="47"/>
  <c r="Z153" i="47"/>
  <c r="AI152" i="47"/>
  <c r="AA152" i="47"/>
  <c r="AB152" i="47"/>
  <c r="Z152" i="47"/>
  <c r="AI151" i="47"/>
  <c r="AA151" i="47"/>
  <c r="AB151" i="47"/>
  <c r="Z151" i="47"/>
  <c r="AI150" i="47"/>
  <c r="AA150" i="47"/>
  <c r="AB150" i="47"/>
  <c r="Z150" i="47"/>
  <c r="AI149" i="47"/>
  <c r="AA149" i="47"/>
  <c r="AB149" i="47"/>
  <c r="Z149" i="47"/>
  <c r="AI148" i="47"/>
  <c r="AA148" i="47"/>
  <c r="AB148" i="47"/>
  <c r="Z148" i="47"/>
  <c r="AI147" i="47"/>
  <c r="AA147" i="47"/>
  <c r="AB147" i="47"/>
  <c r="Z147" i="47"/>
  <c r="AI146" i="47"/>
  <c r="AA146" i="47"/>
  <c r="AB146" i="47"/>
  <c r="Z146" i="47"/>
  <c r="AI145" i="47"/>
  <c r="AA145" i="47"/>
  <c r="AB145" i="47"/>
  <c r="Z145" i="47"/>
  <c r="AI144" i="47"/>
  <c r="AA144" i="47"/>
  <c r="AB144" i="47"/>
  <c r="Z144" i="47"/>
  <c r="AI143" i="47"/>
  <c r="AA143" i="47"/>
  <c r="AB143" i="47"/>
  <c r="Z143" i="47"/>
  <c r="AI142" i="47"/>
  <c r="AA142" i="47"/>
  <c r="AB142" i="47"/>
  <c r="Z142" i="47"/>
  <c r="AI141" i="47"/>
  <c r="AA141" i="47"/>
  <c r="AB141" i="47"/>
  <c r="Z141" i="47"/>
  <c r="AI140" i="47"/>
  <c r="AA140" i="47"/>
  <c r="AB140" i="47"/>
  <c r="Z140" i="47"/>
  <c r="AI139" i="47"/>
  <c r="AA139" i="47"/>
  <c r="AB139" i="47"/>
  <c r="Z139" i="47"/>
  <c r="AI138" i="47"/>
  <c r="AA138" i="47"/>
  <c r="AB138" i="47"/>
  <c r="Z138" i="47"/>
  <c r="AI137" i="47"/>
  <c r="AA137" i="47"/>
  <c r="AB137" i="47"/>
  <c r="Z137" i="47"/>
  <c r="AI136" i="47"/>
  <c r="AA136" i="47"/>
  <c r="AB136" i="47"/>
  <c r="Z136" i="47"/>
  <c r="AH135" i="47"/>
  <c r="AG135" i="47"/>
  <c r="AB135" i="47"/>
  <c r="Z135" i="47"/>
  <c r="Y135" i="47"/>
  <c r="X135" i="47"/>
  <c r="W135" i="47"/>
  <c r="V135" i="47"/>
  <c r="AH134" i="47"/>
  <c r="AG134" i="47"/>
  <c r="AB134" i="47"/>
  <c r="Z134" i="47"/>
  <c r="Y134" i="47"/>
  <c r="X134" i="47"/>
  <c r="W134" i="47"/>
  <c r="V134" i="47"/>
  <c r="AH133" i="47"/>
  <c r="AG133" i="47"/>
  <c r="AB133" i="47"/>
  <c r="Z133" i="47"/>
  <c r="Y133" i="47"/>
  <c r="X133" i="47"/>
  <c r="W133" i="47"/>
  <c r="V133" i="47"/>
  <c r="AH132" i="47"/>
  <c r="AG132" i="47"/>
  <c r="AB132" i="47"/>
  <c r="Z132" i="47"/>
  <c r="Y132" i="47"/>
  <c r="X132" i="47"/>
  <c r="W132" i="47"/>
  <c r="V132" i="47"/>
  <c r="AH131" i="47"/>
  <c r="AG131" i="47"/>
  <c r="AB131" i="47"/>
  <c r="Z131" i="47"/>
  <c r="Y131" i="47"/>
  <c r="X131" i="47"/>
  <c r="W131" i="47"/>
  <c r="V131" i="47"/>
  <c r="AH130" i="47"/>
  <c r="AG130" i="47"/>
  <c r="AB130" i="47"/>
  <c r="Z130" i="47"/>
  <c r="Y130" i="47"/>
  <c r="X130" i="47"/>
  <c r="W130" i="47"/>
  <c r="V130" i="47"/>
  <c r="AH129" i="47"/>
  <c r="AG129" i="47"/>
  <c r="AB129" i="47"/>
  <c r="Z129" i="47"/>
  <c r="Y129" i="47"/>
  <c r="X129" i="47"/>
  <c r="W129" i="47"/>
  <c r="V129" i="47"/>
  <c r="AH128" i="47"/>
  <c r="AG128" i="47"/>
  <c r="AB128" i="47"/>
  <c r="Z128" i="47"/>
  <c r="Y128" i="47"/>
  <c r="X128" i="47"/>
  <c r="W128" i="47"/>
  <c r="V128" i="47"/>
  <c r="AH127" i="47"/>
  <c r="AG127" i="47"/>
  <c r="AB127" i="47"/>
  <c r="Z127" i="47"/>
  <c r="Y127" i="47"/>
  <c r="X127" i="47"/>
  <c r="W127" i="47"/>
  <c r="V127" i="47"/>
  <c r="AH126" i="47"/>
  <c r="AG126" i="47"/>
  <c r="AB126" i="47"/>
  <c r="Z126" i="47"/>
  <c r="Y126" i="47"/>
  <c r="X126" i="47"/>
  <c r="W126" i="47"/>
  <c r="V126" i="47"/>
  <c r="AH125" i="47"/>
  <c r="AG125" i="47"/>
  <c r="AB125" i="47"/>
  <c r="Z125" i="47"/>
  <c r="Y125" i="47"/>
  <c r="X125" i="47"/>
  <c r="W125" i="47"/>
  <c r="V125" i="47"/>
  <c r="AH124" i="47"/>
  <c r="AG124" i="47"/>
  <c r="AB124" i="47"/>
  <c r="Z124" i="47"/>
  <c r="Y124" i="47"/>
  <c r="X124" i="47"/>
  <c r="W124" i="47"/>
  <c r="V124" i="47"/>
  <c r="AH123" i="47"/>
  <c r="AG123" i="47"/>
  <c r="AB123" i="47"/>
  <c r="Z123" i="47"/>
  <c r="Y123" i="47"/>
  <c r="X123" i="47"/>
  <c r="W123" i="47"/>
  <c r="V123" i="47"/>
  <c r="AH122" i="47"/>
  <c r="AG122" i="47"/>
  <c r="AB122" i="47"/>
  <c r="Z122" i="47"/>
  <c r="Y122" i="47"/>
  <c r="X122" i="47"/>
  <c r="W122" i="47"/>
  <c r="V122" i="47"/>
  <c r="AH121" i="47"/>
  <c r="AG121" i="47"/>
  <c r="AB121" i="47"/>
  <c r="Z121" i="47"/>
  <c r="Y121" i="47"/>
  <c r="X121" i="47"/>
  <c r="W121" i="47"/>
  <c r="V121" i="47"/>
  <c r="AH120" i="47"/>
  <c r="AG120" i="47"/>
  <c r="AB120" i="47"/>
  <c r="Z120" i="47"/>
  <c r="Y120" i="47"/>
  <c r="X120" i="47"/>
  <c r="W120" i="47"/>
  <c r="V120" i="47"/>
  <c r="AH119" i="47"/>
  <c r="AG119" i="47"/>
  <c r="AB119" i="47"/>
  <c r="Z119" i="47"/>
  <c r="Y119" i="47"/>
  <c r="X119" i="47"/>
  <c r="W119" i="47"/>
  <c r="V119" i="47"/>
  <c r="AH118" i="47"/>
  <c r="AG118" i="47"/>
  <c r="AB118" i="47"/>
  <c r="Z118" i="47"/>
  <c r="Y118" i="47"/>
  <c r="X118" i="47"/>
  <c r="W118" i="47"/>
  <c r="V118" i="47"/>
  <c r="AH117" i="47"/>
  <c r="AG117" i="47"/>
  <c r="AB117" i="47"/>
  <c r="Z117" i="47"/>
  <c r="Y117" i="47"/>
  <c r="X117" i="47"/>
  <c r="W117" i="47"/>
  <c r="V117" i="47"/>
  <c r="AH116" i="47"/>
  <c r="AG116" i="47"/>
  <c r="AB116" i="47"/>
  <c r="Z116" i="47"/>
  <c r="Y116" i="47"/>
  <c r="X116" i="47"/>
  <c r="W116" i="47"/>
  <c r="V116" i="47"/>
  <c r="AH115" i="47"/>
  <c r="AG115" i="47"/>
  <c r="AB115" i="47"/>
  <c r="Z115" i="47"/>
  <c r="Y115" i="47"/>
  <c r="X115" i="47"/>
  <c r="W115" i="47"/>
  <c r="V115" i="47"/>
  <c r="AH114" i="47"/>
  <c r="AG114" i="47"/>
  <c r="AB114" i="47"/>
  <c r="Z114" i="47"/>
  <c r="Y114" i="47"/>
  <c r="X114" i="47"/>
  <c r="W114" i="47"/>
  <c r="V114" i="47"/>
  <c r="AH113" i="47"/>
  <c r="AG113" i="47"/>
  <c r="AB113" i="47"/>
  <c r="Z113" i="47"/>
  <c r="Y113" i="47"/>
  <c r="X113" i="47"/>
  <c r="W113" i="47"/>
  <c r="V113" i="47"/>
  <c r="AH112" i="47"/>
  <c r="AG112" i="47"/>
  <c r="AB112" i="47"/>
  <c r="Z112" i="47"/>
  <c r="Y112" i="47"/>
  <c r="X112" i="47"/>
  <c r="W112" i="47"/>
  <c r="V112" i="47"/>
  <c r="AH111" i="47"/>
  <c r="AG111" i="47"/>
  <c r="AB111" i="47"/>
  <c r="Z111" i="47"/>
  <c r="Y111" i="47"/>
  <c r="X111" i="47"/>
  <c r="W111" i="47"/>
  <c r="V111" i="47"/>
  <c r="AH110" i="47"/>
  <c r="AG110" i="47"/>
  <c r="AB110" i="47"/>
  <c r="Z110" i="47"/>
  <c r="Y110" i="47"/>
  <c r="X110" i="47"/>
  <c r="W110" i="47"/>
  <c r="V110" i="47"/>
  <c r="AH109" i="47"/>
  <c r="AG109" i="47"/>
  <c r="AB109" i="47"/>
  <c r="Z109" i="47"/>
  <c r="Y109" i="47"/>
  <c r="X109" i="47"/>
  <c r="W109" i="47"/>
  <c r="V109" i="47"/>
  <c r="AI108" i="47"/>
  <c r="Z108" i="47"/>
  <c r="AI107" i="47"/>
  <c r="Z107" i="47"/>
  <c r="AI106" i="47"/>
  <c r="Z106" i="47"/>
  <c r="AI105" i="47"/>
  <c r="Z105" i="47"/>
  <c r="AI104" i="47"/>
  <c r="Z104" i="47"/>
  <c r="AI103" i="47"/>
  <c r="Z103" i="47"/>
  <c r="AI102" i="47"/>
  <c r="Z102" i="47"/>
  <c r="AI101" i="47"/>
  <c r="Z101" i="47"/>
  <c r="AI100" i="47"/>
  <c r="Z100" i="47"/>
  <c r="AI99" i="47"/>
  <c r="Z99" i="47"/>
  <c r="AI98" i="47"/>
  <c r="Z98" i="47"/>
  <c r="AI97" i="47"/>
  <c r="Z97" i="47"/>
  <c r="AI96" i="47"/>
  <c r="Z96" i="47"/>
  <c r="AI95" i="47"/>
  <c r="Z95" i="47"/>
  <c r="AI94" i="47"/>
  <c r="Z94" i="47"/>
  <c r="AI93" i="47"/>
  <c r="Z93" i="47"/>
  <c r="AI92" i="47"/>
  <c r="Z92" i="47"/>
  <c r="AI91" i="47"/>
  <c r="Z91" i="47"/>
  <c r="AI90" i="47"/>
  <c r="Z90" i="47"/>
  <c r="AI89" i="47"/>
  <c r="Z89" i="47"/>
  <c r="AI88" i="47"/>
  <c r="Z88" i="47"/>
  <c r="AI87" i="47"/>
  <c r="Z87" i="47"/>
  <c r="AI86" i="47"/>
  <c r="Z86" i="47"/>
  <c r="AI85" i="47"/>
  <c r="Z85" i="47"/>
  <c r="AI84" i="47"/>
  <c r="Z84" i="47"/>
  <c r="AI83" i="47"/>
  <c r="Z83" i="47"/>
  <c r="AI82" i="47"/>
  <c r="Z82" i="47"/>
  <c r="AI81" i="47"/>
  <c r="Z81" i="47"/>
  <c r="AI80" i="47"/>
  <c r="Z80" i="47"/>
  <c r="AI79" i="47"/>
  <c r="Z79" i="47"/>
  <c r="AI78" i="47"/>
  <c r="Z78" i="47"/>
  <c r="AI77" i="47"/>
  <c r="Z77" i="47"/>
  <c r="AI76" i="47"/>
  <c r="Z76" i="47"/>
  <c r="AI75" i="47"/>
  <c r="Z75" i="47"/>
  <c r="AI74" i="47"/>
  <c r="Z74" i="47"/>
  <c r="AI73" i="47"/>
  <c r="Z73" i="47"/>
  <c r="AI72" i="47"/>
  <c r="Z72" i="47"/>
  <c r="AI71" i="47"/>
  <c r="Z71" i="47"/>
  <c r="AI70" i="47"/>
  <c r="Z70" i="47"/>
  <c r="AI69" i="47"/>
  <c r="Z69" i="47"/>
  <c r="AI68" i="47"/>
  <c r="Z68" i="47"/>
  <c r="AI67" i="47"/>
  <c r="Z67" i="47"/>
  <c r="AI66" i="47"/>
  <c r="Z66" i="47"/>
  <c r="AI65" i="47"/>
  <c r="Z65" i="47"/>
  <c r="AI64" i="47"/>
  <c r="Z64" i="47"/>
  <c r="AB207" i="46"/>
  <c r="Z207" i="46"/>
  <c r="AB206" i="46"/>
  <c r="Z206" i="46"/>
  <c r="AB205" i="46"/>
  <c r="Z205" i="46"/>
  <c r="AB204" i="46"/>
  <c r="Z204" i="46"/>
  <c r="AB203" i="46"/>
  <c r="Z203" i="46"/>
  <c r="AB202" i="46"/>
  <c r="Z202" i="46"/>
  <c r="AB201" i="46"/>
  <c r="Z201" i="46"/>
  <c r="AB200" i="46"/>
  <c r="Z200" i="46"/>
  <c r="AB199" i="46"/>
  <c r="Z199" i="46"/>
  <c r="AB198" i="46"/>
  <c r="Z198" i="46"/>
  <c r="AB197" i="46"/>
  <c r="Z197" i="46"/>
  <c r="AB196" i="46"/>
  <c r="Z196" i="46"/>
  <c r="AB195" i="46"/>
  <c r="Z195" i="46"/>
  <c r="AB194" i="46"/>
  <c r="Z194" i="46"/>
  <c r="AB193" i="46"/>
  <c r="Z193" i="46"/>
  <c r="AB192" i="46"/>
  <c r="Z192" i="46"/>
  <c r="AB191" i="46"/>
  <c r="Z191" i="46"/>
  <c r="AB190" i="46"/>
  <c r="Z190" i="46"/>
  <c r="AB189" i="46"/>
  <c r="Z189" i="46"/>
  <c r="AB188" i="46"/>
  <c r="Z188" i="46"/>
  <c r="AB187" i="46"/>
  <c r="Z187" i="46"/>
  <c r="AB186" i="46"/>
  <c r="Z186" i="46"/>
  <c r="AB185" i="46"/>
  <c r="Z185" i="46"/>
  <c r="AB184" i="46"/>
  <c r="Z184" i="46"/>
  <c r="AB183" i="46"/>
  <c r="Z183" i="46"/>
  <c r="AB182" i="46"/>
  <c r="Z182" i="46"/>
  <c r="AB181" i="46"/>
  <c r="Z181" i="46"/>
  <c r="AI180" i="46"/>
  <c r="AA180" i="46"/>
  <c r="AB180" i="46"/>
  <c r="Z180" i="46"/>
  <c r="AI179" i="46"/>
  <c r="AA179" i="46"/>
  <c r="AB179" i="46"/>
  <c r="Z179" i="46"/>
  <c r="AI178" i="46"/>
  <c r="AA178" i="46"/>
  <c r="AB178" i="46"/>
  <c r="Z178" i="46"/>
  <c r="AI177" i="46"/>
  <c r="AA177" i="46"/>
  <c r="AB177" i="46"/>
  <c r="Z177" i="46"/>
  <c r="AI176" i="46"/>
  <c r="AA176" i="46"/>
  <c r="AB176" i="46"/>
  <c r="Z176" i="46"/>
  <c r="AI175" i="46"/>
  <c r="AA175" i="46"/>
  <c r="AB175" i="46"/>
  <c r="Z175" i="46"/>
  <c r="AI174" i="46"/>
  <c r="AA174" i="46"/>
  <c r="AB174" i="46"/>
  <c r="Z174" i="46"/>
  <c r="AI173" i="46"/>
  <c r="AA173" i="46"/>
  <c r="AB173" i="46"/>
  <c r="Z173" i="46"/>
  <c r="AI172" i="46"/>
  <c r="AA172" i="46"/>
  <c r="AB172" i="46"/>
  <c r="Z172" i="46"/>
  <c r="AI171" i="46"/>
  <c r="AA171" i="46"/>
  <c r="AB171" i="46"/>
  <c r="Z171" i="46"/>
  <c r="AI170" i="46"/>
  <c r="AA170" i="46"/>
  <c r="AB170" i="46"/>
  <c r="Z170" i="46"/>
  <c r="AI169" i="46"/>
  <c r="AA169" i="46"/>
  <c r="AB169" i="46"/>
  <c r="Z169" i="46"/>
  <c r="AI168" i="46"/>
  <c r="AA168" i="46"/>
  <c r="AB168" i="46"/>
  <c r="Z168" i="46"/>
  <c r="AI167" i="46"/>
  <c r="AA167" i="46"/>
  <c r="AB167" i="46"/>
  <c r="Z167" i="46"/>
  <c r="AI166" i="46"/>
  <c r="AA166" i="46"/>
  <c r="AB166" i="46"/>
  <c r="Z166" i="46"/>
  <c r="AI165" i="46"/>
  <c r="AA165" i="46"/>
  <c r="AB165" i="46"/>
  <c r="Z165" i="46"/>
  <c r="AI164" i="46"/>
  <c r="AA164" i="46"/>
  <c r="AB164" i="46"/>
  <c r="Z164" i="46"/>
  <c r="AI163" i="46"/>
  <c r="AA163" i="46"/>
  <c r="AB163" i="46"/>
  <c r="Z163" i="46"/>
  <c r="AI162" i="46"/>
  <c r="AA162" i="46"/>
  <c r="AB162" i="46"/>
  <c r="Z162" i="46"/>
  <c r="AI161" i="46"/>
  <c r="AA161" i="46"/>
  <c r="AB161" i="46"/>
  <c r="Z161" i="46"/>
  <c r="AI160" i="46"/>
  <c r="AA160" i="46"/>
  <c r="AB160" i="46"/>
  <c r="Z160" i="46"/>
  <c r="AI159" i="46"/>
  <c r="AA159" i="46"/>
  <c r="AB159" i="46"/>
  <c r="Z159" i="46"/>
  <c r="AI158" i="46"/>
  <c r="AA158" i="46"/>
  <c r="AB158" i="46"/>
  <c r="Z158" i="46"/>
  <c r="AI157" i="46"/>
  <c r="AA157" i="46"/>
  <c r="AB157" i="46"/>
  <c r="Z157" i="46"/>
  <c r="AI156" i="46"/>
  <c r="AA156" i="46"/>
  <c r="AB156" i="46"/>
  <c r="Z156" i="46"/>
  <c r="AI155" i="46"/>
  <c r="AA155" i="46"/>
  <c r="AB155" i="46"/>
  <c r="Z155" i="46"/>
  <c r="AI154" i="46"/>
  <c r="AA154" i="46"/>
  <c r="AB154" i="46"/>
  <c r="Z154" i="46"/>
  <c r="AI153" i="46"/>
  <c r="AA153" i="46"/>
  <c r="AB153" i="46"/>
  <c r="Z153" i="46"/>
  <c r="AI152" i="46"/>
  <c r="AA152" i="46"/>
  <c r="AB152" i="46"/>
  <c r="Z152" i="46"/>
  <c r="AI151" i="46"/>
  <c r="AA151" i="46"/>
  <c r="AB151" i="46"/>
  <c r="Z151" i="46"/>
  <c r="AI150" i="46"/>
  <c r="AA150" i="46"/>
  <c r="AB150" i="46"/>
  <c r="Z150" i="46"/>
  <c r="AI149" i="46"/>
  <c r="AA149" i="46"/>
  <c r="AB149" i="46"/>
  <c r="Z149" i="46"/>
  <c r="AI148" i="46"/>
  <c r="AA148" i="46"/>
  <c r="AB148" i="46"/>
  <c r="Z148" i="46"/>
  <c r="AI147" i="46"/>
  <c r="AA147" i="46"/>
  <c r="AB147" i="46"/>
  <c r="Z147" i="46"/>
  <c r="AI146" i="46"/>
  <c r="AA146" i="46"/>
  <c r="AB146" i="46"/>
  <c r="Z146" i="46"/>
  <c r="AI145" i="46"/>
  <c r="AA145" i="46"/>
  <c r="AB145" i="46"/>
  <c r="Z145" i="46"/>
  <c r="AI144" i="46"/>
  <c r="AA144" i="46"/>
  <c r="AB144" i="46"/>
  <c r="Z144" i="46"/>
  <c r="AI143" i="46"/>
  <c r="AA143" i="46"/>
  <c r="AB143" i="46"/>
  <c r="Z143" i="46"/>
  <c r="AI142" i="46"/>
  <c r="AA142" i="46"/>
  <c r="AB142" i="46"/>
  <c r="Z142" i="46"/>
  <c r="AI141" i="46"/>
  <c r="AA141" i="46"/>
  <c r="AB141" i="46"/>
  <c r="Z141" i="46"/>
  <c r="AI140" i="46"/>
  <c r="AA140" i="46"/>
  <c r="AB140" i="46"/>
  <c r="Z140" i="46"/>
  <c r="AI139" i="46"/>
  <c r="AA139" i="46"/>
  <c r="AB139" i="46"/>
  <c r="Z139" i="46"/>
  <c r="AI138" i="46"/>
  <c r="AA138" i="46"/>
  <c r="AB138" i="46"/>
  <c r="Z138" i="46"/>
  <c r="AI137" i="46"/>
  <c r="AA137" i="46"/>
  <c r="AB137" i="46"/>
  <c r="Z137" i="46"/>
  <c r="AI136" i="46"/>
  <c r="AA136" i="46"/>
  <c r="AB136" i="46"/>
  <c r="Z136" i="46"/>
  <c r="AH135" i="46"/>
  <c r="AG135" i="46"/>
  <c r="AB135" i="46"/>
  <c r="Z135" i="46"/>
  <c r="Y135" i="46"/>
  <c r="X135" i="46"/>
  <c r="W135" i="46"/>
  <c r="V135" i="46"/>
  <c r="AH134" i="46"/>
  <c r="AG134" i="46"/>
  <c r="AB134" i="46"/>
  <c r="Z134" i="46"/>
  <c r="Y134" i="46"/>
  <c r="X134" i="46"/>
  <c r="W134" i="46"/>
  <c r="V134" i="46"/>
  <c r="AH133" i="46"/>
  <c r="AG133" i="46"/>
  <c r="AB133" i="46"/>
  <c r="Z133" i="46"/>
  <c r="Y133" i="46"/>
  <c r="X133" i="46"/>
  <c r="W133" i="46"/>
  <c r="V133" i="46"/>
  <c r="AH132" i="46"/>
  <c r="AG132" i="46"/>
  <c r="AB132" i="46"/>
  <c r="Z132" i="46"/>
  <c r="Y132" i="46"/>
  <c r="X132" i="46"/>
  <c r="W132" i="46"/>
  <c r="V132" i="46"/>
  <c r="AH131" i="46"/>
  <c r="AG131" i="46"/>
  <c r="AB131" i="46"/>
  <c r="Z131" i="46"/>
  <c r="Y131" i="46"/>
  <c r="X131" i="46"/>
  <c r="W131" i="46"/>
  <c r="V131" i="46"/>
  <c r="AH130" i="46"/>
  <c r="AG130" i="46"/>
  <c r="AB130" i="46"/>
  <c r="Z130" i="46"/>
  <c r="Y130" i="46"/>
  <c r="X130" i="46"/>
  <c r="W130" i="46"/>
  <c r="V130" i="46"/>
  <c r="AH129" i="46"/>
  <c r="AG129" i="46"/>
  <c r="AB129" i="46"/>
  <c r="Z129" i="46"/>
  <c r="Y129" i="46"/>
  <c r="X129" i="46"/>
  <c r="W129" i="46"/>
  <c r="V129" i="46"/>
  <c r="AH128" i="46"/>
  <c r="AG128" i="46"/>
  <c r="AB128" i="46"/>
  <c r="Z128" i="46"/>
  <c r="Y128" i="46"/>
  <c r="X128" i="46"/>
  <c r="W128" i="46"/>
  <c r="V128" i="46"/>
  <c r="AH127" i="46"/>
  <c r="AG127" i="46"/>
  <c r="AB127" i="46"/>
  <c r="Z127" i="46"/>
  <c r="Y127" i="46"/>
  <c r="X127" i="46"/>
  <c r="W127" i="46"/>
  <c r="V127" i="46"/>
  <c r="AH126" i="46"/>
  <c r="AG126" i="46"/>
  <c r="AB126" i="46"/>
  <c r="Z126" i="46"/>
  <c r="Y126" i="46"/>
  <c r="X126" i="46"/>
  <c r="W126" i="46"/>
  <c r="V126" i="46"/>
  <c r="AH125" i="46"/>
  <c r="AG125" i="46"/>
  <c r="AB125" i="46"/>
  <c r="Z125" i="46"/>
  <c r="Y125" i="46"/>
  <c r="X125" i="46"/>
  <c r="W125" i="46"/>
  <c r="V125" i="46"/>
  <c r="AH124" i="46"/>
  <c r="AG124" i="46"/>
  <c r="AB124" i="46"/>
  <c r="Z124" i="46"/>
  <c r="Y124" i="46"/>
  <c r="X124" i="46"/>
  <c r="W124" i="46"/>
  <c r="V124" i="46"/>
  <c r="AH123" i="46"/>
  <c r="AG123" i="46"/>
  <c r="AB123" i="46"/>
  <c r="Z123" i="46"/>
  <c r="Y123" i="46"/>
  <c r="X123" i="46"/>
  <c r="W123" i="46"/>
  <c r="V123" i="46"/>
  <c r="AH122" i="46"/>
  <c r="AG122" i="46"/>
  <c r="AB122" i="46"/>
  <c r="Z122" i="46"/>
  <c r="Y122" i="46"/>
  <c r="X122" i="46"/>
  <c r="W122" i="46"/>
  <c r="V122" i="46"/>
  <c r="AH121" i="46"/>
  <c r="AG121" i="46"/>
  <c r="AB121" i="46"/>
  <c r="Z121" i="46"/>
  <c r="Y121" i="46"/>
  <c r="X121" i="46"/>
  <c r="W121" i="46"/>
  <c r="V121" i="46"/>
  <c r="AH120" i="46"/>
  <c r="AG120" i="46"/>
  <c r="AB120" i="46"/>
  <c r="Z120" i="46"/>
  <c r="Y120" i="46"/>
  <c r="X120" i="46"/>
  <c r="W120" i="46"/>
  <c r="V120" i="46"/>
  <c r="AH119" i="46"/>
  <c r="AG119" i="46"/>
  <c r="AB119" i="46"/>
  <c r="Z119" i="46"/>
  <c r="Y119" i="46"/>
  <c r="X119" i="46"/>
  <c r="W119" i="46"/>
  <c r="V119" i="46"/>
  <c r="AH118" i="46"/>
  <c r="AG118" i="46"/>
  <c r="AB118" i="46"/>
  <c r="Z118" i="46"/>
  <c r="Y118" i="46"/>
  <c r="X118" i="46"/>
  <c r="W118" i="46"/>
  <c r="V118" i="46"/>
  <c r="AH117" i="46"/>
  <c r="AG117" i="46"/>
  <c r="AB117" i="46"/>
  <c r="Z117" i="46"/>
  <c r="Y117" i="46"/>
  <c r="X117" i="46"/>
  <c r="W117" i="46"/>
  <c r="V117" i="46"/>
  <c r="AH116" i="46"/>
  <c r="AG116" i="46"/>
  <c r="AB116" i="46"/>
  <c r="Z116" i="46"/>
  <c r="Y116" i="46"/>
  <c r="X116" i="46"/>
  <c r="W116" i="46"/>
  <c r="V116" i="46"/>
  <c r="AH115" i="46"/>
  <c r="AG115" i="46"/>
  <c r="AB115" i="46"/>
  <c r="Z115" i="46"/>
  <c r="Y115" i="46"/>
  <c r="X115" i="46"/>
  <c r="W115" i="46"/>
  <c r="V115" i="46"/>
  <c r="AH114" i="46"/>
  <c r="AG114" i="46"/>
  <c r="AB114" i="46"/>
  <c r="Z114" i="46"/>
  <c r="Y114" i="46"/>
  <c r="X114" i="46"/>
  <c r="W114" i="46"/>
  <c r="V114" i="46"/>
  <c r="AH113" i="46"/>
  <c r="AG113" i="46"/>
  <c r="AB113" i="46"/>
  <c r="Z113" i="46"/>
  <c r="Y113" i="46"/>
  <c r="X113" i="46"/>
  <c r="W113" i="46"/>
  <c r="V113" i="46"/>
  <c r="AH112" i="46"/>
  <c r="AG112" i="46"/>
  <c r="AB112" i="46"/>
  <c r="Z112" i="46"/>
  <c r="Y112" i="46"/>
  <c r="X112" i="46"/>
  <c r="W112" i="46"/>
  <c r="V112" i="46"/>
  <c r="AH111" i="46"/>
  <c r="AG111" i="46"/>
  <c r="AB111" i="46"/>
  <c r="Z111" i="46"/>
  <c r="Y111" i="46"/>
  <c r="X111" i="46"/>
  <c r="W111" i="46"/>
  <c r="V111" i="46"/>
  <c r="AH110" i="46"/>
  <c r="AG110" i="46"/>
  <c r="AB110" i="46"/>
  <c r="Z110" i="46"/>
  <c r="Y110" i="46"/>
  <c r="X110" i="46"/>
  <c r="W110" i="46"/>
  <c r="V110" i="46"/>
  <c r="AH109" i="46"/>
  <c r="AG109" i="46"/>
  <c r="AB109" i="46"/>
  <c r="Z109" i="46"/>
  <c r="Y109" i="46"/>
  <c r="X109" i="46"/>
  <c r="W109" i="46"/>
  <c r="V109" i="46"/>
  <c r="AI108" i="46"/>
  <c r="Z108" i="46"/>
  <c r="AI107" i="46"/>
  <c r="Z107" i="46"/>
  <c r="AI106" i="46"/>
  <c r="Z106" i="46"/>
  <c r="AI105" i="46"/>
  <c r="Z105" i="46"/>
  <c r="AI104" i="46"/>
  <c r="Z104" i="46"/>
  <c r="AI103" i="46"/>
  <c r="Z103" i="46"/>
  <c r="AI102" i="46"/>
  <c r="Z102" i="46"/>
  <c r="AI101" i="46"/>
  <c r="Z101" i="46"/>
  <c r="AI100" i="46"/>
  <c r="Z100" i="46"/>
  <c r="AI99" i="46"/>
  <c r="Z99" i="46"/>
  <c r="AI98" i="46"/>
  <c r="Z98" i="46"/>
  <c r="AI97" i="46"/>
  <c r="Z97" i="46"/>
  <c r="AI96" i="46"/>
  <c r="Z96" i="46"/>
  <c r="AI95" i="46"/>
  <c r="Z95" i="46"/>
  <c r="AI94" i="46"/>
  <c r="Z94" i="46"/>
  <c r="AI93" i="46"/>
  <c r="Z93" i="46"/>
  <c r="AI92" i="46"/>
  <c r="Z92" i="46"/>
  <c r="AI91" i="46"/>
  <c r="Z91" i="46"/>
  <c r="AI90" i="46"/>
  <c r="Z90" i="46"/>
  <c r="AI89" i="46"/>
  <c r="Z89" i="46"/>
  <c r="AI88" i="46"/>
  <c r="Z88" i="46"/>
  <c r="AI87" i="46"/>
  <c r="Z87" i="46"/>
  <c r="AI86" i="46"/>
  <c r="Z86" i="46"/>
  <c r="AI85" i="46"/>
  <c r="Z85" i="46"/>
  <c r="AI84" i="46"/>
  <c r="Z84" i="46"/>
  <c r="AI83" i="46"/>
  <c r="Z83" i="46"/>
  <c r="AI82" i="46"/>
  <c r="Z82" i="46"/>
  <c r="AI81" i="46"/>
  <c r="Z81" i="46"/>
  <c r="AI80" i="46"/>
  <c r="Z80" i="46"/>
  <c r="AI79" i="46"/>
  <c r="Z79" i="46"/>
  <c r="AI78" i="46"/>
  <c r="Z78" i="46"/>
  <c r="AI77" i="46"/>
  <c r="Z77" i="46"/>
  <c r="AI76" i="46"/>
  <c r="Z76" i="46"/>
  <c r="AI75" i="46"/>
  <c r="Z75" i="46"/>
  <c r="AI74" i="46"/>
  <c r="Z74" i="46"/>
  <c r="AI73" i="46"/>
  <c r="Z73" i="46"/>
  <c r="AI72" i="46"/>
  <c r="Z72" i="46"/>
  <c r="AI71" i="46"/>
  <c r="Z71" i="46"/>
  <c r="AI70" i="46"/>
  <c r="Z70" i="46"/>
  <c r="AI69" i="46"/>
  <c r="Z69" i="46"/>
  <c r="AI68" i="46"/>
  <c r="Z68" i="46"/>
  <c r="AI67" i="46"/>
  <c r="Z67" i="46"/>
  <c r="AI66" i="46"/>
  <c r="Z66" i="46"/>
  <c r="AI65" i="46"/>
  <c r="Z65" i="46"/>
  <c r="AI64" i="46"/>
  <c r="Z64" i="46"/>
  <c r="AB207" i="33"/>
  <c r="Z207" i="33"/>
  <c r="AB206" i="33"/>
  <c r="Z206" i="33"/>
  <c r="AB205" i="33"/>
  <c r="Z205" i="33"/>
  <c r="AB204" i="33"/>
  <c r="Z204" i="33"/>
  <c r="AB203" i="33"/>
  <c r="Z203" i="33"/>
  <c r="AB202" i="33"/>
  <c r="Z202" i="33"/>
  <c r="AB201" i="33"/>
  <c r="Z201" i="33"/>
  <c r="AB200" i="33"/>
  <c r="Z200" i="33"/>
  <c r="AB199" i="33"/>
  <c r="Z199" i="33"/>
  <c r="AB198" i="33"/>
  <c r="Z198" i="33"/>
  <c r="AB197" i="33"/>
  <c r="Z197" i="33"/>
  <c r="AB196" i="33"/>
  <c r="Z196" i="33"/>
  <c r="AB195" i="33"/>
  <c r="Z195" i="33"/>
  <c r="AB194" i="33"/>
  <c r="Z194" i="33"/>
  <c r="AB193" i="33"/>
  <c r="Z193" i="33"/>
  <c r="AB192" i="33"/>
  <c r="Z192" i="33"/>
  <c r="AB191" i="33"/>
  <c r="Z191" i="33"/>
  <c r="AB190" i="33"/>
  <c r="Z190" i="33"/>
  <c r="AB189" i="33"/>
  <c r="Z189" i="33"/>
  <c r="AB188" i="33"/>
  <c r="Z188" i="33"/>
  <c r="AB187" i="33"/>
  <c r="Z187" i="33"/>
  <c r="AB186" i="33"/>
  <c r="Z186" i="33"/>
  <c r="AB185" i="33"/>
  <c r="Z185" i="33"/>
  <c r="AB184" i="33"/>
  <c r="Z184" i="33"/>
  <c r="AB183" i="33"/>
  <c r="Z183" i="33"/>
  <c r="AB182" i="33"/>
  <c r="Z182" i="33"/>
  <c r="AB181" i="33"/>
  <c r="Z181" i="33"/>
  <c r="AI180" i="33"/>
  <c r="AA180" i="33"/>
  <c r="AB180" i="33"/>
  <c r="Z180" i="33"/>
  <c r="AI179" i="33"/>
  <c r="AA179" i="33"/>
  <c r="AB179" i="33"/>
  <c r="Z179" i="33"/>
  <c r="AI178" i="33"/>
  <c r="AA178" i="33"/>
  <c r="AB178" i="33"/>
  <c r="Z178" i="33"/>
  <c r="AI177" i="33"/>
  <c r="AA177" i="33"/>
  <c r="AB177" i="33"/>
  <c r="Z177" i="33"/>
  <c r="AI176" i="33"/>
  <c r="AA176" i="33"/>
  <c r="AB176" i="33"/>
  <c r="Z176" i="33"/>
  <c r="AI175" i="33"/>
  <c r="AA175" i="33"/>
  <c r="AB175" i="33"/>
  <c r="Z175" i="33"/>
  <c r="AI174" i="33"/>
  <c r="AA174" i="33"/>
  <c r="AB174" i="33"/>
  <c r="Z174" i="33"/>
  <c r="AI173" i="33"/>
  <c r="AA173" i="33"/>
  <c r="AB173" i="33"/>
  <c r="Z173" i="33"/>
  <c r="AI172" i="33"/>
  <c r="AA172" i="33"/>
  <c r="AB172" i="33"/>
  <c r="Z172" i="33"/>
  <c r="AI171" i="33"/>
  <c r="AA171" i="33"/>
  <c r="AB171" i="33"/>
  <c r="Z171" i="33"/>
  <c r="AI170" i="33"/>
  <c r="AA170" i="33"/>
  <c r="AB170" i="33"/>
  <c r="Z170" i="33"/>
  <c r="AI169" i="33"/>
  <c r="AA169" i="33"/>
  <c r="AB169" i="33"/>
  <c r="Z169" i="33"/>
  <c r="AI168" i="33"/>
  <c r="AA168" i="33"/>
  <c r="AB168" i="33"/>
  <c r="Z168" i="33"/>
  <c r="AI167" i="33"/>
  <c r="AA167" i="33"/>
  <c r="AB167" i="33"/>
  <c r="Z167" i="33"/>
  <c r="AI166" i="33"/>
  <c r="AA166" i="33"/>
  <c r="AB166" i="33"/>
  <c r="Z166" i="33"/>
  <c r="AI165" i="33"/>
  <c r="AA165" i="33"/>
  <c r="AB165" i="33"/>
  <c r="Z165" i="33"/>
  <c r="AI164" i="33"/>
  <c r="AA164" i="33"/>
  <c r="AB164" i="33"/>
  <c r="Z164" i="33"/>
  <c r="AI163" i="33"/>
  <c r="AA163" i="33"/>
  <c r="AB163" i="33"/>
  <c r="Z163" i="33"/>
  <c r="AI162" i="33"/>
  <c r="AA162" i="33"/>
  <c r="AB162" i="33"/>
  <c r="Z162" i="33"/>
  <c r="AI161" i="33"/>
  <c r="AA161" i="33"/>
  <c r="AB161" i="33"/>
  <c r="Z161" i="33"/>
  <c r="AI160" i="33"/>
  <c r="AA160" i="33"/>
  <c r="AB160" i="33"/>
  <c r="Z160" i="33"/>
  <c r="AI159" i="33"/>
  <c r="AA159" i="33"/>
  <c r="AB159" i="33"/>
  <c r="Z159" i="33"/>
  <c r="AI158" i="33"/>
  <c r="AA158" i="33"/>
  <c r="AB158" i="33"/>
  <c r="Z158" i="33"/>
  <c r="AI157" i="33"/>
  <c r="AA157" i="33"/>
  <c r="AB157" i="33"/>
  <c r="Z157" i="33"/>
  <c r="AI156" i="33"/>
  <c r="AA156" i="33"/>
  <c r="AB156" i="33"/>
  <c r="Z156" i="33"/>
  <c r="AI155" i="33"/>
  <c r="AA155" i="33"/>
  <c r="AB155" i="33"/>
  <c r="Z155" i="33"/>
  <c r="AI154" i="33"/>
  <c r="AA154" i="33"/>
  <c r="AB154" i="33"/>
  <c r="Z154" i="33"/>
  <c r="AI153" i="33"/>
  <c r="AA153" i="33"/>
  <c r="AB153" i="33"/>
  <c r="Z153" i="33"/>
  <c r="AI152" i="33"/>
  <c r="AA152" i="33"/>
  <c r="AB152" i="33"/>
  <c r="Z152" i="33"/>
  <c r="AI151" i="33"/>
  <c r="AA151" i="33"/>
  <c r="AB151" i="33"/>
  <c r="Z151" i="33"/>
  <c r="AI150" i="33"/>
  <c r="AA150" i="33"/>
  <c r="AB150" i="33"/>
  <c r="Z150" i="33"/>
  <c r="AI149" i="33"/>
  <c r="AA149" i="33"/>
  <c r="AB149" i="33"/>
  <c r="Z149" i="33"/>
  <c r="AI148" i="33"/>
  <c r="AA148" i="33"/>
  <c r="AB148" i="33"/>
  <c r="Z148" i="33"/>
  <c r="AI147" i="33"/>
  <c r="AA147" i="33"/>
  <c r="AB147" i="33"/>
  <c r="Z147" i="33"/>
  <c r="AI146" i="33"/>
  <c r="AA146" i="33"/>
  <c r="AB146" i="33"/>
  <c r="Z146" i="33"/>
  <c r="AI145" i="33"/>
  <c r="AA145" i="33"/>
  <c r="AB145" i="33"/>
  <c r="Z145" i="33"/>
  <c r="AI144" i="33"/>
  <c r="AA144" i="33"/>
  <c r="AB144" i="33"/>
  <c r="Z144" i="33"/>
  <c r="AI143" i="33"/>
  <c r="AA143" i="33"/>
  <c r="AB143" i="33"/>
  <c r="Z143" i="33"/>
  <c r="AI142" i="33"/>
  <c r="AA142" i="33"/>
  <c r="AB142" i="33"/>
  <c r="Z142" i="33"/>
  <c r="AI141" i="33"/>
  <c r="AA141" i="33"/>
  <c r="AB141" i="33"/>
  <c r="Z141" i="33"/>
  <c r="AI140" i="33"/>
  <c r="AA140" i="33"/>
  <c r="AB140" i="33"/>
  <c r="Z140" i="33"/>
  <c r="AI139" i="33"/>
  <c r="AA139" i="33"/>
  <c r="AB139" i="33"/>
  <c r="Z139" i="33"/>
  <c r="AI138" i="33"/>
  <c r="AA138" i="33"/>
  <c r="AB138" i="33"/>
  <c r="Z138" i="33"/>
  <c r="AI137" i="33"/>
  <c r="AA137" i="33"/>
  <c r="AB137" i="33"/>
  <c r="Z137" i="33"/>
  <c r="AI136" i="33"/>
  <c r="AA136" i="33"/>
  <c r="AB136" i="33"/>
  <c r="Z136" i="33"/>
  <c r="AH135" i="33"/>
  <c r="AG135" i="33"/>
  <c r="AB135" i="33"/>
  <c r="Z135" i="33"/>
  <c r="Y135" i="33"/>
  <c r="X135" i="33"/>
  <c r="W135" i="33"/>
  <c r="V135" i="33"/>
  <c r="AH134" i="33"/>
  <c r="AG134" i="33"/>
  <c r="AB134" i="33"/>
  <c r="Z134" i="33"/>
  <c r="Y134" i="33"/>
  <c r="X134" i="33"/>
  <c r="W134" i="33"/>
  <c r="V134" i="33"/>
  <c r="AH133" i="33"/>
  <c r="AG133" i="33"/>
  <c r="AB133" i="33"/>
  <c r="Z133" i="33"/>
  <c r="Y133" i="33"/>
  <c r="X133" i="33"/>
  <c r="W133" i="33"/>
  <c r="V133" i="33"/>
  <c r="AH132" i="33"/>
  <c r="AG132" i="33"/>
  <c r="AB132" i="33"/>
  <c r="Z132" i="33"/>
  <c r="Y132" i="33"/>
  <c r="X132" i="33"/>
  <c r="W132" i="33"/>
  <c r="V132" i="33"/>
  <c r="AH131" i="33"/>
  <c r="AG131" i="33"/>
  <c r="AB131" i="33"/>
  <c r="Z131" i="33"/>
  <c r="Y131" i="33"/>
  <c r="X131" i="33"/>
  <c r="W131" i="33"/>
  <c r="V131" i="33"/>
  <c r="AH130" i="33"/>
  <c r="AG130" i="33"/>
  <c r="AB130" i="33"/>
  <c r="Z130" i="33"/>
  <c r="Y130" i="33"/>
  <c r="X130" i="33"/>
  <c r="W130" i="33"/>
  <c r="V130" i="33"/>
  <c r="AH129" i="33"/>
  <c r="AG129" i="33"/>
  <c r="AB129" i="33"/>
  <c r="Z129" i="33"/>
  <c r="Y129" i="33"/>
  <c r="X129" i="33"/>
  <c r="W129" i="33"/>
  <c r="V129" i="33"/>
  <c r="AH128" i="33"/>
  <c r="AG128" i="33"/>
  <c r="AB128" i="33"/>
  <c r="Z128" i="33"/>
  <c r="Y128" i="33"/>
  <c r="X128" i="33"/>
  <c r="W128" i="33"/>
  <c r="V128" i="33"/>
  <c r="AH127" i="33"/>
  <c r="AG127" i="33"/>
  <c r="AB127" i="33"/>
  <c r="Z127" i="33"/>
  <c r="Y127" i="33"/>
  <c r="X127" i="33"/>
  <c r="W127" i="33"/>
  <c r="V127" i="33"/>
  <c r="AH126" i="33"/>
  <c r="AG126" i="33"/>
  <c r="AB126" i="33"/>
  <c r="Z126" i="33"/>
  <c r="Y126" i="33"/>
  <c r="X126" i="33"/>
  <c r="W126" i="33"/>
  <c r="V126" i="33"/>
  <c r="AH125" i="33"/>
  <c r="AG125" i="33"/>
  <c r="AB125" i="33"/>
  <c r="Z125" i="33"/>
  <c r="Y125" i="33"/>
  <c r="X125" i="33"/>
  <c r="W125" i="33"/>
  <c r="V125" i="33"/>
  <c r="AH124" i="33"/>
  <c r="AG124" i="33"/>
  <c r="AB124" i="33"/>
  <c r="Z124" i="33"/>
  <c r="Y124" i="33"/>
  <c r="X124" i="33"/>
  <c r="W124" i="33"/>
  <c r="V124" i="33"/>
  <c r="AH123" i="33"/>
  <c r="AG123" i="33"/>
  <c r="AB123" i="33"/>
  <c r="Z123" i="33"/>
  <c r="Y123" i="33"/>
  <c r="X123" i="33"/>
  <c r="W123" i="33"/>
  <c r="V123" i="33"/>
  <c r="AH122" i="33"/>
  <c r="AG122" i="33"/>
  <c r="AB122" i="33"/>
  <c r="Z122" i="33"/>
  <c r="Y122" i="33"/>
  <c r="X122" i="33"/>
  <c r="W122" i="33"/>
  <c r="V122" i="33"/>
  <c r="AH121" i="33"/>
  <c r="AG121" i="33"/>
  <c r="AB121" i="33"/>
  <c r="Z121" i="33"/>
  <c r="Y121" i="33"/>
  <c r="X121" i="33"/>
  <c r="W121" i="33"/>
  <c r="V121" i="33"/>
  <c r="AH120" i="33"/>
  <c r="AG120" i="33"/>
  <c r="AB120" i="33"/>
  <c r="Z120" i="33"/>
  <c r="Y120" i="33"/>
  <c r="X120" i="33"/>
  <c r="W120" i="33"/>
  <c r="V120" i="33"/>
  <c r="AH119" i="33"/>
  <c r="AG119" i="33"/>
  <c r="AB119" i="33"/>
  <c r="Z119" i="33"/>
  <c r="Y119" i="33"/>
  <c r="X119" i="33"/>
  <c r="W119" i="33"/>
  <c r="V119" i="33"/>
  <c r="AH118" i="33"/>
  <c r="AG118" i="33"/>
  <c r="AB118" i="33"/>
  <c r="Z118" i="33"/>
  <c r="Y118" i="33"/>
  <c r="X118" i="33"/>
  <c r="W118" i="33"/>
  <c r="V118" i="33"/>
  <c r="AH117" i="33"/>
  <c r="AG117" i="33"/>
  <c r="AB117" i="33"/>
  <c r="Z117" i="33"/>
  <c r="Y117" i="33"/>
  <c r="X117" i="33"/>
  <c r="W117" i="33"/>
  <c r="V117" i="33"/>
  <c r="AH116" i="33"/>
  <c r="AG116" i="33"/>
  <c r="AB116" i="33"/>
  <c r="Z116" i="33"/>
  <c r="Y116" i="33"/>
  <c r="X116" i="33"/>
  <c r="W116" i="33"/>
  <c r="V116" i="33"/>
  <c r="AH115" i="33"/>
  <c r="AG115" i="33"/>
  <c r="AB115" i="33"/>
  <c r="Z115" i="33"/>
  <c r="Y115" i="33"/>
  <c r="X115" i="33"/>
  <c r="W115" i="33"/>
  <c r="V115" i="33"/>
  <c r="AH114" i="33"/>
  <c r="AG114" i="33"/>
  <c r="AB114" i="33"/>
  <c r="Z114" i="33"/>
  <c r="Y114" i="33"/>
  <c r="X114" i="33"/>
  <c r="W114" i="33"/>
  <c r="V114" i="33"/>
  <c r="AH113" i="33"/>
  <c r="AG113" i="33"/>
  <c r="AB113" i="33"/>
  <c r="Z113" i="33"/>
  <c r="Y113" i="33"/>
  <c r="X113" i="33"/>
  <c r="W113" i="33"/>
  <c r="V113" i="33"/>
  <c r="AH112" i="33"/>
  <c r="AG112" i="33"/>
  <c r="AB112" i="33"/>
  <c r="Z112" i="33"/>
  <c r="Y112" i="33"/>
  <c r="X112" i="33"/>
  <c r="W112" i="33"/>
  <c r="V112" i="33"/>
  <c r="AH111" i="33"/>
  <c r="AG111" i="33"/>
  <c r="AB111" i="33"/>
  <c r="Z111" i="33"/>
  <c r="Y111" i="33"/>
  <c r="X111" i="33"/>
  <c r="W111" i="33"/>
  <c r="V111" i="33"/>
  <c r="AH110" i="33"/>
  <c r="AG110" i="33"/>
  <c r="AB110" i="33"/>
  <c r="Z110" i="33"/>
  <c r="Y110" i="33"/>
  <c r="X110" i="33"/>
  <c r="W110" i="33"/>
  <c r="V110" i="33"/>
  <c r="AH109" i="33"/>
  <c r="AG109" i="33"/>
  <c r="AB109" i="33"/>
  <c r="Z109" i="33"/>
  <c r="Y109" i="33"/>
  <c r="X109" i="33"/>
  <c r="W109" i="33"/>
  <c r="V109" i="33"/>
  <c r="AI108" i="33"/>
  <c r="Z108" i="33"/>
  <c r="AI107" i="33"/>
  <c r="Z107" i="33"/>
  <c r="AI106" i="33"/>
  <c r="Z106" i="33"/>
  <c r="AI105" i="33"/>
  <c r="Z105" i="33"/>
  <c r="AI104" i="33"/>
  <c r="Z104" i="33"/>
  <c r="AI103" i="33"/>
  <c r="Z103" i="33"/>
  <c r="AI102" i="33"/>
  <c r="Z102" i="33"/>
  <c r="AI101" i="33"/>
  <c r="Z101" i="33"/>
  <c r="AI100" i="33"/>
  <c r="Z100" i="33"/>
  <c r="AI99" i="33"/>
  <c r="Z99" i="33"/>
  <c r="AI98" i="33"/>
  <c r="Z98" i="33"/>
  <c r="AI97" i="33"/>
  <c r="Z97" i="33"/>
  <c r="AI96" i="33"/>
  <c r="Z96" i="33"/>
  <c r="AI95" i="33"/>
  <c r="Z95" i="33"/>
  <c r="AI94" i="33"/>
  <c r="Z94" i="33"/>
  <c r="AI93" i="33"/>
  <c r="Z93" i="33"/>
  <c r="AI92" i="33"/>
  <c r="Z92" i="33"/>
  <c r="AI91" i="33"/>
  <c r="Z91" i="33"/>
  <c r="AI90" i="33"/>
  <c r="Z90" i="33"/>
  <c r="AI89" i="33"/>
  <c r="Z89" i="33"/>
  <c r="AI88" i="33"/>
  <c r="Z88" i="33"/>
  <c r="AI87" i="33"/>
  <c r="Z87" i="33"/>
  <c r="AI86" i="33"/>
  <c r="Z86" i="33"/>
  <c r="AI85" i="33"/>
  <c r="Z85" i="33"/>
  <c r="AI84" i="33"/>
  <c r="Z84" i="33"/>
  <c r="AI83" i="33"/>
  <c r="Z83" i="33"/>
  <c r="AI82" i="33"/>
  <c r="Z82" i="33"/>
  <c r="AI81" i="33"/>
  <c r="Z81" i="33"/>
  <c r="AI80" i="33"/>
  <c r="Z80" i="33"/>
  <c r="AI79" i="33"/>
  <c r="Z79" i="33"/>
  <c r="AI78" i="33"/>
  <c r="Z78" i="33"/>
  <c r="AI77" i="33"/>
  <c r="Z77" i="33"/>
  <c r="AI76" i="33"/>
  <c r="Z76" i="33"/>
  <c r="AI75" i="33"/>
  <c r="Z75" i="33"/>
  <c r="AI74" i="33"/>
  <c r="Z74" i="33"/>
  <c r="AI73" i="33"/>
  <c r="Z73" i="33"/>
  <c r="AI72" i="33"/>
  <c r="Z72" i="33"/>
  <c r="AI71" i="33"/>
  <c r="Z71" i="33"/>
  <c r="AI70" i="33"/>
  <c r="Z70" i="33"/>
  <c r="AI69" i="33"/>
  <c r="Z69" i="33"/>
  <c r="AI68" i="33"/>
  <c r="Z68" i="33"/>
  <c r="AI67" i="33"/>
  <c r="Z67" i="33"/>
  <c r="AI66" i="33"/>
  <c r="Z66" i="33"/>
  <c r="AI65" i="33"/>
  <c r="Z65" i="33"/>
  <c r="AI64" i="33"/>
  <c r="Z64" i="33"/>
  <c r="AB207" i="37"/>
  <c r="Z207" i="37"/>
  <c r="AB206" i="37"/>
  <c r="Z206" i="37"/>
  <c r="AB205" i="37"/>
  <c r="Z205" i="37"/>
  <c r="AB204" i="37"/>
  <c r="Z204" i="37"/>
  <c r="AB203" i="37"/>
  <c r="Z203" i="37"/>
  <c r="AB202" i="37"/>
  <c r="Z202" i="37"/>
  <c r="AB201" i="37"/>
  <c r="Z201" i="37"/>
  <c r="AB200" i="37"/>
  <c r="Z200" i="37"/>
  <c r="AB199" i="37"/>
  <c r="Z199" i="37"/>
  <c r="AB198" i="37"/>
  <c r="Z198" i="37"/>
  <c r="AB197" i="37"/>
  <c r="Z197" i="37"/>
  <c r="AB196" i="37"/>
  <c r="Z196" i="37"/>
  <c r="AB195" i="37"/>
  <c r="Z195" i="37"/>
  <c r="AB194" i="37"/>
  <c r="Z194" i="37"/>
  <c r="AB193" i="37"/>
  <c r="Z193" i="37"/>
  <c r="AB192" i="37"/>
  <c r="Z192" i="37"/>
  <c r="AB191" i="37"/>
  <c r="Z191" i="37"/>
  <c r="AB190" i="37"/>
  <c r="Z190" i="37"/>
  <c r="AB189" i="37"/>
  <c r="Z189" i="37"/>
  <c r="AB188" i="37"/>
  <c r="Z188" i="37"/>
  <c r="AB187" i="37"/>
  <c r="Z187" i="37"/>
  <c r="AB186" i="37"/>
  <c r="Z186" i="37"/>
  <c r="AB185" i="37"/>
  <c r="Z185" i="37"/>
  <c r="AB184" i="37"/>
  <c r="Z184" i="37"/>
  <c r="AB183" i="37"/>
  <c r="Z183" i="37"/>
  <c r="AB182" i="37"/>
  <c r="Z182" i="37"/>
  <c r="AB181" i="37"/>
  <c r="Z181" i="37"/>
  <c r="AI180" i="37"/>
  <c r="AA180" i="37"/>
  <c r="AB180" i="37"/>
  <c r="Z180" i="37"/>
  <c r="AI179" i="37"/>
  <c r="AA179" i="37"/>
  <c r="AB179" i="37"/>
  <c r="Z179" i="37"/>
  <c r="AI178" i="37"/>
  <c r="AA178" i="37"/>
  <c r="AB178" i="37"/>
  <c r="Z178" i="37"/>
  <c r="AI177" i="37"/>
  <c r="AA177" i="37"/>
  <c r="AB177" i="37"/>
  <c r="Z177" i="37"/>
  <c r="AI176" i="37"/>
  <c r="AA176" i="37"/>
  <c r="AB176" i="37"/>
  <c r="Z176" i="37"/>
  <c r="AI175" i="37"/>
  <c r="AA175" i="37"/>
  <c r="AB175" i="37"/>
  <c r="Z175" i="37"/>
  <c r="AI174" i="37"/>
  <c r="AA174" i="37"/>
  <c r="AB174" i="37"/>
  <c r="Z174" i="37"/>
  <c r="AI173" i="37"/>
  <c r="AA173" i="37"/>
  <c r="AB173" i="37"/>
  <c r="Z173" i="37"/>
  <c r="AI172" i="37"/>
  <c r="AA172" i="37"/>
  <c r="AB172" i="37"/>
  <c r="Z172" i="37"/>
  <c r="AI171" i="37"/>
  <c r="AA171" i="37"/>
  <c r="AB171" i="37"/>
  <c r="Z171" i="37"/>
  <c r="AI170" i="37"/>
  <c r="AA170" i="37"/>
  <c r="AB170" i="37"/>
  <c r="Z170" i="37"/>
  <c r="AI169" i="37"/>
  <c r="AA169" i="37"/>
  <c r="AB169" i="37"/>
  <c r="Z169" i="37"/>
  <c r="AI168" i="37"/>
  <c r="AA168" i="37"/>
  <c r="AB168" i="37"/>
  <c r="Z168" i="37"/>
  <c r="AI167" i="37"/>
  <c r="AA167" i="37"/>
  <c r="AB167" i="37"/>
  <c r="Z167" i="37"/>
  <c r="AI166" i="37"/>
  <c r="AA166" i="37"/>
  <c r="AB166" i="37"/>
  <c r="Z166" i="37"/>
  <c r="AI165" i="37"/>
  <c r="AA165" i="37"/>
  <c r="AB165" i="37"/>
  <c r="Z165" i="37"/>
  <c r="AI164" i="37"/>
  <c r="AA164" i="37"/>
  <c r="AB164" i="37"/>
  <c r="Z164" i="37"/>
  <c r="AI163" i="37"/>
  <c r="AA163" i="37"/>
  <c r="AB163" i="37"/>
  <c r="Z163" i="37"/>
  <c r="AI162" i="37"/>
  <c r="AA162" i="37"/>
  <c r="AB162" i="37"/>
  <c r="Z162" i="37"/>
  <c r="AI161" i="37"/>
  <c r="AA161" i="37"/>
  <c r="AB161" i="37"/>
  <c r="Z161" i="37"/>
  <c r="AI160" i="37"/>
  <c r="AA160" i="37"/>
  <c r="AB160" i="37"/>
  <c r="Z160" i="37"/>
  <c r="AI159" i="37"/>
  <c r="AA159" i="37"/>
  <c r="AB159" i="37"/>
  <c r="Z159" i="37"/>
  <c r="AI158" i="37"/>
  <c r="AA158" i="37"/>
  <c r="AB158" i="37"/>
  <c r="Z158" i="37"/>
  <c r="AI157" i="37"/>
  <c r="AA157" i="37"/>
  <c r="AB157" i="37"/>
  <c r="Z157" i="37"/>
  <c r="AI156" i="37"/>
  <c r="AA156" i="37"/>
  <c r="AB156" i="37"/>
  <c r="Z156" i="37"/>
  <c r="AI155" i="37"/>
  <c r="AA155" i="37"/>
  <c r="AB155" i="37"/>
  <c r="Z155" i="37"/>
  <c r="AI154" i="37"/>
  <c r="AA154" i="37"/>
  <c r="AB154" i="37"/>
  <c r="Z154" i="37"/>
  <c r="AI153" i="37"/>
  <c r="AA153" i="37"/>
  <c r="AB153" i="37"/>
  <c r="Z153" i="37"/>
  <c r="AI152" i="37"/>
  <c r="AA152" i="37"/>
  <c r="AB152" i="37"/>
  <c r="Z152" i="37"/>
  <c r="AI151" i="37"/>
  <c r="AA151" i="37"/>
  <c r="AB151" i="37"/>
  <c r="Z151" i="37"/>
  <c r="AI150" i="37"/>
  <c r="AA150" i="37"/>
  <c r="AB150" i="37"/>
  <c r="Z150" i="37"/>
  <c r="AI149" i="37"/>
  <c r="AA149" i="37"/>
  <c r="AB149" i="37"/>
  <c r="Z149" i="37"/>
  <c r="AI148" i="37"/>
  <c r="AA148" i="37"/>
  <c r="AB148" i="37"/>
  <c r="Z148" i="37"/>
  <c r="AI147" i="37"/>
  <c r="AA147" i="37"/>
  <c r="AB147" i="37"/>
  <c r="Z147" i="37"/>
  <c r="AI146" i="37"/>
  <c r="AA146" i="37"/>
  <c r="AB146" i="37"/>
  <c r="Z146" i="37"/>
  <c r="AI145" i="37"/>
  <c r="AA145" i="37"/>
  <c r="AB145" i="37"/>
  <c r="Z145" i="37"/>
  <c r="AI144" i="37"/>
  <c r="AA144" i="37"/>
  <c r="AB144" i="37"/>
  <c r="Z144" i="37"/>
  <c r="AI143" i="37"/>
  <c r="AA143" i="37"/>
  <c r="AB143" i="37"/>
  <c r="Z143" i="37"/>
  <c r="AI142" i="37"/>
  <c r="AA142" i="37"/>
  <c r="AB142" i="37"/>
  <c r="Z142" i="37"/>
  <c r="AI141" i="37"/>
  <c r="AA141" i="37"/>
  <c r="AB141" i="37"/>
  <c r="Z141" i="37"/>
  <c r="AI140" i="37"/>
  <c r="AA140" i="37"/>
  <c r="AB140" i="37"/>
  <c r="Z140" i="37"/>
  <c r="AI139" i="37"/>
  <c r="AA139" i="37"/>
  <c r="AB139" i="37"/>
  <c r="Z139" i="37"/>
  <c r="AI138" i="37"/>
  <c r="AA138" i="37"/>
  <c r="AB138" i="37"/>
  <c r="Z138" i="37"/>
  <c r="AI137" i="37"/>
  <c r="AA137" i="37"/>
  <c r="AB137" i="37"/>
  <c r="Z137" i="37"/>
  <c r="AI136" i="37"/>
  <c r="AA136" i="37"/>
  <c r="AB136" i="37"/>
  <c r="Z136" i="37"/>
  <c r="AH135" i="37"/>
  <c r="AG135" i="37"/>
  <c r="AB135" i="37"/>
  <c r="Z135" i="37"/>
  <c r="Y135" i="37"/>
  <c r="X135" i="37"/>
  <c r="W135" i="37"/>
  <c r="V135" i="37"/>
  <c r="AH134" i="37"/>
  <c r="AG134" i="37"/>
  <c r="AB134" i="37"/>
  <c r="Z134" i="37"/>
  <c r="Y134" i="37"/>
  <c r="X134" i="37"/>
  <c r="W134" i="37"/>
  <c r="V134" i="37"/>
  <c r="AH133" i="37"/>
  <c r="AG133" i="37"/>
  <c r="AB133" i="37"/>
  <c r="Z133" i="37"/>
  <c r="Y133" i="37"/>
  <c r="X133" i="37"/>
  <c r="W133" i="37"/>
  <c r="V133" i="37"/>
  <c r="AH132" i="37"/>
  <c r="AG132" i="37"/>
  <c r="AB132" i="37"/>
  <c r="Z132" i="37"/>
  <c r="Y132" i="37"/>
  <c r="X132" i="37"/>
  <c r="W132" i="37"/>
  <c r="V132" i="37"/>
  <c r="AH131" i="37"/>
  <c r="AG131" i="37"/>
  <c r="AB131" i="37"/>
  <c r="Z131" i="37"/>
  <c r="Y131" i="37"/>
  <c r="X131" i="37"/>
  <c r="W131" i="37"/>
  <c r="V131" i="37"/>
  <c r="AH130" i="37"/>
  <c r="AG130" i="37"/>
  <c r="AB130" i="37"/>
  <c r="Z130" i="37"/>
  <c r="Y130" i="37"/>
  <c r="X130" i="37"/>
  <c r="W130" i="37"/>
  <c r="V130" i="37"/>
  <c r="AH129" i="37"/>
  <c r="AG129" i="37"/>
  <c r="AB129" i="37"/>
  <c r="Z129" i="37"/>
  <c r="Y129" i="37"/>
  <c r="X129" i="37"/>
  <c r="W129" i="37"/>
  <c r="V129" i="37"/>
  <c r="AH128" i="37"/>
  <c r="AG128" i="37"/>
  <c r="AB128" i="37"/>
  <c r="Z128" i="37"/>
  <c r="Y128" i="37"/>
  <c r="X128" i="37"/>
  <c r="W128" i="37"/>
  <c r="V128" i="37"/>
  <c r="AH127" i="37"/>
  <c r="AG127" i="37"/>
  <c r="AB127" i="37"/>
  <c r="Z127" i="37"/>
  <c r="Y127" i="37"/>
  <c r="X127" i="37"/>
  <c r="W127" i="37"/>
  <c r="V127" i="37"/>
  <c r="AH126" i="37"/>
  <c r="AG126" i="37"/>
  <c r="AB126" i="37"/>
  <c r="Z126" i="37"/>
  <c r="Y126" i="37"/>
  <c r="X126" i="37"/>
  <c r="W126" i="37"/>
  <c r="V126" i="37"/>
  <c r="AH125" i="37"/>
  <c r="AG125" i="37"/>
  <c r="AB125" i="37"/>
  <c r="Z125" i="37"/>
  <c r="Y125" i="37"/>
  <c r="X125" i="37"/>
  <c r="W125" i="37"/>
  <c r="V125" i="37"/>
  <c r="AH124" i="37"/>
  <c r="AG124" i="37"/>
  <c r="AB124" i="37"/>
  <c r="Z124" i="37"/>
  <c r="Y124" i="37"/>
  <c r="X124" i="37"/>
  <c r="W124" i="37"/>
  <c r="V124" i="37"/>
  <c r="AH123" i="37"/>
  <c r="AG123" i="37"/>
  <c r="AB123" i="37"/>
  <c r="Z123" i="37"/>
  <c r="Y123" i="37"/>
  <c r="X123" i="37"/>
  <c r="W123" i="37"/>
  <c r="V123" i="37"/>
  <c r="AH122" i="37"/>
  <c r="AG122" i="37"/>
  <c r="AB122" i="37"/>
  <c r="Z122" i="37"/>
  <c r="Y122" i="37"/>
  <c r="X122" i="37"/>
  <c r="W122" i="37"/>
  <c r="V122" i="37"/>
  <c r="AH121" i="37"/>
  <c r="AG121" i="37"/>
  <c r="AB121" i="37"/>
  <c r="Z121" i="37"/>
  <c r="Y121" i="37"/>
  <c r="X121" i="37"/>
  <c r="W121" i="37"/>
  <c r="V121" i="37"/>
  <c r="AH120" i="37"/>
  <c r="AG120" i="37"/>
  <c r="AB120" i="37"/>
  <c r="Z120" i="37"/>
  <c r="Y120" i="37"/>
  <c r="X120" i="37"/>
  <c r="W120" i="37"/>
  <c r="V120" i="37"/>
  <c r="AH119" i="37"/>
  <c r="AG119" i="37"/>
  <c r="AB119" i="37"/>
  <c r="Z119" i="37"/>
  <c r="Y119" i="37"/>
  <c r="X119" i="37"/>
  <c r="W119" i="37"/>
  <c r="V119" i="37"/>
  <c r="AH118" i="37"/>
  <c r="AG118" i="37"/>
  <c r="AB118" i="37"/>
  <c r="Z118" i="37"/>
  <c r="Y118" i="37"/>
  <c r="X118" i="37"/>
  <c r="W118" i="37"/>
  <c r="V118" i="37"/>
  <c r="AH117" i="37"/>
  <c r="AG117" i="37"/>
  <c r="AB117" i="37"/>
  <c r="Z117" i="37"/>
  <c r="Y117" i="37"/>
  <c r="X117" i="37"/>
  <c r="W117" i="37"/>
  <c r="V117" i="37"/>
  <c r="AH116" i="37"/>
  <c r="AG116" i="37"/>
  <c r="AB116" i="37"/>
  <c r="Z116" i="37"/>
  <c r="Y116" i="37"/>
  <c r="X116" i="37"/>
  <c r="W116" i="37"/>
  <c r="V116" i="37"/>
  <c r="AH115" i="37"/>
  <c r="AG115" i="37"/>
  <c r="AB115" i="37"/>
  <c r="Z115" i="37"/>
  <c r="Y115" i="37"/>
  <c r="X115" i="37"/>
  <c r="W115" i="37"/>
  <c r="V115" i="37"/>
  <c r="AH114" i="37"/>
  <c r="AG114" i="37"/>
  <c r="AB114" i="37"/>
  <c r="Z114" i="37"/>
  <c r="Y114" i="37"/>
  <c r="X114" i="37"/>
  <c r="W114" i="37"/>
  <c r="V114" i="37"/>
  <c r="AH113" i="37"/>
  <c r="AG113" i="37"/>
  <c r="AB113" i="37"/>
  <c r="Z113" i="37"/>
  <c r="Y113" i="37"/>
  <c r="X113" i="37"/>
  <c r="W113" i="37"/>
  <c r="V113" i="37"/>
  <c r="AH112" i="37"/>
  <c r="AG112" i="37"/>
  <c r="AB112" i="37"/>
  <c r="Z112" i="37"/>
  <c r="Y112" i="37"/>
  <c r="X112" i="37"/>
  <c r="W112" i="37"/>
  <c r="V112" i="37"/>
  <c r="AH111" i="37"/>
  <c r="AG111" i="37"/>
  <c r="AB111" i="37"/>
  <c r="Z111" i="37"/>
  <c r="Y111" i="37"/>
  <c r="X111" i="37"/>
  <c r="W111" i="37"/>
  <c r="V111" i="37"/>
  <c r="AH110" i="37"/>
  <c r="AG110" i="37"/>
  <c r="AB110" i="37"/>
  <c r="Z110" i="37"/>
  <c r="Y110" i="37"/>
  <c r="X110" i="37"/>
  <c r="W110" i="37"/>
  <c r="V110" i="37"/>
  <c r="AH109" i="37"/>
  <c r="AG109" i="37"/>
  <c r="AB109" i="37"/>
  <c r="Z109" i="37"/>
  <c r="Y109" i="37"/>
  <c r="X109" i="37"/>
  <c r="W109" i="37"/>
  <c r="V109" i="37"/>
  <c r="AI108" i="37"/>
  <c r="Z108" i="37"/>
  <c r="AI107" i="37"/>
  <c r="Z107" i="37"/>
  <c r="AI106" i="37"/>
  <c r="Z106" i="37"/>
  <c r="AI105" i="37"/>
  <c r="Z105" i="37"/>
  <c r="AI104" i="37"/>
  <c r="Z104" i="37"/>
  <c r="AI103" i="37"/>
  <c r="Z103" i="37"/>
  <c r="AI102" i="37"/>
  <c r="Z102" i="37"/>
  <c r="AI101" i="37"/>
  <c r="Z101" i="37"/>
  <c r="AI100" i="37"/>
  <c r="Z100" i="37"/>
  <c r="AI99" i="37"/>
  <c r="Z99" i="37"/>
  <c r="AI98" i="37"/>
  <c r="Z98" i="37"/>
  <c r="AI97" i="37"/>
  <c r="Z97" i="37"/>
  <c r="AI96" i="37"/>
  <c r="Z96" i="37"/>
  <c r="AI95" i="37"/>
  <c r="Z95" i="37"/>
  <c r="AI94" i="37"/>
  <c r="Z94" i="37"/>
  <c r="AI93" i="37"/>
  <c r="Z93" i="37"/>
  <c r="AI92" i="37"/>
  <c r="Z92" i="37"/>
  <c r="AI91" i="37"/>
  <c r="Z91" i="37"/>
  <c r="AI90" i="37"/>
  <c r="Z90" i="37"/>
  <c r="AI89" i="37"/>
  <c r="Z89" i="37"/>
  <c r="AI88" i="37"/>
  <c r="Z88" i="37"/>
  <c r="AI87" i="37"/>
  <c r="Z87" i="37"/>
  <c r="AI86" i="37"/>
  <c r="Z86" i="37"/>
  <c r="AI85" i="37"/>
  <c r="Z85" i="37"/>
  <c r="AI84" i="37"/>
  <c r="Z84" i="37"/>
  <c r="AI83" i="37"/>
  <c r="Z83" i="37"/>
  <c r="AI82" i="37"/>
  <c r="Z82" i="37"/>
  <c r="AI81" i="37"/>
  <c r="Z81" i="37"/>
  <c r="AI80" i="37"/>
  <c r="Z80" i="37"/>
  <c r="AI79" i="37"/>
  <c r="Z79" i="37"/>
  <c r="AI78" i="37"/>
  <c r="Z78" i="37"/>
  <c r="AI77" i="37"/>
  <c r="Z77" i="37"/>
  <c r="AI76" i="37"/>
  <c r="Z76" i="37"/>
  <c r="AI75" i="37"/>
  <c r="Z75" i="37"/>
  <c r="AI74" i="37"/>
  <c r="Z74" i="37"/>
  <c r="AI73" i="37"/>
  <c r="Z73" i="37"/>
  <c r="AI72" i="37"/>
  <c r="Z72" i="37"/>
  <c r="AI71" i="37"/>
  <c r="Z71" i="37"/>
  <c r="AI70" i="37"/>
  <c r="Z70" i="37"/>
  <c r="AI69" i="37"/>
  <c r="Z69" i="37"/>
  <c r="AI68" i="37"/>
  <c r="Z68" i="37"/>
  <c r="AI67" i="37"/>
  <c r="Z67" i="37"/>
  <c r="AI66" i="37"/>
  <c r="Z66" i="37"/>
  <c r="AI65" i="37"/>
  <c r="Z65" i="37"/>
  <c r="AI64" i="37"/>
  <c r="Z64" i="37"/>
  <c r="AB207" i="45"/>
  <c r="Z207" i="45"/>
  <c r="AB206" i="45"/>
  <c r="Z206" i="45"/>
  <c r="AB205" i="45"/>
  <c r="Z205" i="45"/>
  <c r="AB204" i="45"/>
  <c r="Z204" i="45"/>
  <c r="AB203" i="45"/>
  <c r="Z203" i="45"/>
  <c r="AB202" i="45"/>
  <c r="Z202" i="45"/>
  <c r="AB201" i="45"/>
  <c r="Z201" i="45"/>
  <c r="AB200" i="45"/>
  <c r="Z200" i="45"/>
  <c r="AB199" i="45"/>
  <c r="Z199" i="45"/>
  <c r="AB198" i="45"/>
  <c r="Z198" i="45"/>
  <c r="AB197" i="45"/>
  <c r="Z197" i="45"/>
  <c r="AB196" i="45"/>
  <c r="Z196" i="45"/>
  <c r="AB195" i="45"/>
  <c r="Z195" i="45"/>
  <c r="AB194" i="45"/>
  <c r="Z194" i="45"/>
  <c r="AB193" i="45"/>
  <c r="Z193" i="45"/>
  <c r="AB192" i="45"/>
  <c r="Z192" i="45"/>
  <c r="AB191" i="45"/>
  <c r="Z191" i="45"/>
  <c r="AB190" i="45"/>
  <c r="Z190" i="45"/>
  <c r="AB189" i="45"/>
  <c r="Z189" i="45"/>
  <c r="AB188" i="45"/>
  <c r="Z188" i="45"/>
  <c r="AB187" i="45"/>
  <c r="Z187" i="45"/>
  <c r="AB186" i="45"/>
  <c r="Z186" i="45"/>
  <c r="AB185" i="45"/>
  <c r="Z185" i="45"/>
  <c r="AB184" i="45"/>
  <c r="Z184" i="45"/>
  <c r="AB183" i="45"/>
  <c r="Z183" i="45"/>
  <c r="AB182" i="45"/>
  <c r="Z182" i="45"/>
  <c r="AB181" i="45"/>
  <c r="Z181" i="45"/>
  <c r="AI180" i="45"/>
  <c r="AA180" i="45"/>
  <c r="AB180" i="45"/>
  <c r="Z180" i="45"/>
  <c r="AI179" i="45"/>
  <c r="AA179" i="45"/>
  <c r="AB179" i="45"/>
  <c r="Z179" i="45"/>
  <c r="AI178" i="45"/>
  <c r="AA178" i="45"/>
  <c r="AB178" i="45"/>
  <c r="Z178" i="45"/>
  <c r="AI177" i="45"/>
  <c r="AA177" i="45"/>
  <c r="AB177" i="45"/>
  <c r="Z177" i="45"/>
  <c r="AI176" i="45"/>
  <c r="AA176" i="45"/>
  <c r="AB176" i="45"/>
  <c r="Z176" i="45"/>
  <c r="AI175" i="45"/>
  <c r="AA175" i="45"/>
  <c r="AB175" i="45"/>
  <c r="Z175" i="45"/>
  <c r="AI174" i="45"/>
  <c r="AA174" i="45"/>
  <c r="AB174" i="45"/>
  <c r="Z174" i="45"/>
  <c r="AI173" i="45"/>
  <c r="AA173" i="45"/>
  <c r="AB173" i="45"/>
  <c r="Z173" i="45"/>
  <c r="AI172" i="45"/>
  <c r="AA172" i="45"/>
  <c r="AB172" i="45"/>
  <c r="Z172" i="45"/>
  <c r="AI171" i="45"/>
  <c r="AA171" i="45"/>
  <c r="AB171" i="45"/>
  <c r="Z171" i="45"/>
  <c r="AI170" i="45"/>
  <c r="AA170" i="45"/>
  <c r="AB170" i="45"/>
  <c r="Z170" i="45"/>
  <c r="AI169" i="45"/>
  <c r="AA169" i="45"/>
  <c r="AB169" i="45"/>
  <c r="Z169" i="45"/>
  <c r="AI168" i="45"/>
  <c r="AA168" i="45"/>
  <c r="AB168" i="45"/>
  <c r="Z168" i="45"/>
  <c r="AI167" i="45"/>
  <c r="AA167" i="45"/>
  <c r="AB167" i="45"/>
  <c r="Z167" i="45"/>
  <c r="AI166" i="45"/>
  <c r="AA166" i="45"/>
  <c r="AB166" i="45"/>
  <c r="Z166" i="45"/>
  <c r="AI165" i="45"/>
  <c r="AA165" i="45"/>
  <c r="AB165" i="45"/>
  <c r="Z165" i="45"/>
  <c r="AI164" i="45"/>
  <c r="AA164" i="45"/>
  <c r="AB164" i="45"/>
  <c r="Z164" i="45"/>
  <c r="AI163" i="45"/>
  <c r="AA163" i="45"/>
  <c r="AB163" i="45"/>
  <c r="Z163" i="45"/>
  <c r="AI162" i="45"/>
  <c r="AA162" i="45"/>
  <c r="AB162" i="45"/>
  <c r="Z162" i="45"/>
  <c r="AI161" i="45"/>
  <c r="AA161" i="45"/>
  <c r="AB161" i="45"/>
  <c r="Z161" i="45"/>
  <c r="AI160" i="45"/>
  <c r="AA160" i="45"/>
  <c r="AB160" i="45"/>
  <c r="Z160" i="45"/>
  <c r="AI159" i="45"/>
  <c r="AA159" i="45"/>
  <c r="AB159" i="45"/>
  <c r="Z159" i="45"/>
  <c r="AI158" i="45"/>
  <c r="AA158" i="45"/>
  <c r="AB158" i="45"/>
  <c r="Z158" i="45"/>
  <c r="AI157" i="45"/>
  <c r="AA157" i="45"/>
  <c r="AB157" i="45"/>
  <c r="Z157" i="45"/>
  <c r="AI156" i="45"/>
  <c r="AA156" i="45"/>
  <c r="AB156" i="45"/>
  <c r="Z156" i="45"/>
  <c r="AI155" i="45"/>
  <c r="AA155" i="45"/>
  <c r="AB155" i="45"/>
  <c r="Z155" i="45"/>
  <c r="AI154" i="45"/>
  <c r="AA154" i="45"/>
  <c r="AB154" i="45"/>
  <c r="Z154" i="45"/>
  <c r="AI153" i="45"/>
  <c r="AA153" i="45"/>
  <c r="AB153" i="45"/>
  <c r="Z153" i="45"/>
  <c r="AI152" i="45"/>
  <c r="AA152" i="45"/>
  <c r="AB152" i="45"/>
  <c r="Z152" i="45"/>
  <c r="AI151" i="45"/>
  <c r="AA151" i="45"/>
  <c r="AB151" i="45"/>
  <c r="Z151" i="45"/>
  <c r="AI150" i="45"/>
  <c r="AA150" i="45"/>
  <c r="AB150" i="45"/>
  <c r="Z150" i="45"/>
  <c r="AI149" i="45"/>
  <c r="AA149" i="45"/>
  <c r="AB149" i="45"/>
  <c r="Z149" i="45"/>
  <c r="AI148" i="45"/>
  <c r="AA148" i="45"/>
  <c r="AB148" i="45"/>
  <c r="Z148" i="45"/>
  <c r="AI147" i="45"/>
  <c r="AA147" i="45"/>
  <c r="AB147" i="45"/>
  <c r="Z147" i="45"/>
  <c r="AI146" i="45"/>
  <c r="AA146" i="45"/>
  <c r="AB146" i="45"/>
  <c r="Z146" i="45"/>
  <c r="AI145" i="45"/>
  <c r="AA145" i="45"/>
  <c r="AB145" i="45"/>
  <c r="Z145" i="45"/>
  <c r="AI144" i="45"/>
  <c r="AA144" i="45"/>
  <c r="AB144" i="45"/>
  <c r="Z144" i="45"/>
  <c r="AI143" i="45"/>
  <c r="AA143" i="45"/>
  <c r="AB143" i="45"/>
  <c r="Z143" i="45"/>
  <c r="AI142" i="45"/>
  <c r="AA142" i="45"/>
  <c r="AB142" i="45"/>
  <c r="Z142" i="45"/>
  <c r="AI141" i="45"/>
  <c r="AA141" i="45"/>
  <c r="AB141" i="45"/>
  <c r="Z141" i="45"/>
  <c r="AI140" i="45"/>
  <c r="AA140" i="45"/>
  <c r="AB140" i="45"/>
  <c r="Z140" i="45"/>
  <c r="AI139" i="45"/>
  <c r="AA139" i="45"/>
  <c r="AB139" i="45"/>
  <c r="Z139" i="45"/>
  <c r="AI138" i="45"/>
  <c r="AA138" i="45"/>
  <c r="AB138" i="45"/>
  <c r="Z138" i="45"/>
  <c r="AI137" i="45"/>
  <c r="AA137" i="45"/>
  <c r="AB137" i="45"/>
  <c r="Z137" i="45"/>
  <c r="AI136" i="45"/>
  <c r="AA136" i="45"/>
  <c r="AB136" i="45"/>
  <c r="Z136" i="45"/>
  <c r="AH135" i="45"/>
  <c r="AG135" i="45"/>
  <c r="AB135" i="45"/>
  <c r="Z135" i="45"/>
  <c r="Y135" i="45"/>
  <c r="X135" i="45"/>
  <c r="W135" i="45"/>
  <c r="V135" i="45"/>
  <c r="AH134" i="45"/>
  <c r="AG134" i="45"/>
  <c r="AB134" i="45"/>
  <c r="Z134" i="45"/>
  <c r="Y134" i="45"/>
  <c r="X134" i="45"/>
  <c r="W134" i="45"/>
  <c r="V134" i="45"/>
  <c r="AH133" i="45"/>
  <c r="AG133" i="45"/>
  <c r="AB133" i="45"/>
  <c r="Z133" i="45"/>
  <c r="Y133" i="45"/>
  <c r="X133" i="45"/>
  <c r="W133" i="45"/>
  <c r="V133" i="45"/>
  <c r="AH132" i="45"/>
  <c r="AG132" i="45"/>
  <c r="AB132" i="45"/>
  <c r="Z132" i="45"/>
  <c r="Y132" i="45"/>
  <c r="X132" i="45"/>
  <c r="W132" i="45"/>
  <c r="V132" i="45"/>
  <c r="AH131" i="45"/>
  <c r="AG131" i="45"/>
  <c r="AB131" i="45"/>
  <c r="Z131" i="45"/>
  <c r="Y131" i="45"/>
  <c r="X131" i="45"/>
  <c r="W131" i="45"/>
  <c r="V131" i="45"/>
  <c r="AH130" i="45"/>
  <c r="AG130" i="45"/>
  <c r="AB130" i="45"/>
  <c r="Z130" i="45"/>
  <c r="Y130" i="45"/>
  <c r="X130" i="45"/>
  <c r="W130" i="45"/>
  <c r="V130" i="45"/>
  <c r="AH129" i="45"/>
  <c r="AG129" i="45"/>
  <c r="AB129" i="45"/>
  <c r="Z129" i="45"/>
  <c r="Y129" i="45"/>
  <c r="X129" i="45"/>
  <c r="W129" i="45"/>
  <c r="V129" i="45"/>
  <c r="AH128" i="45"/>
  <c r="AG128" i="45"/>
  <c r="AB128" i="45"/>
  <c r="Z128" i="45"/>
  <c r="Y128" i="45"/>
  <c r="X128" i="45"/>
  <c r="W128" i="45"/>
  <c r="V128" i="45"/>
  <c r="AH127" i="45"/>
  <c r="AG127" i="45"/>
  <c r="AB127" i="45"/>
  <c r="Z127" i="45"/>
  <c r="Y127" i="45"/>
  <c r="X127" i="45"/>
  <c r="W127" i="45"/>
  <c r="V127" i="45"/>
  <c r="AH126" i="45"/>
  <c r="AG126" i="45"/>
  <c r="AB126" i="45"/>
  <c r="Z126" i="45"/>
  <c r="Y126" i="45"/>
  <c r="X126" i="45"/>
  <c r="W126" i="45"/>
  <c r="V126" i="45"/>
  <c r="AH125" i="45"/>
  <c r="AG125" i="45"/>
  <c r="AB125" i="45"/>
  <c r="Z125" i="45"/>
  <c r="Y125" i="45"/>
  <c r="X125" i="45"/>
  <c r="W125" i="45"/>
  <c r="V125" i="45"/>
  <c r="AH124" i="45"/>
  <c r="AG124" i="45"/>
  <c r="AB124" i="45"/>
  <c r="Z124" i="45"/>
  <c r="Y124" i="45"/>
  <c r="X124" i="45"/>
  <c r="W124" i="45"/>
  <c r="V124" i="45"/>
  <c r="AH123" i="45"/>
  <c r="AG123" i="45"/>
  <c r="AB123" i="45"/>
  <c r="Z123" i="45"/>
  <c r="Y123" i="45"/>
  <c r="X123" i="45"/>
  <c r="W123" i="45"/>
  <c r="V123" i="45"/>
  <c r="AH122" i="45"/>
  <c r="AG122" i="45"/>
  <c r="AB122" i="45"/>
  <c r="Z122" i="45"/>
  <c r="Y122" i="45"/>
  <c r="X122" i="45"/>
  <c r="W122" i="45"/>
  <c r="V122" i="45"/>
  <c r="AH121" i="45"/>
  <c r="AG121" i="45"/>
  <c r="AB121" i="45"/>
  <c r="Z121" i="45"/>
  <c r="Y121" i="45"/>
  <c r="X121" i="45"/>
  <c r="W121" i="45"/>
  <c r="V121" i="45"/>
  <c r="AH120" i="45"/>
  <c r="AG120" i="45"/>
  <c r="AB120" i="45"/>
  <c r="Z120" i="45"/>
  <c r="Y120" i="45"/>
  <c r="X120" i="45"/>
  <c r="W120" i="45"/>
  <c r="V120" i="45"/>
  <c r="AH119" i="45"/>
  <c r="AG119" i="45"/>
  <c r="AB119" i="45"/>
  <c r="Z119" i="45"/>
  <c r="Y119" i="45"/>
  <c r="X119" i="45"/>
  <c r="W119" i="45"/>
  <c r="V119" i="45"/>
  <c r="AH118" i="45"/>
  <c r="AG118" i="45"/>
  <c r="AB118" i="45"/>
  <c r="Z118" i="45"/>
  <c r="Y118" i="45"/>
  <c r="X118" i="45"/>
  <c r="W118" i="45"/>
  <c r="V118" i="45"/>
  <c r="AH117" i="45"/>
  <c r="AG117" i="45"/>
  <c r="AB117" i="45"/>
  <c r="Z117" i="45"/>
  <c r="Y117" i="45"/>
  <c r="X117" i="45"/>
  <c r="W117" i="45"/>
  <c r="V117" i="45"/>
  <c r="AH116" i="45"/>
  <c r="AG116" i="45"/>
  <c r="AB116" i="45"/>
  <c r="Z116" i="45"/>
  <c r="Y116" i="45"/>
  <c r="X116" i="45"/>
  <c r="W116" i="45"/>
  <c r="V116" i="45"/>
  <c r="AH115" i="45"/>
  <c r="AG115" i="45"/>
  <c r="AB115" i="45"/>
  <c r="Z115" i="45"/>
  <c r="Y115" i="45"/>
  <c r="X115" i="45"/>
  <c r="W115" i="45"/>
  <c r="V115" i="45"/>
  <c r="AH114" i="45"/>
  <c r="AG114" i="45"/>
  <c r="AB114" i="45"/>
  <c r="Z114" i="45"/>
  <c r="Y114" i="45"/>
  <c r="X114" i="45"/>
  <c r="W114" i="45"/>
  <c r="V114" i="45"/>
  <c r="AH113" i="45"/>
  <c r="AG113" i="45"/>
  <c r="AB113" i="45"/>
  <c r="Z113" i="45"/>
  <c r="Y113" i="45"/>
  <c r="X113" i="45"/>
  <c r="W113" i="45"/>
  <c r="V113" i="45"/>
  <c r="AH112" i="45"/>
  <c r="AG112" i="45"/>
  <c r="AB112" i="45"/>
  <c r="Z112" i="45"/>
  <c r="Y112" i="45"/>
  <c r="X112" i="45"/>
  <c r="W112" i="45"/>
  <c r="V112" i="45"/>
  <c r="AH111" i="45"/>
  <c r="AG111" i="45"/>
  <c r="AB111" i="45"/>
  <c r="Z111" i="45"/>
  <c r="Y111" i="45"/>
  <c r="X111" i="45"/>
  <c r="W111" i="45"/>
  <c r="V111" i="45"/>
  <c r="AH110" i="45"/>
  <c r="AG110" i="45"/>
  <c r="AB110" i="45"/>
  <c r="Z110" i="45"/>
  <c r="Y110" i="45"/>
  <c r="X110" i="45"/>
  <c r="W110" i="45"/>
  <c r="V110" i="45"/>
  <c r="AH109" i="45"/>
  <c r="AG109" i="45"/>
  <c r="AB109" i="45"/>
  <c r="Z109" i="45"/>
  <c r="Y109" i="45"/>
  <c r="X109" i="45"/>
  <c r="W109" i="45"/>
  <c r="V109" i="45"/>
  <c r="AI108" i="45"/>
  <c r="AB108" i="45"/>
  <c r="Z108" i="45"/>
  <c r="AI107" i="45"/>
  <c r="AB107" i="45"/>
  <c r="Z107" i="45"/>
  <c r="AI106" i="45"/>
  <c r="AB106" i="45"/>
  <c r="Z106" i="45"/>
  <c r="AI105" i="45"/>
  <c r="AB105" i="45"/>
  <c r="Z105" i="45"/>
  <c r="AI104" i="45"/>
  <c r="AB104" i="45"/>
  <c r="Z104" i="45"/>
  <c r="AI103" i="45"/>
  <c r="AB103" i="45"/>
  <c r="Z103" i="45"/>
  <c r="AI102" i="45"/>
  <c r="AB102" i="45"/>
  <c r="Z102" i="45"/>
  <c r="AI101" i="45"/>
  <c r="AB101" i="45"/>
  <c r="Z101" i="45"/>
  <c r="AI100" i="45"/>
  <c r="AB100" i="45"/>
  <c r="Z100" i="45"/>
  <c r="AI99" i="45"/>
  <c r="AB99" i="45"/>
  <c r="Z99" i="45"/>
  <c r="AI98" i="45"/>
  <c r="AB98" i="45"/>
  <c r="Z98" i="45"/>
  <c r="AI97" i="45"/>
  <c r="AB97" i="45"/>
  <c r="Z97" i="45"/>
  <c r="AI96" i="45"/>
  <c r="AB96" i="45"/>
  <c r="Z96" i="45"/>
  <c r="AI95" i="45"/>
  <c r="AB95" i="45"/>
  <c r="Z95" i="45"/>
  <c r="AI94" i="45"/>
  <c r="AB94" i="45"/>
  <c r="Z94" i="45"/>
  <c r="AI93" i="45"/>
  <c r="AB93" i="45"/>
  <c r="Z93" i="45"/>
  <c r="AI92" i="45"/>
  <c r="AB92" i="45"/>
  <c r="Z92" i="45"/>
  <c r="AI91" i="45"/>
  <c r="AB91" i="45"/>
  <c r="Z91" i="45"/>
  <c r="AI90" i="45"/>
  <c r="AB90" i="45"/>
  <c r="Z90" i="45"/>
  <c r="AI89" i="45"/>
  <c r="AB89" i="45"/>
  <c r="Z89" i="45"/>
  <c r="AI88" i="45"/>
  <c r="AB88" i="45"/>
  <c r="Z88" i="45"/>
  <c r="AI87" i="45"/>
  <c r="AB87" i="45"/>
  <c r="Z87" i="45"/>
  <c r="AI86" i="45"/>
  <c r="AB86" i="45"/>
  <c r="Z86" i="45"/>
  <c r="AI85" i="45"/>
  <c r="AB85" i="45"/>
  <c r="Z85" i="45"/>
  <c r="AI84" i="45"/>
  <c r="AB84" i="45"/>
  <c r="Z84" i="45"/>
  <c r="AI83" i="45"/>
  <c r="AB83" i="45"/>
  <c r="Z83" i="45"/>
  <c r="AI82" i="45"/>
  <c r="AB82" i="45"/>
  <c r="Z82" i="45"/>
  <c r="AI81" i="45"/>
  <c r="AB81" i="45"/>
  <c r="Z81" i="45"/>
  <c r="AI80" i="45"/>
  <c r="AB80" i="45"/>
  <c r="Z80" i="45"/>
  <c r="AI79" i="45"/>
  <c r="AB79" i="45"/>
  <c r="Z79" i="45"/>
  <c r="AI78" i="45"/>
  <c r="AB78" i="45"/>
  <c r="Z78" i="45"/>
  <c r="AI77" i="45"/>
  <c r="AB77" i="45"/>
  <c r="Z77" i="45"/>
  <c r="AI76" i="45"/>
  <c r="AB76" i="45"/>
  <c r="Z76" i="45"/>
  <c r="AI75" i="45"/>
  <c r="AB75" i="45"/>
  <c r="Z75" i="45"/>
  <c r="AI74" i="45"/>
  <c r="AB74" i="45"/>
  <c r="Z74" i="45"/>
  <c r="AI73" i="45"/>
  <c r="AB73" i="45"/>
  <c r="Z73" i="45"/>
  <c r="AI72" i="45"/>
  <c r="AB72" i="45"/>
  <c r="Z72" i="45"/>
  <c r="AI71" i="45"/>
  <c r="AB71" i="45"/>
  <c r="Z71" i="45"/>
  <c r="AI70" i="45"/>
  <c r="AB70" i="45"/>
  <c r="Z70" i="45"/>
  <c r="AI69" i="45"/>
  <c r="AB69" i="45"/>
  <c r="Z69" i="45"/>
  <c r="AI68" i="45"/>
  <c r="AB68" i="45"/>
  <c r="Z68" i="45"/>
  <c r="AI67" i="45"/>
  <c r="AB67" i="45"/>
  <c r="Z67" i="45"/>
  <c r="AI66" i="45"/>
  <c r="AB66" i="45"/>
  <c r="Z66" i="45"/>
  <c r="AI65" i="45"/>
  <c r="AB65" i="45"/>
  <c r="Z65" i="45"/>
  <c r="AI64" i="45"/>
  <c r="AB64" i="45"/>
  <c r="Z64" i="45"/>
  <c r="BR55" i="46"/>
  <c r="BW51" i="46"/>
  <c r="BW55" i="46"/>
  <c r="BX51" i="46"/>
  <c r="BX55" i="46"/>
  <c r="BY51" i="46"/>
  <c r="BY55" i="46"/>
  <c r="BZ51" i="46"/>
  <c r="BZ55" i="46"/>
  <c r="CA51" i="46"/>
  <c r="CA55" i="46"/>
  <c r="BR56" i="46"/>
  <c r="BV51" i="46"/>
  <c r="BV56" i="46"/>
  <c r="BX56" i="46"/>
  <c r="BY56" i="46"/>
  <c r="BZ56" i="46"/>
  <c r="CA56" i="46"/>
  <c r="BR57" i="46"/>
  <c r="BV57" i="46"/>
  <c r="BW57" i="46"/>
  <c r="BY57" i="46"/>
  <c r="BZ57" i="46"/>
  <c r="CA57" i="46"/>
  <c r="BR58" i="46"/>
  <c r="BV58" i="46"/>
  <c r="BW58" i="46"/>
  <c r="BX58" i="46"/>
  <c r="BZ58" i="46"/>
  <c r="CA58" i="46"/>
  <c r="BR59" i="46"/>
  <c r="BV59" i="46"/>
  <c r="BW59" i="46"/>
  <c r="BX59" i="46"/>
  <c r="BY59" i="46"/>
  <c r="CA59" i="46"/>
  <c r="BR60" i="46"/>
  <c r="BV60" i="46"/>
  <c r="BW60" i="46"/>
  <c r="BX60" i="46"/>
  <c r="BY60" i="46"/>
  <c r="BZ60" i="46"/>
  <c r="BR33" i="46"/>
  <c r="BW29" i="46"/>
  <c r="BW33" i="46"/>
  <c r="BR34" i="46"/>
  <c r="BV29" i="46"/>
  <c r="BV34" i="46"/>
  <c r="BW44" i="46"/>
  <c r="BX29" i="46"/>
  <c r="BX33" i="46"/>
  <c r="BR35" i="46"/>
  <c r="BV35" i="46"/>
  <c r="BX44" i="46"/>
  <c r="BY29" i="46"/>
  <c r="BY33" i="46"/>
  <c r="BR36" i="46"/>
  <c r="BV36" i="46"/>
  <c r="BY44" i="46"/>
  <c r="BZ29" i="46"/>
  <c r="BZ33" i="46"/>
  <c r="BR37" i="46"/>
  <c r="BV37" i="46"/>
  <c r="BZ44" i="46"/>
  <c r="CA29" i="46"/>
  <c r="CA33" i="46"/>
  <c r="BR38" i="46"/>
  <c r="BV38" i="46"/>
  <c r="CA44" i="46"/>
  <c r="BV45" i="46"/>
  <c r="BX34" i="46"/>
  <c r="BW35" i="46"/>
  <c r="BX45" i="46"/>
  <c r="BY34" i="46"/>
  <c r="BW36" i="46"/>
  <c r="BY45" i="46"/>
  <c r="BZ34" i="46"/>
  <c r="BW37" i="46"/>
  <c r="BZ45" i="46"/>
  <c r="CA34" i="46"/>
  <c r="BW38" i="46"/>
  <c r="CA45" i="46"/>
  <c r="BV46" i="46"/>
  <c r="BW46" i="46"/>
  <c r="BY35" i="46"/>
  <c r="BX36" i="46"/>
  <c r="BY46" i="46"/>
  <c r="BZ35" i="46"/>
  <c r="BX37" i="46"/>
  <c r="BZ46" i="46"/>
  <c r="CA35" i="46"/>
  <c r="BX38" i="46"/>
  <c r="CA46" i="46"/>
  <c r="BV47" i="46"/>
  <c r="BW47" i="46"/>
  <c r="BX47" i="46"/>
  <c r="BZ36" i="46"/>
  <c r="BY37" i="46"/>
  <c r="BZ47" i="46"/>
  <c r="CA36" i="46"/>
  <c r="BY38" i="46"/>
  <c r="CA47" i="46"/>
  <c r="BV48" i="46"/>
  <c r="BW48" i="46"/>
  <c r="BX48" i="46"/>
  <c r="BY48" i="46"/>
  <c r="CA37" i="46"/>
  <c r="BZ38" i="46"/>
  <c r="CA48" i="46"/>
  <c r="BV49" i="46"/>
  <c r="BW49" i="46"/>
  <c r="BX49" i="46"/>
  <c r="BY49" i="46"/>
  <c r="BZ49" i="46"/>
  <c r="AE20" i="46"/>
  <c r="AE21" i="46"/>
  <c r="AE22" i="46"/>
  <c r="BR55" i="47"/>
  <c r="BW51" i="47"/>
  <c r="BW55" i="47"/>
  <c r="BX51" i="47"/>
  <c r="BX55" i="47"/>
  <c r="BY51" i="47"/>
  <c r="BY55" i="47"/>
  <c r="BZ51" i="47"/>
  <c r="BZ55" i="47"/>
  <c r="CA51" i="47"/>
  <c r="CA55" i="47"/>
  <c r="BR56" i="47"/>
  <c r="BV51" i="47"/>
  <c r="BV56" i="47"/>
  <c r="BX56" i="47"/>
  <c r="BY56" i="47"/>
  <c r="BZ56" i="47"/>
  <c r="CA56" i="47"/>
  <c r="BR57" i="47"/>
  <c r="BV57" i="47"/>
  <c r="BW57" i="47"/>
  <c r="BY57" i="47"/>
  <c r="BZ57" i="47"/>
  <c r="CA57" i="47"/>
  <c r="BR58" i="47"/>
  <c r="BV58" i="47"/>
  <c r="BW58" i="47"/>
  <c r="BX58" i="47"/>
  <c r="BZ58" i="47"/>
  <c r="CA58" i="47"/>
  <c r="BR59" i="47"/>
  <c r="BV59" i="47"/>
  <c r="BW59" i="47"/>
  <c r="BX59" i="47"/>
  <c r="BY59" i="47"/>
  <c r="CA59" i="47"/>
  <c r="BR60" i="47"/>
  <c r="BV60" i="47"/>
  <c r="BW60" i="47"/>
  <c r="BX60" i="47"/>
  <c r="BY60" i="47"/>
  <c r="BZ60" i="47"/>
  <c r="BR33" i="47"/>
  <c r="BW29" i="47"/>
  <c r="BW33" i="47"/>
  <c r="BR34" i="47"/>
  <c r="BV29" i="47"/>
  <c r="BV34" i="47"/>
  <c r="BW44" i="47"/>
  <c r="BX29" i="47"/>
  <c r="BX33" i="47"/>
  <c r="BR35" i="47"/>
  <c r="BV35" i="47"/>
  <c r="BX44" i="47"/>
  <c r="BY29" i="47"/>
  <c r="BY33" i="47"/>
  <c r="BR36" i="47"/>
  <c r="BV36" i="47"/>
  <c r="BY44" i="47"/>
  <c r="BZ29" i="47"/>
  <c r="BZ33" i="47"/>
  <c r="BR37" i="47"/>
  <c r="BV37" i="47"/>
  <c r="BZ44" i="47"/>
  <c r="CA29" i="47"/>
  <c r="CA33" i="47"/>
  <c r="BR38" i="47"/>
  <c r="BV38" i="47"/>
  <c r="CA44" i="47"/>
  <c r="BV45" i="47"/>
  <c r="BX34" i="47"/>
  <c r="BW35" i="47"/>
  <c r="BX45" i="47"/>
  <c r="BY34" i="47"/>
  <c r="BW36" i="47"/>
  <c r="BY45" i="47"/>
  <c r="BZ34" i="47"/>
  <c r="BW37" i="47"/>
  <c r="BZ45" i="47"/>
  <c r="CA34" i="47"/>
  <c r="BW38" i="47"/>
  <c r="CA45" i="47"/>
  <c r="BV46" i="47"/>
  <c r="BW46" i="47"/>
  <c r="BY35" i="47"/>
  <c r="BX36" i="47"/>
  <c r="BY46" i="47"/>
  <c r="BZ35" i="47"/>
  <c r="BX37" i="47"/>
  <c r="BZ46" i="47"/>
  <c r="CA35" i="47"/>
  <c r="BX38" i="47"/>
  <c r="CA46" i="47"/>
  <c r="BV47" i="47"/>
  <c r="BW47" i="47"/>
  <c r="BX47" i="47"/>
  <c r="BZ36" i="47"/>
  <c r="BY37" i="47"/>
  <c r="BZ47" i="47"/>
  <c r="CA36" i="47"/>
  <c r="BY38" i="47"/>
  <c r="CA47" i="47"/>
  <c r="BV48" i="47"/>
  <c r="BW48" i="47"/>
  <c r="BX48" i="47"/>
  <c r="BY48" i="47"/>
  <c r="CA37" i="47"/>
  <c r="BZ38" i="47"/>
  <c r="CA48" i="47"/>
  <c r="BV49" i="47"/>
  <c r="BW49" i="47"/>
  <c r="BX49" i="47"/>
  <c r="BY49" i="47"/>
  <c r="BZ49" i="47"/>
  <c r="AE20" i="47"/>
  <c r="AE21" i="47"/>
  <c r="AE22" i="47"/>
  <c r="X38" i="49"/>
  <c r="Y38" i="49"/>
  <c r="Z38" i="49"/>
  <c r="AA38" i="49"/>
  <c r="BR60" i="44"/>
  <c r="BZ51" i="44"/>
  <c r="BY51" i="44"/>
  <c r="BX51" i="44"/>
  <c r="BW51" i="44"/>
  <c r="BV51" i="44"/>
  <c r="BU51" i="44"/>
  <c r="BR59" i="44"/>
  <c r="CA51" i="44"/>
  <c r="BR58" i="44"/>
  <c r="BR57" i="44"/>
  <c r="BR56" i="44"/>
  <c r="BR55" i="44"/>
  <c r="BR54" i="44"/>
  <c r="BR37" i="44"/>
  <c r="CA29" i="44"/>
  <c r="BR38" i="44"/>
  <c r="BZ29" i="44"/>
  <c r="BR36" i="44"/>
  <c r="BY29" i="44"/>
  <c r="BR35" i="44"/>
  <c r="BX29" i="44"/>
  <c r="BR34" i="44"/>
  <c r="BW29" i="44"/>
  <c r="BR33" i="44"/>
  <c r="BV29" i="44"/>
  <c r="BR32" i="44"/>
  <c r="BU29" i="44"/>
  <c r="BR49" i="44"/>
  <c r="C25" i="44"/>
  <c r="BR48" i="44"/>
  <c r="C24" i="44"/>
  <c r="BR47" i="44"/>
  <c r="C23" i="44"/>
  <c r="BR46" i="44"/>
  <c r="C22" i="44"/>
  <c r="BR45" i="44"/>
  <c r="C21" i="44"/>
  <c r="BR44" i="44"/>
  <c r="C20" i="44"/>
  <c r="BR43" i="44"/>
  <c r="C19" i="44"/>
  <c r="CA40" i="44"/>
  <c r="BZ40" i="44"/>
  <c r="BY40" i="44"/>
  <c r="BX40" i="44"/>
  <c r="BW40" i="44"/>
  <c r="BV40" i="44"/>
  <c r="BU40" i="44"/>
  <c r="C38" i="44"/>
  <c r="C37" i="44"/>
  <c r="C36" i="44"/>
  <c r="C35" i="44"/>
  <c r="C34" i="44"/>
  <c r="C33" i="44"/>
  <c r="C32" i="44"/>
  <c r="X25" i="49"/>
  <c r="Y25" i="49"/>
  <c r="Z25" i="49"/>
  <c r="AA25" i="49"/>
  <c r="BR60" i="43"/>
  <c r="BZ51" i="43"/>
  <c r="BY51" i="43"/>
  <c r="BX51" i="43"/>
  <c r="BW51" i="43"/>
  <c r="BR59" i="43"/>
  <c r="CA51" i="43"/>
  <c r="BR58" i="43"/>
  <c r="BR57" i="43"/>
  <c r="BR56" i="43"/>
  <c r="BR37" i="43"/>
  <c r="CA29" i="43"/>
  <c r="BR38" i="43"/>
  <c r="BZ29" i="43"/>
  <c r="BR36" i="43"/>
  <c r="BY29" i="43"/>
  <c r="BR35" i="43"/>
  <c r="BX29" i="43"/>
  <c r="BR34" i="43"/>
  <c r="BW29" i="43"/>
  <c r="BR49" i="43"/>
  <c r="C25" i="43"/>
  <c r="BR48" i="43"/>
  <c r="C24" i="43"/>
  <c r="BR47" i="43"/>
  <c r="C23" i="43"/>
  <c r="BR46" i="43"/>
  <c r="C22" i="43"/>
  <c r="BR45" i="43"/>
  <c r="C21" i="43"/>
  <c r="CA40" i="43"/>
  <c r="BZ40" i="43"/>
  <c r="BY40" i="43"/>
  <c r="BX40" i="43"/>
  <c r="BW40" i="43"/>
  <c r="C38" i="43"/>
  <c r="C37" i="43"/>
  <c r="C36" i="43"/>
  <c r="C35" i="43"/>
  <c r="C34" i="43"/>
  <c r="BR60" i="42"/>
  <c r="BZ51" i="42"/>
  <c r="BY51" i="42"/>
  <c r="BX51" i="42"/>
  <c r="BW51" i="42"/>
  <c r="BR59" i="42"/>
  <c r="CA51" i="42"/>
  <c r="BR58" i="42"/>
  <c r="BR57" i="42"/>
  <c r="BR56" i="42"/>
  <c r="BR37" i="42"/>
  <c r="CA29" i="42"/>
  <c r="BR38" i="42"/>
  <c r="BZ29" i="42"/>
  <c r="BR36" i="42"/>
  <c r="BY29" i="42"/>
  <c r="BR35" i="42"/>
  <c r="BX29" i="42"/>
  <c r="BR34" i="42"/>
  <c r="BW29" i="42"/>
  <c r="BR49" i="42"/>
  <c r="C25" i="42"/>
  <c r="BR48" i="42"/>
  <c r="C24" i="42"/>
  <c r="BR47" i="42"/>
  <c r="C23" i="42"/>
  <c r="BR46" i="42"/>
  <c r="C22" i="42"/>
  <c r="BR45" i="42"/>
  <c r="C21" i="42"/>
  <c r="CA40" i="42"/>
  <c r="BZ40" i="42"/>
  <c r="BY40" i="42"/>
  <c r="BX40" i="42"/>
  <c r="BW40" i="42"/>
  <c r="C38" i="42"/>
  <c r="C37" i="42"/>
  <c r="C36" i="42"/>
  <c r="C35" i="42"/>
  <c r="C34" i="42"/>
  <c r="BR60" i="41"/>
  <c r="BZ51" i="41"/>
  <c r="BY51" i="41"/>
  <c r="BX51" i="41"/>
  <c r="BW51" i="41"/>
  <c r="BR59" i="41"/>
  <c r="CA51" i="41"/>
  <c r="BR58" i="41"/>
  <c r="BR57" i="41"/>
  <c r="BR56" i="41"/>
  <c r="BR37" i="41"/>
  <c r="CA29" i="41"/>
  <c r="BR38" i="41"/>
  <c r="BZ29" i="41"/>
  <c r="BR36" i="41"/>
  <c r="BY29" i="41"/>
  <c r="BR35" i="41"/>
  <c r="BX29" i="41"/>
  <c r="BR34" i="41"/>
  <c r="BW29" i="41"/>
  <c r="BR49" i="41"/>
  <c r="C25" i="41"/>
  <c r="BR48" i="41"/>
  <c r="C24" i="41"/>
  <c r="BR47" i="41"/>
  <c r="C23" i="41"/>
  <c r="BR46" i="41"/>
  <c r="C22" i="41"/>
  <c r="BR45" i="41"/>
  <c r="C21" i="41"/>
  <c r="CA40" i="41"/>
  <c r="BZ40" i="41"/>
  <c r="BY40" i="41"/>
  <c r="BX40" i="41"/>
  <c r="BW40" i="41"/>
  <c r="C38" i="41"/>
  <c r="C37" i="41"/>
  <c r="C36" i="41"/>
  <c r="C35" i="41"/>
  <c r="C34" i="41"/>
  <c r="AB207" i="44"/>
  <c r="Z207" i="44"/>
  <c r="AB206" i="44"/>
  <c r="Z206" i="44"/>
  <c r="AB205" i="44"/>
  <c r="Z205" i="44"/>
  <c r="AB204" i="44"/>
  <c r="Z204" i="44"/>
  <c r="AB203" i="44"/>
  <c r="Z203" i="44"/>
  <c r="AB202" i="44"/>
  <c r="Z202" i="44"/>
  <c r="AB201" i="44"/>
  <c r="Z201" i="44"/>
  <c r="AB200" i="44"/>
  <c r="Z200" i="44"/>
  <c r="AB199" i="44"/>
  <c r="Z199" i="44"/>
  <c r="AB198" i="44"/>
  <c r="Z198" i="44"/>
  <c r="AB197" i="44"/>
  <c r="Z197" i="44"/>
  <c r="AB196" i="44"/>
  <c r="Z196" i="44"/>
  <c r="AB195" i="44"/>
  <c r="Z195" i="44"/>
  <c r="AB194" i="44"/>
  <c r="Z194" i="44"/>
  <c r="AB193" i="44"/>
  <c r="Z193" i="44"/>
  <c r="AB192" i="44"/>
  <c r="Z192" i="44"/>
  <c r="AB191" i="44"/>
  <c r="Z191" i="44"/>
  <c r="AB190" i="44"/>
  <c r="Z190" i="44"/>
  <c r="AB189" i="44"/>
  <c r="Z189" i="44"/>
  <c r="AB188" i="44"/>
  <c r="Z188" i="44"/>
  <c r="AB187" i="44"/>
  <c r="Z187" i="44"/>
  <c r="AB186" i="44"/>
  <c r="Z186" i="44"/>
  <c r="AB185" i="44"/>
  <c r="Z185" i="44"/>
  <c r="AB184" i="44"/>
  <c r="Z184" i="44"/>
  <c r="AB183" i="44"/>
  <c r="Z183" i="44"/>
  <c r="AB182" i="44"/>
  <c r="Z182" i="44"/>
  <c r="AB181" i="44"/>
  <c r="Z181" i="44"/>
  <c r="AB180" i="44"/>
  <c r="Z180" i="44"/>
  <c r="AB179" i="44"/>
  <c r="Z179" i="44"/>
  <c r="AB178" i="44"/>
  <c r="Z178" i="44"/>
  <c r="AB177" i="44"/>
  <c r="Z177" i="44"/>
  <c r="AB176" i="44"/>
  <c r="Z176" i="44"/>
  <c r="AB175" i="44"/>
  <c r="Z175" i="44"/>
  <c r="AB174" i="44"/>
  <c r="Z174" i="44"/>
  <c r="AB173" i="44"/>
  <c r="Z173" i="44"/>
  <c r="AB172" i="44"/>
  <c r="Z172" i="44"/>
  <c r="AB171" i="44"/>
  <c r="Z171" i="44"/>
  <c r="AB170" i="44"/>
  <c r="Z170" i="44"/>
  <c r="AB169" i="44"/>
  <c r="Z169" i="44"/>
  <c r="AB168" i="44"/>
  <c r="Z168" i="44"/>
  <c r="AB167" i="44"/>
  <c r="Z167" i="44"/>
  <c r="AB166" i="44"/>
  <c r="Z166" i="44"/>
  <c r="AB165" i="44"/>
  <c r="Z165" i="44"/>
  <c r="AB164" i="44"/>
  <c r="Z164" i="44"/>
  <c r="AB163" i="44"/>
  <c r="Z163" i="44"/>
  <c r="AB162" i="44"/>
  <c r="Z162" i="44"/>
  <c r="AB161" i="44"/>
  <c r="Z161" i="44"/>
  <c r="Z135" i="44"/>
  <c r="Y135" i="44"/>
  <c r="X135" i="44"/>
  <c r="W135" i="44"/>
  <c r="V135" i="44"/>
  <c r="Z134" i="44"/>
  <c r="Y134" i="44"/>
  <c r="X134" i="44"/>
  <c r="W134" i="44"/>
  <c r="V134" i="44"/>
  <c r="Z133" i="44"/>
  <c r="Y133" i="44"/>
  <c r="X133" i="44"/>
  <c r="W133" i="44"/>
  <c r="V133" i="44"/>
  <c r="Z132" i="44"/>
  <c r="Y132" i="44"/>
  <c r="X132" i="44"/>
  <c r="W132" i="44"/>
  <c r="V132" i="44"/>
  <c r="Z131" i="44"/>
  <c r="Y131" i="44"/>
  <c r="X131" i="44"/>
  <c r="W131" i="44"/>
  <c r="V131" i="44"/>
  <c r="Z130" i="44"/>
  <c r="Y130" i="44"/>
  <c r="X130" i="44"/>
  <c r="W130" i="44"/>
  <c r="V130" i="44"/>
  <c r="Z129" i="44"/>
  <c r="Y129" i="44"/>
  <c r="X129" i="44"/>
  <c r="W129" i="44"/>
  <c r="V129" i="44"/>
  <c r="Z128" i="44"/>
  <c r="Y128" i="44"/>
  <c r="X128" i="44"/>
  <c r="W128" i="44"/>
  <c r="V128" i="44"/>
  <c r="Z127" i="44"/>
  <c r="Y127" i="44"/>
  <c r="X127" i="44"/>
  <c r="W127" i="44"/>
  <c r="V127" i="44"/>
  <c r="Z126" i="44"/>
  <c r="Y126" i="44"/>
  <c r="X126" i="44"/>
  <c r="W126" i="44"/>
  <c r="V126" i="44"/>
  <c r="Z125" i="44"/>
  <c r="Y125" i="44"/>
  <c r="X125" i="44"/>
  <c r="W125" i="44"/>
  <c r="V125" i="44"/>
  <c r="Z124" i="44"/>
  <c r="Y124" i="44"/>
  <c r="X124" i="44"/>
  <c r="W124" i="44"/>
  <c r="V124" i="44"/>
  <c r="Z123" i="44"/>
  <c r="Y123" i="44"/>
  <c r="X123" i="44"/>
  <c r="W123" i="44"/>
  <c r="V123" i="44"/>
  <c r="Z122" i="44"/>
  <c r="Y122" i="44"/>
  <c r="X122" i="44"/>
  <c r="W122" i="44"/>
  <c r="V122" i="44"/>
  <c r="Z121" i="44"/>
  <c r="Y121" i="44"/>
  <c r="X121" i="44"/>
  <c r="W121" i="44"/>
  <c r="V121" i="44"/>
  <c r="Z120" i="44"/>
  <c r="Y120" i="44"/>
  <c r="X120" i="44"/>
  <c r="W120" i="44"/>
  <c r="V120" i="44"/>
  <c r="Z119" i="44"/>
  <c r="Y119" i="44"/>
  <c r="X119" i="44"/>
  <c r="W119" i="44"/>
  <c r="V119" i="44"/>
  <c r="Z118" i="44"/>
  <c r="Y118" i="44"/>
  <c r="X118" i="44"/>
  <c r="W118" i="44"/>
  <c r="V118" i="44"/>
  <c r="Z117" i="44"/>
  <c r="Y117" i="44"/>
  <c r="X117" i="44"/>
  <c r="W117" i="44"/>
  <c r="V117" i="44"/>
  <c r="Z116" i="44"/>
  <c r="Y116" i="44"/>
  <c r="X116" i="44"/>
  <c r="W116" i="44"/>
  <c r="V116" i="44"/>
  <c r="Z115" i="44"/>
  <c r="Y115" i="44"/>
  <c r="X115" i="44"/>
  <c r="W115" i="44"/>
  <c r="V115" i="44"/>
  <c r="Z114" i="44"/>
  <c r="Y114" i="44"/>
  <c r="X114" i="44"/>
  <c r="W114" i="44"/>
  <c r="V114" i="44"/>
  <c r="Z113" i="44"/>
  <c r="Y113" i="44"/>
  <c r="X113" i="44"/>
  <c r="W113" i="44"/>
  <c r="V113" i="44"/>
  <c r="Z112" i="44"/>
  <c r="Y112" i="44"/>
  <c r="X112" i="44"/>
  <c r="W112" i="44"/>
  <c r="V112" i="44"/>
  <c r="Z111" i="44"/>
  <c r="Y111" i="44"/>
  <c r="X111" i="44"/>
  <c r="W111" i="44"/>
  <c r="V111" i="44"/>
  <c r="Z110" i="44"/>
  <c r="Y110" i="44"/>
  <c r="X110" i="44"/>
  <c r="W110" i="44"/>
  <c r="V110" i="44"/>
  <c r="Z109" i="44"/>
  <c r="Y109" i="44"/>
  <c r="X109" i="44"/>
  <c r="W109" i="44"/>
  <c r="V109" i="44"/>
  <c r="Z108" i="44"/>
  <c r="Y108" i="44"/>
  <c r="X108" i="44"/>
  <c r="W108" i="44"/>
  <c r="V108" i="44"/>
  <c r="Z107" i="44"/>
  <c r="Y107" i="44"/>
  <c r="X107" i="44"/>
  <c r="W107" i="44"/>
  <c r="V107" i="44"/>
  <c r="Z106" i="44"/>
  <c r="Y106" i="44"/>
  <c r="X106" i="44"/>
  <c r="W106" i="44"/>
  <c r="V106" i="44"/>
  <c r="Z105" i="44"/>
  <c r="Y105" i="44"/>
  <c r="X105" i="44"/>
  <c r="W105" i="44"/>
  <c r="V105" i="44"/>
  <c r="Z104" i="44"/>
  <c r="Y104" i="44"/>
  <c r="X104" i="44"/>
  <c r="W104" i="44"/>
  <c r="V104" i="44"/>
  <c r="Z103" i="44"/>
  <c r="Y103" i="44"/>
  <c r="X103" i="44"/>
  <c r="W103" i="44"/>
  <c r="V103" i="44"/>
  <c r="Z102" i="44"/>
  <c r="Y102" i="44"/>
  <c r="X102" i="44"/>
  <c r="W102" i="44"/>
  <c r="V102" i="44"/>
  <c r="Z101" i="44"/>
  <c r="Y101" i="44"/>
  <c r="X101" i="44"/>
  <c r="W101" i="44"/>
  <c r="V101" i="44"/>
  <c r="Z100" i="44"/>
  <c r="Y100" i="44"/>
  <c r="X100" i="44"/>
  <c r="W100" i="44"/>
  <c r="V100" i="44"/>
  <c r="Z99" i="44"/>
  <c r="Y99" i="44"/>
  <c r="X99" i="44"/>
  <c r="W99" i="44"/>
  <c r="V99" i="44"/>
  <c r="Z98" i="44"/>
  <c r="Y98" i="44"/>
  <c r="X98" i="44"/>
  <c r="W98" i="44"/>
  <c r="V98" i="44"/>
  <c r="Z97" i="44"/>
  <c r="Y97" i="44"/>
  <c r="X97" i="44"/>
  <c r="W97" i="44"/>
  <c r="V97" i="44"/>
  <c r="Z96" i="44"/>
  <c r="Y96" i="44"/>
  <c r="X96" i="44"/>
  <c r="W96" i="44"/>
  <c r="V96" i="44"/>
  <c r="Z95" i="44"/>
  <c r="Y95" i="44"/>
  <c r="X95" i="44"/>
  <c r="W95" i="44"/>
  <c r="V95" i="44"/>
  <c r="Z94" i="44"/>
  <c r="Y94" i="44"/>
  <c r="X94" i="44"/>
  <c r="W94" i="44"/>
  <c r="V94" i="44"/>
  <c r="Z93" i="44"/>
  <c r="Y93" i="44"/>
  <c r="X93" i="44"/>
  <c r="W93" i="44"/>
  <c r="V93" i="44"/>
  <c r="Z92" i="44"/>
  <c r="Y92" i="44"/>
  <c r="X92" i="44"/>
  <c r="W92" i="44"/>
  <c r="V92" i="44"/>
  <c r="Z91" i="44"/>
  <c r="Y91" i="44"/>
  <c r="X91" i="44"/>
  <c r="W91" i="44"/>
  <c r="V91" i="44"/>
  <c r="Z90" i="44"/>
  <c r="Y90" i="44"/>
  <c r="X90" i="44"/>
  <c r="W90" i="44"/>
  <c r="V90" i="44"/>
  <c r="Z89" i="44"/>
  <c r="Y89" i="44"/>
  <c r="X89" i="44"/>
  <c r="W89" i="44"/>
  <c r="V89" i="44"/>
  <c r="AB207" i="43"/>
  <c r="Z207" i="43"/>
  <c r="AB206" i="43"/>
  <c r="Z206" i="43"/>
  <c r="AB205" i="43"/>
  <c r="Z205" i="43"/>
  <c r="AB204" i="43"/>
  <c r="Z204" i="43"/>
  <c r="AB203" i="43"/>
  <c r="Z203" i="43"/>
  <c r="AB202" i="43"/>
  <c r="Z202" i="43"/>
  <c r="AB201" i="43"/>
  <c r="Z201" i="43"/>
  <c r="AB200" i="43"/>
  <c r="Z200" i="43"/>
  <c r="AB199" i="43"/>
  <c r="Z199" i="43"/>
  <c r="AB198" i="43"/>
  <c r="Z198" i="43"/>
  <c r="AB197" i="43"/>
  <c r="Z197" i="43"/>
  <c r="AB196" i="43"/>
  <c r="Z196" i="43"/>
  <c r="AB195" i="43"/>
  <c r="Z195" i="43"/>
  <c r="AB194" i="43"/>
  <c r="Z194" i="43"/>
  <c r="AB193" i="43"/>
  <c r="Z193" i="43"/>
  <c r="AB192" i="43"/>
  <c r="Z192" i="43"/>
  <c r="AB191" i="43"/>
  <c r="Z191" i="43"/>
  <c r="AB190" i="43"/>
  <c r="Z190" i="43"/>
  <c r="AB189" i="43"/>
  <c r="Z189" i="43"/>
  <c r="AB188" i="43"/>
  <c r="Z188" i="43"/>
  <c r="AB187" i="43"/>
  <c r="Z187" i="43"/>
  <c r="AB186" i="43"/>
  <c r="Z186" i="43"/>
  <c r="AB185" i="43"/>
  <c r="Z185" i="43"/>
  <c r="AB184" i="43"/>
  <c r="Z184" i="43"/>
  <c r="AB183" i="43"/>
  <c r="Z183" i="43"/>
  <c r="AB182" i="43"/>
  <c r="Z182" i="43"/>
  <c r="AB181" i="43"/>
  <c r="Z181" i="43"/>
  <c r="AB180" i="43"/>
  <c r="Z180" i="43"/>
  <c r="AB179" i="43"/>
  <c r="Z179" i="43"/>
  <c r="AB178" i="43"/>
  <c r="Z178" i="43"/>
  <c r="AB177" i="43"/>
  <c r="Z177" i="43"/>
  <c r="AB176" i="43"/>
  <c r="Z176" i="43"/>
  <c r="AB175" i="43"/>
  <c r="Z175" i="43"/>
  <c r="AB174" i="43"/>
  <c r="Z174" i="43"/>
  <c r="AB173" i="43"/>
  <c r="Z173" i="43"/>
  <c r="AB172" i="43"/>
  <c r="Z172" i="43"/>
  <c r="AB171" i="43"/>
  <c r="Z171" i="43"/>
  <c r="AB170" i="43"/>
  <c r="Z170" i="43"/>
  <c r="AB169" i="43"/>
  <c r="Z169" i="43"/>
  <c r="AB168" i="43"/>
  <c r="Z168" i="43"/>
  <c r="AB167" i="43"/>
  <c r="Z167" i="43"/>
  <c r="AB166" i="43"/>
  <c r="Z166" i="43"/>
  <c r="AB165" i="43"/>
  <c r="Z165" i="43"/>
  <c r="AB164" i="43"/>
  <c r="Z164" i="43"/>
  <c r="AB163" i="43"/>
  <c r="Z163" i="43"/>
  <c r="AB162" i="43"/>
  <c r="Z162" i="43"/>
  <c r="AB161" i="43"/>
  <c r="Z161" i="43"/>
  <c r="Z135" i="43"/>
  <c r="Y135" i="43"/>
  <c r="X135" i="43"/>
  <c r="W135" i="43"/>
  <c r="V135" i="43"/>
  <c r="Z134" i="43"/>
  <c r="Y134" i="43"/>
  <c r="X134" i="43"/>
  <c r="W134" i="43"/>
  <c r="V134" i="43"/>
  <c r="Z133" i="43"/>
  <c r="Y133" i="43"/>
  <c r="X133" i="43"/>
  <c r="W133" i="43"/>
  <c r="V133" i="43"/>
  <c r="Z132" i="43"/>
  <c r="Y132" i="43"/>
  <c r="X132" i="43"/>
  <c r="W132" i="43"/>
  <c r="V132" i="43"/>
  <c r="Z131" i="43"/>
  <c r="Y131" i="43"/>
  <c r="X131" i="43"/>
  <c r="W131" i="43"/>
  <c r="V131" i="43"/>
  <c r="Z130" i="43"/>
  <c r="Y130" i="43"/>
  <c r="X130" i="43"/>
  <c r="W130" i="43"/>
  <c r="V130" i="43"/>
  <c r="Z129" i="43"/>
  <c r="Y129" i="43"/>
  <c r="X129" i="43"/>
  <c r="W129" i="43"/>
  <c r="V129" i="43"/>
  <c r="Z128" i="43"/>
  <c r="Y128" i="43"/>
  <c r="X128" i="43"/>
  <c r="W128" i="43"/>
  <c r="V128" i="43"/>
  <c r="Z127" i="43"/>
  <c r="Y127" i="43"/>
  <c r="X127" i="43"/>
  <c r="W127" i="43"/>
  <c r="V127" i="43"/>
  <c r="Z126" i="43"/>
  <c r="Y126" i="43"/>
  <c r="X126" i="43"/>
  <c r="W126" i="43"/>
  <c r="V126" i="43"/>
  <c r="Z125" i="43"/>
  <c r="Y125" i="43"/>
  <c r="X125" i="43"/>
  <c r="W125" i="43"/>
  <c r="V125" i="43"/>
  <c r="Z124" i="43"/>
  <c r="Y124" i="43"/>
  <c r="X124" i="43"/>
  <c r="W124" i="43"/>
  <c r="V124" i="43"/>
  <c r="Z123" i="43"/>
  <c r="Y123" i="43"/>
  <c r="X123" i="43"/>
  <c r="W123" i="43"/>
  <c r="V123" i="43"/>
  <c r="Z122" i="43"/>
  <c r="Y122" i="43"/>
  <c r="X122" i="43"/>
  <c r="W122" i="43"/>
  <c r="V122" i="43"/>
  <c r="Z121" i="43"/>
  <c r="Y121" i="43"/>
  <c r="X121" i="43"/>
  <c r="W121" i="43"/>
  <c r="V121" i="43"/>
  <c r="Z120" i="43"/>
  <c r="Y120" i="43"/>
  <c r="X120" i="43"/>
  <c r="W120" i="43"/>
  <c r="V120" i="43"/>
  <c r="Z119" i="43"/>
  <c r="Y119" i="43"/>
  <c r="X119" i="43"/>
  <c r="W119" i="43"/>
  <c r="V119" i="43"/>
  <c r="Z118" i="43"/>
  <c r="Y118" i="43"/>
  <c r="X118" i="43"/>
  <c r="W118" i="43"/>
  <c r="V118" i="43"/>
  <c r="Z117" i="43"/>
  <c r="Y117" i="43"/>
  <c r="X117" i="43"/>
  <c r="W117" i="43"/>
  <c r="V117" i="43"/>
  <c r="Z116" i="43"/>
  <c r="Y116" i="43"/>
  <c r="X116" i="43"/>
  <c r="W116" i="43"/>
  <c r="V116" i="43"/>
  <c r="Z115" i="43"/>
  <c r="Y115" i="43"/>
  <c r="X115" i="43"/>
  <c r="W115" i="43"/>
  <c r="V115" i="43"/>
  <c r="Z114" i="43"/>
  <c r="Y114" i="43"/>
  <c r="X114" i="43"/>
  <c r="W114" i="43"/>
  <c r="V114" i="43"/>
  <c r="Z113" i="43"/>
  <c r="Y113" i="43"/>
  <c r="X113" i="43"/>
  <c r="W113" i="43"/>
  <c r="V113" i="43"/>
  <c r="Z112" i="43"/>
  <c r="Y112" i="43"/>
  <c r="X112" i="43"/>
  <c r="W112" i="43"/>
  <c r="V112" i="43"/>
  <c r="Z111" i="43"/>
  <c r="Y111" i="43"/>
  <c r="X111" i="43"/>
  <c r="W111" i="43"/>
  <c r="V111" i="43"/>
  <c r="Z110" i="43"/>
  <c r="Y110" i="43"/>
  <c r="X110" i="43"/>
  <c r="W110" i="43"/>
  <c r="V110" i="43"/>
  <c r="Z109" i="43"/>
  <c r="Y109" i="43"/>
  <c r="X109" i="43"/>
  <c r="W109" i="43"/>
  <c r="V109" i="43"/>
  <c r="Z108" i="43"/>
  <c r="Y108" i="43"/>
  <c r="X108" i="43"/>
  <c r="W108" i="43"/>
  <c r="V108" i="43"/>
  <c r="Z107" i="43"/>
  <c r="Y107" i="43"/>
  <c r="X107" i="43"/>
  <c r="W107" i="43"/>
  <c r="V107" i="43"/>
  <c r="Z106" i="43"/>
  <c r="Y106" i="43"/>
  <c r="X106" i="43"/>
  <c r="W106" i="43"/>
  <c r="V106" i="43"/>
  <c r="Z105" i="43"/>
  <c r="Y105" i="43"/>
  <c r="X105" i="43"/>
  <c r="W105" i="43"/>
  <c r="V105" i="43"/>
  <c r="Z104" i="43"/>
  <c r="Y104" i="43"/>
  <c r="X104" i="43"/>
  <c r="W104" i="43"/>
  <c r="V104" i="43"/>
  <c r="Z103" i="43"/>
  <c r="Y103" i="43"/>
  <c r="X103" i="43"/>
  <c r="W103" i="43"/>
  <c r="V103" i="43"/>
  <c r="Z102" i="43"/>
  <c r="Y102" i="43"/>
  <c r="X102" i="43"/>
  <c r="W102" i="43"/>
  <c r="V102" i="43"/>
  <c r="Z101" i="43"/>
  <c r="Y101" i="43"/>
  <c r="X101" i="43"/>
  <c r="W101" i="43"/>
  <c r="V101" i="43"/>
  <c r="Z100" i="43"/>
  <c r="Y100" i="43"/>
  <c r="X100" i="43"/>
  <c r="W100" i="43"/>
  <c r="V100" i="43"/>
  <c r="Z99" i="43"/>
  <c r="Y99" i="43"/>
  <c r="X99" i="43"/>
  <c r="W99" i="43"/>
  <c r="V99" i="43"/>
  <c r="Z98" i="43"/>
  <c r="Y98" i="43"/>
  <c r="X98" i="43"/>
  <c r="W98" i="43"/>
  <c r="V98" i="43"/>
  <c r="Z97" i="43"/>
  <c r="Y97" i="43"/>
  <c r="X97" i="43"/>
  <c r="W97" i="43"/>
  <c r="V97" i="43"/>
  <c r="Z96" i="43"/>
  <c r="Y96" i="43"/>
  <c r="X96" i="43"/>
  <c r="W96" i="43"/>
  <c r="V96" i="43"/>
  <c r="Z95" i="43"/>
  <c r="Y95" i="43"/>
  <c r="X95" i="43"/>
  <c r="W95" i="43"/>
  <c r="V95" i="43"/>
  <c r="Z94" i="43"/>
  <c r="Y94" i="43"/>
  <c r="X94" i="43"/>
  <c r="W94" i="43"/>
  <c r="V94" i="43"/>
  <c r="Z93" i="43"/>
  <c r="Y93" i="43"/>
  <c r="X93" i="43"/>
  <c r="W93" i="43"/>
  <c r="V93" i="43"/>
  <c r="Z92" i="43"/>
  <c r="Y92" i="43"/>
  <c r="X92" i="43"/>
  <c r="W92" i="43"/>
  <c r="V92" i="43"/>
  <c r="Z91" i="43"/>
  <c r="Y91" i="43"/>
  <c r="X91" i="43"/>
  <c r="W91" i="43"/>
  <c r="V91" i="43"/>
  <c r="Z90" i="43"/>
  <c r="Y90" i="43"/>
  <c r="X90" i="43"/>
  <c r="W90" i="43"/>
  <c r="V90" i="43"/>
  <c r="Z89" i="43"/>
  <c r="Y89" i="43"/>
  <c r="X89" i="43"/>
  <c r="W89" i="43"/>
  <c r="V89" i="43"/>
  <c r="AB207" i="42"/>
  <c r="Z207" i="42"/>
  <c r="AB206" i="42"/>
  <c r="Z206" i="42"/>
  <c r="AB205" i="42"/>
  <c r="Z205" i="42"/>
  <c r="AB204" i="42"/>
  <c r="Z204" i="42"/>
  <c r="AB203" i="42"/>
  <c r="Z203" i="42"/>
  <c r="AB202" i="42"/>
  <c r="Z202" i="42"/>
  <c r="AB201" i="42"/>
  <c r="Z201" i="42"/>
  <c r="AB200" i="42"/>
  <c r="Z200" i="42"/>
  <c r="AB199" i="42"/>
  <c r="Z199" i="42"/>
  <c r="AB198" i="42"/>
  <c r="Z198" i="42"/>
  <c r="AB197" i="42"/>
  <c r="Z197" i="42"/>
  <c r="AB196" i="42"/>
  <c r="Z196" i="42"/>
  <c r="AB195" i="42"/>
  <c r="Z195" i="42"/>
  <c r="AB194" i="42"/>
  <c r="Z194" i="42"/>
  <c r="AB193" i="42"/>
  <c r="Z193" i="42"/>
  <c r="AB192" i="42"/>
  <c r="Z192" i="42"/>
  <c r="AB191" i="42"/>
  <c r="Z191" i="42"/>
  <c r="AB190" i="42"/>
  <c r="Z190" i="42"/>
  <c r="AB189" i="42"/>
  <c r="Z189" i="42"/>
  <c r="AB188" i="42"/>
  <c r="Z188" i="42"/>
  <c r="AB187" i="42"/>
  <c r="Z187" i="42"/>
  <c r="AB186" i="42"/>
  <c r="Z186" i="42"/>
  <c r="AB185" i="42"/>
  <c r="Z185" i="42"/>
  <c r="AB184" i="42"/>
  <c r="Z184" i="42"/>
  <c r="AB183" i="42"/>
  <c r="Z183" i="42"/>
  <c r="AB182" i="42"/>
  <c r="Z182" i="42"/>
  <c r="AB181" i="42"/>
  <c r="Z181" i="42"/>
  <c r="AB180" i="42"/>
  <c r="Z180" i="42"/>
  <c r="AB179" i="42"/>
  <c r="Z179" i="42"/>
  <c r="AB178" i="42"/>
  <c r="Z178" i="42"/>
  <c r="AB177" i="42"/>
  <c r="Z177" i="42"/>
  <c r="AB176" i="42"/>
  <c r="Z176" i="42"/>
  <c r="AB175" i="42"/>
  <c r="Z175" i="42"/>
  <c r="AB174" i="42"/>
  <c r="Z174" i="42"/>
  <c r="AB173" i="42"/>
  <c r="Z173" i="42"/>
  <c r="AB172" i="42"/>
  <c r="Z172" i="42"/>
  <c r="AB171" i="42"/>
  <c r="Z171" i="42"/>
  <c r="AB170" i="42"/>
  <c r="Z170" i="42"/>
  <c r="AB169" i="42"/>
  <c r="Z169" i="42"/>
  <c r="AB168" i="42"/>
  <c r="Z168" i="42"/>
  <c r="AB167" i="42"/>
  <c r="Z167" i="42"/>
  <c r="AB166" i="42"/>
  <c r="Z166" i="42"/>
  <c r="AB165" i="42"/>
  <c r="Z165" i="42"/>
  <c r="AB164" i="42"/>
  <c r="Z164" i="42"/>
  <c r="AB163" i="42"/>
  <c r="Z163" i="42"/>
  <c r="AB162" i="42"/>
  <c r="Z162" i="42"/>
  <c r="AB161" i="42"/>
  <c r="Z161" i="42"/>
  <c r="Z135" i="42"/>
  <c r="Y135" i="42"/>
  <c r="X135" i="42"/>
  <c r="W135" i="42"/>
  <c r="V135" i="42"/>
  <c r="Z134" i="42"/>
  <c r="Y134" i="42"/>
  <c r="X134" i="42"/>
  <c r="W134" i="42"/>
  <c r="V134" i="42"/>
  <c r="Z133" i="42"/>
  <c r="Y133" i="42"/>
  <c r="X133" i="42"/>
  <c r="W133" i="42"/>
  <c r="V133" i="42"/>
  <c r="Z132" i="42"/>
  <c r="Y132" i="42"/>
  <c r="X132" i="42"/>
  <c r="W132" i="42"/>
  <c r="V132" i="42"/>
  <c r="Z131" i="42"/>
  <c r="Y131" i="42"/>
  <c r="X131" i="42"/>
  <c r="W131" i="42"/>
  <c r="V131" i="42"/>
  <c r="Z130" i="42"/>
  <c r="Y130" i="42"/>
  <c r="X130" i="42"/>
  <c r="W130" i="42"/>
  <c r="V130" i="42"/>
  <c r="Z129" i="42"/>
  <c r="Y129" i="42"/>
  <c r="X129" i="42"/>
  <c r="W129" i="42"/>
  <c r="V129" i="42"/>
  <c r="Z128" i="42"/>
  <c r="Y128" i="42"/>
  <c r="X128" i="42"/>
  <c r="W128" i="42"/>
  <c r="V128" i="42"/>
  <c r="Z127" i="42"/>
  <c r="Y127" i="42"/>
  <c r="X127" i="42"/>
  <c r="W127" i="42"/>
  <c r="V127" i="42"/>
  <c r="Z126" i="42"/>
  <c r="Y126" i="42"/>
  <c r="X126" i="42"/>
  <c r="W126" i="42"/>
  <c r="V126" i="42"/>
  <c r="Z125" i="42"/>
  <c r="Y125" i="42"/>
  <c r="X125" i="42"/>
  <c r="W125" i="42"/>
  <c r="V125" i="42"/>
  <c r="Z124" i="42"/>
  <c r="Y124" i="42"/>
  <c r="X124" i="42"/>
  <c r="W124" i="42"/>
  <c r="V124" i="42"/>
  <c r="Z123" i="42"/>
  <c r="Y123" i="42"/>
  <c r="X123" i="42"/>
  <c r="W123" i="42"/>
  <c r="V123" i="42"/>
  <c r="Z122" i="42"/>
  <c r="Y122" i="42"/>
  <c r="X122" i="42"/>
  <c r="W122" i="42"/>
  <c r="V122" i="42"/>
  <c r="Z121" i="42"/>
  <c r="Y121" i="42"/>
  <c r="X121" i="42"/>
  <c r="W121" i="42"/>
  <c r="V121" i="42"/>
  <c r="Z120" i="42"/>
  <c r="Y120" i="42"/>
  <c r="X120" i="42"/>
  <c r="W120" i="42"/>
  <c r="V120" i="42"/>
  <c r="Z119" i="42"/>
  <c r="Y119" i="42"/>
  <c r="X119" i="42"/>
  <c r="W119" i="42"/>
  <c r="V119" i="42"/>
  <c r="Z118" i="42"/>
  <c r="Y118" i="42"/>
  <c r="X118" i="42"/>
  <c r="W118" i="42"/>
  <c r="V118" i="42"/>
  <c r="Z117" i="42"/>
  <c r="Y117" i="42"/>
  <c r="X117" i="42"/>
  <c r="W117" i="42"/>
  <c r="V117" i="42"/>
  <c r="Z116" i="42"/>
  <c r="Y116" i="42"/>
  <c r="X116" i="42"/>
  <c r="W116" i="42"/>
  <c r="V116" i="42"/>
  <c r="Z115" i="42"/>
  <c r="Y115" i="42"/>
  <c r="X115" i="42"/>
  <c r="W115" i="42"/>
  <c r="V115" i="42"/>
  <c r="Z114" i="42"/>
  <c r="Y114" i="42"/>
  <c r="X114" i="42"/>
  <c r="W114" i="42"/>
  <c r="V114" i="42"/>
  <c r="Z113" i="42"/>
  <c r="Y113" i="42"/>
  <c r="X113" i="42"/>
  <c r="W113" i="42"/>
  <c r="V113" i="42"/>
  <c r="Z112" i="42"/>
  <c r="Y112" i="42"/>
  <c r="X112" i="42"/>
  <c r="W112" i="42"/>
  <c r="V112" i="42"/>
  <c r="Z111" i="42"/>
  <c r="Y111" i="42"/>
  <c r="X111" i="42"/>
  <c r="W111" i="42"/>
  <c r="V111" i="42"/>
  <c r="Z110" i="42"/>
  <c r="Y110" i="42"/>
  <c r="X110" i="42"/>
  <c r="W110" i="42"/>
  <c r="V110" i="42"/>
  <c r="Z109" i="42"/>
  <c r="Y109" i="42"/>
  <c r="X109" i="42"/>
  <c r="W109" i="42"/>
  <c r="V109" i="42"/>
  <c r="Z108" i="42"/>
  <c r="Y108" i="42"/>
  <c r="X108" i="42"/>
  <c r="W108" i="42"/>
  <c r="V108" i="42"/>
  <c r="Z107" i="42"/>
  <c r="Y107" i="42"/>
  <c r="X107" i="42"/>
  <c r="W107" i="42"/>
  <c r="V107" i="42"/>
  <c r="Z106" i="42"/>
  <c r="Y106" i="42"/>
  <c r="X106" i="42"/>
  <c r="W106" i="42"/>
  <c r="V106" i="42"/>
  <c r="Z105" i="42"/>
  <c r="Y105" i="42"/>
  <c r="X105" i="42"/>
  <c r="W105" i="42"/>
  <c r="V105" i="42"/>
  <c r="Z104" i="42"/>
  <c r="Y104" i="42"/>
  <c r="X104" i="42"/>
  <c r="W104" i="42"/>
  <c r="V104" i="42"/>
  <c r="Z103" i="42"/>
  <c r="Y103" i="42"/>
  <c r="X103" i="42"/>
  <c r="W103" i="42"/>
  <c r="V103" i="42"/>
  <c r="Z102" i="42"/>
  <c r="Y102" i="42"/>
  <c r="X102" i="42"/>
  <c r="W102" i="42"/>
  <c r="V102" i="42"/>
  <c r="Z101" i="42"/>
  <c r="Y101" i="42"/>
  <c r="X101" i="42"/>
  <c r="W101" i="42"/>
  <c r="V101" i="42"/>
  <c r="Z100" i="42"/>
  <c r="Y100" i="42"/>
  <c r="X100" i="42"/>
  <c r="W100" i="42"/>
  <c r="V100" i="42"/>
  <c r="Z99" i="42"/>
  <c r="Y99" i="42"/>
  <c r="X99" i="42"/>
  <c r="W99" i="42"/>
  <c r="V99" i="42"/>
  <c r="Z98" i="42"/>
  <c r="Y98" i="42"/>
  <c r="X98" i="42"/>
  <c r="W98" i="42"/>
  <c r="V98" i="42"/>
  <c r="Z97" i="42"/>
  <c r="Y97" i="42"/>
  <c r="X97" i="42"/>
  <c r="W97" i="42"/>
  <c r="V97" i="42"/>
  <c r="Z96" i="42"/>
  <c r="Y96" i="42"/>
  <c r="X96" i="42"/>
  <c r="W96" i="42"/>
  <c r="V96" i="42"/>
  <c r="Z95" i="42"/>
  <c r="Y95" i="42"/>
  <c r="X95" i="42"/>
  <c r="W95" i="42"/>
  <c r="V95" i="42"/>
  <c r="Z94" i="42"/>
  <c r="Y94" i="42"/>
  <c r="X94" i="42"/>
  <c r="W94" i="42"/>
  <c r="V94" i="42"/>
  <c r="Z93" i="42"/>
  <c r="Y93" i="42"/>
  <c r="X93" i="42"/>
  <c r="W93" i="42"/>
  <c r="V93" i="42"/>
  <c r="Z92" i="42"/>
  <c r="Y92" i="42"/>
  <c r="X92" i="42"/>
  <c r="W92" i="42"/>
  <c r="V92" i="42"/>
  <c r="Z91" i="42"/>
  <c r="Y91" i="42"/>
  <c r="X91" i="42"/>
  <c r="W91" i="42"/>
  <c r="V91" i="42"/>
  <c r="Z90" i="42"/>
  <c r="Y90" i="42"/>
  <c r="X90" i="42"/>
  <c r="W90" i="42"/>
  <c r="V90" i="42"/>
  <c r="Z89" i="42"/>
  <c r="Y89" i="42"/>
  <c r="X89" i="42"/>
  <c r="W89" i="42"/>
  <c r="V89" i="42"/>
  <c r="AB207" i="41"/>
  <c r="Z207" i="41"/>
  <c r="AB206" i="41"/>
  <c r="Z206" i="41"/>
  <c r="AB205" i="41"/>
  <c r="Z205" i="41"/>
  <c r="AB204" i="41"/>
  <c r="Z204" i="41"/>
  <c r="AB203" i="41"/>
  <c r="Z203" i="41"/>
  <c r="AB202" i="41"/>
  <c r="Z202" i="41"/>
  <c r="AB201" i="41"/>
  <c r="Z201" i="41"/>
  <c r="AB200" i="41"/>
  <c r="Z200" i="41"/>
  <c r="AB199" i="41"/>
  <c r="Z199" i="41"/>
  <c r="AB198" i="41"/>
  <c r="Z198" i="41"/>
  <c r="AB197" i="41"/>
  <c r="Z197" i="41"/>
  <c r="AB196" i="41"/>
  <c r="Z196" i="41"/>
  <c r="AB195" i="41"/>
  <c r="Z195" i="41"/>
  <c r="AB194" i="41"/>
  <c r="Z194" i="41"/>
  <c r="AB193" i="41"/>
  <c r="Z193" i="41"/>
  <c r="AB192" i="41"/>
  <c r="Z192" i="41"/>
  <c r="AB191" i="41"/>
  <c r="Z191" i="41"/>
  <c r="AB190" i="41"/>
  <c r="Z190" i="41"/>
  <c r="AB189" i="41"/>
  <c r="Z189" i="41"/>
  <c r="AB188" i="41"/>
  <c r="Z188" i="41"/>
  <c r="AB187" i="41"/>
  <c r="Z187" i="41"/>
  <c r="AB186" i="41"/>
  <c r="Z186" i="41"/>
  <c r="AB185" i="41"/>
  <c r="Z185" i="41"/>
  <c r="AB184" i="41"/>
  <c r="Z184" i="41"/>
  <c r="AB183" i="41"/>
  <c r="Z183" i="41"/>
  <c r="AB182" i="41"/>
  <c r="Z182" i="41"/>
  <c r="AB181" i="41"/>
  <c r="Z181" i="41"/>
  <c r="AB180" i="41"/>
  <c r="Z180" i="41"/>
  <c r="AB179" i="41"/>
  <c r="Z179" i="41"/>
  <c r="AB178" i="41"/>
  <c r="Z178" i="41"/>
  <c r="AB177" i="41"/>
  <c r="Z177" i="41"/>
  <c r="AB176" i="41"/>
  <c r="Z176" i="41"/>
  <c r="AB175" i="41"/>
  <c r="Z175" i="41"/>
  <c r="AB174" i="41"/>
  <c r="Z174" i="41"/>
  <c r="AB173" i="41"/>
  <c r="Z173" i="41"/>
  <c r="AB172" i="41"/>
  <c r="Z172" i="41"/>
  <c r="AB171" i="41"/>
  <c r="Z171" i="41"/>
  <c r="AB170" i="41"/>
  <c r="Z170" i="41"/>
  <c r="AB169" i="41"/>
  <c r="Z169" i="41"/>
  <c r="AB168" i="41"/>
  <c r="Z168" i="41"/>
  <c r="AB167" i="41"/>
  <c r="Z167" i="41"/>
  <c r="AB166" i="41"/>
  <c r="Z166" i="41"/>
  <c r="AB165" i="41"/>
  <c r="Z165" i="41"/>
  <c r="AB164" i="41"/>
  <c r="Z164" i="41"/>
  <c r="AB163" i="41"/>
  <c r="Z163" i="41"/>
  <c r="AB162" i="41"/>
  <c r="Z162" i="41"/>
  <c r="AB161" i="41"/>
  <c r="Z161" i="41"/>
  <c r="Z135" i="41"/>
  <c r="Y135" i="41"/>
  <c r="X135" i="41"/>
  <c r="W135" i="41"/>
  <c r="V135" i="41"/>
  <c r="Z134" i="41"/>
  <c r="Y134" i="41"/>
  <c r="X134" i="41"/>
  <c r="W134" i="41"/>
  <c r="V134" i="41"/>
  <c r="Z133" i="41"/>
  <c r="Y133" i="41"/>
  <c r="X133" i="41"/>
  <c r="W133" i="41"/>
  <c r="V133" i="41"/>
  <c r="Z132" i="41"/>
  <c r="Y132" i="41"/>
  <c r="X132" i="41"/>
  <c r="W132" i="41"/>
  <c r="V132" i="41"/>
  <c r="Z131" i="41"/>
  <c r="Y131" i="41"/>
  <c r="X131" i="41"/>
  <c r="W131" i="41"/>
  <c r="V131" i="41"/>
  <c r="Z130" i="41"/>
  <c r="Y130" i="41"/>
  <c r="X130" i="41"/>
  <c r="W130" i="41"/>
  <c r="V130" i="41"/>
  <c r="Z129" i="41"/>
  <c r="Y129" i="41"/>
  <c r="X129" i="41"/>
  <c r="W129" i="41"/>
  <c r="V129" i="41"/>
  <c r="Z128" i="41"/>
  <c r="Y128" i="41"/>
  <c r="X128" i="41"/>
  <c r="W128" i="41"/>
  <c r="V128" i="41"/>
  <c r="Z127" i="41"/>
  <c r="Y127" i="41"/>
  <c r="X127" i="41"/>
  <c r="W127" i="41"/>
  <c r="V127" i="41"/>
  <c r="Z126" i="41"/>
  <c r="Y126" i="41"/>
  <c r="X126" i="41"/>
  <c r="W126" i="41"/>
  <c r="V126" i="41"/>
  <c r="Z125" i="41"/>
  <c r="Y125" i="41"/>
  <c r="X125" i="41"/>
  <c r="W125" i="41"/>
  <c r="V125" i="41"/>
  <c r="Z124" i="41"/>
  <c r="Y124" i="41"/>
  <c r="X124" i="41"/>
  <c r="W124" i="41"/>
  <c r="V124" i="41"/>
  <c r="Z123" i="41"/>
  <c r="Y123" i="41"/>
  <c r="X123" i="41"/>
  <c r="W123" i="41"/>
  <c r="V123" i="41"/>
  <c r="Z122" i="41"/>
  <c r="Y122" i="41"/>
  <c r="X122" i="41"/>
  <c r="W122" i="41"/>
  <c r="V122" i="41"/>
  <c r="Z121" i="41"/>
  <c r="Y121" i="41"/>
  <c r="X121" i="41"/>
  <c r="W121" i="41"/>
  <c r="V121" i="41"/>
  <c r="Z120" i="41"/>
  <c r="Y120" i="41"/>
  <c r="X120" i="41"/>
  <c r="W120" i="41"/>
  <c r="V120" i="41"/>
  <c r="Z119" i="41"/>
  <c r="Y119" i="41"/>
  <c r="X119" i="41"/>
  <c r="W119" i="41"/>
  <c r="V119" i="41"/>
  <c r="Z118" i="41"/>
  <c r="Y118" i="41"/>
  <c r="X118" i="41"/>
  <c r="W118" i="41"/>
  <c r="V118" i="41"/>
  <c r="Z117" i="41"/>
  <c r="Y117" i="41"/>
  <c r="X117" i="41"/>
  <c r="W117" i="41"/>
  <c r="V117" i="41"/>
  <c r="Z116" i="41"/>
  <c r="Y116" i="41"/>
  <c r="X116" i="41"/>
  <c r="W116" i="41"/>
  <c r="V116" i="41"/>
  <c r="Z115" i="41"/>
  <c r="Y115" i="41"/>
  <c r="X115" i="41"/>
  <c r="W115" i="41"/>
  <c r="V115" i="41"/>
  <c r="Z114" i="41"/>
  <c r="Y114" i="41"/>
  <c r="X114" i="41"/>
  <c r="W114" i="41"/>
  <c r="V114" i="41"/>
  <c r="Z113" i="41"/>
  <c r="Y113" i="41"/>
  <c r="X113" i="41"/>
  <c r="W113" i="41"/>
  <c r="V113" i="41"/>
  <c r="Z112" i="41"/>
  <c r="Y112" i="41"/>
  <c r="X112" i="41"/>
  <c r="W112" i="41"/>
  <c r="V112" i="41"/>
  <c r="Z111" i="41"/>
  <c r="Y111" i="41"/>
  <c r="X111" i="41"/>
  <c r="W111" i="41"/>
  <c r="V111" i="41"/>
  <c r="Z110" i="41"/>
  <c r="Y110" i="41"/>
  <c r="X110" i="41"/>
  <c r="W110" i="41"/>
  <c r="V110" i="41"/>
  <c r="Z109" i="41"/>
  <c r="Y109" i="41"/>
  <c r="X109" i="41"/>
  <c r="W109" i="41"/>
  <c r="V109" i="41"/>
  <c r="Z108" i="41"/>
  <c r="Y108" i="41"/>
  <c r="X108" i="41"/>
  <c r="W108" i="41"/>
  <c r="V108" i="41"/>
  <c r="Z107" i="41"/>
  <c r="Y107" i="41"/>
  <c r="X107" i="41"/>
  <c r="W107" i="41"/>
  <c r="V107" i="41"/>
  <c r="Z106" i="41"/>
  <c r="Y106" i="41"/>
  <c r="X106" i="41"/>
  <c r="W106" i="41"/>
  <c r="V106" i="41"/>
  <c r="Z105" i="41"/>
  <c r="Y105" i="41"/>
  <c r="X105" i="41"/>
  <c r="W105" i="41"/>
  <c r="V105" i="41"/>
  <c r="Z104" i="41"/>
  <c r="Y104" i="41"/>
  <c r="X104" i="41"/>
  <c r="W104" i="41"/>
  <c r="V104" i="41"/>
  <c r="Z103" i="41"/>
  <c r="Y103" i="41"/>
  <c r="X103" i="41"/>
  <c r="W103" i="41"/>
  <c r="V103" i="41"/>
  <c r="Z102" i="41"/>
  <c r="Y102" i="41"/>
  <c r="X102" i="41"/>
  <c r="W102" i="41"/>
  <c r="V102" i="41"/>
  <c r="Z101" i="41"/>
  <c r="Y101" i="41"/>
  <c r="X101" i="41"/>
  <c r="W101" i="41"/>
  <c r="V101" i="41"/>
  <c r="Z100" i="41"/>
  <c r="Y100" i="41"/>
  <c r="X100" i="41"/>
  <c r="W100" i="41"/>
  <c r="V100" i="41"/>
  <c r="Z99" i="41"/>
  <c r="Y99" i="41"/>
  <c r="X99" i="41"/>
  <c r="W99" i="41"/>
  <c r="V99" i="41"/>
  <c r="Z98" i="41"/>
  <c r="Y98" i="41"/>
  <c r="X98" i="41"/>
  <c r="W98" i="41"/>
  <c r="V98" i="41"/>
  <c r="Z97" i="41"/>
  <c r="Y97" i="41"/>
  <c r="X97" i="41"/>
  <c r="W97" i="41"/>
  <c r="V97" i="41"/>
  <c r="Z96" i="41"/>
  <c r="Y96" i="41"/>
  <c r="X96" i="41"/>
  <c r="W96" i="41"/>
  <c r="V96" i="41"/>
  <c r="Z95" i="41"/>
  <c r="Y95" i="41"/>
  <c r="X95" i="41"/>
  <c r="W95" i="41"/>
  <c r="V95" i="41"/>
  <c r="Z94" i="41"/>
  <c r="Y94" i="41"/>
  <c r="X94" i="41"/>
  <c r="W94" i="41"/>
  <c r="V94" i="41"/>
  <c r="Z93" i="41"/>
  <c r="Y93" i="41"/>
  <c r="X93" i="41"/>
  <c r="W93" i="41"/>
  <c r="V93" i="41"/>
  <c r="Z92" i="41"/>
  <c r="Y92" i="41"/>
  <c r="X92" i="41"/>
  <c r="W92" i="41"/>
  <c r="V92" i="41"/>
  <c r="Z91" i="41"/>
  <c r="Y91" i="41"/>
  <c r="X91" i="41"/>
  <c r="W91" i="41"/>
  <c r="V91" i="41"/>
  <c r="Z90" i="41"/>
  <c r="Y90" i="41"/>
  <c r="X90" i="41"/>
  <c r="W90" i="41"/>
  <c r="V90" i="41"/>
  <c r="Z89" i="41"/>
  <c r="Y89" i="41"/>
  <c r="X89" i="41"/>
  <c r="W89" i="41"/>
  <c r="V89" i="41"/>
  <c r="F12" i="40"/>
  <c r="BR60" i="40"/>
  <c r="F11" i="40"/>
  <c r="BZ51" i="40"/>
  <c r="F10" i="40"/>
  <c r="BY51" i="40"/>
  <c r="F9" i="40"/>
  <c r="BX51" i="40"/>
  <c r="F8" i="40"/>
  <c r="BW51" i="40"/>
  <c r="BR59" i="40"/>
  <c r="CA51" i="40"/>
  <c r="BR58" i="40"/>
  <c r="BR57" i="40"/>
  <c r="BR56" i="40"/>
  <c r="BR37" i="40"/>
  <c r="CA29" i="40"/>
  <c r="BR38" i="40"/>
  <c r="BZ29" i="40"/>
  <c r="BR36" i="40"/>
  <c r="BY29" i="40"/>
  <c r="BR35" i="40"/>
  <c r="BX29" i="40"/>
  <c r="BR34" i="40"/>
  <c r="BW29" i="40"/>
  <c r="BR49" i="40"/>
  <c r="C25" i="40"/>
  <c r="BR48" i="40"/>
  <c r="C24" i="40"/>
  <c r="BR47" i="40"/>
  <c r="C23" i="40"/>
  <c r="BR46" i="40"/>
  <c r="C22" i="40"/>
  <c r="BR45" i="40"/>
  <c r="C21" i="40"/>
  <c r="CA40" i="40"/>
  <c r="BZ40" i="40"/>
  <c r="BY40" i="40"/>
  <c r="BX40" i="40"/>
  <c r="BW40" i="40"/>
  <c r="C38" i="40"/>
  <c r="C37" i="40"/>
  <c r="C36" i="40"/>
  <c r="C35" i="40"/>
  <c r="C34" i="40"/>
  <c r="AB207" i="40"/>
  <c r="Z207" i="40"/>
  <c r="AB206" i="40"/>
  <c r="Z206" i="40"/>
  <c r="AB205" i="40"/>
  <c r="Z205" i="40"/>
  <c r="AB204" i="40"/>
  <c r="Z204" i="40"/>
  <c r="AB203" i="40"/>
  <c r="Z203" i="40"/>
  <c r="AB202" i="40"/>
  <c r="Z202" i="40"/>
  <c r="AB201" i="40"/>
  <c r="Z201" i="40"/>
  <c r="AB200" i="40"/>
  <c r="Z200" i="40"/>
  <c r="AB199" i="40"/>
  <c r="Z199" i="40"/>
  <c r="AB198" i="40"/>
  <c r="Z198" i="40"/>
  <c r="AB197" i="40"/>
  <c r="Z197" i="40"/>
  <c r="AB196" i="40"/>
  <c r="Z196" i="40"/>
  <c r="AB195" i="40"/>
  <c r="Z195" i="40"/>
  <c r="AB194" i="40"/>
  <c r="Z194" i="40"/>
  <c r="AB193" i="40"/>
  <c r="Z193" i="40"/>
  <c r="AB192" i="40"/>
  <c r="Z192" i="40"/>
  <c r="AB191" i="40"/>
  <c r="Z191" i="40"/>
  <c r="AB190" i="40"/>
  <c r="Z190" i="40"/>
  <c r="AB189" i="40"/>
  <c r="Z189" i="40"/>
  <c r="AB188" i="40"/>
  <c r="Z188" i="40"/>
  <c r="AB187" i="40"/>
  <c r="Z187" i="40"/>
  <c r="AB186" i="40"/>
  <c r="Z186" i="40"/>
  <c r="AB185" i="40"/>
  <c r="Z185" i="40"/>
  <c r="AB184" i="40"/>
  <c r="Z184" i="40"/>
  <c r="AB183" i="40"/>
  <c r="Z183" i="40"/>
  <c r="AB182" i="40"/>
  <c r="Z182" i="40"/>
  <c r="AB181" i="40"/>
  <c r="Z181" i="40"/>
  <c r="AB180" i="40"/>
  <c r="Z180" i="40"/>
  <c r="AB179" i="40"/>
  <c r="Z179" i="40"/>
  <c r="AB178" i="40"/>
  <c r="Z178" i="40"/>
  <c r="AB177" i="40"/>
  <c r="Z177" i="40"/>
  <c r="AB176" i="40"/>
  <c r="Z176" i="40"/>
  <c r="AB175" i="40"/>
  <c r="Z175" i="40"/>
  <c r="AB174" i="40"/>
  <c r="Z174" i="40"/>
  <c r="AB173" i="40"/>
  <c r="Z173" i="40"/>
  <c r="AB172" i="40"/>
  <c r="Z172" i="40"/>
  <c r="AB171" i="40"/>
  <c r="Z171" i="40"/>
  <c r="AB170" i="40"/>
  <c r="Z170" i="40"/>
  <c r="AB169" i="40"/>
  <c r="Z169" i="40"/>
  <c r="AB168" i="40"/>
  <c r="Z168" i="40"/>
  <c r="AB167" i="40"/>
  <c r="Z167" i="40"/>
  <c r="AB166" i="40"/>
  <c r="Z166" i="40"/>
  <c r="AB165" i="40"/>
  <c r="Z165" i="40"/>
  <c r="AB164" i="40"/>
  <c r="Z164" i="40"/>
  <c r="AB163" i="40"/>
  <c r="Z163" i="40"/>
  <c r="AB162" i="40"/>
  <c r="Z162" i="40"/>
  <c r="AB161" i="40"/>
  <c r="Z161" i="40"/>
  <c r="AB135" i="40"/>
  <c r="Z135" i="40"/>
  <c r="Y135" i="40"/>
  <c r="X135" i="40"/>
  <c r="W135" i="40"/>
  <c r="V135" i="40"/>
  <c r="AB134" i="40"/>
  <c r="Z134" i="40"/>
  <c r="Y134" i="40"/>
  <c r="X134" i="40"/>
  <c r="W134" i="40"/>
  <c r="V134" i="40"/>
  <c r="AB133" i="40"/>
  <c r="Z133" i="40"/>
  <c r="Y133" i="40"/>
  <c r="X133" i="40"/>
  <c r="W133" i="40"/>
  <c r="V133" i="40"/>
  <c r="AB132" i="40"/>
  <c r="Z132" i="40"/>
  <c r="Y132" i="40"/>
  <c r="X132" i="40"/>
  <c r="W132" i="40"/>
  <c r="V132" i="40"/>
  <c r="AB131" i="40"/>
  <c r="Z131" i="40"/>
  <c r="Y131" i="40"/>
  <c r="X131" i="40"/>
  <c r="W131" i="40"/>
  <c r="V131" i="40"/>
  <c r="AB130" i="40"/>
  <c r="Z130" i="40"/>
  <c r="Y130" i="40"/>
  <c r="X130" i="40"/>
  <c r="W130" i="40"/>
  <c r="V130" i="40"/>
  <c r="AB129" i="40"/>
  <c r="Z129" i="40"/>
  <c r="Y129" i="40"/>
  <c r="X129" i="40"/>
  <c r="W129" i="40"/>
  <c r="V129" i="40"/>
  <c r="AB128" i="40"/>
  <c r="Z128" i="40"/>
  <c r="Y128" i="40"/>
  <c r="X128" i="40"/>
  <c r="W128" i="40"/>
  <c r="V128" i="40"/>
  <c r="AB127" i="40"/>
  <c r="Z127" i="40"/>
  <c r="Y127" i="40"/>
  <c r="X127" i="40"/>
  <c r="W127" i="40"/>
  <c r="V127" i="40"/>
  <c r="AB126" i="40"/>
  <c r="Z126" i="40"/>
  <c r="Y126" i="40"/>
  <c r="X126" i="40"/>
  <c r="W126" i="40"/>
  <c r="V126" i="40"/>
  <c r="AB125" i="40"/>
  <c r="Z125" i="40"/>
  <c r="Y125" i="40"/>
  <c r="X125" i="40"/>
  <c r="W125" i="40"/>
  <c r="V125" i="40"/>
  <c r="AB124" i="40"/>
  <c r="Z124" i="40"/>
  <c r="Y124" i="40"/>
  <c r="X124" i="40"/>
  <c r="W124" i="40"/>
  <c r="V124" i="40"/>
  <c r="AB123" i="40"/>
  <c r="Z123" i="40"/>
  <c r="Y123" i="40"/>
  <c r="X123" i="40"/>
  <c r="W123" i="40"/>
  <c r="V123" i="40"/>
  <c r="AB122" i="40"/>
  <c r="Z122" i="40"/>
  <c r="Y122" i="40"/>
  <c r="X122" i="40"/>
  <c r="W122" i="40"/>
  <c r="V122" i="40"/>
  <c r="AB121" i="40"/>
  <c r="Z121" i="40"/>
  <c r="Y121" i="40"/>
  <c r="X121" i="40"/>
  <c r="W121" i="40"/>
  <c r="V121" i="40"/>
  <c r="AB120" i="40"/>
  <c r="Z120" i="40"/>
  <c r="Y120" i="40"/>
  <c r="X120" i="40"/>
  <c r="W120" i="40"/>
  <c r="V120" i="40"/>
  <c r="AB119" i="40"/>
  <c r="Z119" i="40"/>
  <c r="Y119" i="40"/>
  <c r="X119" i="40"/>
  <c r="W119" i="40"/>
  <c r="V119" i="40"/>
  <c r="AB118" i="40"/>
  <c r="Z118" i="40"/>
  <c r="Y118" i="40"/>
  <c r="X118" i="40"/>
  <c r="W118" i="40"/>
  <c r="V118" i="40"/>
  <c r="AB117" i="40"/>
  <c r="Z117" i="40"/>
  <c r="Y117" i="40"/>
  <c r="X117" i="40"/>
  <c r="W117" i="40"/>
  <c r="V117" i="40"/>
  <c r="AB116" i="40"/>
  <c r="Z116" i="40"/>
  <c r="Y116" i="40"/>
  <c r="X116" i="40"/>
  <c r="W116" i="40"/>
  <c r="V116" i="40"/>
  <c r="AB115" i="40"/>
  <c r="Z115" i="40"/>
  <c r="Y115" i="40"/>
  <c r="X115" i="40"/>
  <c r="W115" i="40"/>
  <c r="V115" i="40"/>
  <c r="AB114" i="40"/>
  <c r="Z114" i="40"/>
  <c r="Y114" i="40"/>
  <c r="X114" i="40"/>
  <c r="W114" i="40"/>
  <c r="V114" i="40"/>
  <c r="AB113" i="40"/>
  <c r="Z113" i="40"/>
  <c r="Y113" i="40"/>
  <c r="X113" i="40"/>
  <c r="W113" i="40"/>
  <c r="V113" i="40"/>
  <c r="AB112" i="40"/>
  <c r="Z112" i="40"/>
  <c r="Y112" i="40"/>
  <c r="X112" i="40"/>
  <c r="W112" i="40"/>
  <c r="V112" i="40"/>
  <c r="AB111" i="40"/>
  <c r="Z111" i="40"/>
  <c r="Y111" i="40"/>
  <c r="X111" i="40"/>
  <c r="W111" i="40"/>
  <c r="V111" i="40"/>
  <c r="AB110" i="40"/>
  <c r="Z110" i="40"/>
  <c r="Y110" i="40"/>
  <c r="X110" i="40"/>
  <c r="W110" i="40"/>
  <c r="V110" i="40"/>
  <c r="AB109" i="40"/>
  <c r="Z109" i="40"/>
  <c r="Y109" i="40"/>
  <c r="X109" i="40"/>
  <c r="W109" i="40"/>
  <c r="V109" i="40"/>
  <c r="AB108" i="40"/>
  <c r="Z108" i="40"/>
  <c r="Y108" i="40"/>
  <c r="X108" i="40"/>
  <c r="W108" i="40"/>
  <c r="V108" i="40"/>
  <c r="AB107" i="40"/>
  <c r="Z107" i="40"/>
  <c r="Y107" i="40"/>
  <c r="X107" i="40"/>
  <c r="W107" i="40"/>
  <c r="V107" i="40"/>
  <c r="AB106" i="40"/>
  <c r="Z106" i="40"/>
  <c r="Y106" i="40"/>
  <c r="X106" i="40"/>
  <c r="W106" i="40"/>
  <c r="V106" i="40"/>
  <c r="AB105" i="40"/>
  <c r="Z105" i="40"/>
  <c r="Y105" i="40"/>
  <c r="X105" i="40"/>
  <c r="W105" i="40"/>
  <c r="V105" i="40"/>
  <c r="AB104" i="40"/>
  <c r="Z104" i="40"/>
  <c r="Y104" i="40"/>
  <c r="X104" i="40"/>
  <c r="W104" i="40"/>
  <c r="V104" i="40"/>
  <c r="AB103" i="40"/>
  <c r="Z103" i="40"/>
  <c r="Y103" i="40"/>
  <c r="X103" i="40"/>
  <c r="W103" i="40"/>
  <c r="V103" i="40"/>
  <c r="AB102" i="40"/>
  <c r="Z102" i="40"/>
  <c r="Y102" i="40"/>
  <c r="X102" i="40"/>
  <c r="W102" i="40"/>
  <c r="V102" i="40"/>
  <c r="AB101" i="40"/>
  <c r="Z101" i="40"/>
  <c r="Y101" i="40"/>
  <c r="X101" i="40"/>
  <c r="W101" i="40"/>
  <c r="V101" i="40"/>
  <c r="AB100" i="40"/>
  <c r="Z100" i="40"/>
  <c r="Y100" i="40"/>
  <c r="X100" i="40"/>
  <c r="W100" i="40"/>
  <c r="V100" i="40"/>
  <c r="AB99" i="40"/>
  <c r="Z99" i="40"/>
  <c r="Y99" i="40"/>
  <c r="X99" i="40"/>
  <c r="W99" i="40"/>
  <c r="V99" i="40"/>
  <c r="AB98" i="40"/>
  <c r="Z98" i="40"/>
  <c r="Y98" i="40"/>
  <c r="X98" i="40"/>
  <c r="W98" i="40"/>
  <c r="V98" i="40"/>
  <c r="AB97" i="40"/>
  <c r="Z97" i="40"/>
  <c r="Y97" i="40"/>
  <c r="X97" i="40"/>
  <c r="W97" i="40"/>
  <c r="V97" i="40"/>
  <c r="AB96" i="40"/>
  <c r="Z96" i="40"/>
  <c r="Y96" i="40"/>
  <c r="X96" i="40"/>
  <c r="W96" i="40"/>
  <c r="V96" i="40"/>
  <c r="AB95" i="40"/>
  <c r="Z95" i="40"/>
  <c r="Y95" i="40"/>
  <c r="X95" i="40"/>
  <c r="W95" i="40"/>
  <c r="V95" i="40"/>
  <c r="AB94" i="40"/>
  <c r="Z94" i="40"/>
  <c r="Y94" i="40"/>
  <c r="X94" i="40"/>
  <c r="W94" i="40"/>
  <c r="V94" i="40"/>
  <c r="AB93" i="40"/>
  <c r="Z93" i="40"/>
  <c r="Y93" i="40"/>
  <c r="X93" i="40"/>
  <c r="W93" i="40"/>
  <c r="V93" i="40"/>
  <c r="AB92" i="40"/>
  <c r="Z92" i="40"/>
  <c r="Y92" i="40"/>
  <c r="X92" i="40"/>
  <c r="W92" i="40"/>
  <c r="V92" i="40"/>
  <c r="AB91" i="40"/>
  <c r="Z91" i="40"/>
  <c r="Y91" i="40"/>
  <c r="X91" i="40"/>
  <c r="W91" i="40"/>
  <c r="V91" i="40"/>
  <c r="AB90" i="40"/>
  <c r="Z90" i="40"/>
  <c r="Y90" i="40"/>
  <c r="X90" i="40"/>
  <c r="W90" i="40"/>
  <c r="V90" i="40"/>
  <c r="AB89" i="40"/>
  <c r="Z89" i="40"/>
  <c r="Y89" i="40"/>
  <c r="X89" i="40"/>
  <c r="W89" i="40"/>
  <c r="V89" i="40"/>
  <c r="AR41" i="39"/>
  <c r="AR35" i="39"/>
  <c r="AR29" i="39"/>
  <c r="AR23" i="39"/>
  <c r="AR17" i="39"/>
  <c r="AR11" i="39"/>
  <c r="AA35" i="39"/>
  <c r="AA27" i="39"/>
  <c r="AA19" i="39"/>
  <c r="AA11" i="39"/>
  <c r="O11" i="39"/>
  <c r="L11" i="39"/>
  <c r="O11" i="21"/>
  <c r="L11" i="21"/>
  <c r="P36" i="39"/>
  <c r="P35" i="39"/>
  <c r="P34" i="39"/>
  <c r="P33" i="39"/>
  <c r="P32" i="39"/>
  <c r="P31" i="39"/>
  <c r="P30" i="39"/>
  <c r="P29" i="39"/>
  <c r="P28" i="39"/>
  <c r="P27" i="39"/>
  <c r="P26" i="39"/>
  <c r="P25" i="39"/>
  <c r="P24" i="39"/>
  <c r="P23" i="39"/>
  <c r="P22" i="39"/>
  <c r="P21" i="39"/>
  <c r="P20" i="39"/>
  <c r="P19" i="39"/>
  <c r="P18" i="39"/>
  <c r="P17" i="39"/>
  <c r="P16" i="39"/>
  <c r="P15" i="39"/>
  <c r="P14" i="39"/>
  <c r="P13" i="39"/>
  <c r="P12" i="39"/>
  <c r="AL7" i="39"/>
  <c r="E83" i="9"/>
  <c r="H20" i="49"/>
  <c r="AE43" i="49"/>
  <c r="X43" i="49"/>
  <c r="Y43" i="49"/>
  <c r="AA43" i="49"/>
  <c r="Z43" i="49"/>
  <c r="W43" i="49"/>
  <c r="S43" i="49"/>
  <c r="P43" i="49"/>
  <c r="M43" i="49"/>
  <c r="AE42" i="49"/>
  <c r="X42" i="49"/>
  <c r="Y42" i="49"/>
  <c r="AA42" i="49"/>
  <c r="Z42" i="49"/>
  <c r="W42" i="49"/>
  <c r="S42" i="49"/>
  <c r="P42" i="49"/>
  <c r="M42" i="49"/>
  <c r="AE41" i="49"/>
  <c r="X41" i="49"/>
  <c r="Y41" i="49"/>
  <c r="AA41" i="49"/>
  <c r="Z41" i="49"/>
  <c r="W41" i="49"/>
  <c r="S41" i="49"/>
  <c r="P41" i="49"/>
  <c r="M41" i="49"/>
  <c r="AE40" i="49"/>
  <c r="X40" i="49"/>
  <c r="Y40" i="49"/>
  <c r="AA40" i="49"/>
  <c r="Z40" i="49"/>
  <c r="W40" i="49"/>
  <c r="S40" i="49"/>
  <c r="P40" i="49"/>
  <c r="M40" i="49"/>
  <c r="AE39" i="49"/>
  <c r="X39" i="49"/>
  <c r="Y39" i="49"/>
  <c r="AA39" i="49"/>
  <c r="Z39" i="49"/>
  <c r="W39" i="49"/>
  <c r="S39" i="49"/>
  <c r="P39" i="49"/>
  <c r="M39" i="49"/>
  <c r="AE38" i="49"/>
  <c r="W38" i="49"/>
  <c r="S38" i="49"/>
  <c r="P38" i="49"/>
  <c r="M38" i="49"/>
  <c r="W37" i="49"/>
  <c r="E82" i="9"/>
  <c r="U37" i="49"/>
  <c r="R37" i="49"/>
  <c r="O37" i="49"/>
  <c r="L37" i="49"/>
  <c r="E14" i="9"/>
  <c r="I37" i="49"/>
  <c r="E48" i="9"/>
  <c r="E37" i="49"/>
  <c r="E39" i="9"/>
  <c r="D37" i="49"/>
  <c r="E33" i="9"/>
  <c r="C37" i="49"/>
  <c r="E84" i="9"/>
  <c r="H33" i="49"/>
  <c r="AE30" i="49"/>
  <c r="X30" i="49"/>
  <c r="Y30" i="49"/>
  <c r="AA30" i="49"/>
  <c r="Z30" i="49"/>
  <c r="W30" i="49"/>
  <c r="S30" i="49"/>
  <c r="P30" i="49"/>
  <c r="M30" i="49"/>
  <c r="AE29" i="49"/>
  <c r="X29" i="49"/>
  <c r="Y29" i="49"/>
  <c r="AA29" i="49"/>
  <c r="Z29" i="49"/>
  <c r="W29" i="49"/>
  <c r="S29" i="49"/>
  <c r="P29" i="49"/>
  <c r="M29" i="49"/>
  <c r="AE28" i="49"/>
  <c r="X28" i="49"/>
  <c r="Y28" i="49"/>
  <c r="AA28" i="49"/>
  <c r="Z28" i="49"/>
  <c r="W28" i="49"/>
  <c r="S28" i="49"/>
  <c r="P28" i="49"/>
  <c r="M28" i="49"/>
  <c r="AE27" i="49"/>
  <c r="X27" i="49"/>
  <c r="Y27" i="49"/>
  <c r="AA27" i="49"/>
  <c r="Z27" i="49"/>
  <c r="W27" i="49"/>
  <c r="S27" i="49"/>
  <c r="P27" i="49"/>
  <c r="M27" i="49"/>
  <c r="AE26" i="49"/>
  <c r="X26" i="49"/>
  <c r="Y26" i="49"/>
  <c r="AA26" i="49"/>
  <c r="Z26" i="49"/>
  <c r="W26" i="49"/>
  <c r="S26" i="49"/>
  <c r="P26" i="49"/>
  <c r="M26" i="49"/>
  <c r="AE25" i="49"/>
  <c r="W25" i="49"/>
  <c r="S25" i="49"/>
  <c r="P25" i="49"/>
  <c r="M25" i="49"/>
  <c r="W24" i="49"/>
  <c r="U24" i="49"/>
  <c r="R24" i="49"/>
  <c r="O24" i="49"/>
  <c r="L24" i="49"/>
  <c r="I24" i="49"/>
  <c r="E24" i="49"/>
  <c r="D24" i="49"/>
  <c r="C24" i="49"/>
  <c r="E49" i="9"/>
  <c r="AJ10" i="21"/>
  <c r="E65" i="9"/>
  <c r="AG10" i="21"/>
  <c r="E118" i="9"/>
  <c r="J76" i="9"/>
  <c r="E119" i="9"/>
  <c r="J77" i="9"/>
  <c r="BR60" i="31"/>
  <c r="BZ51" i="31"/>
  <c r="BY51" i="31"/>
  <c r="BX51" i="31"/>
  <c r="BW51" i="31"/>
  <c r="BV51" i="31"/>
  <c r="BR59" i="31"/>
  <c r="CA51" i="31"/>
  <c r="BR58" i="31"/>
  <c r="BR57" i="31"/>
  <c r="BR56" i="31"/>
  <c r="BR55" i="31"/>
  <c r="BR37" i="31"/>
  <c r="CA29" i="31"/>
  <c r="BR38" i="31"/>
  <c r="BZ29" i="31"/>
  <c r="BR36" i="31"/>
  <c r="BY29" i="31"/>
  <c r="BR35" i="31"/>
  <c r="BX29" i="31"/>
  <c r="BR34" i="31"/>
  <c r="BW29" i="31"/>
  <c r="BR33" i="31"/>
  <c r="BV29" i="31"/>
  <c r="BR49" i="31"/>
  <c r="C25" i="31"/>
  <c r="BR48" i="31"/>
  <c r="C24" i="31"/>
  <c r="BR47" i="31"/>
  <c r="C23" i="31"/>
  <c r="BR46" i="31"/>
  <c r="C22" i="31"/>
  <c r="BR45" i="31"/>
  <c r="C21" i="31"/>
  <c r="BR44" i="31"/>
  <c r="C20" i="31"/>
  <c r="CA40" i="31"/>
  <c r="BZ40" i="31"/>
  <c r="BY40" i="31"/>
  <c r="BX40" i="31"/>
  <c r="BW40" i="31"/>
  <c r="BV40" i="31"/>
  <c r="C38" i="31"/>
  <c r="C37" i="31"/>
  <c r="C36" i="31"/>
  <c r="C35" i="31"/>
  <c r="C34" i="31"/>
  <c r="C33" i="31"/>
  <c r="BR60" i="30"/>
  <c r="BZ51" i="30"/>
  <c r="BY51" i="30"/>
  <c r="BX51" i="30"/>
  <c r="BW51" i="30"/>
  <c r="BV51" i="30"/>
  <c r="BR59" i="30"/>
  <c r="CA51" i="30"/>
  <c r="BR58" i="30"/>
  <c r="BR57" i="30"/>
  <c r="BR56" i="30"/>
  <c r="BR55" i="30"/>
  <c r="BR37" i="30"/>
  <c r="CA29" i="30"/>
  <c r="BR38" i="30"/>
  <c r="BZ29" i="30"/>
  <c r="BR36" i="30"/>
  <c r="BY29" i="30"/>
  <c r="BR35" i="30"/>
  <c r="BX29" i="30"/>
  <c r="BR34" i="30"/>
  <c r="BW29" i="30"/>
  <c r="BR33" i="30"/>
  <c r="BV29" i="30"/>
  <c r="BR49" i="30"/>
  <c r="C25" i="30"/>
  <c r="BR48" i="30"/>
  <c r="C24" i="30"/>
  <c r="BR47" i="30"/>
  <c r="C23" i="30"/>
  <c r="BR46" i="30"/>
  <c r="C22" i="30"/>
  <c r="BR45" i="30"/>
  <c r="C21" i="30"/>
  <c r="BR44" i="30"/>
  <c r="C20" i="30"/>
  <c r="CA40" i="30"/>
  <c r="BZ40" i="30"/>
  <c r="BY40" i="30"/>
  <c r="BX40" i="30"/>
  <c r="BW40" i="30"/>
  <c r="BV40" i="30"/>
  <c r="C38" i="30"/>
  <c r="C37" i="30"/>
  <c r="C36" i="30"/>
  <c r="C35" i="30"/>
  <c r="C34" i="30"/>
  <c r="C33" i="30"/>
  <c r="BR60" i="29"/>
  <c r="BZ51" i="29"/>
  <c r="BY51" i="29"/>
  <c r="BX51" i="29"/>
  <c r="BW51" i="29"/>
  <c r="BV51" i="29"/>
  <c r="BR59" i="29"/>
  <c r="CA51" i="29"/>
  <c r="BR58" i="29"/>
  <c r="BR57" i="29"/>
  <c r="BR56" i="29"/>
  <c r="BR55" i="29"/>
  <c r="BR37" i="29"/>
  <c r="CA29" i="29"/>
  <c r="BR38" i="29"/>
  <c r="BZ29" i="29"/>
  <c r="BR36" i="29"/>
  <c r="BY29" i="29"/>
  <c r="BR35" i="29"/>
  <c r="BX29" i="29"/>
  <c r="BR34" i="29"/>
  <c r="BW29" i="29"/>
  <c r="BR33" i="29"/>
  <c r="BV29" i="29"/>
  <c r="BR49" i="29"/>
  <c r="C25" i="29"/>
  <c r="BR48" i="29"/>
  <c r="C24" i="29"/>
  <c r="BR47" i="29"/>
  <c r="C23" i="29"/>
  <c r="BR46" i="29"/>
  <c r="C22" i="29"/>
  <c r="BR45" i="29"/>
  <c r="C21" i="29"/>
  <c r="BR44" i="29"/>
  <c r="C20" i="29"/>
  <c r="CA40" i="29"/>
  <c r="BZ40" i="29"/>
  <c r="BY40" i="29"/>
  <c r="BX40" i="29"/>
  <c r="BW40" i="29"/>
  <c r="BV40" i="29"/>
  <c r="C38" i="29"/>
  <c r="C37" i="29"/>
  <c r="C36" i="29"/>
  <c r="C35" i="29"/>
  <c r="C34" i="29"/>
  <c r="C33" i="29"/>
  <c r="BR60" i="28"/>
  <c r="BZ51" i="28"/>
  <c r="BY51" i="28"/>
  <c r="BX51" i="28"/>
  <c r="BW51" i="28"/>
  <c r="BV51" i="28"/>
  <c r="BR59" i="28"/>
  <c r="CA51" i="28"/>
  <c r="BR58" i="28"/>
  <c r="BR57" i="28"/>
  <c r="BR56" i="28"/>
  <c r="BR55" i="28"/>
  <c r="BR37" i="28"/>
  <c r="CA29" i="28"/>
  <c r="BR38" i="28"/>
  <c r="BZ29" i="28"/>
  <c r="BR36" i="28"/>
  <c r="BY29" i="28"/>
  <c r="BR35" i="28"/>
  <c r="BX29" i="28"/>
  <c r="BR34" i="28"/>
  <c r="BW29" i="28"/>
  <c r="BR33" i="28"/>
  <c r="BV29" i="28"/>
  <c r="BR49" i="28"/>
  <c r="C25" i="28"/>
  <c r="BR48" i="28"/>
  <c r="C24" i="28"/>
  <c r="BR47" i="28"/>
  <c r="C23" i="28"/>
  <c r="BR46" i="28"/>
  <c r="C22" i="28"/>
  <c r="BR45" i="28"/>
  <c r="C21" i="28"/>
  <c r="BR44" i="28"/>
  <c r="C20" i="28"/>
  <c r="CA40" i="28"/>
  <c r="BZ40" i="28"/>
  <c r="BY40" i="28"/>
  <c r="BX40" i="28"/>
  <c r="BW40" i="28"/>
  <c r="BV40" i="28"/>
  <c r="C38" i="28"/>
  <c r="C37" i="28"/>
  <c r="C36" i="28"/>
  <c r="C35" i="28"/>
  <c r="C34" i="28"/>
  <c r="C33" i="28"/>
  <c r="BR60" i="27"/>
  <c r="BZ51" i="27"/>
  <c r="BY51" i="27"/>
  <c r="BX51" i="27"/>
  <c r="BW51" i="27"/>
  <c r="BV51" i="27"/>
  <c r="BR59" i="27"/>
  <c r="CA51" i="27"/>
  <c r="BR58" i="27"/>
  <c r="BR57" i="27"/>
  <c r="BR56" i="27"/>
  <c r="BR55" i="27"/>
  <c r="BR37" i="27"/>
  <c r="CA29" i="27"/>
  <c r="BR38" i="27"/>
  <c r="BZ29" i="27"/>
  <c r="BR36" i="27"/>
  <c r="BY29" i="27"/>
  <c r="BR35" i="27"/>
  <c r="BX29" i="27"/>
  <c r="BR34" i="27"/>
  <c r="BW29" i="27"/>
  <c r="BR33" i="27"/>
  <c r="BV29" i="27"/>
  <c r="BR49" i="27"/>
  <c r="C25" i="27"/>
  <c r="BR48" i="27"/>
  <c r="C24" i="27"/>
  <c r="BR47" i="27"/>
  <c r="C23" i="27"/>
  <c r="BR46" i="27"/>
  <c r="C22" i="27"/>
  <c r="BR45" i="27"/>
  <c r="C21" i="27"/>
  <c r="BR44" i="27"/>
  <c r="C20" i="27"/>
  <c r="CA40" i="27"/>
  <c r="BZ40" i="27"/>
  <c r="BY40" i="27"/>
  <c r="BX40" i="27"/>
  <c r="BW40" i="27"/>
  <c r="BV40" i="27"/>
  <c r="C38" i="27"/>
  <c r="C37" i="27"/>
  <c r="C36" i="27"/>
  <c r="C35" i="27"/>
  <c r="C34" i="27"/>
  <c r="C33" i="27"/>
  <c r="AB207" i="31"/>
  <c r="Z207" i="31"/>
  <c r="AB206" i="31"/>
  <c r="Z206" i="31"/>
  <c r="AB205" i="31"/>
  <c r="Z205" i="31"/>
  <c r="AB204" i="31"/>
  <c r="Z204" i="31"/>
  <c r="AB203" i="31"/>
  <c r="Z203" i="31"/>
  <c r="AB202" i="31"/>
  <c r="Z202" i="31"/>
  <c r="AB201" i="31"/>
  <c r="Z201" i="31"/>
  <c r="AB200" i="31"/>
  <c r="Z200" i="31"/>
  <c r="AB199" i="31"/>
  <c r="Z199" i="31"/>
  <c r="AB198" i="31"/>
  <c r="Z198" i="31"/>
  <c r="AB197" i="31"/>
  <c r="Z197" i="31"/>
  <c r="AB196" i="31"/>
  <c r="Z196" i="31"/>
  <c r="AB195" i="31"/>
  <c r="Z195" i="31"/>
  <c r="AB194" i="31"/>
  <c r="Z194" i="31"/>
  <c r="AB193" i="31"/>
  <c r="Z193" i="31"/>
  <c r="AB192" i="31"/>
  <c r="Z192" i="31"/>
  <c r="AB191" i="31"/>
  <c r="Z191" i="31"/>
  <c r="AB190" i="31"/>
  <c r="Z190" i="31"/>
  <c r="AB189" i="31"/>
  <c r="Z189" i="31"/>
  <c r="AB188" i="31"/>
  <c r="Z188" i="31"/>
  <c r="AB187" i="31"/>
  <c r="Z187" i="31"/>
  <c r="AB186" i="31"/>
  <c r="Z186" i="31"/>
  <c r="AB185" i="31"/>
  <c r="Z185" i="31"/>
  <c r="AB184" i="31"/>
  <c r="Z184" i="31"/>
  <c r="AB183" i="31"/>
  <c r="Z183" i="31"/>
  <c r="AB182" i="31"/>
  <c r="Z182" i="31"/>
  <c r="AB181" i="31"/>
  <c r="Z181" i="31"/>
  <c r="AB180" i="31"/>
  <c r="Z180" i="31"/>
  <c r="AB179" i="31"/>
  <c r="Z179" i="31"/>
  <c r="AB178" i="31"/>
  <c r="Z178" i="31"/>
  <c r="AB177" i="31"/>
  <c r="Z177" i="31"/>
  <c r="AB176" i="31"/>
  <c r="Z176" i="31"/>
  <c r="AB175" i="31"/>
  <c r="Z175" i="31"/>
  <c r="AB174" i="31"/>
  <c r="Z174" i="31"/>
  <c r="AB173" i="31"/>
  <c r="Z173" i="31"/>
  <c r="AB172" i="31"/>
  <c r="Z172" i="31"/>
  <c r="AB171" i="31"/>
  <c r="Z171" i="31"/>
  <c r="AB170" i="31"/>
  <c r="Z170" i="31"/>
  <c r="AB169" i="31"/>
  <c r="Z169" i="31"/>
  <c r="AB168" i="31"/>
  <c r="Z168" i="31"/>
  <c r="AB167" i="31"/>
  <c r="Z167" i="31"/>
  <c r="AB166" i="31"/>
  <c r="Z166" i="31"/>
  <c r="AB165" i="31"/>
  <c r="Z165" i="31"/>
  <c r="AB164" i="31"/>
  <c r="Z164" i="31"/>
  <c r="AB163" i="31"/>
  <c r="Z163" i="31"/>
  <c r="AB162" i="31"/>
  <c r="Z162" i="31"/>
  <c r="AB161" i="31"/>
  <c r="Z161" i="31"/>
  <c r="AB160" i="31"/>
  <c r="Z160" i="31"/>
  <c r="AB159" i="31"/>
  <c r="Z159" i="31"/>
  <c r="AB158" i="31"/>
  <c r="Z158" i="31"/>
  <c r="AB157" i="31"/>
  <c r="Z157" i="31"/>
  <c r="AB156" i="31"/>
  <c r="Z156" i="31"/>
  <c r="AB155" i="31"/>
  <c r="Z155" i="31"/>
  <c r="AB154" i="31"/>
  <c r="Z154" i="31"/>
  <c r="Z135" i="31"/>
  <c r="Y135" i="31"/>
  <c r="X135" i="31"/>
  <c r="W135" i="31"/>
  <c r="V135" i="31"/>
  <c r="Z134" i="31"/>
  <c r="Y134" i="31"/>
  <c r="X134" i="31"/>
  <c r="W134" i="31"/>
  <c r="V134" i="31"/>
  <c r="Z133" i="31"/>
  <c r="Y133" i="31"/>
  <c r="X133" i="31"/>
  <c r="W133" i="31"/>
  <c r="V133" i="31"/>
  <c r="Z132" i="31"/>
  <c r="Y132" i="31"/>
  <c r="X132" i="31"/>
  <c r="W132" i="31"/>
  <c r="V132" i="31"/>
  <c r="Z131" i="31"/>
  <c r="Y131" i="31"/>
  <c r="X131" i="31"/>
  <c r="W131" i="31"/>
  <c r="V131" i="31"/>
  <c r="Z130" i="31"/>
  <c r="Y130" i="31"/>
  <c r="X130" i="31"/>
  <c r="W130" i="31"/>
  <c r="V130" i="31"/>
  <c r="Z129" i="31"/>
  <c r="Y129" i="31"/>
  <c r="X129" i="31"/>
  <c r="W129" i="31"/>
  <c r="V129" i="31"/>
  <c r="Z128" i="31"/>
  <c r="Y128" i="31"/>
  <c r="X128" i="31"/>
  <c r="W128" i="31"/>
  <c r="V128" i="31"/>
  <c r="Z127" i="31"/>
  <c r="Y127" i="31"/>
  <c r="X127" i="31"/>
  <c r="W127" i="31"/>
  <c r="V127" i="31"/>
  <c r="Z126" i="31"/>
  <c r="Y126" i="31"/>
  <c r="X126" i="31"/>
  <c r="W126" i="31"/>
  <c r="V126" i="31"/>
  <c r="Z125" i="31"/>
  <c r="Y125" i="31"/>
  <c r="X125" i="31"/>
  <c r="W125" i="31"/>
  <c r="V125" i="31"/>
  <c r="Z124" i="31"/>
  <c r="Y124" i="31"/>
  <c r="X124" i="31"/>
  <c r="W124" i="31"/>
  <c r="V124" i="31"/>
  <c r="Z123" i="31"/>
  <c r="Y123" i="31"/>
  <c r="X123" i="31"/>
  <c r="W123" i="31"/>
  <c r="V123" i="31"/>
  <c r="Z122" i="31"/>
  <c r="Y122" i="31"/>
  <c r="X122" i="31"/>
  <c r="W122" i="31"/>
  <c r="V122" i="31"/>
  <c r="Z121" i="31"/>
  <c r="Y121" i="31"/>
  <c r="X121" i="31"/>
  <c r="W121" i="31"/>
  <c r="V121" i="31"/>
  <c r="Z120" i="31"/>
  <c r="Y120" i="31"/>
  <c r="X120" i="31"/>
  <c r="W120" i="31"/>
  <c r="V120" i="31"/>
  <c r="Z119" i="31"/>
  <c r="Y119" i="31"/>
  <c r="X119" i="31"/>
  <c r="W119" i="31"/>
  <c r="V119" i="31"/>
  <c r="Z118" i="31"/>
  <c r="Y118" i="31"/>
  <c r="X118" i="31"/>
  <c r="W118" i="31"/>
  <c r="V118" i="31"/>
  <c r="Z117" i="31"/>
  <c r="Y117" i="31"/>
  <c r="X117" i="31"/>
  <c r="W117" i="31"/>
  <c r="V117" i="31"/>
  <c r="Z116" i="31"/>
  <c r="Y116" i="31"/>
  <c r="X116" i="31"/>
  <c r="W116" i="31"/>
  <c r="V116" i="31"/>
  <c r="Z115" i="31"/>
  <c r="Y115" i="31"/>
  <c r="X115" i="31"/>
  <c r="W115" i="31"/>
  <c r="V115" i="31"/>
  <c r="Z114" i="31"/>
  <c r="Y114" i="31"/>
  <c r="X114" i="31"/>
  <c r="W114" i="31"/>
  <c r="V114" i="31"/>
  <c r="Z113" i="31"/>
  <c r="Y113" i="31"/>
  <c r="X113" i="31"/>
  <c r="W113" i="31"/>
  <c r="V113" i="31"/>
  <c r="Z112" i="31"/>
  <c r="Y112" i="31"/>
  <c r="X112" i="31"/>
  <c r="W112" i="31"/>
  <c r="V112" i="31"/>
  <c r="Z111" i="31"/>
  <c r="Y111" i="31"/>
  <c r="X111" i="31"/>
  <c r="W111" i="31"/>
  <c r="V111" i="31"/>
  <c r="Z110" i="31"/>
  <c r="Y110" i="31"/>
  <c r="X110" i="31"/>
  <c r="W110" i="31"/>
  <c r="V110" i="31"/>
  <c r="Z109" i="31"/>
  <c r="Y109" i="31"/>
  <c r="X109" i="31"/>
  <c r="W109" i="31"/>
  <c r="V109" i="31"/>
  <c r="Z108" i="31"/>
  <c r="Y108" i="31"/>
  <c r="X108" i="31"/>
  <c r="W108" i="31"/>
  <c r="V108" i="31"/>
  <c r="Z107" i="31"/>
  <c r="Y107" i="31"/>
  <c r="X107" i="31"/>
  <c r="W107" i="31"/>
  <c r="V107" i="31"/>
  <c r="Z106" i="31"/>
  <c r="Y106" i="31"/>
  <c r="X106" i="31"/>
  <c r="W106" i="31"/>
  <c r="V106" i="31"/>
  <c r="Z105" i="31"/>
  <c r="Y105" i="31"/>
  <c r="X105" i="31"/>
  <c r="W105" i="31"/>
  <c r="V105" i="31"/>
  <c r="Z104" i="31"/>
  <c r="Y104" i="31"/>
  <c r="X104" i="31"/>
  <c r="W104" i="31"/>
  <c r="V104" i="31"/>
  <c r="Z103" i="31"/>
  <c r="Y103" i="31"/>
  <c r="X103" i="31"/>
  <c r="W103" i="31"/>
  <c r="V103" i="31"/>
  <c r="Z102" i="31"/>
  <c r="Y102" i="31"/>
  <c r="X102" i="31"/>
  <c r="W102" i="31"/>
  <c r="V102" i="31"/>
  <c r="Z101" i="31"/>
  <c r="Y101" i="31"/>
  <c r="X101" i="31"/>
  <c r="W101" i="31"/>
  <c r="V101" i="31"/>
  <c r="Z100" i="31"/>
  <c r="Y100" i="31"/>
  <c r="X100" i="31"/>
  <c r="W100" i="31"/>
  <c r="V100" i="31"/>
  <c r="Z99" i="31"/>
  <c r="Y99" i="31"/>
  <c r="X99" i="31"/>
  <c r="W99" i="31"/>
  <c r="V99" i="31"/>
  <c r="Z98" i="31"/>
  <c r="Y98" i="31"/>
  <c r="X98" i="31"/>
  <c r="W98" i="31"/>
  <c r="V98" i="31"/>
  <c r="Z97" i="31"/>
  <c r="Y97" i="31"/>
  <c r="X97" i="31"/>
  <c r="W97" i="31"/>
  <c r="V97" i="31"/>
  <c r="Z96" i="31"/>
  <c r="Y96" i="31"/>
  <c r="X96" i="31"/>
  <c r="W96" i="31"/>
  <c r="V96" i="31"/>
  <c r="Z95" i="31"/>
  <c r="Y95" i="31"/>
  <c r="X95" i="31"/>
  <c r="W95" i="31"/>
  <c r="V95" i="31"/>
  <c r="Z94" i="31"/>
  <c r="Y94" i="31"/>
  <c r="X94" i="31"/>
  <c r="W94" i="31"/>
  <c r="V94" i="31"/>
  <c r="Z93" i="31"/>
  <c r="Y93" i="31"/>
  <c r="X93" i="31"/>
  <c r="W93" i="31"/>
  <c r="V93" i="31"/>
  <c r="Z92" i="31"/>
  <c r="Y92" i="31"/>
  <c r="X92" i="31"/>
  <c r="W92" i="31"/>
  <c r="V92" i="31"/>
  <c r="Z91" i="31"/>
  <c r="Y91" i="31"/>
  <c r="X91" i="31"/>
  <c r="W91" i="31"/>
  <c r="V91" i="31"/>
  <c r="Z90" i="31"/>
  <c r="Y90" i="31"/>
  <c r="X90" i="31"/>
  <c r="W90" i="31"/>
  <c r="V90" i="31"/>
  <c r="Z89" i="31"/>
  <c r="Y89" i="31"/>
  <c r="X89" i="31"/>
  <c r="W89" i="31"/>
  <c r="V89" i="31"/>
  <c r="Z88" i="31"/>
  <c r="Y88" i="31"/>
  <c r="X88" i="31"/>
  <c r="W88" i="31"/>
  <c r="V88" i="31"/>
  <c r="Z87" i="31"/>
  <c r="Y87" i="31"/>
  <c r="X87" i="31"/>
  <c r="W87" i="31"/>
  <c r="V87" i="31"/>
  <c r="Z86" i="31"/>
  <c r="Y86" i="31"/>
  <c r="X86" i="31"/>
  <c r="W86" i="31"/>
  <c r="V86" i="31"/>
  <c r="Z85" i="31"/>
  <c r="Y85" i="31"/>
  <c r="X85" i="31"/>
  <c r="W85" i="31"/>
  <c r="V85" i="31"/>
  <c r="Z84" i="31"/>
  <c r="Y84" i="31"/>
  <c r="X84" i="31"/>
  <c r="W84" i="31"/>
  <c r="V84" i="31"/>
  <c r="Z83" i="31"/>
  <c r="Y83" i="31"/>
  <c r="X83" i="31"/>
  <c r="W83" i="31"/>
  <c r="V83" i="31"/>
  <c r="Z82" i="31"/>
  <c r="Y82" i="31"/>
  <c r="X82" i="31"/>
  <c r="W82" i="31"/>
  <c r="V82" i="31"/>
  <c r="AB207" i="30"/>
  <c r="Z207" i="30"/>
  <c r="AB206" i="30"/>
  <c r="Z206" i="30"/>
  <c r="AB205" i="30"/>
  <c r="Z205" i="30"/>
  <c r="AB204" i="30"/>
  <c r="Z204" i="30"/>
  <c r="AB203" i="30"/>
  <c r="Z203" i="30"/>
  <c r="AB202" i="30"/>
  <c r="Z202" i="30"/>
  <c r="AB201" i="30"/>
  <c r="Z201" i="30"/>
  <c r="AB200" i="30"/>
  <c r="Z200" i="30"/>
  <c r="AB199" i="30"/>
  <c r="Z199" i="30"/>
  <c r="AB198" i="30"/>
  <c r="Z198" i="30"/>
  <c r="AB197" i="30"/>
  <c r="Z197" i="30"/>
  <c r="AB196" i="30"/>
  <c r="Z196" i="30"/>
  <c r="AB195" i="30"/>
  <c r="Z195" i="30"/>
  <c r="AB194" i="30"/>
  <c r="Z194" i="30"/>
  <c r="AB193" i="30"/>
  <c r="Z193" i="30"/>
  <c r="AB192" i="30"/>
  <c r="Z192" i="30"/>
  <c r="AB191" i="30"/>
  <c r="Z191" i="30"/>
  <c r="AB190" i="30"/>
  <c r="Z190" i="30"/>
  <c r="AB189" i="30"/>
  <c r="Z189" i="30"/>
  <c r="AB188" i="30"/>
  <c r="Z188" i="30"/>
  <c r="AB187" i="30"/>
  <c r="Z187" i="30"/>
  <c r="AB186" i="30"/>
  <c r="Z186" i="30"/>
  <c r="AB185" i="30"/>
  <c r="Z185" i="30"/>
  <c r="AB184" i="30"/>
  <c r="Z184" i="30"/>
  <c r="AB183" i="30"/>
  <c r="Z183" i="30"/>
  <c r="AB182" i="30"/>
  <c r="Z182" i="30"/>
  <c r="AB181" i="30"/>
  <c r="Z181" i="30"/>
  <c r="AB180" i="30"/>
  <c r="Z180" i="30"/>
  <c r="AB179" i="30"/>
  <c r="Z179" i="30"/>
  <c r="AB178" i="30"/>
  <c r="Z178" i="30"/>
  <c r="AB177" i="30"/>
  <c r="Z177" i="30"/>
  <c r="AB176" i="30"/>
  <c r="Z176" i="30"/>
  <c r="AB175" i="30"/>
  <c r="Z175" i="30"/>
  <c r="AB174" i="30"/>
  <c r="Z174" i="30"/>
  <c r="AB173" i="30"/>
  <c r="Z173" i="30"/>
  <c r="AB172" i="30"/>
  <c r="Z172" i="30"/>
  <c r="AB171" i="30"/>
  <c r="Z171" i="30"/>
  <c r="AB170" i="30"/>
  <c r="Z170" i="30"/>
  <c r="AB169" i="30"/>
  <c r="Z169" i="30"/>
  <c r="AB168" i="30"/>
  <c r="Z168" i="30"/>
  <c r="AB167" i="30"/>
  <c r="Z167" i="30"/>
  <c r="AB166" i="30"/>
  <c r="Z166" i="30"/>
  <c r="AB165" i="30"/>
  <c r="Z165" i="30"/>
  <c r="AB164" i="30"/>
  <c r="Z164" i="30"/>
  <c r="AB163" i="30"/>
  <c r="Z163" i="30"/>
  <c r="AB162" i="30"/>
  <c r="Z162" i="30"/>
  <c r="AB161" i="30"/>
  <c r="Z161" i="30"/>
  <c r="AB160" i="30"/>
  <c r="Z160" i="30"/>
  <c r="AB159" i="30"/>
  <c r="Z159" i="30"/>
  <c r="AB158" i="30"/>
  <c r="Z158" i="30"/>
  <c r="AB157" i="30"/>
  <c r="Z157" i="30"/>
  <c r="AB156" i="30"/>
  <c r="Z156" i="30"/>
  <c r="AB155" i="30"/>
  <c r="Z155" i="30"/>
  <c r="AB154" i="30"/>
  <c r="Z154" i="30"/>
  <c r="Z135" i="30"/>
  <c r="Y135" i="30"/>
  <c r="X135" i="30"/>
  <c r="W135" i="30"/>
  <c r="V135" i="30"/>
  <c r="Z134" i="30"/>
  <c r="Y134" i="30"/>
  <c r="X134" i="30"/>
  <c r="W134" i="30"/>
  <c r="V134" i="30"/>
  <c r="Z133" i="30"/>
  <c r="Y133" i="30"/>
  <c r="X133" i="30"/>
  <c r="W133" i="30"/>
  <c r="V133" i="30"/>
  <c r="Z132" i="30"/>
  <c r="Y132" i="30"/>
  <c r="X132" i="30"/>
  <c r="W132" i="30"/>
  <c r="V132" i="30"/>
  <c r="Z131" i="30"/>
  <c r="Y131" i="30"/>
  <c r="X131" i="30"/>
  <c r="W131" i="30"/>
  <c r="V131" i="30"/>
  <c r="Z130" i="30"/>
  <c r="Y130" i="30"/>
  <c r="X130" i="30"/>
  <c r="W130" i="30"/>
  <c r="V130" i="30"/>
  <c r="Z129" i="30"/>
  <c r="Y129" i="30"/>
  <c r="X129" i="30"/>
  <c r="W129" i="30"/>
  <c r="V129" i="30"/>
  <c r="Z128" i="30"/>
  <c r="Y128" i="30"/>
  <c r="X128" i="30"/>
  <c r="W128" i="30"/>
  <c r="V128" i="30"/>
  <c r="Z127" i="30"/>
  <c r="Y127" i="30"/>
  <c r="X127" i="30"/>
  <c r="W127" i="30"/>
  <c r="V127" i="30"/>
  <c r="Z126" i="30"/>
  <c r="Y126" i="30"/>
  <c r="X126" i="30"/>
  <c r="W126" i="30"/>
  <c r="V126" i="30"/>
  <c r="Z125" i="30"/>
  <c r="Y125" i="30"/>
  <c r="X125" i="30"/>
  <c r="W125" i="30"/>
  <c r="V125" i="30"/>
  <c r="Z124" i="30"/>
  <c r="Y124" i="30"/>
  <c r="X124" i="30"/>
  <c r="W124" i="30"/>
  <c r="V124" i="30"/>
  <c r="Z123" i="30"/>
  <c r="Y123" i="30"/>
  <c r="X123" i="30"/>
  <c r="W123" i="30"/>
  <c r="V123" i="30"/>
  <c r="Z122" i="30"/>
  <c r="Y122" i="30"/>
  <c r="X122" i="30"/>
  <c r="W122" i="30"/>
  <c r="V122" i="30"/>
  <c r="Z121" i="30"/>
  <c r="Y121" i="30"/>
  <c r="X121" i="30"/>
  <c r="W121" i="30"/>
  <c r="V121" i="30"/>
  <c r="Z120" i="30"/>
  <c r="Y120" i="30"/>
  <c r="X120" i="30"/>
  <c r="W120" i="30"/>
  <c r="V120" i="30"/>
  <c r="Z119" i="30"/>
  <c r="Y119" i="30"/>
  <c r="X119" i="30"/>
  <c r="W119" i="30"/>
  <c r="V119" i="30"/>
  <c r="Z118" i="30"/>
  <c r="Y118" i="30"/>
  <c r="X118" i="30"/>
  <c r="W118" i="30"/>
  <c r="V118" i="30"/>
  <c r="Z117" i="30"/>
  <c r="Y117" i="30"/>
  <c r="X117" i="30"/>
  <c r="W117" i="30"/>
  <c r="V117" i="30"/>
  <c r="Z116" i="30"/>
  <c r="Y116" i="30"/>
  <c r="X116" i="30"/>
  <c r="W116" i="30"/>
  <c r="V116" i="30"/>
  <c r="Z115" i="30"/>
  <c r="Y115" i="30"/>
  <c r="X115" i="30"/>
  <c r="W115" i="30"/>
  <c r="V115" i="30"/>
  <c r="Z114" i="30"/>
  <c r="Y114" i="30"/>
  <c r="X114" i="30"/>
  <c r="W114" i="30"/>
  <c r="V114" i="30"/>
  <c r="Z113" i="30"/>
  <c r="Y113" i="30"/>
  <c r="X113" i="30"/>
  <c r="W113" i="30"/>
  <c r="V113" i="30"/>
  <c r="Z112" i="30"/>
  <c r="Y112" i="30"/>
  <c r="X112" i="30"/>
  <c r="W112" i="30"/>
  <c r="V112" i="30"/>
  <c r="Z111" i="30"/>
  <c r="Y111" i="30"/>
  <c r="X111" i="30"/>
  <c r="W111" i="30"/>
  <c r="V111" i="30"/>
  <c r="Z110" i="30"/>
  <c r="Y110" i="30"/>
  <c r="X110" i="30"/>
  <c r="W110" i="30"/>
  <c r="V110" i="30"/>
  <c r="Z109" i="30"/>
  <c r="Y109" i="30"/>
  <c r="X109" i="30"/>
  <c r="W109" i="30"/>
  <c r="V109" i="30"/>
  <c r="Z108" i="30"/>
  <c r="Y108" i="30"/>
  <c r="X108" i="30"/>
  <c r="W108" i="30"/>
  <c r="V108" i="30"/>
  <c r="Z107" i="30"/>
  <c r="Y107" i="30"/>
  <c r="X107" i="30"/>
  <c r="W107" i="30"/>
  <c r="V107" i="30"/>
  <c r="Z106" i="30"/>
  <c r="Y106" i="30"/>
  <c r="X106" i="30"/>
  <c r="W106" i="30"/>
  <c r="V106" i="30"/>
  <c r="Z105" i="30"/>
  <c r="Y105" i="30"/>
  <c r="X105" i="30"/>
  <c r="W105" i="30"/>
  <c r="V105" i="30"/>
  <c r="Z104" i="30"/>
  <c r="Y104" i="30"/>
  <c r="X104" i="30"/>
  <c r="W104" i="30"/>
  <c r="V104" i="30"/>
  <c r="Z103" i="30"/>
  <c r="Y103" i="30"/>
  <c r="X103" i="30"/>
  <c r="W103" i="30"/>
  <c r="V103" i="30"/>
  <c r="Z102" i="30"/>
  <c r="Y102" i="30"/>
  <c r="X102" i="30"/>
  <c r="W102" i="30"/>
  <c r="V102" i="30"/>
  <c r="Z101" i="30"/>
  <c r="Y101" i="30"/>
  <c r="X101" i="30"/>
  <c r="W101" i="30"/>
  <c r="V101" i="30"/>
  <c r="Z100" i="30"/>
  <c r="Y100" i="30"/>
  <c r="X100" i="30"/>
  <c r="W100" i="30"/>
  <c r="V100" i="30"/>
  <c r="Z99" i="30"/>
  <c r="Y99" i="30"/>
  <c r="X99" i="30"/>
  <c r="W99" i="30"/>
  <c r="V99" i="30"/>
  <c r="Z98" i="30"/>
  <c r="Y98" i="30"/>
  <c r="X98" i="30"/>
  <c r="W98" i="30"/>
  <c r="V98" i="30"/>
  <c r="Z97" i="30"/>
  <c r="Y97" i="30"/>
  <c r="X97" i="30"/>
  <c r="W97" i="30"/>
  <c r="V97" i="30"/>
  <c r="Z96" i="30"/>
  <c r="Y96" i="30"/>
  <c r="X96" i="30"/>
  <c r="W96" i="30"/>
  <c r="V96" i="30"/>
  <c r="Z95" i="30"/>
  <c r="Y95" i="30"/>
  <c r="X95" i="30"/>
  <c r="W95" i="30"/>
  <c r="V95" i="30"/>
  <c r="Z94" i="30"/>
  <c r="Y94" i="30"/>
  <c r="X94" i="30"/>
  <c r="W94" i="30"/>
  <c r="V94" i="30"/>
  <c r="Z93" i="30"/>
  <c r="Y93" i="30"/>
  <c r="X93" i="30"/>
  <c r="W93" i="30"/>
  <c r="V93" i="30"/>
  <c r="Z92" i="30"/>
  <c r="Y92" i="30"/>
  <c r="X92" i="30"/>
  <c r="W92" i="30"/>
  <c r="V92" i="30"/>
  <c r="Z91" i="30"/>
  <c r="Y91" i="30"/>
  <c r="X91" i="30"/>
  <c r="W91" i="30"/>
  <c r="V91" i="30"/>
  <c r="Z90" i="30"/>
  <c r="Y90" i="30"/>
  <c r="X90" i="30"/>
  <c r="W90" i="30"/>
  <c r="V90" i="30"/>
  <c r="Z89" i="30"/>
  <c r="Y89" i="30"/>
  <c r="X89" i="30"/>
  <c r="W89" i="30"/>
  <c r="V89" i="30"/>
  <c r="Z88" i="30"/>
  <c r="Y88" i="30"/>
  <c r="X88" i="30"/>
  <c r="W88" i="30"/>
  <c r="V88" i="30"/>
  <c r="Z87" i="30"/>
  <c r="Y87" i="30"/>
  <c r="X87" i="30"/>
  <c r="W87" i="30"/>
  <c r="V87" i="30"/>
  <c r="Z86" i="30"/>
  <c r="Y86" i="30"/>
  <c r="X86" i="30"/>
  <c r="W86" i="30"/>
  <c r="V86" i="30"/>
  <c r="Z85" i="30"/>
  <c r="Y85" i="30"/>
  <c r="X85" i="30"/>
  <c r="W85" i="30"/>
  <c r="V85" i="30"/>
  <c r="Z84" i="30"/>
  <c r="Y84" i="30"/>
  <c r="X84" i="30"/>
  <c r="W84" i="30"/>
  <c r="V84" i="30"/>
  <c r="Z83" i="30"/>
  <c r="Y83" i="30"/>
  <c r="X83" i="30"/>
  <c r="W83" i="30"/>
  <c r="V83" i="30"/>
  <c r="Z82" i="30"/>
  <c r="Y82" i="30"/>
  <c r="X82" i="30"/>
  <c r="W82" i="30"/>
  <c r="V82" i="30"/>
  <c r="AB207" i="29"/>
  <c r="Z207" i="29"/>
  <c r="AB206" i="29"/>
  <c r="Z206" i="29"/>
  <c r="AB205" i="29"/>
  <c r="Z205" i="29"/>
  <c r="AB204" i="29"/>
  <c r="Z204" i="29"/>
  <c r="AB203" i="29"/>
  <c r="Z203" i="29"/>
  <c r="AB202" i="29"/>
  <c r="Z202" i="29"/>
  <c r="AB201" i="29"/>
  <c r="Z201" i="29"/>
  <c r="AB200" i="29"/>
  <c r="Z200" i="29"/>
  <c r="AB199" i="29"/>
  <c r="Z199" i="29"/>
  <c r="AB198" i="29"/>
  <c r="Z198" i="29"/>
  <c r="AB197" i="29"/>
  <c r="Z197" i="29"/>
  <c r="AB196" i="29"/>
  <c r="Z196" i="29"/>
  <c r="AB195" i="29"/>
  <c r="Z195" i="29"/>
  <c r="AB194" i="29"/>
  <c r="Z194" i="29"/>
  <c r="AB193" i="29"/>
  <c r="Z193" i="29"/>
  <c r="AB192" i="29"/>
  <c r="Z192" i="29"/>
  <c r="AB191" i="29"/>
  <c r="Z191" i="29"/>
  <c r="AB190" i="29"/>
  <c r="Z190" i="29"/>
  <c r="AB189" i="29"/>
  <c r="Z189" i="29"/>
  <c r="AB188" i="29"/>
  <c r="Z188" i="29"/>
  <c r="AB187" i="29"/>
  <c r="Z187" i="29"/>
  <c r="AB186" i="29"/>
  <c r="Z186" i="29"/>
  <c r="AB185" i="29"/>
  <c r="Z185" i="29"/>
  <c r="AB184" i="29"/>
  <c r="Z184" i="29"/>
  <c r="AB183" i="29"/>
  <c r="Z183" i="29"/>
  <c r="AB182" i="29"/>
  <c r="Z182" i="29"/>
  <c r="AB181" i="29"/>
  <c r="Z181" i="29"/>
  <c r="AB180" i="29"/>
  <c r="Z180" i="29"/>
  <c r="AB179" i="29"/>
  <c r="Z179" i="29"/>
  <c r="AB178" i="29"/>
  <c r="Z178" i="29"/>
  <c r="AB177" i="29"/>
  <c r="Z177" i="29"/>
  <c r="AB176" i="29"/>
  <c r="Z176" i="29"/>
  <c r="AB175" i="29"/>
  <c r="Z175" i="29"/>
  <c r="AB174" i="29"/>
  <c r="Z174" i="29"/>
  <c r="AB173" i="29"/>
  <c r="Z173" i="29"/>
  <c r="AB172" i="29"/>
  <c r="Z172" i="29"/>
  <c r="AB171" i="29"/>
  <c r="Z171" i="29"/>
  <c r="AB170" i="29"/>
  <c r="Z170" i="29"/>
  <c r="AB169" i="29"/>
  <c r="Z169" i="29"/>
  <c r="AB168" i="29"/>
  <c r="Z168" i="29"/>
  <c r="AB167" i="29"/>
  <c r="Z167" i="29"/>
  <c r="AB166" i="29"/>
  <c r="Z166" i="29"/>
  <c r="AB165" i="29"/>
  <c r="Z165" i="29"/>
  <c r="AB164" i="29"/>
  <c r="Z164" i="29"/>
  <c r="AB163" i="29"/>
  <c r="Z163" i="29"/>
  <c r="AB162" i="29"/>
  <c r="Z162" i="29"/>
  <c r="AB161" i="29"/>
  <c r="Z161" i="29"/>
  <c r="AB160" i="29"/>
  <c r="Z160" i="29"/>
  <c r="AB159" i="29"/>
  <c r="Z159" i="29"/>
  <c r="AB158" i="29"/>
  <c r="Z158" i="29"/>
  <c r="AB157" i="29"/>
  <c r="Z157" i="29"/>
  <c r="AB156" i="29"/>
  <c r="Z156" i="29"/>
  <c r="AB155" i="29"/>
  <c r="Z155" i="29"/>
  <c r="AB154" i="29"/>
  <c r="Z154" i="29"/>
  <c r="Z135" i="29"/>
  <c r="Y135" i="29"/>
  <c r="X135" i="29"/>
  <c r="W135" i="29"/>
  <c r="V135" i="29"/>
  <c r="Z134" i="29"/>
  <c r="Y134" i="29"/>
  <c r="X134" i="29"/>
  <c r="W134" i="29"/>
  <c r="V134" i="29"/>
  <c r="Z133" i="29"/>
  <c r="Y133" i="29"/>
  <c r="X133" i="29"/>
  <c r="W133" i="29"/>
  <c r="V133" i="29"/>
  <c r="Z132" i="29"/>
  <c r="Y132" i="29"/>
  <c r="X132" i="29"/>
  <c r="W132" i="29"/>
  <c r="V132" i="29"/>
  <c r="Z131" i="29"/>
  <c r="Y131" i="29"/>
  <c r="X131" i="29"/>
  <c r="W131" i="29"/>
  <c r="V131" i="29"/>
  <c r="Z130" i="29"/>
  <c r="Y130" i="29"/>
  <c r="X130" i="29"/>
  <c r="W130" i="29"/>
  <c r="V130" i="29"/>
  <c r="Z129" i="29"/>
  <c r="Y129" i="29"/>
  <c r="X129" i="29"/>
  <c r="W129" i="29"/>
  <c r="V129" i="29"/>
  <c r="Z128" i="29"/>
  <c r="Y128" i="29"/>
  <c r="X128" i="29"/>
  <c r="W128" i="29"/>
  <c r="V128" i="29"/>
  <c r="Z127" i="29"/>
  <c r="Y127" i="29"/>
  <c r="X127" i="29"/>
  <c r="W127" i="29"/>
  <c r="V127" i="29"/>
  <c r="Z126" i="29"/>
  <c r="Y126" i="29"/>
  <c r="X126" i="29"/>
  <c r="W126" i="29"/>
  <c r="V126" i="29"/>
  <c r="Z125" i="29"/>
  <c r="Y125" i="29"/>
  <c r="X125" i="29"/>
  <c r="W125" i="29"/>
  <c r="V125" i="29"/>
  <c r="Z124" i="29"/>
  <c r="Y124" i="29"/>
  <c r="X124" i="29"/>
  <c r="W124" i="29"/>
  <c r="V124" i="29"/>
  <c r="Z123" i="29"/>
  <c r="Y123" i="29"/>
  <c r="X123" i="29"/>
  <c r="W123" i="29"/>
  <c r="V123" i="29"/>
  <c r="Z122" i="29"/>
  <c r="Y122" i="29"/>
  <c r="X122" i="29"/>
  <c r="W122" i="29"/>
  <c r="V122" i="29"/>
  <c r="Z121" i="29"/>
  <c r="Y121" i="29"/>
  <c r="X121" i="29"/>
  <c r="W121" i="29"/>
  <c r="V121" i="29"/>
  <c r="Z120" i="29"/>
  <c r="Y120" i="29"/>
  <c r="X120" i="29"/>
  <c r="W120" i="29"/>
  <c r="V120" i="29"/>
  <c r="Z119" i="29"/>
  <c r="Y119" i="29"/>
  <c r="X119" i="29"/>
  <c r="W119" i="29"/>
  <c r="V119" i="29"/>
  <c r="Z118" i="29"/>
  <c r="Y118" i="29"/>
  <c r="X118" i="29"/>
  <c r="W118" i="29"/>
  <c r="V118" i="29"/>
  <c r="Z117" i="29"/>
  <c r="Y117" i="29"/>
  <c r="X117" i="29"/>
  <c r="W117" i="29"/>
  <c r="V117" i="29"/>
  <c r="Z116" i="29"/>
  <c r="Y116" i="29"/>
  <c r="X116" i="29"/>
  <c r="W116" i="29"/>
  <c r="V116" i="29"/>
  <c r="Z115" i="29"/>
  <c r="Y115" i="29"/>
  <c r="X115" i="29"/>
  <c r="W115" i="29"/>
  <c r="V115" i="29"/>
  <c r="Z114" i="29"/>
  <c r="Y114" i="29"/>
  <c r="X114" i="29"/>
  <c r="W114" i="29"/>
  <c r="V114" i="29"/>
  <c r="Z113" i="29"/>
  <c r="Y113" i="29"/>
  <c r="X113" i="29"/>
  <c r="W113" i="29"/>
  <c r="V113" i="29"/>
  <c r="Z112" i="29"/>
  <c r="Y112" i="29"/>
  <c r="X112" i="29"/>
  <c r="W112" i="29"/>
  <c r="V112" i="29"/>
  <c r="Z111" i="29"/>
  <c r="Y111" i="29"/>
  <c r="X111" i="29"/>
  <c r="W111" i="29"/>
  <c r="V111" i="29"/>
  <c r="Z110" i="29"/>
  <c r="Y110" i="29"/>
  <c r="X110" i="29"/>
  <c r="W110" i="29"/>
  <c r="V110" i="29"/>
  <c r="Z109" i="29"/>
  <c r="Y109" i="29"/>
  <c r="X109" i="29"/>
  <c r="W109" i="29"/>
  <c r="V109" i="29"/>
  <c r="Z108" i="29"/>
  <c r="Y108" i="29"/>
  <c r="X108" i="29"/>
  <c r="W108" i="29"/>
  <c r="V108" i="29"/>
  <c r="Z107" i="29"/>
  <c r="Y107" i="29"/>
  <c r="X107" i="29"/>
  <c r="W107" i="29"/>
  <c r="V107" i="29"/>
  <c r="Z106" i="29"/>
  <c r="Y106" i="29"/>
  <c r="X106" i="29"/>
  <c r="W106" i="29"/>
  <c r="V106" i="29"/>
  <c r="Z105" i="29"/>
  <c r="Y105" i="29"/>
  <c r="X105" i="29"/>
  <c r="W105" i="29"/>
  <c r="V105" i="29"/>
  <c r="Z104" i="29"/>
  <c r="Y104" i="29"/>
  <c r="X104" i="29"/>
  <c r="W104" i="29"/>
  <c r="V104" i="29"/>
  <c r="Z103" i="29"/>
  <c r="Y103" i="29"/>
  <c r="X103" i="29"/>
  <c r="W103" i="29"/>
  <c r="V103" i="29"/>
  <c r="Z102" i="29"/>
  <c r="Y102" i="29"/>
  <c r="X102" i="29"/>
  <c r="W102" i="29"/>
  <c r="V102" i="29"/>
  <c r="Z101" i="29"/>
  <c r="Y101" i="29"/>
  <c r="X101" i="29"/>
  <c r="W101" i="29"/>
  <c r="V101" i="29"/>
  <c r="Z100" i="29"/>
  <c r="Y100" i="29"/>
  <c r="X100" i="29"/>
  <c r="W100" i="29"/>
  <c r="V100" i="29"/>
  <c r="Z99" i="29"/>
  <c r="Y99" i="29"/>
  <c r="X99" i="29"/>
  <c r="W99" i="29"/>
  <c r="V99" i="29"/>
  <c r="Z98" i="29"/>
  <c r="Y98" i="29"/>
  <c r="X98" i="29"/>
  <c r="W98" i="29"/>
  <c r="V98" i="29"/>
  <c r="Z97" i="29"/>
  <c r="Y97" i="29"/>
  <c r="X97" i="29"/>
  <c r="W97" i="29"/>
  <c r="V97" i="29"/>
  <c r="Z96" i="29"/>
  <c r="Y96" i="29"/>
  <c r="X96" i="29"/>
  <c r="W96" i="29"/>
  <c r="V96" i="29"/>
  <c r="Z95" i="29"/>
  <c r="Y95" i="29"/>
  <c r="X95" i="29"/>
  <c r="W95" i="29"/>
  <c r="V95" i="29"/>
  <c r="Z94" i="29"/>
  <c r="Y94" i="29"/>
  <c r="X94" i="29"/>
  <c r="W94" i="29"/>
  <c r="V94" i="29"/>
  <c r="Z93" i="29"/>
  <c r="Y93" i="29"/>
  <c r="X93" i="29"/>
  <c r="W93" i="29"/>
  <c r="V93" i="29"/>
  <c r="Z92" i="29"/>
  <c r="Y92" i="29"/>
  <c r="X92" i="29"/>
  <c r="W92" i="29"/>
  <c r="V92" i="29"/>
  <c r="Z91" i="29"/>
  <c r="Y91" i="29"/>
  <c r="X91" i="29"/>
  <c r="W91" i="29"/>
  <c r="V91" i="29"/>
  <c r="Z90" i="29"/>
  <c r="Y90" i="29"/>
  <c r="X90" i="29"/>
  <c r="W90" i="29"/>
  <c r="V90" i="29"/>
  <c r="Z89" i="29"/>
  <c r="Y89" i="29"/>
  <c r="X89" i="29"/>
  <c r="W89" i="29"/>
  <c r="V89" i="29"/>
  <c r="Z88" i="29"/>
  <c r="Y88" i="29"/>
  <c r="X88" i="29"/>
  <c r="W88" i="29"/>
  <c r="V88" i="29"/>
  <c r="Z87" i="29"/>
  <c r="Y87" i="29"/>
  <c r="X87" i="29"/>
  <c r="W87" i="29"/>
  <c r="V87" i="29"/>
  <c r="Z86" i="29"/>
  <c r="Y86" i="29"/>
  <c r="X86" i="29"/>
  <c r="W86" i="29"/>
  <c r="V86" i="29"/>
  <c r="Z85" i="29"/>
  <c r="Y85" i="29"/>
  <c r="X85" i="29"/>
  <c r="W85" i="29"/>
  <c r="V85" i="29"/>
  <c r="Z84" i="29"/>
  <c r="Y84" i="29"/>
  <c r="X84" i="29"/>
  <c r="W84" i="29"/>
  <c r="V84" i="29"/>
  <c r="Z83" i="29"/>
  <c r="Y83" i="29"/>
  <c r="X83" i="29"/>
  <c r="W83" i="29"/>
  <c r="V83" i="29"/>
  <c r="Z82" i="29"/>
  <c r="Y82" i="29"/>
  <c r="X82" i="29"/>
  <c r="W82" i="29"/>
  <c r="V82" i="29"/>
  <c r="AB207" i="28"/>
  <c r="Z207" i="28"/>
  <c r="AB206" i="28"/>
  <c r="Z206" i="28"/>
  <c r="AB205" i="28"/>
  <c r="Z205" i="28"/>
  <c r="AB204" i="28"/>
  <c r="Z204" i="28"/>
  <c r="AB203" i="28"/>
  <c r="Z203" i="28"/>
  <c r="AB202" i="28"/>
  <c r="Z202" i="28"/>
  <c r="AB201" i="28"/>
  <c r="Z201" i="28"/>
  <c r="AB200" i="28"/>
  <c r="Z200" i="28"/>
  <c r="AB199" i="28"/>
  <c r="Z199" i="28"/>
  <c r="AB198" i="28"/>
  <c r="Z198" i="28"/>
  <c r="AB197" i="28"/>
  <c r="Z197" i="28"/>
  <c r="AB196" i="28"/>
  <c r="Z196" i="28"/>
  <c r="AB195" i="28"/>
  <c r="Z195" i="28"/>
  <c r="AB194" i="28"/>
  <c r="Z194" i="28"/>
  <c r="AB193" i="28"/>
  <c r="Z193" i="28"/>
  <c r="AB192" i="28"/>
  <c r="Z192" i="28"/>
  <c r="AB191" i="28"/>
  <c r="Z191" i="28"/>
  <c r="AB190" i="28"/>
  <c r="Z190" i="28"/>
  <c r="AB189" i="28"/>
  <c r="Z189" i="28"/>
  <c r="AB188" i="28"/>
  <c r="Z188" i="28"/>
  <c r="AB187" i="28"/>
  <c r="Z187" i="28"/>
  <c r="AB186" i="28"/>
  <c r="Z186" i="28"/>
  <c r="AB185" i="28"/>
  <c r="Z185" i="28"/>
  <c r="AB184" i="28"/>
  <c r="Z184" i="28"/>
  <c r="AB183" i="28"/>
  <c r="Z183" i="28"/>
  <c r="AB182" i="28"/>
  <c r="Z182" i="28"/>
  <c r="AB181" i="28"/>
  <c r="Z181" i="28"/>
  <c r="AB180" i="28"/>
  <c r="Z180" i="28"/>
  <c r="AB179" i="28"/>
  <c r="Z179" i="28"/>
  <c r="AB178" i="28"/>
  <c r="Z178" i="28"/>
  <c r="AB177" i="28"/>
  <c r="Z177" i="28"/>
  <c r="AB176" i="28"/>
  <c r="Z176" i="28"/>
  <c r="AB175" i="28"/>
  <c r="Z175" i="28"/>
  <c r="AB174" i="28"/>
  <c r="Z174" i="28"/>
  <c r="AB173" i="28"/>
  <c r="Z173" i="28"/>
  <c r="AB172" i="28"/>
  <c r="Z172" i="28"/>
  <c r="AB171" i="28"/>
  <c r="Z171" i="28"/>
  <c r="AB170" i="28"/>
  <c r="Z170" i="28"/>
  <c r="AB169" i="28"/>
  <c r="Z169" i="28"/>
  <c r="AB168" i="28"/>
  <c r="Z168" i="28"/>
  <c r="AB167" i="28"/>
  <c r="Z167" i="28"/>
  <c r="AB166" i="28"/>
  <c r="Z166" i="28"/>
  <c r="AB165" i="28"/>
  <c r="Z165" i="28"/>
  <c r="AB164" i="28"/>
  <c r="Z164" i="28"/>
  <c r="AB163" i="28"/>
  <c r="Z163" i="28"/>
  <c r="AB162" i="28"/>
  <c r="Z162" i="28"/>
  <c r="AB161" i="28"/>
  <c r="Z161" i="28"/>
  <c r="AB160" i="28"/>
  <c r="Z160" i="28"/>
  <c r="AB159" i="28"/>
  <c r="Z159" i="28"/>
  <c r="AB158" i="28"/>
  <c r="Z158" i="28"/>
  <c r="AB157" i="28"/>
  <c r="Z157" i="28"/>
  <c r="AB156" i="28"/>
  <c r="Z156" i="28"/>
  <c r="AB155" i="28"/>
  <c r="Z155" i="28"/>
  <c r="AB154" i="28"/>
  <c r="Z154" i="28"/>
  <c r="Z135" i="28"/>
  <c r="Y135" i="28"/>
  <c r="X135" i="28"/>
  <c r="W135" i="28"/>
  <c r="V135" i="28"/>
  <c r="Z134" i="28"/>
  <c r="Y134" i="28"/>
  <c r="X134" i="28"/>
  <c r="W134" i="28"/>
  <c r="V134" i="28"/>
  <c r="Z133" i="28"/>
  <c r="Y133" i="28"/>
  <c r="X133" i="28"/>
  <c r="W133" i="28"/>
  <c r="V133" i="28"/>
  <c r="Z132" i="28"/>
  <c r="Y132" i="28"/>
  <c r="X132" i="28"/>
  <c r="W132" i="28"/>
  <c r="V132" i="28"/>
  <c r="Z131" i="28"/>
  <c r="Y131" i="28"/>
  <c r="X131" i="28"/>
  <c r="W131" i="28"/>
  <c r="V131" i="28"/>
  <c r="Z130" i="28"/>
  <c r="Y130" i="28"/>
  <c r="X130" i="28"/>
  <c r="W130" i="28"/>
  <c r="V130" i="28"/>
  <c r="Z129" i="28"/>
  <c r="Y129" i="28"/>
  <c r="X129" i="28"/>
  <c r="W129" i="28"/>
  <c r="V129" i="28"/>
  <c r="Z128" i="28"/>
  <c r="Y128" i="28"/>
  <c r="X128" i="28"/>
  <c r="W128" i="28"/>
  <c r="V128" i="28"/>
  <c r="Z127" i="28"/>
  <c r="Y127" i="28"/>
  <c r="X127" i="28"/>
  <c r="W127" i="28"/>
  <c r="V127" i="28"/>
  <c r="Z126" i="28"/>
  <c r="Y126" i="28"/>
  <c r="X126" i="28"/>
  <c r="W126" i="28"/>
  <c r="V126" i="28"/>
  <c r="Z125" i="28"/>
  <c r="Y125" i="28"/>
  <c r="X125" i="28"/>
  <c r="W125" i="28"/>
  <c r="V125" i="28"/>
  <c r="Z124" i="28"/>
  <c r="Y124" i="28"/>
  <c r="X124" i="28"/>
  <c r="W124" i="28"/>
  <c r="V124" i="28"/>
  <c r="Z123" i="28"/>
  <c r="Y123" i="28"/>
  <c r="X123" i="28"/>
  <c r="W123" i="28"/>
  <c r="V123" i="28"/>
  <c r="Z122" i="28"/>
  <c r="Y122" i="28"/>
  <c r="X122" i="28"/>
  <c r="W122" i="28"/>
  <c r="V122" i="28"/>
  <c r="Z121" i="28"/>
  <c r="Y121" i="28"/>
  <c r="X121" i="28"/>
  <c r="W121" i="28"/>
  <c r="V121" i="28"/>
  <c r="Z120" i="28"/>
  <c r="Y120" i="28"/>
  <c r="X120" i="28"/>
  <c r="W120" i="28"/>
  <c r="V120" i="28"/>
  <c r="Z119" i="28"/>
  <c r="Y119" i="28"/>
  <c r="X119" i="28"/>
  <c r="W119" i="28"/>
  <c r="V119" i="28"/>
  <c r="Z118" i="28"/>
  <c r="Y118" i="28"/>
  <c r="X118" i="28"/>
  <c r="W118" i="28"/>
  <c r="V118" i="28"/>
  <c r="Z117" i="28"/>
  <c r="Y117" i="28"/>
  <c r="X117" i="28"/>
  <c r="W117" i="28"/>
  <c r="V117" i="28"/>
  <c r="Z116" i="28"/>
  <c r="Y116" i="28"/>
  <c r="X116" i="28"/>
  <c r="W116" i="28"/>
  <c r="V116" i="28"/>
  <c r="Z115" i="28"/>
  <c r="Y115" i="28"/>
  <c r="X115" i="28"/>
  <c r="W115" i="28"/>
  <c r="V115" i="28"/>
  <c r="Z114" i="28"/>
  <c r="Y114" i="28"/>
  <c r="X114" i="28"/>
  <c r="W114" i="28"/>
  <c r="V114" i="28"/>
  <c r="Z113" i="28"/>
  <c r="Y113" i="28"/>
  <c r="X113" i="28"/>
  <c r="W113" i="28"/>
  <c r="V113" i="28"/>
  <c r="Z112" i="28"/>
  <c r="Y112" i="28"/>
  <c r="X112" i="28"/>
  <c r="W112" i="28"/>
  <c r="V112" i="28"/>
  <c r="Z111" i="28"/>
  <c r="Y111" i="28"/>
  <c r="X111" i="28"/>
  <c r="W111" i="28"/>
  <c r="V111" i="28"/>
  <c r="Z110" i="28"/>
  <c r="Y110" i="28"/>
  <c r="X110" i="28"/>
  <c r="W110" i="28"/>
  <c r="V110" i="28"/>
  <c r="Z109" i="28"/>
  <c r="Y109" i="28"/>
  <c r="X109" i="28"/>
  <c r="W109" i="28"/>
  <c r="V109" i="28"/>
  <c r="Z108" i="28"/>
  <c r="Y108" i="28"/>
  <c r="X108" i="28"/>
  <c r="W108" i="28"/>
  <c r="V108" i="28"/>
  <c r="Z107" i="28"/>
  <c r="Y107" i="28"/>
  <c r="X107" i="28"/>
  <c r="W107" i="28"/>
  <c r="V107" i="28"/>
  <c r="Z106" i="28"/>
  <c r="Y106" i="28"/>
  <c r="X106" i="28"/>
  <c r="W106" i="28"/>
  <c r="V106" i="28"/>
  <c r="Z105" i="28"/>
  <c r="Y105" i="28"/>
  <c r="X105" i="28"/>
  <c r="W105" i="28"/>
  <c r="V105" i="28"/>
  <c r="Z104" i="28"/>
  <c r="Y104" i="28"/>
  <c r="X104" i="28"/>
  <c r="W104" i="28"/>
  <c r="V104" i="28"/>
  <c r="Z103" i="28"/>
  <c r="Y103" i="28"/>
  <c r="X103" i="28"/>
  <c r="W103" i="28"/>
  <c r="V103" i="28"/>
  <c r="Z102" i="28"/>
  <c r="Y102" i="28"/>
  <c r="X102" i="28"/>
  <c r="W102" i="28"/>
  <c r="V102" i="28"/>
  <c r="Z101" i="28"/>
  <c r="Y101" i="28"/>
  <c r="X101" i="28"/>
  <c r="W101" i="28"/>
  <c r="V101" i="28"/>
  <c r="Z100" i="28"/>
  <c r="Y100" i="28"/>
  <c r="X100" i="28"/>
  <c r="W100" i="28"/>
  <c r="V100" i="28"/>
  <c r="Z99" i="28"/>
  <c r="Y99" i="28"/>
  <c r="X99" i="28"/>
  <c r="W99" i="28"/>
  <c r="V99" i="28"/>
  <c r="Z98" i="28"/>
  <c r="Y98" i="28"/>
  <c r="X98" i="28"/>
  <c r="W98" i="28"/>
  <c r="V98" i="28"/>
  <c r="Z97" i="28"/>
  <c r="Y97" i="28"/>
  <c r="X97" i="28"/>
  <c r="W97" i="28"/>
  <c r="V97" i="28"/>
  <c r="Z96" i="28"/>
  <c r="Y96" i="28"/>
  <c r="X96" i="28"/>
  <c r="W96" i="28"/>
  <c r="V96" i="28"/>
  <c r="Z95" i="28"/>
  <c r="Y95" i="28"/>
  <c r="X95" i="28"/>
  <c r="W95" i="28"/>
  <c r="V95" i="28"/>
  <c r="Z94" i="28"/>
  <c r="Y94" i="28"/>
  <c r="X94" i="28"/>
  <c r="W94" i="28"/>
  <c r="V94" i="28"/>
  <c r="Z93" i="28"/>
  <c r="Y93" i="28"/>
  <c r="X93" i="28"/>
  <c r="W93" i="28"/>
  <c r="V93" i="28"/>
  <c r="Z92" i="28"/>
  <c r="Y92" i="28"/>
  <c r="X92" i="28"/>
  <c r="W92" i="28"/>
  <c r="V92" i="28"/>
  <c r="Z91" i="28"/>
  <c r="Y91" i="28"/>
  <c r="X91" i="28"/>
  <c r="W91" i="28"/>
  <c r="V91" i="28"/>
  <c r="Z90" i="28"/>
  <c r="Y90" i="28"/>
  <c r="X90" i="28"/>
  <c r="W90" i="28"/>
  <c r="V90" i="28"/>
  <c r="Z89" i="28"/>
  <c r="Y89" i="28"/>
  <c r="X89" i="28"/>
  <c r="W89" i="28"/>
  <c r="V89" i="28"/>
  <c r="Z88" i="28"/>
  <c r="Y88" i="28"/>
  <c r="X88" i="28"/>
  <c r="W88" i="28"/>
  <c r="V88" i="28"/>
  <c r="Z87" i="28"/>
  <c r="Y87" i="28"/>
  <c r="X87" i="28"/>
  <c r="W87" i="28"/>
  <c r="V87" i="28"/>
  <c r="Z86" i="28"/>
  <c r="Y86" i="28"/>
  <c r="X86" i="28"/>
  <c r="W86" i="28"/>
  <c r="V86" i="28"/>
  <c r="Z85" i="28"/>
  <c r="Y85" i="28"/>
  <c r="X85" i="28"/>
  <c r="W85" i="28"/>
  <c r="V85" i="28"/>
  <c r="Z84" i="28"/>
  <c r="Y84" i="28"/>
  <c r="X84" i="28"/>
  <c r="W84" i="28"/>
  <c r="V84" i="28"/>
  <c r="Z83" i="28"/>
  <c r="Y83" i="28"/>
  <c r="X83" i="28"/>
  <c r="W83" i="28"/>
  <c r="V83" i="28"/>
  <c r="Z82" i="28"/>
  <c r="Y82" i="28"/>
  <c r="X82" i="28"/>
  <c r="W82" i="28"/>
  <c r="V82" i="28"/>
  <c r="AB207" i="27"/>
  <c r="Z207" i="27"/>
  <c r="AB206" i="27"/>
  <c r="Z206" i="27"/>
  <c r="AB205" i="27"/>
  <c r="Z205" i="27"/>
  <c r="AB204" i="27"/>
  <c r="Z204" i="27"/>
  <c r="AB203" i="27"/>
  <c r="Z203" i="27"/>
  <c r="AB202" i="27"/>
  <c r="Z202" i="27"/>
  <c r="AB201" i="27"/>
  <c r="Z201" i="27"/>
  <c r="AB200" i="27"/>
  <c r="Z200" i="27"/>
  <c r="AB199" i="27"/>
  <c r="Z199" i="27"/>
  <c r="AB198" i="27"/>
  <c r="Z198" i="27"/>
  <c r="AB197" i="27"/>
  <c r="Z197" i="27"/>
  <c r="AB196" i="27"/>
  <c r="Z196" i="27"/>
  <c r="AB195" i="27"/>
  <c r="Z195" i="27"/>
  <c r="AB194" i="27"/>
  <c r="Z194" i="27"/>
  <c r="AB193" i="27"/>
  <c r="Z193" i="27"/>
  <c r="AB192" i="27"/>
  <c r="Z192" i="27"/>
  <c r="AB191" i="27"/>
  <c r="Z191" i="27"/>
  <c r="AB190" i="27"/>
  <c r="Z190" i="27"/>
  <c r="AB189" i="27"/>
  <c r="Z189" i="27"/>
  <c r="AB188" i="27"/>
  <c r="Z188" i="27"/>
  <c r="AB187" i="27"/>
  <c r="Z187" i="27"/>
  <c r="AB186" i="27"/>
  <c r="Z186" i="27"/>
  <c r="AB185" i="27"/>
  <c r="Z185" i="27"/>
  <c r="AB184" i="27"/>
  <c r="Z184" i="27"/>
  <c r="AB183" i="27"/>
  <c r="Z183" i="27"/>
  <c r="AB182" i="27"/>
  <c r="Z182" i="27"/>
  <c r="AB181" i="27"/>
  <c r="Z181" i="27"/>
  <c r="AB180" i="27"/>
  <c r="Z180" i="27"/>
  <c r="AB179" i="27"/>
  <c r="Z179" i="27"/>
  <c r="AB178" i="27"/>
  <c r="Z178" i="27"/>
  <c r="AB177" i="27"/>
  <c r="Z177" i="27"/>
  <c r="AB176" i="27"/>
  <c r="Z176" i="27"/>
  <c r="AB175" i="27"/>
  <c r="Z175" i="27"/>
  <c r="AB174" i="27"/>
  <c r="Z174" i="27"/>
  <c r="AB173" i="27"/>
  <c r="Z173" i="27"/>
  <c r="AB172" i="27"/>
  <c r="Z172" i="27"/>
  <c r="AB171" i="27"/>
  <c r="Z171" i="27"/>
  <c r="AB170" i="27"/>
  <c r="Z170" i="27"/>
  <c r="AB169" i="27"/>
  <c r="Z169" i="27"/>
  <c r="AB168" i="27"/>
  <c r="Z168" i="27"/>
  <c r="AB167" i="27"/>
  <c r="Z167" i="27"/>
  <c r="AB166" i="27"/>
  <c r="Z166" i="27"/>
  <c r="AB165" i="27"/>
  <c r="Z165" i="27"/>
  <c r="AB164" i="27"/>
  <c r="Z164" i="27"/>
  <c r="AB163" i="27"/>
  <c r="Z163" i="27"/>
  <c r="AB162" i="27"/>
  <c r="Z162" i="27"/>
  <c r="AB161" i="27"/>
  <c r="Z161" i="27"/>
  <c r="AB160" i="27"/>
  <c r="Z160" i="27"/>
  <c r="AB159" i="27"/>
  <c r="Z159" i="27"/>
  <c r="AB158" i="27"/>
  <c r="Z158" i="27"/>
  <c r="AB157" i="27"/>
  <c r="Z157" i="27"/>
  <c r="AB156" i="27"/>
  <c r="Z156" i="27"/>
  <c r="AB155" i="27"/>
  <c r="Z155" i="27"/>
  <c r="AB154" i="27"/>
  <c r="Z154" i="27"/>
  <c r="Z135" i="27"/>
  <c r="Y135" i="27"/>
  <c r="X135" i="27"/>
  <c r="W135" i="27"/>
  <c r="V135" i="27"/>
  <c r="Z134" i="27"/>
  <c r="Y134" i="27"/>
  <c r="X134" i="27"/>
  <c r="W134" i="27"/>
  <c r="V134" i="27"/>
  <c r="Z133" i="27"/>
  <c r="Y133" i="27"/>
  <c r="X133" i="27"/>
  <c r="W133" i="27"/>
  <c r="V133" i="27"/>
  <c r="Z132" i="27"/>
  <c r="Y132" i="27"/>
  <c r="X132" i="27"/>
  <c r="W132" i="27"/>
  <c r="V132" i="27"/>
  <c r="Z131" i="27"/>
  <c r="Y131" i="27"/>
  <c r="X131" i="27"/>
  <c r="W131" i="27"/>
  <c r="V131" i="27"/>
  <c r="Z130" i="27"/>
  <c r="Y130" i="27"/>
  <c r="X130" i="27"/>
  <c r="W130" i="27"/>
  <c r="V130" i="27"/>
  <c r="Z129" i="27"/>
  <c r="Y129" i="27"/>
  <c r="X129" i="27"/>
  <c r="W129" i="27"/>
  <c r="V129" i="27"/>
  <c r="Z128" i="27"/>
  <c r="Y128" i="27"/>
  <c r="X128" i="27"/>
  <c r="W128" i="27"/>
  <c r="V128" i="27"/>
  <c r="Z127" i="27"/>
  <c r="Y127" i="27"/>
  <c r="X127" i="27"/>
  <c r="W127" i="27"/>
  <c r="V127" i="27"/>
  <c r="Z126" i="27"/>
  <c r="Y126" i="27"/>
  <c r="X126" i="27"/>
  <c r="W126" i="27"/>
  <c r="V126" i="27"/>
  <c r="Z125" i="27"/>
  <c r="Y125" i="27"/>
  <c r="X125" i="27"/>
  <c r="W125" i="27"/>
  <c r="V125" i="27"/>
  <c r="Z124" i="27"/>
  <c r="Y124" i="27"/>
  <c r="X124" i="27"/>
  <c r="W124" i="27"/>
  <c r="V124" i="27"/>
  <c r="Z123" i="27"/>
  <c r="Y123" i="27"/>
  <c r="X123" i="27"/>
  <c r="W123" i="27"/>
  <c r="V123" i="27"/>
  <c r="Z122" i="27"/>
  <c r="Y122" i="27"/>
  <c r="X122" i="27"/>
  <c r="W122" i="27"/>
  <c r="V122" i="27"/>
  <c r="Z121" i="27"/>
  <c r="Y121" i="27"/>
  <c r="X121" i="27"/>
  <c r="W121" i="27"/>
  <c r="V121" i="27"/>
  <c r="Z120" i="27"/>
  <c r="Y120" i="27"/>
  <c r="X120" i="27"/>
  <c r="W120" i="27"/>
  <c r="V120" i="27"/>
  <c r="Z119" i="27"/>
  <c r="Y119" i="27"/>
  <c r="X119" i="27"/>
  <c r="W119" i="27"/>
  <c r="V119" i="27"/>
  <c r="Z118" i="27"/>
  <c r="Y118" i="27"/>
  <c r="X118" i="27"/>
  <c r="W118" i="27"/>
  <c r="V118" i="27"/>
  <c r="Z117" i="27"/>
  <c r="Y117" i="27"/>
  <c r="X117" i="27"/>
  <c r="W117" i="27"/>
  <c r="V117" i="27"/>
  <c r="Z116" i="27"/>
  <c r="Y116" i="27"/>
  <c r="X116" i="27"/>
  <c r="W116" i="27"/>
  <c r="V116" i="27"/>
  <c r="Z115" i="27"/>
  <c r="Y115" i="27"/>
  <c r="X115" i="27"/>
  <c r="W115" i="27"/>
  <c r="V115" i="27"/>
  <c r="Z114" i="27"/>
  <c r="Y114" i="27"/>
  <c r="X114" i="27"/>
  <c r="W114" i="27"/>
  <c r="V114" i="27"/>
  <c r="Z113" i="27"/>
  <c r="Y113" i="27"/>
  <c r="X113" i="27"/>
  <c r="W113" i="27"/>
  <c r="V113" i="27"/>
  <c r="Z112" i="27"/>
  <c r="Y112" i="27"/>
  <c r="X112" i="27"/>
  <c r="W112" i="27"/>
  <c r="V112" i="27"/>
  <c r="Z111" i="27"/>
  <c r="Y111" i="27"/>
  <c r="X111" i="27"/>
  <c r="W111" i="27"/>
  <c r="V111" i="27"/>
  <c r="Z110" i="27"/>
  <c r="Y110" i="27"/>
  <c r="X110" i="27"/>
  <c r="W110" i="27"/>
  <c r="V110" i="27"/>
  <c r="Z109" i="27"/>
  <c r="Y109" i="27"/>
  <c r="X109" i="27"/>
  <c r="W109" i="27"/>
  <c r="V109" i="27"/>
  <c r="Z108" i="27"/>
  <c r="Y108" i="27"/>
  <c r="X108" i="27"/>
  <c r="W108" i="27"/>
  <c r="V108" i="27"/>
  <c r="Z107" i="27"/>
  <c r="Y107" i="27"/>
  <c r="X107" i="27"/>
  <c r="W107" i="27"/>
  <c r="V107" i="27"/>
  <c r="Z106" i="27"/>
  <c r="Y106" i="27"/>
  <c r="X106" i="27"/>
  <c r="W106" i="27"/>
  <c r="V106" i="27"/>
  <c r="Z105" i="27"/>
  <c r="Y105" i="27"/>
  <c r="X105" i="27"/>
  <c r="W105" i="27"/>
  <c r="V105" i="27"/>
  <c r="Z104" i="27"/>
  <c r="Y104" i="27"/>
  <c r="X104" i="27"/>
  <c r="W104" i="27"/>
  <c r="V104" i="27"/>
  <c r="Z103" i="27"/>
  <c r="Y103" i="27"/>
  <c r="X103" i="27"/>
  <c r="W103" i="27"/>
  <c r="V103" i="27"/>
  <c r="Z102" i="27"/>
  <c r="Y102" i="27"/>
  <c r="X102" i="27"/>
  <c r="W102" i="27"/>
  <c r="V102" i="27"/>
  <c r="Z101" i="27"/>
  <c r="Y101" i="27"/>
  <c r="X101" i="27"/>
  <c r="W101" i="27"/>
  <c r="V101" i="27"/>
  <c r="Z100" i="27"/>
  <c r="Y100" i="27"/>
  <c r="X100" i="27"/>
  <c r="W100" i="27"/>
  <c r="V100" i="27"/>
  <c r="Z99" i="27"/>
  <c r="Y99" i="27"/>
  <c r="X99" i="27"/>
  <c r="W99" i="27"/>
  <c r="V99" i="27"/>
  <c r="Z98" i="27"/>
  <c r="Y98" i="27"/>
  <c r="X98" i="27"/>
  <c r="W98" i="27"/>
  <c r="V98" i="27"/>
  <c r="Z97" i="27"/>
  <c r="Y97" i="27"/>
  <c r="X97" i="27"/>
  <c r="W97" i="27"/>
  <c r="V97" i="27"/>
  <c r="Z96" i="27"/>
  <c r="Y96" i="27"/>
  <c r="X96" i="27"/>
  <c r="W96" i="27"/>
  <c r="V96" i="27"/>
  <c r="Z95" i="27"/>
  <c r="Y95" i="27"/>
  <c r="X95" i="27"/>
  <c r="W95" i="27"/>
  <c r="V95" i="27"/>
  <c r="Z94" i="27"/>
  <c r="Y94" i="27"/>
  <c r="X94" i="27"/>
  <c r="W94" i="27"/>
  <c r="V94" i="27"/>
  <c r="Z93" i="27"/>
  <c r="Y93" i="27"/>
  <c r="X93" i="27"/>
  <c r="W93" i="27"/>
  <c r="V93" i="27"/>
  <c r="Z92" i="27"/>
  <c r="Y92" i="27"/>
  <c r="X92" i="27"/>
  <c r="W92" i="27"/>
  <c r="V92" i="27"/>
  <c r="Z91" i="27"/>
  <c r="Y91" i="27"/>
  <c r="X91" i="27"/>
  <c r="W91" i="27"/>
  <c r="V91" i="27"/>
  <c r="Z90" i="27"/>
  <c r="Y90" i="27"/>
  <c r="X90" i="27"/>
  <c r="W90" i="27"/>
  <c r="V90" i="27"/>
  <c r="Z89" i="27"/>
  <c r="Y89" i="27"/>
  <c r="X89" i="27"/>
  <c r="W89" i="27"/>
  <c r="V89" i="27"/>
  <c r="Z88" i="27"/>
  <c r="Y88" i="27"/>
  <c r="X88" i="27"/>
  <c r="W88" i="27"/>
  <c r="V88" i="27"/>
  <c r="Z87" i="27"/>
  <c r="Y87" i="27"/>
  <c r="X87" i="27"/>
  <c r="W87" i="27"/>
  <c r="V87" i="27"/>
  <c r="Z86" i="27"/>
  <c r="Y86" i="27"/>
  <c r="X86" i="27"/>
  <c r="W86" i="27"/>
  <c r="V86" i="27"/>
  <c r="Z85" i="27"/>
  <c r="Y85" i="27"/>
  <c r="X85" i="27"/>
  <c r="W85" i="27"/>
  <c r="V85" i="27"/>
  <c r="Z84" i="27"/>
  <c r="Y84" i="27"/>
  <c r="X84" i="27"/>
  <c r="W84" i="27"/>
  <c r="V84" i="27"/>
  <c r="Z83" i="27"/>
  <c r="Y83" i="27"/>
  <c r="X83" i="27"/>
  <c r="W83" i="27"/>
  <c r="V83" i="27"/>
  <c r="Z82" i="27"/>
  <c r="Y82" i="27"/>
  <c r="X82" i="27"/>
  <c r="W82" i="27"/>
  <c r="V82" i="27"/>
  <c r="AA46" i="21"/>
  <c r="AA39" i="21"/>
  <c r="AA32" i="21"/>
  <c r="AA25" i="21"/>
  <c r="AA18" i="21"/>
  <c r="AA11" i="21"/>
  <c r="F12" i="26"/>
  <c r="BR60" i="26"/>
  <c r="F11" i="26"/>
  <c r="BZ51" i="26"/>
  <c r="F10" i="26"/>
  <c r="BY51" i="26"/>
  <c r="F9" i="26"/>
  <c r="BX51" i="26"/>
  <c r="F8" i="26"/>
  <c r="BW51" i="26"/>
  <c r="F7" i="26"/>
  <c r="BV51" i="26"/>
  <c r="BR59" i="26"/>
  <c r="CA51" i="26"/>
  <c r="BR58" i="26"/>
  <c r="BR57" i="26"/>
  <c r="BR56" i="26"/>
  <c r="BR55" i="26"/>
  <c r="BR37" i="26"/>
  <c r="CA29" i="26"/>
  <c r="BR38" i="26"/>
  <c r="BZ29" i="26"/>
  <c r="BR36" i="26"/>
  <c r="BY29" i="26"/>
  <c r="BR35" i="26"/>
  <c r="BX29" i="26"/>
  <c r="BR34" i="26"/>
  <c r="BW29" i="26"/>
  <c r="BR33" i="26"/>
  <c r="BV29" i="26"/>
  <c r="BR49" i="26"/>
  <c r="C25" i="26"/>
  <c r="BR48" i="26"/>
  <c r="C24" i="26"/>
  <c r="BR47" i="26"/>
  <c r="C23" i="26"/>
  <c r="BR46" i="26"/>
  <c r="C22" i="26"/>
  <c r="BR45" i="26"/>
  <c r="C21" i="26"/>
  <c r="BR44" i="26"/>
  <c r="C20" i="26"/>
  <c r="CA40" i="26"/>
  <c r="BZ40" i="26"/>
  <c r="BY40" i="26"/>
  <c r="BX40" i="26"/>
  <c r="BW40" i="26"/>
  <c r="BV40" i="26"/>
  <c r="C38" i="26"/>
  <c r="C37" i="26"/>
  <c r="C36" i="26"/>
  <c r="C35" i="26"/>
  <c r="C34" i="26"/>
  <c r="C33" i="26"/>
  <c r="AB135" i="26"/>
  <c r="AB134" i="26"/>
  <c r="AB133" i="26"/>
  <c r="AB132" i="26"/>
  <c r="AB131" i="26"/>
  <c r="AB130" i="26"/>
  <c r="AB129" i="26"/>
  <c r="AB128" i="26"/>
  <c r="AB127" i="26"/>
  <c r="AB126" i="26"/>
  <c r="AB125" i="26"/>
  <c r="AB124" i="26"/>
  <c r="AB123" i="26"/>
  <c r="AB122" i="26"/>
  <c r="AB121" i="26"/>
  <c r="AB120" i="26"/>
  <c r="AB119" i="26"/>
  <c r="AB118" i="26"/>
  <c r="AB117" i="26"/>
  <c r="AB116" i="26"/>
  <c r="AB115" i="26"/>
  <c r="AB114" i="26"/>
  <c r="AB113" i="26"/>
  <c r="AB112" i="26"/>
  <c r="AB111" i="26"/>
  <c r="AB110" i="26"/>
  <c r="AB109" i="26"/>
  <c r="AB108" i="26"/>
  <c r="AB107" i="26"/>
  <c r="AB106" i="26"/>
  <c r="AB105" i="26"/>
  <c r="AB104" i="26"/>
  <c r="AB103" i="26"/>
  <c r="AB102" i="26"/>
  <c r="AB101" i="26"/>
  <c r="AB100" i="26"/>
  <c r="AB99" i="26"/>
  <c r="AB98" i="26"/>
  <c r="AB97" i="26"/>
  <c r="AB96" i="26"/>
  <c r="AB95" i="26"/>
  <c r="AB94" i="26"/>
  <c r="AB93" i="26"/>
  <c r="AB92" i="26"/>
  <c r="AB91" i="26"/>
  <c r="AB90" i="26"/>
  <c r="AB89" i="26"/>
  <c r="AB88" i="26"/>
  <c r="AB87" i="26"/>
  <c r="AB86" i="26"/>
  <c r="AB85" i="26"/>
  <c r="AB84" i="26"/>
  <c r="AB83" i="26"/>
  <c r="AB82" i="26"/>
  <c r="Z135" i="26"/>
  <c r="Z134" i="26"/>
  <c r="Z133" i="26"/>
  <c r="Z132" i="26"/>
  <c r="Z131" i="26"/>
  <c r="Z130" i="26"/>
  <c r="Z129" i="26"/>
  <c r="Z128" i="26"/>
  <c r="Z127" i="26"/>
  <c r="Z126" i="26"/>
  <c r="Z125" i="26"/>
  <c r="Z124" i="26"/>
  <c r="Z123" i="26"/>
  <c r="Z122" i="26"/>
  <c r="Z121" i="26"/>
  <c r="Z120" i="26"/>
  <c r="Z119" i="26"/>
  <c r="Z118" i="26"/>
  <c r="Z117" i="26"/>
  <c r="Z116" i="26"/>
  <c r="Z115" i="26"/>
  <c r="Z114" i="26"/>
  <c r="Z113" i="26"/>
  <c r="Z112" i="26"/>
  <c r="Z111" i="26"/>
  <c r="Z110" i="26"/>
  <c r="Z109" i="26"/>
  <c r="Z108" i="26"/>
  <c r="Z107" i="26"/>
  <c r="Z106" i="26"/>
  <c r="Z105" i="26"/>
  <c r="Z104" i="26"/>
  <c r="Z103" i="26"/>
  <c r="Z102" i="26"/>
  <c r="Z101" i="26"/>
  <c r="Z100" i="26"/>
  <c r="Z99" i="26"/>
  <c r="Z98" i="26"/>
  <c r="Z97" i="26"/>
  <c r="Z96" i="26"/>
  <c r="Z95" i="26"/>
  <c r="Z94" i="26"/>
  <c r="Z93" i="26"/>
  <c r="Z92" i="26"/>
  <c r="Z91" i="26"/>
  <c r="Z90" i="26"/>
  <c r="Z89" i="26"/>
  <c r="Z88" i="26"/>
  <c r="Z87" i="26"/>
  <c r="Z86" i="26"/>
  <c r="Z85" i="26"/>
  <c r="Z84" i="26"/>
  <c r="Z83" i="26"/>
  <c r="Z82" i="26"/>
  <c r="AB207" i="26"/>
  <c r="AB206" i="26"/>
  <c r="AB205" i="26"/>
  <c r="AB204" i="26"/>
  <c r="AB203" i="26"/>
  <c r="AB202" i="26"/>
  <c r="AB201" i="26"/>
  <c r="AB200" i="26"/>
  <c r="AB199" i="26"/>
  <c r="AB198" i="26"/>
  <c r="AB197" i="26"/>
  <c r="AB196" i="26"/>
  <c r="AB195" i="26"/>
  <c r="AB194" i="26"/>
  <c r="AB193" i="26"/>
  <c r="AB192" i="26"/>
  <c r="AB191" i="26"/>
  <c r="AB190" i="26"/>
  <c r="AB189" i="26"/>
  <c r="AB188" i="26"/>
  <c r="AB187" i="26"/>
  <c r="AB186" i="26"/>
  <c r="AB185" i="26"/>
  <c r="AB184" i="26"/>
  <c r="AB183" i="26"/>
  <c r="AB182" i="26"/>
  <c r="AB181" i="26"/>
  <c r="AB180" i="26"/>
  <c r="AB179" i="26"/>
  <c r="AB178" i="26"/>
  <c r="AB177" i="26"/>
  <c r="AB176" i="26"/>
  <c r="AB175" i="26"/>
  <c r="AB174" i="26"/>
  <c r="AB173" i="26"/>
  <c r="AB172" i="26"/>
  <c r="AB171" i="26"/>
  <c r="AB170" i="26"/>
  <c r="AB169" i="26"/>
  <c r="AB168" i="26"/>
  <c r="AB167" i="26"/>
  <c r="AB166" i="26"/>
  <c r="AB165" i="26"/>
  <c r="AB164" i="26"/>
  <c r="AB163" i="26"/>
  <c r="AB162" i="26"/>
  <c r="AB161" i="26"/>
  <c r="AB160" i="26"/>
  <c r="AB159" i="26"/>
  <c r="AB158" i="26"/>
  <c r="AB157" i="26"/>
  <c r="AB156" i="26"/>
  <c r="AB155" i="26"/>
  <c r="AB154" i="26"/>
  <c r="Z207" i="26"/>
  <c r="Z206" i="26"/>
  <c r="Z205" i="26"/>
  <c r="Z204" i="26"/>
  <c r="Z203" i="26"/>
  <c r="Z202" i="26"/>
  <c r="Z201" i="26"/>
  <c r="Z200" i="26"/>
  <c r="Z199" i="26"/>
  <c r="Z198" i="26"/>
  <c r="Z197" i="26"/>
  <c r="Z196" i="26"/>
  <c r="Z195" i="26"/>
  <c r="Z194" i="26"/>
  <c r="Z193" i="26"/>
  <c r="Z192" i="26"/>
  <c r="Z191" i="26"/>
  <c r="Z190" i="26"/>
  <c r="Z189" i="26"/>
  <c r="Z188" i="26"/>
  <c r="Z187" i="26"/>
  <c r="Z186" i="26"/>
  <c r="Z185" i="26"/>
  <c r="Z184" i="26"/>
  <c r="Z183" i="26"/>
  <c r="Z182" i="26"/>
  <c r="Z181" i="26"/>
  <c r="Z180" i="26"/>
  <c r="Z179" i="26"/>
  <c r="Z178" i="26"/>
  <c r="Z177" i="26"/>
  <c r="Z176" i="26"/>
  <c r="Z175" i="26"/>
  <c r="Z174" i="26"/>
  <c r="Z173" i="26"/>
  <c r="Z172" i="26"/>
  <c r="Z171" i="26"/>
  <c r="Z170" i="26"/>
  <c r="Z169" i="26"/>
  <c r="Z168" i="26"/>
  <c r="Z167" i="26"/>
  <c r="Z166" i="26"/>
  <c r="Z165" i="26"/>
  <c r="Z164" i="26"/>
  <c r="Z163" i="26"/>
  <c r="Z162" i="26"/>
  <c r="Z161" i="26"/>
  <c r="Z160" i="26"/>
  <c r="Z159" i="26"/>
  <c r="Z158" i="26"/>
  <c r="Z157" i="26"/>
  <c r="Z156" i="26"/>
  <c r="Z155" i="26"/>
  <c r="Z154" i="26"/>
  <c r="P29" i="21"/>
  <c r="P28" i="21"/>
  <c r="P27" i="21"/>
  <c r="P26" i="21"/>
  <c r="P25" i="21"/>
  <c r="P24" i="21"/>
  <c r="P23" i="21"/>
  <c r="P22" i="21"/>
  <c r="P21" i="21"/>
  <c r="P20" i="21"/>
  <c r="P19" i="21"/>
  <c r="P18" i="21"/>
  <c r="P17" i="21"/>
  <c r="P16" i="21"/>
  <c r="P15" i="21"/>
  <c r="P14" i="21"/>
  <c r="P13" i="21"/>
  <c r="P12" i="21"/>
  <c r="BR49" i="25"/>
  <c r="C25" i="25"/>
  <c r="BR48" i="25"/>
  <c r="C24" i="25"/>
  <c r="BR47" i="25"/>
  <c r="C23" i="25"/>
  <c r="CA40" i="25"/>
  <c r="BZ40" i="25"/>
  <c r="BY40" i="25"/>
  <c r="C38" i="25"/>
  <c r="C37" i="25"/>
  <c r="C36" i="25"/>
  <c r="C35" i="25"/>
  <c r="C34" i="25"/>
  <c r="C33" i="25"/>
  <c r="C32" i="25"/>
  <c r="C31" i="25"/>
  <c r="C30" i="25"/>
  <c r="I25" i="25"/>
  <c r="H25" i="25"/>
  <c r="G25" i="25"/>
  <c r="F25" i="25"/>
  <c r="E25" i="25"/>
  <c r="D25" i="25"/>
  <c r="I24" i="25"/>
  <c r="H24" i="25"/>
  <c r="G24" i="25"/>
  <c r="F24" i="25"/>
  <c r="E24" i="25"/>
  <c r="D24" i="25"/>
  <c r="I23" i="25"/>
  <c r="H23" i="25"/>
  <c r="G23" i="25"/>
  <c r="F23" i="25"/>
  <c r="E23" i="25"/>
  <c r="D23" i="25"/>
  <c r="I22" i="25"/>
  <c r="H22" i="25"/>
  <c r="G22" i="25"/>
  <c r="F22" i="25"/>
  <c r="E22" i="25"/>
  <c r="D22" i="25"/>
  <c r="I21" i="25"/>
  <c r="H21" i="25"/>
  <c r="G21" i="25"/>
  <c r="F21" i="25"/>
  <c r="E21" i="25"/>
  <c r="D21" i="25"/>
  <c r="I20" i="25"/>
  <c r="H20" i="25"/>
  <c r="G20" i="25"/>
  <c r="F20" i="25"/>
  <c r="E20" i="25"/>
  <c r="D20" i="25"/>
  <c r="I19" i="25"/>
  <c r="H19" i="25"/>
  <c r="G19" i="25"/>
  <c r="F19" i="25"/>
  <c r="E19" i="25"/>
  <c r="D19" i="25"/>
  <c r="I18" i="25"/>
  <c r="H18" i="25"/>
  <c r="G18" i="25"/>
  <c r="F18" i="25"/>
  <c r="E18" i="25"/>
  <c r="D18" i="25"/>
  <c r="I17" i="25"/>
  <c r="H17" i="25"/>
  <c r="G17" i="25"/>
  <c r="F17" i="25"/>
  <c r="E17" i="25"/>
  <c r="D17" i="25"/>
  <c r="BR49" i="17"/>
  <c r="C25" i="17"/>
  <c r="BR48" i="17"/>
  <c r="C24" i="17"/>
  <c r="BR47" i="17"/>
  <c r="C23" i="17"/>
  <c r="CA40" i="17"/>
  <c r="BZ40" i="17"/>
  <c r="BY40" i="17"/>
  <c r="C38" i="17"/>
  <c r="C37" i="17"/>
  <c r="C36" i="17"/>
  <c r="C35" i="17"/>
  <c r="C34" i="17"/>
  <c r="C33" i="17"/>
  <c r="C32" i="17"/>
  <c r="C31" i="17"/>
  <c r="C30" i="17"/>
  <c r="I25" i="17"/>
  <c r="H25" i="17"/>
  <c r="G25" i="17"/>
  <c r="F25" i="17"/>
  <c r="E25" i="17"/>
  <c r="D25" i="17"/>
  <c r="I24" i="17"/>
  <c r="H24" i="17"/>
  <c r="G24" i="17"/>
  <c r="F24" i="17"/>
  <c r="E24" i="17"/>
  <c r="D24" i="17"/>
  <c r="I23" i="17"/>
  <c r="H23" i="17"/>
  <c r="G23" i="17"/>
  <c r="F23" i="17"/>
  <c r="E23" i="17"/>
  <c r="D23" i="17"/>
  <c r="I22" i="17"/>
  <c r="H22" i="17"/>
  <c r="G22" i="17"/>
  <c r="F22" i="17"/>
  <c r="E22" i="17"/>
  <c r="D22" i="17"/>
  <c r="I21" i="17"/>
  <c r="H21" i="17"/>
  <c r="G21" i="17"/>
  <c r="F21" i="17"/>
  <c r="E21" i="17"/>
  <c r="D21" i="17"/>
  <c r="I20" i="17"/>
  <c r="H20" i="17"/>
  <c r="G20" i="17"/>
  <c r="F20" i="17"/>
  <c r="E20" i="17"/>
  <c r="D20" i="17"/>
  <c r="I19" i="17"/>
  <c r="H19" i="17"/>
  <c r="G19" i="17"/>
  <c r="F19" i="17"/>
  <c r="E19" i="17"/>
  <c r="D19" i="17"/>
  <c r="I18" i="17"/>
  <c r="H18" i="17"/>
  <c r="G18" i="17"/>
  <c r="F18" i="17"/>
  <c r="E18" i="17"/>
  <c r="D18" i="17"/>
  <c r="I17" i="17"/>
  <c r="H17" i="17"/>
  <c r="G17" i="17"/>
  <c r="F17" i="17"/>
  <c r="E17" i="17"/>
  <c r="D17" i="17"/>
  <c r="AB207" i="25"/>
  <c r="Z207" i="25"/>
  <c r="AB206" i="25"/>
  <c r="Z206" i="25"/>
  <c r="AB205" i="25"/>
  <c r="Z205" i="25"/>
  <c r="AB204" i="25"/>
  <c r="Z204" i="25"/>
  <c r="AB203" i="25"/>
  <c r="Z203" i="25"/>
  <c r="AB202" i="25"/>
  <c r="Z202" i="25"/>
  <c r="AB201" i="25"/>
  <c r="Z201" i="25"/>
  <c r="AB200" i="25"/>
  <c r="Z200" i="25"/>
  <c r="AB199" i="25"/>
  <c r="Z199" i="25"/>
  <c r="AB198" i="25"/>
  <c r="Z198" i="25"/>
  <c r="AB197" i="25"/>
  <c r="Z197" i="25"/>
  <c r="AB196" i="25"/>
  <c r="Z196" i="25"/>
  <c r="AI195" i="25"/>
  <c r="AB195" i="25"/>
  <c r="Z195" i="25"/>
  <c r="AI194" i="25"/>
  <c r="AB194" i="25"/>
  <c r="Z194" i="25"/>
  <c r="AI193" i="25"/>
  <c r="AB193" i="25"/>
  <c r="Z193" i="25"/>
  <c r="AI192" i="25"/>
  <c r="AB192" i="25"/>
  <c r="Z192" i="25"/>
  <c r="AI191" i="25"/>
  <c r="AB191" i="25"/>
  <c r="Z191" i="25"/>
  <c r="AI190" i="25"/>
  <c r="AB190" i="25"/>
  <c r="Z190" i="25"/>
  <c r="AI189" i="25"/>
  <c r="AB189" i="25"/>
  <c r="Z189" i="25"/>
  <c r="AI188" i="25"/>
  <c r="AB188" i="25"/>
  <c r="Z188" i="25"/>
  <c r="AI187" i="25"/>
  <c r="AB187" i="25"/>
  <c r="Z187" i="25"/>
  <c r="AI186" i="25"/>
  <c r="AB186" i="25"/>
  <c r="Z186" i="25"/>
  <c r="AI185" i="25"/>
  <c r="AB185" i="25"/>
  <c r="Z185" i="25"/>
  <c r="AI184" i="25"/>
  <c r="AB184" i="25"/>
  <c r="Z184" i="25"/>
  <c r="AI183" i="25"/>
  <c r="AB183" i="25"/>
  <c r="Z183" i="25"/>
  <c r="AI182" i="25"/>
  <c r="AB182" i="25"/>
  <c r="Z182" i="25"/>
  <c r="AI181" i="25"/>
  <c r="AB181" i="25"/>
  <c r="Z181" i="25"/>
  <c r="AH135" i="25"/>
  <c r="AG135" i="25"/>
  <c r="AB135" i="25"/>
  <c r="Z135" i="25"/>
  <c r="Y135" i="25"/>
  <c r="X135" i="25"/>
  <c r="W135" i="25"/>
  <c r="V135" i="25"/>
  <c r="AH134" i="25"/>
  <c r="AG134" i="25"/>
  <c r="AB134" i="25"/>
  <c r="Z134" i="25"/>
  <c r="Y134" i="25"/>
  <c r="X134" i="25"/>
  <c r="W134" i="25"/>
  <c r="V134" i="25"/>
  <c r="AH133" i="25"/>
  <c r="AG133" i="25"/>
  <c r="AB133" i="25"/>
  <c r="Z133" i="25"/>
  <c r="Y133" i="25"/>
  <c r="X133" i="25"/>
  <c r="W133" i="25"/>
  <c r="V133" i="25"/>
  <c r="AH132" i="25"/>
  <c r="AG132" i="25"/>
  <c r="AB132" i="25"/>
  <c r="Z132" i="25"/>
  <c r="Y132" i="25"/>
  <c r="X132" i="25"/>
  <c r="W132" i="25"/>
  <c r="V132" i="25"/>
  <c r="AH131" i="25"/>
  <c r="AG131" i="25"/>
  <c r="AB131" i="25"/>
  <c r="Z131" i="25"/>
  <c r="Y131" i="25"/>
  <c r="X131" i="25"/>
  <c r="W131" i="25"/>
  <c r="V131" i="25"/>
  <c r="AH130" i="25"/>
  <c r="AG130" i="25"/>
  <c r="AB130" i="25"/>
  <c r="Z130" i="25"/>
  <c r="Y130" i="25"/>
  <c r="X130" i="25"/>
  <c r="W130" i="25"/>
  <c r="V130" i="25"/>
  <c r="AH129" i="25"/>
  <c r="AG129" i="25"/>
  <c r="AB129" i="25"/>
  <c r="Z129" i="25"/>
  <c r="Y129" i="25"/>
  <c r="X129" i="25"/>
  <c r="W129" i="25"/>
  <c r="V129" i="25"/>
  <c r="AH128" i="25"/>
  <c r="AG128" i="25"/>
  <c r="AB128" i="25"/>
  <c r="Z128" i="25"/>
  <c r="Y128" i="25"/>
  <c r="X128" i="25"/>
  <c r="W128" i="25"/>
  <c r="V128" i="25"/>
  <c r="AH127" i="25"/>
  <c r="AG127" i="25"/>
  <c r="AB127" i="25"/>
  <c r="Z127" i="25"/>
  <c r="Y127" i="25"/>
  <c r="X127" i="25"/>
  <c r="W127" i="25"/>
  <c r="V127" i="25"/>
  <c r="AH126" i="25"/>
  <c r="AG126" i="25"/>
  <c r="AB126" i="25"/>
  <c r="Z126" i="25"/>
  <c r="Y126" i="25"/>
  <c r="X126" i="25"/>
  <c r="W126" i="25"/>
  <c r="V126" i="25"/>
  <c r="AH125" i="25"/>
  <c r="AG125" i="25"/>
  <c r="AB125" i="25"/>
  <c r="Z125" i="25"/>
  <c r="Y125" i="25"/>
  <c r="X125" i="25"/>
  <c r="W125" i="25"/>
  <c r="V125" i="25"/>
  <c r="AH124" i="25"/>
  <c r="AG124" i="25"/>
  <c r="AB124" i="25"/>
  <c r="Z124" i="25"/>
  <c r="Y124" i="25"/>
  <c r="X124" i="25"/>
  <c r="W124" i="25"/>
  <c r="V124" i="25"/>
  <c r="AH123" i="25"/>
  <c r="AG123" i="25"/>
  <c r="AB123" i="25"/>
  <c r="Z123" i="25"/>
  <c r="Y123" i="25"/>
  <c r="X123" i="25"/>
  <c r="W123" i="25"/>
  <c r="V123" i="25"/>
  <c r="AH122" i="25"/>
  <c r="AG122" i="25"/>
  <c r="AB122" i="25"/>
  <c r="Z122" i="25"/>
  <c r="Y122" i="25"/>
  <c r="X122" i="25"/>
  <c r="W122" i="25"/>
  <c r="V122" i="25"/>
  <c r="AH121" i="25"/>
  <c r="AG121" i="25"/>
  <c r="AB121" i="25"/>
  <c r="Z121" i="25"/>
  <c r="Y121" i="25"/>
  <c r="X121" i="25"/>
  <c r="W121" i="25"/>
  <c r="V121" i="25"/>
  <c r="AH120" i="25"/>
  <c r="AG120" i="25"/>
  <c r="AB120" i="25"/>
  <c r="Z120" i="25"/>
  <c r="Y120" i="25"/>
  <c r="X120" i="25"/>
  <c r="W120" i="25"/>
  <c r="V120" i="25"/>
  <c r="AH119" i="25"/>
  <c r="AG119" i="25"/>
  <c r="AB119" i="25"/>
  <c r="Z119" i="25"/>
  <c r="Y119" i="25"/>
  <c r="X119" i="25"/>
  <c r="W119" i="25"/>
  <c r="V119" i="25"/>
  <c r="AH118" i="25"/>
  <c r="AG118" i="25"/>
  <c r="AB118" i="25"/>
  <c r="Z118" i="25"/>
  <c r="Y118" i="25"/>
  <c r="X118" i="25"/>
  <c r="W118" i="25"/>
  <c r="V118" i="25"/>
  <c r="AH117" i="25"/>
  <c r="AG117" i="25"/>
  <c r="AB117" i="25"/>
  <c r="Z117" i="25"/>
  <c r="Y117" i="25"/>
  <c r="X117" i="25"/>
  <c r="W117" i="25"/>
  <c r="V117" i="25"/>
  <c r="AH116" i="25"/>
  <c r="AG116" i="25"/>
  <c r="AB116" i="25"/>
  <c r="Z116" i="25"/>
  <c r="Y116" i="25"/>
  <c r="X116" i="25"/>
  <c r="W116" i="25"/>
  <c r="V116" i="25"/>
  <c r="AH115" i="25"/>
  <c r="AG115" i="25"/>
  <c r="AB115" i="25"/>
  <c r="Z115" i="25"/>
  <c r="Y115" i="25"/>
  <c r="X115" i="25"/>
  <c r="W115" i="25"/>
  <c r="V115" i="25"/>
  <c r="AH114" i="25"/>
  <c r="AG114" i="25"/>
  <c r="AB114" i="25"/>
  <c r="Z114" i="25"/>
  <c r="Y114" i="25"/>
  <c r="X114" i="25"/>
  <c r="W114" i="25"/>
  <c r="V114" i="25"/>
  <c r="AH113" i="25"/>
  <c r="AG113" i="25"/>
  <c r="AB113" i="25"/>
  <c r="Z113" i="25"/>
  <c r="Y113" i="25"/>
  <c r="X113" i="25"/>
  <c r="W113" i="25"/>
  <c r="V113" i="25"/>
  <c r="AH112" i="25"/>
  <c r="AG112" i="25"/>
  <c r="AB112" i="25"/>
  <c r="Z112" i="25"/>
  <c r="Y112" i="25"/>
  <c r="X112" i="25"/>
  <c r="W112" i="25"/>
  <c r="V112" i="25"/>
  <c r="AH111" i="25"/>
  <c r="AG111" i="25"/>
  <c r="AB111" i="25"/>
  <c r="Z111" i="25"/>
  <c r="Y111" i="25"/>
  <c r="X111" i="25"/>
  <c r="W111" i="25"/>
  <c r="V111" i="25"/>
  <c r="AH110" i="25"/>
  <c r="AG110" i="25"/>
  <c r="AB110" i="25"/>
  <c r="Z110" i="25"/>
  <c r="Y110" i="25"/>
  <c r="X110" i="25"/>
  <c r="W110" i="25"/>
  <c r="V110" i="25"/>
  <c r="AH109" i="25"/>
  <c r="AG109" i="25"/>
  <c r="AB109" i="25"/>
  <c r="Z109" i="25"/>
  <c r="Y109" i="25"/>
  <c r="X109" i="25"/>
  <c r="W109" i="25"/>
  <c r="V109" i="25"/>
  <c r="AB207" i="17"/>
  <c r="Z207" i="17"/>
  <c r="AB206" i="17"/>
  <c r="Z206" i="17"/>
  <c r="AB205" i="17"/>
  <c r="Z205" i="17"/>
  <c r="AB204" i="17"/>
  <c r="Z204" i="17"/>
  <c r="AB203" i="17"/>
  <c r="Z203" i="17"/>
  <c r="AB202" i="17"/>
  <c r="Z202" i="17"/>
  <c r="AB201" i="17"/>
  <c r="Z201" i="17"/>
  <c r="AB200" i="17"/>
  <c r="Z200" i="17"/>
  <c r="AB199" i="17"/>
  <c r="Z199" i="17"/>
  <c r="AB198" i="17"/>
  <c r="Z198" i="17"/>
  <c r="AB197" i="17"/>
  <c r="Z197" i="17"/>
  <c r="AB196" i="17"/>
  <c r="Z196" i="17"/>
  <c r="AI195" i="17"/>
  <c r="AB195" i="17"/>
  <c r="Z195" i="17"/>
  <c r="AI194" i="17"/>
  <c r="AB194" i="17"/>
  <c r="Z194" i="17"/>
  <c r="AI193" i="17"/>
  <c r="AB193" i="17"/>
  <c r="Z193" i="17"/>
  <c r="AI192" i="17"/>
  <c r="AB192" i="17"/>
  <c r="Z192" i="17"/>
  <c r="AI191" i="17"/>
  <c r="AB191" i="17"/>
  <c r="Z191" i="17"/>
  <c r="AI190" i="17"/>
  <c r="AB190" i="17"/>
  <c r="Z190" i="17"/>
  <c r="AI189" i="17"/>
  <c r="AB189" i="17"/>
  <c r="Z189" i="17"/>
  <c r="AI188" i="17"/>
  <c r="AB188" i="17"/>
  <c r="Z188" i="17"/>
  <c r="AI187" i="17"/>
  <c r="AB187" i="17"/>
  <c r="Z187" i="17"/>
  <c r="AI186" i="17"/>
  <c r="AB186" i="17"/>
  <c r="Z186" i="17"/>
  <c r="AI185" i="17"/>
  <c r="AB185" i="17"/>
  <c r="Z185" i="17"/>
  <c r="AI184" i="17"/>
  <c r="AB184" i="17"/>
  <c r="Z184" i="17"/>
  <c r="AI183" i="17"/>
  <c r="AB183" i="17"/>
  <c r="Z183" i="17"/>
  <c r="AI182" i="17"/>
  <c r="AB182" i="17"/>
  <c r="Z182" i="17"/>
  <c r="AI181" i="17"/>
  <c r="AB181" i="17"/>
  <c r="Z181" i="17"/>
  <c r="AH135" i="17"/>
  <c r="AG135" i="17"/>
  <c r="AB135" i="17"/>
  <c r="Z135" i="17"/>
  <c r="Y135" i="17"/>
  <c r="X135" i="17"/>
  <c r="W135" i="17"/>
  <c r="V135" i="17"/>
  <c r="AH134" i="17"/>
  <c r="AG134" i="17"/>
  <c r="AB134" i="17"/>
  <c r="Z134" i="17"/>
  <c r="Y134" i="17"/>
  <c r="X134" i="17"/>
  <c r="W134" i="17"/>
  <c r="V134" i="17"/>
  <c r="AH133" i="17"/>
  <c r="AG133" i="17"/>
  <c r="AB133" i="17"/>
  <c r="Z133" i="17"/>
  <c r="Y133" i="17"/>
  <c r="X133" i="17"/>
  <c r="W133" i="17"/>
  <c r="V133" i="17"/>
  <c r="AH132" i="17"/>
  <c r="AG132" i="17"/>
  <c r="AB132" i="17"/>
  <c r="Z132" i="17"/>
  <c r="Y132" i="17"/>
  <c r="X132" i="17"/>
  <c r="W132" i="17"/>
  <c r="V132" i="17"/>
  <c r="AH131" i="17"/>
  <c r="AG131" i="17"/>
  <c r="AB131" i="17"/>
  <c r="Z131" i="17"/>
  <c r="Y131" i="17"/>
  <c r="X131" i="17"/>
  <c r="W131" i="17"/>
  <c r="V131" i="17"/>
  <c r="AH130" i="17"/>
  <c r="AG130" i="17"/>
  <c r="AB130" i="17"/>
  <c r="Z130" i="17"/>
  <c r="Y130" i="17"/>
  <c r="X130" i="17"/>
  <c r="W130" i="17"/>
  <c r="V130" i="17"/>
  <c r="AH129" i="17"/>
  <c r="AG129" i="17"/>
  <c r="AB129" i="17"/>
  <c r="Z129" i="17"/>
  <c r="Y129" i="17"/>
  <c r="X129" i="17"/>
  <c r="W129" i="17"/>
  <c r="V129" i="17"/>
  <c r="AH128" i="17"/>
  <c r="AG128" i="17"/>
  <c r="AB128" i="17"/>
  <c r="Z128" i="17"/>
  <c r="Y128" i="17"/>
  <c r="X128" i="17"/>
  <c r="W128" i="17"/>
  <c r="V128" i="17"/>
  <c r="AH127" i="17"/>
  <c r="AG127" i="17"/>
  <c r="AB127" i="17"/>
  <c r="Z127" i="17"/>
  <c r="Y127" i="17"/>
  <c r="X127" i="17"/>
  <c r="W127" i="17"/>
  <c r="V127" i="17"/>
  <c r="AH126" i="17"/>
  <c r="AG126" i="17"/>
  <c r="AB126" i="17"/>
  <c r="Z126" i="17"/>
  <c r="Y126" i="17"/>
  <c r="X126" i="17"/>
  <c r="W126" i="17"/>
  <c r="V126" i="17"/>
  <c r="AH125" i="17"/>
  <c r="AG125" i="17"/>
  <c r="AB125" i="17"/>
  <c r="Z125" i="17"/>
  <c r="Y125" i="17"/>
  <c r="X125" i="17"/>
  <c r="W125" i="17"/>
  <c r="V125" i="17"/>
  <c r="AH124" i="17"/>
  <c r="AG124" i="17"/>
  <c r="AB124" i="17"/>
  <c r="Z124" i="17"/>
  <c r="Y124" i="17"/>
  <c r="X124" i="17"/>
  <c r="W124" i="17"/>
  <c r="V124" i="17"/>
  <c r="AH123" i="17"/>
  <c r="AG123" i="17"/>
  <c r="AB123" i="17"/>
  <c r="Z123" i="17"/>
  <c r="Y123" i="17"/>
  <c r="X123" i="17"/>
  <c r="W123" i="17"/>
  <c r="V123" i="17"/>
  <c r="AH122" i="17"/>
  <c r="AG122" i="17"/>
  <c r="AB122" i="17"/>
  <c r="Z122" i="17"/>
  <c r="Y122" i="17"/>
  <c r="X122" i="17"/>
  <c r="W122" i="17"/>
  <c r="V122" i="17"/>
  <c r="AH121" i="17"/>
  <c r="AG121" i="17"/>
  <c r="AB121" i="17"/>
  <c r="Z121" i="17"/>
  <c r="Y121" i="17"/>
  <c r="X121" i="17"/>
  <c r="W121" i="17"/>
  <c r="V121" i="17"/>
  <c r="AH120" i="17"/>
  <c r="AG120" i="17"/>
  <c r="AB120" i="17"/>
  <c r="Z120" i="17"/>
  <c r="Y120" i="17"/>
  <c r="X120" i="17"/>
  <c r="W120" i="17"/>
  <c r="V120" i="17"/>
  <c r="AH119" i="17"/>
  <c r="AG119" i="17"/>
  <c r="AB119" i="17"/>
  <c r="Z119" i="17"/>
  <c r="Y119" i="17"/>
  <c r="X119" i="17"/>
  <c r="W119" i="17"/>
  <c r="V119" i="17"/>
  <c r="AH118" i="17"/>
  <c r="AG118" i="17"/>
  <c r="AB118" i="17"/>
  <c r="Z118" i="17"/>
  <c r="Y118" i="17"/>
  <c r="X118" i="17"/>
  <c r="W118" i="17"/>
  <c r="V118" i="17"/>
  <c r="AH117" i="17"/>
  <c r="AG117" i="17"/>
  <c r="AB117" i="17"/>
  <c r="Z117" i="17"/>
  <c r="Y117" i="17"/>
  <c r="X117" i="17"/>
  <c r="W117" i="17"/>
  <c r="V117" i="17"/>
  <c r="AH116" i="17"/>
  <c r="AG116" i="17"/>
  <c r="AB116" i="17"/>
  <c r="Z116" i="17"/>
  <c r="Y116" i="17"/>
  <c r="X116" i="17"/>
  <c r="W116" i="17"/>
  <c r="V116" i="17"/>
  <c r="AH115" i="17"/>
  <c r="AG115" i="17"/>
  <c r="AB115" i="17"/>
  <c r="Z115" i="17"/>
  <c r="Y115" i="17"/>
  <c r="X115" i="17"/>
  <c r="W115" i="17"/>
  <c r="V115" i="17"/>
  <c r="AH114" i="17"/>
  <c r="AG114" i="17"/>
  <c r="AB114" i="17"/>
  <c r="Z114" i="17"/>
  <c r="Y114" i="17"/>
  <c r="X114" i="17"/>
  <c r="W114" i="17"/>
  <c r="V114" i="17"/>
  <c r="AH113" i="17"/>
  <c r="AG113" i="17"/>
  <c r="AB113" i="17"/>
  <c r="Z113" i="17"/>
  <c r="Y113" i="17"/>
  <c r="X113" i="17"/>
  <c r="W113" i="17"/>
  <c r="V113" i="17"/>
  <c r="AH112" i="17"/>
  <c r="AG112" i="17"/>
  <c r="AB112" i="17"/>
  <c r="Z112" i="17"/>
  <c r="Y112" i="17"/>
  <c r="X112" i="17"/>
  <c r="W112" i="17"/>
  <c r="V112" i="17"/>
  <c r="AH111" i="17"/>
  <c r="AG111" i="17"/>
  <c r="AB111" i="17"/>
  <c r="Z111" i="17"/>
  <c r="Y111" i="17"/>
  <c r="X111" i="17"/>
  <c r="W111" i="17"/>
  <c r="V111" i="17"/>
  <c r="AH110" i="17"/>
  <c r="AG110" i="17"/>
  <c r="AB110" i="17"/>
  <c r="Z110" i="17"/>
  <c r="Y110" i="17"/>
  <c r="X110" i="17"/>
  <c r="W110" i="17"/>
  <c r="V110" i="17"/>
  <c r="AH109" i="17"/>
  <c r="AG109" i="17"/>
  <c r="AB109" i="17"/>
  <c r="Z109" i="17"/>
  <c r="Y109" i="17"/>
  <c r="X109" i="17"/>
  <c r="W109" i="17"/>
  <c r="V109" i="17"/>
  <c r="C25" i="3"/>
  <c r="I25" i="3"/>
  <c r="H25" i="3"/>
  <c r="G25" i="3"/>
  <c r="F25" i="3"/>
  <c r="E25" i="3"/>
  <c r="D25" i="3"/>
  <c r="C24" i="3"/>
  <c r="I24" i="3"/>
  <c r="H24" i="3"/>
  <c r="G24" i="3"/>
  <c r="F24" i="3"/>
  <c r="E24" i="3"/>
  <c r="D24" i="3"/>
  <c r="C23" i="3"/>
  <c r="I23" i="3"/>
  <c r="H23" i="3"/>
  <c r="G23" i="3"/>
  <c r="F23" i="3"/>
  <c r="E23" i="3"/>
  <c r="D23" i="3"/>
  <c r="I22" i="3"/>
  <c r="H22" i="3"/>
  <c r="G22" i="3"/>
  <c r="F22" i="3"/>
  <c r="E22" i="3"/>
  <c r="D22" i="3"/>
  <c r="I21" i="3"/>
  <c r="H21" i="3"/>
  <c r="G21" i="3"/>
  <c r="F21" i="3"/>
  <c r="E21" i="3"/>
  <c r="D21" i="3"/>
  <c r="I20" i="3"/>
  <c r="H20" i="3"/>
  <c r="G20" i="3"/>
  <c r="F20" i="3"/>
  <c r="E20" i="3"/>
  <c r="D20" i="3"/>
  <c r="I19" i="3"/>
  <c r="H19" i="3"/>
  <c r="G19" i="3"/>
  <c r="F19" i="3"/>
  <c r="E19" i="3"/>
  <c r="D19" i="3"/>
  <c r="I18" i="3"/>
  <c r="H18" i="3"/>
  <c r="G18" i="3"/>
  <c r="F18" i="3"/>
  <c r="E18" i="3"/>
  <c r="D18" i="3"/>
  <c r="I17" i="3"/>
  <c r="H17" i="3"/>
  <c r="G17" i="3"/>
  <c r="F17" i="3"/>
  <c r="E17" i="3"/>
  <c r="D17" i="3"/>
  <c r="AH125" i="3"/>
  <c r="AG125" i="3"/>
  <c r="AH124" i="3"/>
  <c r="AG124" i="3"/>
  <c r="AH123" i="3"/>
  <c r="AG123" i="3"/>
  <c r="AH122" i="3"/>
  <c r="AG122" i="3"/>
  <c r="AH121" i="3"/>
  <c r="AG121" i="3"/>
  <c r="AH120" i="3"/>
  <c r="AG120" i="3"/>
  <c r="AH119" i="3"/>
  <c r="AG119" i="3"/>
  <c r="AH118" i="3"/>
  <c r="AG118" i="3"/>
  <c r="AH117" i="3"/>
  <c r="AG117" i="3"/>
  <c r="AH116" i="3"/>
  <c r="AG116" i="3"/>
  <c r="AH115" i="3"/>
  <c r="AG115" i="3"/>
  <c r="AH114" i="3"/>
  <c r="AG114" i="3"/>
  <c r="AH113" i="3"/>
  <c r="AG113" i="3"/>
  <c r="AH112" i="3"/>
  <c r="AG112" i="3"/>
  <c r="AH111" i="3"/>
  <c r="AG111" i="3"/>
  <c r="AH110" i="3"/>
  <c r="AG110" i="3"/>
  <c r="AH109" i="3"/>
  <c r="AG109" i="3"/>
  <c r="Z204" i="3"/>
  <c r="Z203" i="3"/>
  <c r="Z202" i="3"/>
  <c r="Z201" i="3"/>
  <c r="Z200" i="3"/>
  <c r="Z199" i="3"/>
  <c r="Z198" i="3"/>
  <c r="Z197" i="3"/>
  <c r="Z196" i="3"/>
  <c r="Z195" i="3"/>
  <c r="Z194" i="3"/>
  <c r="Z193" i="3"/>
  <c r="Z192" i="3"/>
  <c r="Z191" i="3"/>
  <c r="Z190" i="3"/>
  <c r="Z189" i="3"/>
  <c r="Z188" i="3"/>
  <c r="Z187" i="3"/>
  <c r="Z186" i="3"/>
  <c r="Z185" i="3"/>
  <c r="Z184" i="3"/>
  <c r="Z183" i="3"/>
  <c r="Z182" i="3"/>
  <c r="Z181" i="3"/>
  <c r="AB202" i="3"/>
  <c r="AB201" i="3"/>
  <c r="AB200" i="3"/>
  <c r="AB199" i="3"/>
  <c r="AB198" i="3"/>
  <c r="AB197" i="3"/>
  <c r="AB196" i="3"/>
  <c r="AB195" i="3"/>
  <c r="AB194" i="3"/>
  <c r="AB193" i="3"/>
  <c r="AB192" i="3"/>
  <c r="AB191" i="3"/>
  <c r="AB190" i="3"/>
  <c r="AB189" i="3"/>
  <c r="AB188" i="3"/>
  <c r="AB187" i="3"/>
  <c r="AB186" i="3"/>
  <c r="AB185" i="3"/>
  <c r="AB184" i="3"/>
  <c r="AB183" i="3"/>
  <c r="AB182" i="3"/>
  <c r="AB181" i="3"/>
  <c r="AB128" i="3"/>
  <c r="AB127" i="3"/>
  <c r="AB126" i="3"/>
  <c r="AB125" i="3"/>
  <c r="AB124" i="3"/>
  <c r="AB123" i="3"/>
  <c r="AB122" i="3"/>
  <c r="AB121" i="3"/>
  <c r="AB120" i="3"/>
  <c r="AB119" i="3"/>
  <c r="AB118" i="3"/>
  <c r="AB117" i="3"/>
  <c r="AB116" i="3"/>
  <c r="AB115" i="3"/>
  <c r="AB114" i="3"/>
  <c r="AB113" i="3"/>
  <c r="AB112" i="3"/>
  <c r="AB111" i="3"/>
  <c r="AB110" i="3"/>
  <c r="AB109" i="3"/>
  <c r="Z126" i="3"/>
  <c r="Z125" i="3"/>
  <c r="Z124" i="3"/>
  <c r="Z123" i="3"/>
  <c r="Z122" i="3"/>
  <c r="Z121" i="3"/>
  <c r="Z120" i="3"/>
  <c r="Z119" i="3"/>
  <c r="Z118" i="3"/>
  <c r="Z117" i="3"/>
  <c r="Z116" i="3"/>
  <c r="Z115" i="3"/>
  <c r="Z114" i="3"/>
  <c r="Z113" i="3"/>
  <c r="Z112" i="3"/>
  <c r="Z111" i="3"/>
  <c r="Z110" i="3"/>
  <c r="Z109" i="3"/>
  <c r="Y123" i="3"/>
  <c r="X123" i="3"/>
  <c r="Y122" i="3"/>
  <c r="X122" i="3"/>
  <c r="Y121" i="3"/>
  <c r="X121" i="3"/>
  <c r="Y120" i="3"/>
  <c r="X120" i="3"/>
  <c r="Y119" i="3"/>
  <c r="X119" i="3"/>
  <c r="Y118" i="3"/>
  <c r="X118" i="3"/>
  <c r="Y117" i="3"/>
  <c r="X117" i="3"/>
  <c r="Y116" i="3"/>
  <c r="X116" i="3"/>
  <c r="Y115" i="3"/>
  <c r="X115" i="3"/>
  <c r="Y114" i="3"/>
  <c r="X114" i="3"/>
  <c r="Y113" i="3"/>
  <c r="X113" i="3"/>
  <c r="Y112" i="3"/>
  <c r="X112" i="3"/>
  <c r="Y111" i="3"/>
  <c r="X111" i="3"/>
  <c r="Y110" i="3"/>
  <c r="X110" i="3"/>
  <c r="Y109" i="3"/>
  <c r="X109" i="3"/>
  <c r="W123" i="3"/>
  <c r="V123" i="3"/>
  <c r="W122" i="3"/>
  <c r="V122" i="3"/>
  <c r="W121" i="3"/>
  <c r="V121" i="3"/>
  <c r="W120" i="3"/>
  <c r="V120" i="3"/>
  <c r="W119" i="3"/>
  <c r="V119" i="3"/>
  <c r="W118" i="3"/>
  <c r="V118" i="3"/>
  <c r="W117" i="3"/>
  <c r="V117" i="3"/>
  <c r="W116" i="3"/>
  <c r="V116" i="3"/>
  <c r="W115" i="3"/>
  <c r="V115" i="3"/>
  <c r="W114" i="3"/>
  <c r="V114" i="3"/>
  <c r="W113" i="3"/>
  <c r="V113" i="3"/>
  <c r="W112" i="3"/>
  <c r="V112" i="3"/>
  <c r="W111" i="3"/>
  <c r="V111" i="3"/>
  <c r="W110" i="3"/>
  <c r="V110" i="3"/>
  <c r="W109" i="3"/>
  <c r="V109" i="3"/>
  <c r="AB207" i="3"/>
  <c r="Z207" i="3"/>
  <c r="AB206" i="3"/>
  <c r="Z206" i="3"/>
  <c r="AB205" i="3"/>
  <c r="Z205" i="3"/>
  <c r="AB204" i="3"/>
  <c r="AB203" i="3"/>
  <c r="AH135" i="3"/>
  <c r="AG135" i="3"/>
  <c r="AB135" i="3"/>
  <c r="Z135" i="3"/>
  <c r="Y135" i="3"/>
  <c r="X135" i="3"/>
  <c r="W135" i="3"/>
  <c r="V135" i="3"/>
  <c r="AH134" i="3"/>
  <c r="AG134" i="3"/>
  <c r="AB134" i="3"/>
  <c r="Z134" i="3"/>
  <c r="Y134" i="3"/>
  <c r="X134" i="3"/>
  <c r="W134" i="3"/>
  <c r="V134" i="3"/>
  <c r="AH133" i="3"/>
  <c r="AG133" i="3"/>
  <c r="AB133" i="3"/>
  <c r="Z133" i="3"/>
  <c r="Y133" i="3"/>
  <c r="X133" i="3"/>
  <c r="W133" i="3"/>
  <c r="V133" i="3"/>
  <c r="AH132" i="3"/>
  <c r="AG132" i="3"/>
  <c r="AB132" i="3"/>
  <c r="Z132" i="3"/>
  <c r="Y132" i="3"/>
  <c r="X132" i="3"/>
  <c r="W132" i="3"/>
  <c r="V132" i="3"/>
  <c r="AH131" i="3"/>
  <c r="AG131" i="3"/>
  <c r="AB131" i="3"/>
  <c r="Z131" i="3"/>
  <c r="Y131" i="3"/>
  <c r="X131" i="3"/>
  <c r="W131" i="3"/>
  <c r="V131" i="3"/>
  <c r="AH130" i="3"/>
  <c r="AG130" i="3"/>
  <c r="AB130" i="3"/>
  <c r="Z130" i="3"/>
  <c r="Y130" i="3"/>
  <c r="X130" i="3"/>
  <c r="W130" i="3"/>
  <c r="V130" i="3"/>
  <c r="AH129" i="3"/>
  <c r="AG129" i="3"/>
  <c r="AB129" i="3"/>
  <c r="Z129" i="3"/>
  <c r="Y129" i="3"/>
  <c r="X129" i="3"/>
  <c r="W129" i="3"/>
  <c r="V129" i="3"/>
  <c r="AH128" i="3"/>
  <c r="AG128" i="3"/>
  <c r="Z128" i="3"/>
  <c r="Y128" i="3"/>
  <c r="X128" i="3"/>
  <c r="W128" i="3"/>
  <c r="V128" i="3"/>
  <c r="AH127" i="3"/>
  <c r="AG127" i="3"/>
  <c r="Z127" i="3"/>
  <c r="Y127" i="3"/>
  <c r="X127" i="3"/>
  <c r="W127" i="3"/>
  <c r="V127" i="3"/>
  <c r="AH126" i="3"/>
  <c r="AG126" i="3"/>
  <c r="Y126" i="3"/>
  <c r="X126" i="3"/>
  <c r="W126" i="3"/>
  <c r="V126" i="3"/>
  <c r="Y125" i="3"/>
  <c r="X125" i="3"/>
  <c r="W125" i="3"/>
  <c r="V125" i="3"/>
  <c r="Y124" i="3"/>
  <c r="X124" i="3"/>
  <c r="W124" i="3"/>
  <c r="V124" i="3"/>
  <c r="S17" i="49"/>
  <c r="P17" i="49"/>
  <c r="M17" i="49"/>
  <c r="S16" i="49"/>
  <c r="P16" i="49"/>
  <c r="M16" i="49"/>
  <c r="S15" i="49"/>
  <c r="P15" i="49"/>
  <c r="M15" i="49"/>
  <c r="S14" i="49"/>
  <c r="P14" i="49"/>
  <c r="M14" i="49"/>
  <c r="S13" i="49"/>
  <c r="P13" i="49"/>
  <c r="M13" i="49"/>
  <c r="S12" i="49"/>
  <c r="P12" i="49"/>
  <c r="M12" i="49"/>
  <c r="W11" i="49"/>
  <c r="U11" i="49"/>
  <c r="R11" i="49"/>
  <c r="O11" i="49"/>
  <c r="L11" i="49"/>
  <c r="I11" i="49"/>
  <c r="E11" i="49"/>
  <c r="D11" i="49"/>
  <c r="C11" i="49"/>
  <c r="E6" i="9"/>
  <c r="H7" i="49"/>
  <c r="F5" i="49"/>
  <c r="F4" i="49"/>
  <c r="F3" i="49"/>
  <c r="F2" i="49"/>
  <c r="AE17" i="49"/>
  <c r="X17" i="49"/>
  <c r="Y17" i="49"/>
  <c r="AA17" i="49"/>
  <c r="Z17" i="49"/>
  <c r="W17" i="49"/>
  <c r="AE16" i="49"/>
  <c r="X16" i="49"/>
  <c r="Y16" i="49"/>
  <c r="AA16" i="49"/>
  <c r="Z16" i="49"/>
  <c r="W16" i="49"/>
  <c r="AE15" i="49"/>
  <c r="X15" i="49"/>
  <c r="Y15" i="49"/>
  <c r="AA15" i="49"/>
  <c r="Z15" i="49"/>
  <c r="W15" i="49"/>
  <c r="AE14" i="49"/>
  <c r="X14" i="49"/>
  <c r="Y14" i="49"/>
  <c r="AA14" i="49"/>
  <c r="Z14" i="49"/>
  <c r="W14" i="49"/>
  <c r="AE13" i="49"/>
  <c r="W13" i="49"/>
  <c r="AE12" i="49"/>
  <c r="W12" i="49"/>
  <c r="AQ10" i="6"/>
  <c r="L11" i="6"/>
  <c r="I11"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Z31" i="6"/>
  <c r="Z21" i="6"/>
  <c r="Z11" i="6"/>
  <c r="Q50" i="22"/>
  <c r="E72" i="9"/>
  <c r="E73" i="9"/>
  <c r="E74" i="9"/>
  <c r="E75" i="9"/>
  <c r="E76" i="9"/>
  <c r="BR55" i="48"/>
  <c r="BW51" i="48"/>
  <c r="BW55" i="48"/>
  <c r="BX51" i="48"/>
  <c r="BX55" i="48"/>
  <c r="BY51" i="48"/>
  <c r="BY55" i="48"/>
  <c r="BZ51" i="48"/>
  <c r="BZ55" i="48"/>
  <c r="CA51" i="48"/>
  <c r="CA55" i="48"/>
  <c r="BR56" i="48"/>
  <c r="BV51" i="48"/>
  <c r="BV56" i="48"/>
  <c r="BX56" i="48"/>
  <c r="BY56" i="48"/>
  <c r="BZ56" i="48"/>
  <c r="CA56" i="48"/>
  <c r="BR57" i="48"/>
  <c r="BV57" i="48"/>
  <c r="BW57" i="48"/>
  <c r="BY57" i="48"/>
  <c r="BZ57" i="48"/>
  <c r="CA57" i="48"/>
  <c r="BR58" i="48"/>
  <c r="BV58" i="48"/>
  <c r="BW58" i="48"/>
  <c r="BX58" i="48"/>
  <c r="BZ58" i="48"/>
  <c r="CA58" i="48"/>
  <c r="BR59" i="48"/>
  <c r="BV59" i="48"/>
  <c r="BW59" i="48"/>
  <c r="BX59" i="48"/>
  <c r="BY59" i="48"/>
  <c r="CA59" i="48"/>
  <c r="BR60" i="48"/>
  <c r="BV60" i="48"/>
  <c r="BW60" i="48"/>
  <c r="BX60" i="48"/>
  <c r="BY60" i="48"/>
  <c r="BZ60" i="48"/>
  <c r="BR33" i="48"/>
  <c r="BW29" i="48"/>
  <c r="BW33" i="48"/>
  <c r="BR34" i="48"/>
  <c r="BV29" i="48"/>
  <c r="BV34" i="48"/>
  <c r="BW44" i="48"/>
  <c r="BX29" i="48"/>
  <c r="BX33" i="48"/>
  <c r="BR35" i="48"/>
  <c r="BV35" i="48"/>
  <c r="BX44" i="48"/>
  <c r="BY29" i="48"/>
  <c r="BY33" i="48"/>
  <c r="BR36" i="48"/>
  <c r="BV36" i="48"/>
  <c r="BY44" i="48"/>
  <c r="BZ29" i="48"/>
  <c r="BZ33" i="48"/>
  <c r="BR37" i="48"/>
  <c r="BV37" i="48"/>
  <c r="BZ44" i="48"/>
  <c r="CA29" i="48"/>
  <c r="CA33" i="48"/>
  <c r="BR38" i="48"/>
  <c r="BV38" i="48"/>
  <c r="CA44" i="48"/>
  <c r="BV45" i="48"/>
  <c r="BX34" i="48"/>
  <c r="BW35" i="48"/>
  <c r="BX45" i="48"/>
  <c r="BY34" i="48"/>
  <c r="BW36" i="48"/>
  <c r="BY45" i="48"/>
  <c r="BZ34" i="48"/>
  <c r="BW37" i="48"/>
  <c r="BZ45" i="48"/>
  <c r="CA34" i="48"/>
  <c r="BW38" i="48"/>
  <c r="CA45" i="48"/>
  <c r="BV46" i="48"/>
  <c r="BW46" i="48"/>
  <c r="BY35" i="48"/>
  <c r="BX36" i="48"/>
  <c r="BY46" i="48"/>
  <c r="BZ35" i="48"/>
  <c r="BX37" i="48"/>
  <c r="BZ46" i="48"/>
  <c r="CA35" i="48"/>
  <c r="BX38" i="48"/>
  <c r="CA46" i="48"/>
  <c r="BV47" i="48"/>
  <c r="BW47" i="48"/>
  <c r="BX47" i="48"/>
  <c r="BZ36" i="48"/>
  <c r="BY37" i="48"/>
  <c r="BZ47" i="48"/>
  <c r="CA36" i="48"/>
  <c r="BY38" i="48"/>
  <c r="CA47" i="48"/>
  <c r="BV48" i="48"/>
  <c r="BW48" i="48"/>
  <c r="BX48" i="48"/>
  <c r="BY48" i="48"/>
  <c r="CA37" i="48"/>
  <c r="BZ38" i="48"/>
  <c r="CA48" i="48"/>
  <c r="BV49" i="48"/>
  <c r="BW49" i="48"/>
  <c r="BX49" i="48"/>
  <c r="BY49" i="48"/>
  <c r="BZ49" i="48"/>
  <c r="AE20" i="48"/>
  <c r="AE21" i="48"/>
  <c r="AE22" i="48"/>
  <c r="Q66" i="44"/>
  <c r="Q67" i="44"/>
  <c r="AH36" i="21" a="1"/>
  <c r="AH36" i="21"/>
  <c r="E112" i="9"/>
  <c r="R18" i="22"/>
  <c r="E111" i="9"/>
  <c r="R17" i="22"/>
  <c r="V10" i="22"/>
  <c r="V11" i="22"/>
  <c r="V15" i="22"/>
  <c r="AL10" i="39"/>
  <c r="AS44" i="39"/>
  <c r="AS43" i="39"/>
  <c r="AS42" i="39"/>
  <c r="E27" i="9"/>
  <c r="AV41" i="39"/>
  <c r="E26" i="9"/>
  <c r="E24" i="9"/>
  <c r="AQ41" i="39"/>
  <c r="E23" i="9"/>
  <c r="AP41" i="39"/>
  <c r="E22" i="9"/>
  <c r="AO41" i="39"/>
  <c r="E21" i="9"/>
  <c r="AN41" i="39"/>
  <c r="AS38" i="39"/>
  <c r="AS37" i="39"/>
  <c r="AS36" i="39"/>
  <c r="AV35" i="39"/>
  <c r="AQ35" i="39"/>
  <c r="AP35" i="39"/>
  <c r="AO35" i="39"/>
  <c r="AN35" i="39"/>
  <c r="AS32" i="39"/>
  <c r="AS31" i="39"/>
  <c r="AS30" i="39"/>
  <c r="AV29" i="39"/>
  <c r="AQ29" i="39"/>
  <c r="AP29" i="39"/>
  <c r="AO29" i="39"/>
  <c r="AN29" i="39"/>
  <c r="AS26" i="39"/>
  <c r="AS25" i="39"/>
  <c r="AS24" i="39"/>
  <c r="AV23" i="39"/>
  <c r="AQ23" i="39"/>
  <c r="AP23" i="39"/>
  <c r="AO23" i="39"/>
  <c r="AN23" i="39"/>
  <c r="AS20" i="39"/>
  <c r="AS19" i="39"/>
  <c r="AS18" i="39"/>
  <c r="AV17" i="39"/>
  <c r="AQ17" i="39"/>
  <c r="AP17" i="39"/>
  <c r="AO17" i="39"/>
  <c r="AN17" i="39"/>
  <c r="AS14" i="39"/>
  <c r="AS13" i="39"/>
  <c r="AS12" i="39"/>
  <c r="AV11" i="39"/>
  <c r="AQ11" i="39"/>
  <c r="AP11" i="39"/>
  <c r="AO11" i="39"/>
  <c r="AN11" i="39"/>
  <c r="AM11" i="39"/>
  <c r="Q72" i="48"/>
  <c r="Q71" i="48"/>
  <c r="Q70" i="48"/>
  <c r="Q69" i="48"/>
  <c r="Q68" i="48"/>
  <c r="Q67" i="48"/>
  <c r="C25" i="48"/>
  <c r="C24" i="48"/>
  <c r="C23" i="48"/>
  <c r="C22" i="48"/>
  <c r="C21" i="48"/>
  <c r="C20" i="48"/>
  <c r="BR49" i="48"/>
  <c r="BR48" i="48"/>
  <c r="BR47" i="48"/>
  <c r="BR46" i="48"/>
  <c r="BR45" i="48"/>
  <c r="BR44" i="48"/>
  <c r="CA40" i="48"/>
  <c r="BZ40" i="48"/>
  <c r="BY40" i="48"/>
  <c r="BX40" i="48"/>
  <c r="BW40" i="48"/>
  <c r="BV40" i="48"/>
  <c r="C38" i="48"/>
  <c r="C37" i="48"/>
  <c r="C36" i="48"/>
  <c r="C35" i="48"/>
  <c r="C34" i="48"/>
  <c r="C33" i="48"/>
  <c r="I25" i="48"/>
  <c r="G25" i="48"/>
  <c r="F25" i="48"/>
  <c r="E25" i="48"/>
  <c r="D25" i="48"/>
  <c r="I24" i="48"/>
  <c r="G24" i="48"/>
  <c r="F24" i="48"/>
  <c r="E24" i="48"/>
  <c r="D24" i="48"/>
  <c r="I23" i="48"/>
  <c r="G23" i="48"/>
  <c r="F23" i="48"/>
  <c r="E23" i="48"/>
  <c r="D23" i="48"/>
  <c r="I22" i="48"/>
  <c r="G22" i="48"/>
  <c r="F22" i="48"/>
  <c r="E22" i="48"/>
  <c r="D22" i="48"/>
  <c r="I21" i="48"/>
  <c r="G21" i="48"/>
  <c r="F21" i="48"/>
  <c r="E21" i="48"/>
  <c r="D21" i="48"/>
  <c r="I20" i="48"/>
  <c r="G20" i="48"/>
  <c r="F20" i="48"/>
  <c r="E20" i="48"/>
  <c r="D20" i="48"/>
  <c r="Q72" i="47"/>
  <c r="Q71" i="47"/>
  <c r="Q70" i="47"/>
  <c r="Q69" i="47"/>
  <c r="Q68" i="47"/>
  <c r="Q67" i="47"/>
  <c r="C25" i="47"/>
  <c r="C24" i="47"/>
  <c r="C23" i="47"/>
  <c r="C22" i="47"/>
  <c r="C21" i="47"/>
  <c r="C20" i="47"/>
  <c r="BR49" i="47"/>
  <c r="BR48" i="47"/>
  <c r="BR47" i="47"/>
  <c r="BR46" i="47"/>
  <c r="BR45" i="47"/>
  <c r="BR44" i="47"/>
  <c r="CA40" i="47"/>
  <c r="BZ40" i="47"/>
  <c r="BY40" i="47"/>
  <c r="BX40" i="47"/>
  <c r="BW40" i="47"/>
  <c r="BV40" i="47"/>
  <c r="C38" i="47"/>
  <c r="C37" i="47"/>
  <c r="C36" i="47"/>
  <c r="C35" i="47"/>
  <c r="C34" i="47"/>
  <c r="C33" i="47"/>
  <c r="I25" i="47"/>
  <c r="G25" i="47"/>
  <c r="F25" i="47"/>
  <c r="E25" i="47"/>
  <c r="D25" i="47"/>
  <c r="I24" i="47"/>
  <c r="G24" i="47"/>
  <c r="F24" i="47"/>
  <c r="E24" i="47"/>
  <c r="D24" i="47"/>
  <c r="I23" i="47"/>
  <c r="G23" i="47"/>
  <c r="F23" i="47"/>
  <c r="E23" i="47"/>
  <c r="D23" i="47"/>
  <c r="I22" i="47"/>
  <c r="G22" i="47"/>
  <c r="F22" i="47"/>
  <c r="E22" i="47"/>
  <c r="D22" i="47"/>
  <c r="I21" i="47"/>
  <c r="G21" i="47"/>
  <c r="F21" i="47"/>
  <c r="E21" i="47"/>
  <c r="D21" i="47"/>
  <c r="I20" i="47"/>
  <c r="G20" i="47"/>
  <c r="F20" i="47"/>
  <c r="E20" i="47"/>
  <c r="D20" i="47"/>
  <c r="Q72" i="46"/>
  <c r="Q71" i="46"/>
  <c r="Q70" i="46"/>
  <c r="Q69" i="46"/>
  <c r="Q68" i="46"/>
  <c r="Q67" i="46"/>
  <c r="C25" i="46"/>
  <c r="C24" i="46"/>
  <c r="C23" i="46"/>
  <c r="C22" i="46"/>
  <c r="C21" i="46"/>
  <c r="C20" i="46"/>
  <c r="BR49" i="46"/>
  <c r="BR48" i="46"/>
  <c r="BR47" i="46"/>
  <c r="BR46" i="46"/>
  <c r="BR45" i="46"/>
  <c r="BR44" i="46"/>
  <c r="CA40" i="46"/>
  <c r="BZ40" i="46"/>
  <c r="BY40" i="46"/>
  <c r="BX40" i="46"/>
  <c r="BW40" i="46"/>
  <c r="BV40" i="46"/>
  <c r="C38" i="46"/>
  <c r="C37" i="46"/>
  <c r="C36" i="46"/>
  <c r="C35" i="46"/>
  <c r="C34" i="46"/>
  <c r="C33" i="46"/>
  <c r="I25" i="46"/>
  <c r="G25" i="46"/>
  <c r="F25" i="46"/>
  <c r="E25" i="46"/>
  <c r="D25" i="46"/>
  <c r="I24" i="46"/>
  <c r="G24" i="46"/>
  <c r="F24" i="46"/>
  <c r="E24" i="46"/>
  <c r="D24" i="46"/>
  <c r="I23" i="46"/>
  <c r="G23" i="46"/>
  <c r="F23" i="46"/>
  <c r="E23" i="46"/>
  <c r="D23" i="46"/>
  <c r="I22" i="46"/>
  <c r="G22" i="46"/>
  <c r="F22" i="46"/>
  <c r="E22" i="46"/>
  <c r="D22" i="46"/>
  <c r="I21" i="46"/>
  <c r="G21" i="46"/>
  <c r="F21" i="46"/>
  <c r="E21" i="46"/>
  <c r="D21" i="46"/>
  <c r="I20" i="46"/>
  <c r="G20" i="46"/>
  <c r="F20" i="46"/>
  <c r="E20" i="46"/>
  <c r="D20" i="46"/>
  <c r="Q72" i="45"/>
  <c r="Q71" i="45"/>
  <c r="Q70" i="45"/>
  <c r="Q69" i="45"/>
  <c r="Q68" i="45"/>
  <c r="Q67" i="45"/>
  <c r="U10" i="39"/>
  <c r="AG10" i="39"/>
  <c r="Q72" i="44"/>
  <c r="Q71" i="44"/>
  <c r="Q70" i="44"/>
  <c r="Q69" i="44"/>
  <c r="Q68" i="44"/>
  <c r="Q72" i="43"/>
  <c r="Q71" i="43"/>
  <c r="Q70" i="43"/>
  <c r="Q69" i="43"/>
  <c r="Q68" i="43"/>
  <c r="Q72" i="42"/>
  <c r="Q71" i="42"/>
  <c r="Q70" i="42"/>
  <c r="Q69" i="42"/>
  <c r="Q68" i="42"/>
  <c r="Q72" i="41"/>
  <c r="Q71" i="41"/>
  <c r="Q70" i="41"/>
  <c r="Q69" i="41"/>
  <c r="Q68" i="41"/>
  <c r="AB45" i="39"/>
  <c r="AB44" i="39"/>
  <c r="AE43" i="39"/>
  <c r="AA43" i="39"/>
  <c r="Z43" i="39"/>
  <c r="Y43" i="39"/>
  <c r="X43" i="39"/>
  <c r="W43" i="39"/>
  <c r="AB39" i="39"/>
  <c r="AB38" i="39"/>
  <c r="AB37" i="39"/>
  <c r="AB36" i="39"/>
  <c r="AE35" i="39"/>
  <c r="Z35" i="39"/>
  <c r="Y35" i="39"/>
  <c r="X35" i="39"/>
  <c r="W35" i="39"/>
  <c r="AB31" i="39"/>
  <c r="AB30" i="39"/>
  <c r="AB29" i="39"/>
  <c r="AB28" i="39"/>
  <c r="AE27" i="39"/>
  <c r="Z27" i="39"/>
  <c r="Y27" i="39"/>
  <c r="X27" i="39"/>
  <c r="W27" i="39"/>
  <c r="AB23" i="39"/>
  <c r="AB22" i="39"/>
  <c r="AB21" i="39"/>
  <c r="AB20" i="39"/>
  <c r="AE19" i="39"/>
  <c r="Z19" i="39"/>
  <c r="Y19" i="39"/>
  <c r="X19" i="39"/>
  <c r="W19" i="39"/>
  <c r="AB15" i="39"/>
  <c r="AB14" i="39"/>
  <c r="AB13" i="39"/>
  <c r="AB12" i="39"/>
  <c r="AE11" i="39"/>
  <c r="Z11" i="39"/>
  <c r="Y11" i="39"/>
  <c r="X11" i="39"/>
  <c r="W11" i="39"/>
  <c r="C12" i="39" a="1"/>
  <c r="C12" i="39"/>
  <c r="M29" i="39"/>
  <c r="M30" i="39"/>
  <c r="M31" i="39"/>
  <c r="M32" i="39"/>
  <c r="M33" i="39"/>
  <c r="M34" i="39"/>
  <c r="M35" i="39"/>
  <c r="M36" i="39"/>
  <c r="Q72" i="40"/>
  <c r="Q71" i="40"/>
  <c r="Q70" i="40"/>
  <c r="Q69" i="40"/>
  <c r="Q68" i="40"/>
  <c r="AI43" i="39"/>
  <c r="AH43" i="39"/>
  <c r="I40" i="39"/>
  <c r="E104" i="9"/>
  <c r="F40" i="39"/>
  <c r="AI35" i="39"/>
  <c r="AH35" i="39"/>
  <c r="E29" i="9"/>
  <c r="C38" i="39"/>
  <c r="M28" i="39"/>
  <c r="M27" i="39"/>
  <c r="M26" i="39"/>
  <c r="AI27" i="39"/>
  <c r="AH27" i="39"/>
  <c r="M25" i="39"/>
  <c r="M24" i="39"/>
  <c r="M23" i="39"/>
  <c r="M22" i="39"/>
  <c r="M21" i="39"/>
  <c r="M20" i="39"/>
  <c r="M19" i="39"/>
  <c r="AI19" i="39"/>
  <c r="AH19" i="39"/>
  <c r="M18" i="39"/>
  <c r="M17" i="39"/>
  <c r="M16" i="39"/>
  <c r="M15" i="39"/>
  <c r="M14" i="39"/>
  <c r="M13" i="39"/>
  <c r="M12" i="39"/>
  <c r="E12" i="39"/>
  <c r="AI11" i="39"/>
  <c r="AH11" i="39"/>
  <c r="E15" i="9"/>
  <c r="I11" i="39"/>
  <c r="E34" i="9"/>
  <c r="F11" i="39"/>
  <c r="E11" i="39"/>
  <c r="D11" i="39"/>
  <c r="E9" i="9"/>
  <c r="C11" i="39"/>
  <c r="E20" i="9"/>
  <c r="S10" i="39"/>
  <c r="E32" i="9"/>
  <c r="C10" i="39"/>
  <c r="E88" i="9"/>
  <c r="E19" i="9"/>
  <c r="K7" i="39"/>
  <c r="G5" i="39"/>
  <c r="G4" i="39"/>
  <c r="G3" i="39"/>
  <c r="G2" i="39"/>
  <c r="F11" i="36"/>
  <c r="F11" i="24"/>
  <c r="V10" i="36"/>
  <c r="I11" i="36"/>
  <c r="E11" i="36"/>
  <c r="D11" i="36"/>
  <c r="C11" i="36"/>
  <c r="E53" i="9"/>
  <c r="C10" i="36"/>
  <c r="E114" i="9"/>
  <c r="X10" i="36"/>
  <c r="Q72" i="37"/>
  <c r="Q71" i="37"/>
  <c r="Q70" i="37"/>
  <c r="Q69" i="37"/>
  <c r="Q68" i="37"/>
  <c r="Q67" i="37"/>
  <c r="C25" i="37"/>
  <c r="C24" i="37"/>
  <c r="C23" i="37"/>
  <c r="C22" i="37"/>
  <c r="C21" i="37"/>
  <c r="C20" i="37"/>
  <c r="BR49" i="37"/>
  <c r="BR48" i="37"/>
  <c r="BR47" i="37"/>
  <c r="BR46" i="37"/>
  <c r="BR45" i="37"/>
  <c r="BR44" i="37"/>
  <c r="CA40" i="37"/>
  <c r="BZ40" i="37"/>
  <c r="BY40" i="37"/>
  <c r="BX40" i="37"/>
  <c r="BW40" i="37"/>
  <c r="BV40" i="37"/>
  <c r="C38" i="37"/>
  <c r="C37" i="37"/>
  <c r="C36" i="37"/>
  <c r="C35" i="37"/>
  <c r="C34" i="37"/>
  <c r="C33" i="37"/>
  <c r="I25" i="37"/>
  <c r="G25" i="37"/>
  <c r="F25" i="37"/>
  <c r="E25" i="37"/>
  <c r="D25" i="37"/>
  <c r="I24" i="37"/>
  <c r="G24" i="37"/>
  <c r="F24" i="37"/>
  <c r="E24" i="37"/>
  <c r="D24" i="37"/>
  <c r="I23" i="37"/>
  <c r="G23" i="37"/>
  <c r="F23" i="37"/>
  <c r="E23" i="37"/>
  <c r="D23" i="37"/>
  <c r="I22" i="37"/>
  <c r="G22" i="37"/>
  <c r="F22" i="37"/>
  <c r="E22" i="37"/>
  <c r="D22" i="37"/>
  <c r="I21" i="37"/>
  <c r="G21" i="37"/>
  <c r="F21" i="37"/>
  <c r="E21" i="37"/>
  <c r="D21" i="37"/>
  <c r="I20" i="37"/>
  <c r="G20" i="37"/>
  <c r="F20" i="37"/>
  <c r="E20" i="37"/>
  <c r="D20" i="37"/>
  <c r="I21" i="36"/>
  <c r="F21" i="36"/>
  <c r="Y17" i="36"/>
  <c r="E12" i="36"/>
  <c r="E13" i="36"/>
  <c r="I19" i="36"/>
  <c r="P17" i="36"/>
  <c r="M17" i="36"/>
  <c r="E106" i="9"/>
  <c r="F17" i="36"/>
  <c r="E17" i="36"/>
  <c r="P16" i="36"/>
  <c r="M16" i="36"/>
  <c r="E105" i="9"/>
  <c r="F16" i="36"/>
  <c r="E16" i="36"/>
  <c r="E54" i="9"/>
  <c r="C15" i="36"/>
  <c r="P13" i="36"/>
  <c r="M13" i="36"/>
  <c r="P12" i="36"/>
  <c r="M12" i="36"/>
  <c r="AE14" i="36"/>
  <c r="AE13" i="36"/>
  <c r="AE12" i="36"/>
  <c r="AH11" i="36"/>
  <c r="AC11" i="36"/>
  <c r="AB11" i="36"/>
  <c r="AA11" i="36"/>
  <c r="Z11" i="36"/>
  <c r="Y11" i="36"/>
  <c r="E113"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71" i="9"/>
  <c r="U10" i="21"/>
  <c r="Y11" i="24"/>
  <c r="E56" i="9"/>
  <c r="B3" i="35"/>
  <c r="F34" i="35"/>
  <c r="E28" i="9"/>
  <c r="E34" i="35"/>
  <c r="D34" i="35"/>
  <c r="C34" i="35"/>
  <c r="F25" i="35"/>
  <c r="E25" i="35"/>
  <c r="D25" i="35"/>
  <c r="C25" i="35"/>
  <c r="F16" i="35"/>
  <c r="E16" i="35"/>
  <c r="D16" i="35"/>
  <c r="C16" i="35"/>
  <c r="F7" i="35"/>
  <c r="E7" i="35"/>
  <c r="D7" i="35"/>
  <c r="C7" i="35"/>
  <c r="E94" i="9"/>
  <c r="B4" i="35"/>
  <c r="E7" i="9"/>
  <c r="B2" i="35"/>
  <c r="C31" i="21"/>
  <c r="E21" i="24"/>
  <c r="E20" i="24"/>
  <c r="E18" i="24"/>
  <c r="E17" i="24"/>
  <c r="Y23" i="24"/>
  <c r="Y17" i="24"/>
  <c r="E12" i="24"/>
  <c r="C11" i="21"/>
  <c r="B13" i="6"/>
  <c r="B12" i="6"/>
  <c r="T11" i="22"/>
  <c r="Y17" i="22"/>
  <c r="X17" i="22"/>
  <c r="W17" i="22"/>
  <c r="E115" i="9"/>
  <c r="E116" i="9"/>
  <c r="E117" i="9"/>
  <c r="E58" i="9"/>
  <c r="C10" i="24"/>
  <c r="E57" i="9"/>
  <c r="X10" i="24"/>
  <c r="AE14" i="24"/>
  <c r="AE13" i="24"/>
  <c r="AE12" i="24"/>
  <c r="AH11" i="24"/>
  <c r="AC11" i="24"/>
  <c r="AB11" i="24"/>
  <c r="AA11" i="24"/>
  <c r="Z11" i="24"/>
  <c r="Q72" i="33"/>
  <c r="Q71" i="33"/>
  <c r="Q70" i="33"/>
  <c r="Q69" i="33"/>
  <c r="Q68" i="33"/>
  <c r="Q67" i="33"/>
  <c r="C25" i="33"/>
  <c r="C24" i="33"/>
  <c r="C23" i="33"/>
  <c r="C22" i="33"/>
  <c r="C21" i="33"/>
  <c r="C20" i="33"/>
  <c r="BR49" i="33"/>
  <c r="BR48" i="33"/>
  <c r="BR47" i="33"/>
  <c r="BR46" i="33"/>
  <c r="BR45" i="33"/>
  <c r="BR44" i="33"/>
  <c r="CA40" i="33"/>
  <c r="BZ40" i="33"/>
  <c r="BY40" i="33"/>
  <c r="BX40" i="33"/>
  <c r="BW40" i="33"/>
  <c r="BV40" i="33"/>
  <c r="C38" i="33"/>
  <c r="C37" i="33"/>
  <c r="C36" i="33"/>
  <c r="C35" i="33"/>
  <c r="C34" i="33"/>
  <c r="C33" i="33"/>
  <c r="I25" i="33"/>
  <c r="G25" i="33"/>
  <c r="F25" i="33"/>
  <c r="E25" i="33"/>
  <c r="D25" i="33"/>
  <c r="I24" i="33"/>
  <c r="G24" i="33"/>
  <c r="F24" i="33"/>
  <c r="E24" i="33"/>
  <c r="D24" i="33"/>
  <c r="I23" i="33"/>
  <c r="G23" i="33"/>
  <c r="F23" i="33"/>
  <c r="E23" i="33"/>
  <c r="D23" i="33"/>
  <c r="I22" i="33"/>
  <c r="G22" i="33"/>
  <c r="F22" i="33"/>
  <c r="E22" i="33"/>
  <c r="D22" i="33"/>
  <c r="I21" i="33"/>
  <c r="G21" i="33"/>
  <c r="F21" i="33"/>
  <c r="E21" i="33"/>
  <c r="D21" i="33"/>
  <c r="I20" i="33"/>
  <c r="G20" i="33"/>
  <c r="F20" i="33"/>
  <c r="E20" i="33"/>
  <c r="D20" i="33"/>
  <c r="AN30" i="6"/>
  <c r="AN31" i="6"/>
  <c r="AN21" i="6"/>
  <c r="AN20" i="6"/>
  <c r="AO11" i="6"/>
  <c r="AN11" i="6"/>
  <c r="AN10" i="6"/>
  <c r="E110" i="9"/>
  <c r="R16" i="22"/>
  <c r="E109" i="9"/>
  <c r="R15" i="22"/>
  <c r="I33" i="21"/>
  <c r="U45" i="21"/>
  <c r="U38" i="21"/>
  <c r="AB49" i="21"/>
  <c r="AB48" i="21"/>
  <c r="AB47" i="21"/>
  <c r="AE46" i="21"/>
  <c r="Z46" i="21"/>
  <c r="Y46" i="21"/>
  <c r="X46" i="21"/>
  <c r="W46" i="21"/>
  <c r="AB42" i="21"/>
  <c r="AB41" i="21"/>
  <c r="AB40" i="21"/>
  <c r="AE39" i="21"/>
  <c r="Z39" i="21"/>
  <c r="Y39" i="21"/>
  <c r="X39" i="21"/>
  <c r="W39" i="21"/>
  <c r="Q72" i="31"/>
  <c r="Q71" i="31"/>
  <c r="Q70" i="31"/>
  <c r="Q69" i="31"/>
  <c r="Q68" i="31"/>
  <c r="Q67" i="31"/>
  <c r="Q72" i="30"/>
  <c r="Q71" i="30"/>
  <c r="Q70" i="30"/>
  <c r="Q69" i="30"/>
  <c r="Q68" i="30"/>
  <c r="Q67" i="30"/>
  <c r="U31" i="21"/>
  <c r="AB35" i="21"/>
  <c r="AB34" i="21"/>
  <c r="AB33" i="21"/>
  <c r="AE32" i="21"/>
  <c r="Z32" i="21"/>
  <c r="Y32" i="21"/>
  <c r="X32" i="21"/>
  <c r="W32" i="21"/>
  <c r="U24" i="21"/>
  <c r="Q72" i="29"/>
  <c r="Q71" i="29"/>
  <c r="Q70" i="29"/>
  <c r="Q69" i="29"/>
  <c r="Q68" i="29"/>
  <c r="Q67" i="29"/>
  <c r="AB28" i="21"/>
  <c r="AB27" i="21"/>
  <c r="AB26" i="21"/>
  <c r="AE25" i="21"/>
  <c r="Z25" i="21"/>
  <c r="Y25" i="21"/>
  <c r="X25" i="21"/>
  <c r="W25" i="21"/>
  <c r="Q72" i="28"/>
  <c r="Q71" i="28"/>
  <c r="Q70" i="28"/>
  <c r="Q69" i="28"/>
  <c r="Q68" i="28"/>
  <c r="Q67" i="28"/>
  <c r="Q72" i="27"/>
  <c r="Q71" i="27"/>
  <c r="Q70" i="27"/>
  <c r="Q69" i="27"/>
  <c r="Q68" i="27"/>
  <c r="Q67" i="27"/>
  <c r="U17" i="21"/>
  <c r="AB21" i="21"/>
  <c r="AB20" i="21"/>
  <c r="AB19" i="21"/>
  <c r="AE18" i="21"/>
  <c r="Z18" i="21"/>
  <c r="Y18" i="21"/>
  <c r="X18" i="21"/>
  <c r="W18" i="21"/>
  <c r="AB13" i="21"/>
  <c r="AB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V135" i="26"/>
  <c r="W135" i="26"/>
  <c r="X135" i="26"/>
  <c r="Y135" i="26"/>
  <c r="V134" i="26"/>
  <c r="W134" i="26"/>
  <c r="X134" i="26"/>
  <c r="Y134" i="26"/>
  <c r="V133" i="26"/>
  <c r="W133" i="26"/>
  <c r="X133" i="26"/>
  <c r="Y133" i="26"/>
  <c r="V132" i="26"/>
  <c r="W132" i="26"/>
  <c r="X132" i="26"/>
  <c r="Y132" i="26"/>
  <c r="V131" i="26"/>
  <c r="W131" i="26"/>
  <c r="X131" i="26"/>
  <c r="Y131" i="26"/>
  <c r="V130" i="26"/>
  <c r="W130" i="26"/>
  <c r="X130" i="26"/>
  <c r="Y130" i="26"/>
  <c r="V129" i="26"/>
  <c r="W129" i="26"/>
  <c r="X129" i="26"/>
  <c r="Y129" i="26"/>
  <c r="V128" i="26"/>
  <c r="W128" i="26"/>
  <c r="X128" i="26"/>
  <c r="Y128" i="26"/>
  <c r="V127" i="26"/>
  <c r="W127" i="26"/>
  <c r="X127" i="26"/>
  <c r="Y127" i="26"/>
  <c r="V126" i="26"/>
  <c r="W126" i="26"/>
  <c r="X126" i="26"/>
  <c r="Y126" i="26"/>
  <c r="V125" i="26"/>
  <c r="W125" i="26"/>
  <c r="X125" i="26"/>
  <c r="Y125" i="26"/>
  <c r="V124" i="26"/>
  <c r="W124" i="26"/>
  <c r="X124" i="26"/>
  <c r="Y124" i="26"/>
  <c r="V123" i="26"/>
  <c r="W123" i="26"/>
  <c r="X123" i="26"/>
  <c r="Y123" i="26"/>
  <c r="V122" i="26"/>
  <c r="W122" i="26"/>
  <c r="X122" i="26"/>
  <c r="Y122" i="26"/>
  <c r="V121" i="26"/>
  <c r="W121" i="26"/>
  <c r="X121" i="26"/>
  <c r="Y121" i="26"/>
  <c r="V120" i="26"/>
  <c r="W120" i="26"/>
  <c r="X120" i="26"/>
  <c r="Y120" i="26"/>
  <c r="V119" i="26"/>
  <c r="W119" i="26"/>
  <c r="X119" i="26"/>
  <c r="Y119" i="26"/>
  <c r="V118" i="26"/>
  <c r="W118" i="26"/>
  <c r="X118" i="26"/>
  <c r="Y118" i="26"/>
  <c r="V117" i="26"/>
  <c r="W117" i="26"/>
  <c r="X117" i="26"/>
  <c r="Y117" i="26"/>
  <c r="V116" i="26"/>
  <c r="W116" i="26"/>
  <c r="X116" i="26"/>
  <c r="Y116" i="26"/>
  <c r="V115" i="26"/>
  <c r="W115" i="26"/>
  <c r="X115" i="26"/>
  <c r="Y115" i="26"/>
  <c r="V114" i="26"/>
  <c r="W114" i="26"/>
  <c r="X114" i="26"/>
  <c r="Y114" i="26"/>
  <c r="V113" i="26"/>
  <c r="W113" i="26"/>
  <c r="X113" i="26"/>
  <c r="Y113" i="26"/>
  <c r="V112" i="26"/>
  <c r="W112" i="26"/>
  <c r="X112" i="26"/>
  <c r="Y112" i="26"/>
  <c r="V111" i="26"/>
  <c r="W111" i="26"/>
  <c r="X111" i="26"/>
  <c r="Y111" i="26"/>
  <c r="V110" i="26"/>
  <c r="W110" i="26"/>
  <c r="X110" i="26"/>
  <c r="Y110" i="26"/>
  <c r="V109" i="26"/>
  <c r="W109" i="26"/>
  <c r="X109" i="26"/>
  <c r="Y109" i="26"/>
  <c r="Q72" i="26"/>
  <c r="Q71" i="26"/>
  <c r="Q70" i="26"/>
  <c r="AB12" i="21"/>
  <c r="AE11" i="21"/>
  <c r="Z11" i="21"/>
  <c r="Y11" i="21"/>
  <c r="X11" i="21"/>
  <c r="W11" i="21"/>
  <c r="AH11" i="21"/>
  <c r="E12" i="21"/>
  <c r="S10" i="21"/>
  <c r="F11" i="21"/>
  <c r="E11" i="21"/>
  <c r="D11" i="21"/>
  <c r="C10" i="21"/>
  <c r="Q32" i="6"/>
  <c r="Q22" i="6"/>
  <c r="AA33" i="6"/>
  <c r="AA34" i="6"/>
  <c r="AA35" i="6"/>
  <c r="AA36" i="6"/>
  <c r="AA37" i="6"/>
  <c r="Q30" i="6"/>
  <c r="AA32" i="6"/>
  <c r="AD31" i="6"/>
  <c r="V31" i="6"/>
  <c r="U31" i="6"/>
  <c r="T31" i="6"/>
  <c r="S31" i="6"/>
  <c r="E40" i="9"/>
  <c r="Q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Q72" i="25"/>
  <c r="Q71" i="25"/>
  <c r="Q70" i="25"/>
  <c r="C37" i="22"/>
  <c r="C39" i="22"/>
  <c r="E107" i="9"/>
  <c r="E108" i="9"/>
  <c r="R23" i="22"/>
  <c r="E103" i="9"/>
  <c r="D11" i="14"/>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I11" i="24"/>
  <c r="E11" i="24"/>
  <c r="D11" i="24"/>
  <c r="V10" i="24"/>
  <c r="J7" i="24"/>
  <c r="G5" i="24"/>
  <c r="G4" i="24"/>
  <c r="G3" i="24"/>
  <c r="G2" i="24"/>
  <c r="E41" i="9"/>
  <c r="R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R13" i="22"/>
  <c r="E44" i="9"/>
  <c r="R11" i="22"/>
  <c r="E43" i="9"/>
  <c r="R9" i="22"/>
  <c r="E42" i="9"/>
  <c r="R7" i="22"/>
  <c r="E45" i="9"/>
  <c r="T5" i="22"/>
  <c r="R5" i="22"/>
  <c r="E31" i="9"/>
  <c r="L5" i="22"/>
  <c r="I5" i="22"/>
  <c r="E17" i="9"/>
  <c r="H5" i="22"/>
  <c r="G5" i="22"/>
  <c r="F5" i="22"/>
  <c r="E5" i="22"/>
  <c r="C5" i="22"/>
  <c r="P4" i="22"/>
  <c r="E4" i="22"/>
  <c r="C4" i="22"/>
  <c r="E30" i="9"/>
  <c r="E2" i="22"/>
  <c r="F33" i="21"/>
  <c r="K7" i="21"/>
  <c r="G5" i="21"/>
  <c r="G4" i="21"/>
  <c r="G3" i="21"/>
  <c r="G2" i="21"/>
  <c r="F34" i="20"/>
  <c r="E34" i="20"/>
  <c r="D34" i="20"/>
  <c r="C34" i="20"/>
  <c r="F25" i="20"/>
  <c r="E25" i="20"/>
  <c r="D25" i="20"/>
  <c r="C25" i="20"/>
  <c r="F16" i="20"/>
  <c r="E16" i="20"/>
  <c r="D16" i="20"/>
  <c r="C16" i="20"/>
  <c r="F7" i="20"/>
  <c r="E7" i="20"/>
  <c r="D7" i="20"/>
  <c r="C7" i="20"/>
  <c r="B4" i="20"/>
  <c r="B2" i="20"/>
  <c r="E11" i="6"/>
  <c r="E18" i="9"/>
  <c r="K7" i="6"/>
  <c r="AA23" i="6"/>
  <c r="AA24" i="6"/>
  <c r="AA25" i="6"/>
  <c r="AA26" i="6"/>
  <c r="AA27" i="6"/>
  <c r="Q12" i="6"/>
  <c r="Q20" i="6"/>
  <c r="AA22" i="6"/>
  <c r="AD21" i="6"/>
  <c r="V21" i="6"/>
  <c r="U21" i="6"/>
  <c r="T21" i="6"/>
  <c r="S21" i="6"/>
  <c r="Q10" i="6"/>
  <c r="Q72" i="17"/>
  <c r="Q71" i="17"/>
  <c r="Q70" i="17"/>
  <c r="Q72" i="3"/>
  <c r="Q71" i="3"/>
  <c r="Q70" i="3"/>
  <c r="E102" i="9"/>
  <c r="B11" i="14"/>
  <c r="E13" i="9"/>
  <c r="E90" i="9"/>
  <c r="E91" i="9"/>
  <c r="E12" i="9"/>
  <c r="E11" i="9"/>
  <c r="E8" i="9"/>
  <c r="E38" i="9"/>
  <c r="E93" i="9"/>
  <c r="E89" i="9"/>
  <c r="E95" i="9"/>
  <c r="E98" i="9"/>
  <c r="E97" i="9"/>
  <c r="E99" i="9"/>
  <c r="B5" i="14"/>
  <c r="E126" i="9"/>
  <c r="BY40" i="3"/>
  <c r="BR47" i="3"/>
  <c r="BZ40" i="3"/>
  <c r="BR48" i="3"/>
  <c r="E52" i="9"/>
  <c r="E51" i="9"/>
  <c r="B1" i="14"/>
  <c r="E50" i="9"/>
  <c r="A1" i="13"/>
  <c r="CA40" i="3"/>
  <c r="BR49" i="3"/>
  <c r="D11" i="6"/>
  <c r="C11" i="6"/>
  <c r="E47" i="9"/>
  <c r="E46" i="9"/>
  <c r="B4" i="10"/>
  <c r="F34" i="10"/>
  <c r="F16" i="10"/>
  <c r="F25" i="10"/>
  <c r="F7" i="10"/>
  <c r="B2" i="10"/>
  <c r="E34" i="10"/>
  <c r="D34" i="10"/>
  <c r="C34" i="10"/>
  <c r="E25" i="10"/>
  <c r="D25" i="10"/>
  <c r="C25" i="10"/>
  <c r="E16" i="10"/>
  <c r="D16" i="10"/>
  <c r="C16" i="10"/>
  <c r="D7" i="10"/>
  <c r="E7" i="10"/>
  <c r="C7" i="10"/>
  <c r="E92" i="9"/>
  <c r="L1" i="9"/>
  <c r="E35" i="9"/>
  <c r="E36" i="9"/>
  <c r="E37" i="9"/>
  <c r="F87" i="9"/>
  <c r="C5" i="9"/>
  <c r="F1" i="9"/>
  <c r="F5" i="9"/>
  <c r="AA13" i="6"/>
  <c r="AA14" i="6"/>
  <c r="AA15" i="6"/>
  <c r="AA16" i="6"/>
  <c r="AA17" i="6"/>
  <c r="AA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AD11" i="6"/>
  <c r="V11" i="6"/>
  <c r="U11" i="6"/>
  <c r="T11" i="6"/>
  <c r="S11" i="6"/>
  <c r="F11" i="6"/>
  <c r="B11" i="6"/>
  <c r="B10" i="6"/>
  <c r="K1" i="9"/>
  <c r="C31" i="3"/>
  <c r="C32" i="3"/>
  <c r="C33" i="3"/>
  <c r="C34" i="3"/>
  <c r="C35" i="3"/>
  <c r="C36" i="3"/>
  <c r="C37" i="3"/>
  <c r="C38" i="3"/>
  <c r="C30" i="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T25" i="22" a="1"/>
  <c r="T25" i="22"/>
  <c r="F8" i="34"/>
  <c r="E3" i="34"/>
  <c r="S25" i="22" a="1"/>
  <c r="S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R26" i="22"/>
  <c r="R27" i="22"/>
  <c r="C12" i="36" a="1"/>
  <c r="C12" i="36"/>
  <c r="C13" i="36"/>
  <c r="C16" i="36"/>
  <c r="C17" i="36"/>
  <c r="AH22" i="21" a="1"/>
  <c r="AH22" i="21"/>
  <c r="AH29" i="21" a="1"/>
  <c r="AH29" i="21"/>
  <c r="AH43" i="21" a="1"/>
  <c r="AH43" i="21"/>
  <c r="AH50" i="21" a="1"/>
  <c r="S13" i="22" a="1"/>
  <c r="S13" i="22"/>
  <c r="D12" i="39"/>
  <c r="D12" i="24"/>
  <c r="D12" i="21"/>
  <c r="AD40" i="6"/>
  <c r="D12" i="36"/>
  <c r="D13" i="36"/>
  <c r="D16" i="36"/>
  <c r="D17" i="36"/>
  <c r="K19" i="36"/>
  <c r="S17" i="22"/>
  <c r="AH46" i="39" a="1"/>
  <c r="AH40" i="39" a="1"/>
  <c r="AH24" i="39" a="1"/>
  <c r="AH32" i="39" a="1"/>
  <c r="AG17" i="3"/>
  <c r="AH17" i="3"/>
  <c r="AG18" i="3"/>
  <c r="AH18" i="3"/>
  <c r="AG19" i="3"/>
  <c r="AH19" i="3"/>
  <c r="AG20" i="3"/>
  <c r="AH20" i="3"/>
  <c r="AG21" i="3"/>
  <c r="AH21" i="3"/>
  <c r="AG22" i="3"/>
  <c r="AH22" i="3"/>
  <c r="AG23" i="3"/>
  <c r="AH23" i="3"/>
  <c r="AG24" i="3"/>
  <c r="AH24" i="3"/>
  <c r="AG25" i="3"/>
  <c r="AH25" i="3"/>
  <c r="BR52" i="37"/>
  <c r="BS51" i="37"/>
  <c r="BV52" i="37"/>
  <c r="BW52" i="37"/>
  <c r="BX52" i="37"/>
  <c r="BY52" i="37"/>
  <c r="BZ52" i="37"/>
  <c r="CA52" i="37"/>
  <c r="BS55" i="37"/>
  <c r="BS56" i="37"/>
  <c r="BS57" i="37"/>
  <c r="BS58" i="37"/>
  <c r="BS59" i="37"/>
  <c r="BS60" i="37"/>
  <c r="BR41" i="37"/>
  <c r="BS40" i="37"/>
  <c r="BR30" i="37"/>
  <c r="BS29" i="37"/>
  <c r="BV30" i="37"/>
  <c r="BS33" i="37"/>
  <c r="BV41" i="37"/>
  <c r="BW30" i="37"/>
  <c r="BS34" i="37"/>
  <c r="BW41" i="37"/>
  <c r="BX30" i="37"/>
  <c r="BS35" i="37"/>
  <c r="BX41" i="37"/>
  <c r="BY30" i="37"/>
  <c r="BS36" i="37"/>
  <c r="BY41" i="37"/>
  <c r="BZ30" i="37"/>
  <c r="BS37" i="37"/>
  <c r="BZ41" i="37"/>
  <c r="CA30" i="37"/>
  <c r="BS38" i="37"/>
  <c r="CA41" i="37"/>
  <c r="BS44" i="37"/>
  <c r="BS45" i="37"/>
  <c r="BS46" i="37"/>
  <c r="BS47" i="37"/>
  <c r="BS48" i="37"/>
  <c r="BS49" i="37"/>
  <c r="AE17" i="37"/>
  <c r="BR52" i="33"/>
  <c r="BS51" i="33"/>
  <c r="BV52" i="33"/>
  <c r="BW52" i="33"/>
  <c r="BX52" i="33"/>
  <c r="BY52" i="33"/>
  <c r="BZ52" i="33"/>
  <c r="CA52" i="33"/>
  <c r="BS55" i="33"/>
  <c r="BS56" i="33"/>
  <c r="BS57" i="33"/>
  <c r="BS58" i="33"/>
  <c r="BS59" i="33"/>
  <c r="BS60" i="33"/>
  <c r="BR41" i="33"/>
  <c r="BS40" i="33"/>
  <c r="BR30" i="33"/>
  <c r="BS29" i="33"/>
  <c r="BV30" i="33"/>
  <c r="BS33" i="33"/>
  <c r="BV41" i="33"/>
  <c r="BW30" i="33"/>
  <c r="BS34" i="33"/>
  <c r="BW41" i="33"/>
  <c r="BX30" i="33"/>
  <c r="BS35" i="33"/>
  <c r="BX41" i="33"/>
  <c r="BY30" i="33"/>
  <c r="BS36" i="33"/>
  <c r="BY41" i="33"/>
  <c r="BZ30" i="33"/>
  <c r="BS37" i="33"/>
  <c r="BZ41" i="33"/>
  <c r="CA30" i="33"/>
  <c r="BS38" i="33"/>
  <c r="CA41" i="33"/>
  <c r="BS44" i="33"/>
  <c r="BS45" i="33"/>
  <c r="BS46" i="33"/>
  <c r="BS47" i="33"/>
  <c r="BS48" i="33"/>
  <c r="BS49" i="33"/>
  <c r="AE17" i="33"/>
  <c r="C30" i="45"/>
  <c r="I17" i="45"/>
  <c r="H17" i="45"/>
  <c r="G17" i="45"/>
  <c r="F17" i="45"/>
  <c r="E17" i="45"/>
  <c r="D17" i="45"/>
  <c r="BR52" i="46"/>
  <c r="BS51" i="46"/>
  <c r="BV52" i="46"/>
  <c r="BW52" i="46"/>
  <c r="BX52" i="46"/>
  <c r="BY52" i="46"/>
  <c r="BZ52" i="46"/>
  <c r="CA52" i="46"/>
  <c r="BS55" i="46"/>
  <c r="BS56" i="46"/>
  <c r="BS57" i="46"/>
  <c r="BS58" i="46"/>
  <c r="BS59" i="46"/>
  <c r="BS60" i="46"/>
  <c r="BR41" i="46"/>
  <c r="BS40" i="46"/>
  <c r="BR30" i="46"/>
  <c r="BS29" i="46"/>
  <c r="BV30" i="46"/>
  <c r="BS33" i="46"/>
  <c r="BV41" i="46"/>
  <c r="BW30" i="46"/>
  <c r="BS34" i="46"/>
  <c r="BW41" i="46"/>
  <c r="BX30" i="46"/>
  <c r="BS35" i="46"/>
  <c r="BX41" i="46"/>
  <c r="BY30" i="46"/>
  <c r="BS36" i="46"/>
  <c r="BY41" i="46"/>
  <c r="BZ30" i="46"/>
  <c r="BS37" i="46"/>
  <c r="BZ41" i="46"/>
  <c r="CA30" i="46"/>
  <c r="BS38" i="46"/>
  <c r="CA41" i="46"/>
  <c r="BS44" i="46"/>
  <c r="BS45" i="46"/>
  <c r="BS46" i="46"/>
  <c r="BS47" i="46"/>
  <c r="BS48" i="46"/>
  <c r="BS49" i="46"/>
  <c r="BR52" i="47"/>
  <c r="BS51" i="47"/>
  <c r="BV52" i="47"/>
  <c r="BW52" i="47"/>
  <c r="BX52" i="47"/>
  <c r="BY52" i="47"/>
  <c r="BZ52" i="47"/>
  <c r="CA52" i="47"/>
  <c r="BS55" i="47"/>
  <c r="BS56" i="47"/>
  <c r="BS57" i="47"/>
  <c r="BS58" i="47"/>
  <c r="BS59" i="47"/>
  <c r="BS60" i="47"/>
  <c r="BR41" i="47"/>
  <c r="BS40" i="47"/>
  <c r="BR30" i="47"/>
  <c r="BS29" i="47"/>
  <c r="BV30" i="47"/>
  <c r="BS33" i="47"/>
  <c r="BV41" i="47"/>
  <c r="BW30" i="47"/>
  <c r="BS34" i="47"/>
  <c r="BW41" i="47"/>
  <c r="BX30" i="47"/>
  <c r="BS35" i="47"/>
  <c r="BX41" i="47"/>
  <c r="BY30" i="47"/>
  <c r="BS36" i="47"/>
  <c r="BY41" i="47"/>
  <c r="BZ30" i="47"/>
  <c r="BS37" i="47"/>
  <c r="BZ41" i="47"/>
  <c r="CA30" i="47"/>
  <c r="BS38" i="47"/>
  <c r="CA41" i="47"/>
  <c r="BS44" i="47"/>
  <c r="BS45" i="47"/>
  <c r="BS46" i="47"/>
  <c r="BS47" i="47"/>
  <c r="BS48" i="47"/>
  <c r="BS49" i="47"/>
  <c r="AE17" i="47"/>
  <c r="AE17" i="46"/>
  <c r="C30" i="31"/>
  <c r="BR52" i="31"/>
  <c r="BS51" i="31"/>
  <c r="BR41" i="31"/>
  <c r="BS40" i="31"/>
  <c r="BR30" i="31"/>
  <c r="BS29" i="31"/>
  <c r="AJ47" i="21"/>
  <c r="Y17" i="31"/>
  <c r="C30" i="30"/>
  <c r="C30" i="29"/>
  <c r="C30" i="28"/>
  <c r="C30" i="27"/>
  <c r="C30" i="26"/>
  <c r="C40" i="10"/>
  <c r="F40" i="10"/>
  <c r="C39" i="10"/>
  <c r="F39" i="10"/>
  <c r="C38" i="10"/>
  <c r="F38" i="10"/>
  <c r="C37" i="10"/>
  <c r="F37" i="10"/>
  <c r="C36" i="10"/>
  <c r="F36" i="10"/>
  <c r="C35" i="10"/>
  <c r="F35" i="10"/>
  <c r="C31" i="10"/>
  <c r="F31" i="10"/>
  <c r="C30" i="10"/>
  <c r="F30" i="10"/>
  <c r="C29" i="10"/>
  <c r="F29" i="10"/>
  <c r="C28" i="10"/>
  <c r="F28" i="10"/>
  <c r="C27" i="10"/>
  <c r="F27" i="10"/>
  <c r="C26" i="10"/>
  <c r="F26" i="10"/>
  <c r="Z17" i="3"/>
  <c r="Z20" i="3"/>
  <c r="C22" i="10"/>
  <c r="F22" i="10"/>
  <c r="C21" i="10"/>
  <c r="F21" i="10"/>
  <c r="C20" i="10"/>
  <c r="F20" i="10"/>
  <c r="C19" i="10"/>
  <c r="F19" i="10"/>
  <c r="C18" i="10"/>
  <c r="F18" i="10"/>
  <c r="C17" i="10"/>
  <c r="F17" i="10"/>
  <c r="Z19" i="3"/>
  <c r="C13" i="10"/>
  <c r="F13" i="10"/>
  <c r="C12" i="10"/>
  <c r="F12" i="10"/>
  <c r="C11" i="10"/>
  <c r="F11" i="10"/>
  <c r="C10" i="10"/>
  <c r="F10" i="10"/>
  <c r="C9" i="10"/>
  <c r="F9" i="10"/>
  <c r="C8" i="10"/>
  <c r="F8" i="10"/>
  <c r="G7" i="10"/>
  <c r="G6" i="10"/>
  <c r="M40" i="10"/>
  <c r="M39" i="10"/>
  <c r="M38" i="10"/>
  <c r="M37" i="10"/>
  <c r="M36" i="10"/>
  <c r="M35" i="10"/>
  <c r="M31" i="10"/>
  <c r="M30" i="10"/>
  <c r="M29" i="10"/>
  <c r="M28" i="10"/>
  <c r="M27" i="10"/>
  <c r="M26" i="10"/>
  <c r="M22" i="10"/>
  <c r="M21" i="10"/>
  <c r="M20" i="10"/>
  <c r="M19" i="10"/>
  <c r="M18" i="10"/>
  <c r="M17" i="10"/>
  <c r="M9" i="10"/>
  <c r="M10" i="10"/>
  <c r="M11" i="10"/>
  <c r="M12" i="10"/>
  <c r="M13" i="10"/>
  <c r="M8" i="10"/>
  <c r="B36" i="10"/>
  <c r="B37" i="10"/>
  <c r="B38" i="10"/>
  <c r="B39" i="10"/>
  <c r="B40" i="10"/>
  <c r="B35" i="10"/>
  <c r="B27" i="10"/>
  <c r="B28" i="10"/>
  <c r="B29" i="10"/>
  <c r="B30" i="10"/>
  <c r="B31" i="10"/>
  <c r="B26" i="10"/>
  <c r="B18" i="10"/>
  <c r="B19" i="10"/>
  <c r="B20" i="10"/>
  <c r="B21" i="10"/>
  <c r="B22" i="10"/>
  <c r="B17" i="10"/>
  <c r="E26" i="10"/>
  <c r="D27" i="10"/>
  <c r="E27" i="10"/>
  <c r="D28" i="10"/>
  <c r="E28" i="10"/>
  <c r="D29" i="10"/>
  <c r="E29" i="10"/>
  <c r="D30" i="10"/>
  <c r="E30" i="10"/>
  <c r="D31" i="10"/>
  <c r="E31" i="10"/>
  <c r="D26" i="10"/>
  <c r="D35" i="10"/>
  <c r="E35" i="10"/>
  <c r="D36" i="10"/>
  <c r="E36" i="10"/>
  <c r="D37" i="10"/>
  <c r="E37" i="10"/>
  <c r="D38" i="10"/>
  <c r="E38" i="10"/>
  <c r="D39" i="10"/>
  <c r="E39" i="10"/>
  <c r="D40" i="10"/>
  <c r="E40" i="10"/>
  <c r="D17" i="10"/>
  <c r="E17" i="10"/>
  <c r="D18" i="10"/>
  <c r="E18" i="10"/>
  <c r="D19" i="10"/>
  <c r="E19" i="10"/>
  <c r="D20" i="10"/>
  <c r="E20" i="10"/>
  <c r="D21" i="10"/>
  <c r="E21" i="10"/>
  <c r="D22" i="10"/>
  <c r="E22" i="10"/>
  <c r="B9" i="10"/>
  <c r="B10" i="10"/>
  <c r="B11" i="10"/>
  <c r="B12" i="10"/>
  <c r="B13" i="10"/>
  <c r="B8" i="10"/>
  <c r="D8" i="10"/>
  <c r="D13" i="10"/>
  <c r="D12" i="10"/>
  <c r="D11" i="10"/>
  <c r="D10" i="10"/>
  <c r="D9" i="10"/>
  <c r="E8" i="10"/>
  <c r="E13" i="10"/>
  <c r="E12" i="10"/>
  <c r="E11" i="10"/>
  <c r="E10" i="10"/>
  <c r="E9" i="10"/>
  <c r="S12" i="6"/>
  <c r="T12" i="6"/>
  <c r="U12" i="6"/>
  <c r="Z12" i="6"/>
  <c r="AB12" i="6"/>
  <c r="S13" i="6"/>
  <c r="T13" i="6"/>
  <c r="U13" i="6"/>
  <c r="V13" i="6"/>
  <c r="Z13" i="6"/>
  <c r="AB13" i="6"/>
  <c r="S14" i="6"/>
  <c r="T14" i="6"/>
  <c r="U14" i="6"/>
  <c r="V14" i="6"/>
  <c r="Z14" i="6"/>
  <c r="AB14" i="6"/>
  <c r="S15" i="6"/>
  <c r="T15" i="6"/>
  <c r="U15" i="6"/>
  <c r="V15" i="6"/>
  <c r="Z15" i="6"/>
  <c r="AB15" i="6"/>
  <c r="S16" i="6"/>
  <c r="T16" i="6"/>
  <c r="U16" i="6"/>
  <c r="Z16" i="6"/>
  <c r="AB16" i="6"/>
  <c r="S17" i="6"/>
  <c r="T17" i="6"/>
  <c r="U17" i="6"/>
  <c r="V17" i="6"/>
  <c r="Z17" i="6"/>
  <c r="AB17" i="6"/>
  <c r="AE10" i="6"/>
  <c r="AJ10" i="6"/>
  <c r="AI10" i="6"/>
  <c r="AH10" i="6"/>
  <c r="AG10" i="6"/>
  <c r="AF10" i="6"/>
  <c r="AK12" i="6"/>
  <c r="AK17" i="6"/>
  <c r="AK16" i="6"/>
  <c r="AK15" i="6"/>
  <c r="AK14" i="6"/>
  <c r="AK13" i="6"/>
  <c r="H7" i="10"/>
  <c r="H6" i="10"/>
  <c r="I7" i="10"/>
  <c r="I6" i="10"/>
  <c r="J7" i="10"/>
  <c r="J6" i="10"/>
  <c r="K7" i="10"/>
  <c r="K6" i="10"/>
  <c r="L7" i="10"/>
  <c r="L6" i="10"/>
  <c r="G16" i="10"/>
  <c r="G15" i="10"/>
  <c r="H16" i="10"/>
  <c r="H15" i="10"/>
  <c r="I16" i="10"/>
  <c r="I15" i="10"/>
  <c r="J16" i="10"/>
  <c r="J15" i="10"/>
  <c r="K16" i="10"/>
  <c r="K15" i="10"/>
  <c r="L16" i="10"/>
  <c r="L15" i="10"/>
  <c r="G25" i="10"/>
  <c r="G24" i="10"/>
  <c r="H25" i="10"/>
  <c r="H24" i="10"/>
  <c r="I25" i="10"/>
  <c r="I24" i="10"/>
  <c r="J25" i="10"/>
  <c r="J24" i="10"/>
  <c r="K25" i="10"/>
  <c r="K24" i="10"/>
  <c r="L25" i="10"/>
  <c r="L24" i="10"/>
  <c r="G34" i="10"/>
  <c r="G33" i="10"/>
  <c r="H34" i="10"/>
  <c r="H33" i="10"/>
  <c r="I34" i="10"/>
  <c r="I33" i="10"/>
  <c r="J34" i="10"/>
  <c r="J33" i="10"/>
  <c r="K34" i="10"/>
  <c r="K33" i="10"/>
  <c r="L34" i="10"/>
  <c r="L33" i="10"/>
  <c r="Q13" i="6"/>
  <c r="Q14" i="6"/>
  <c r="Q15" i="6"/>
  <c r="Q16" i="6"/>
  <c r="Q17" i="6"/>
  <c r="V12" i="6"/>
  <c r="V16" i="6"/>
  <c r="D17" i="33"/>
  <c r="E17" i="33"/>
  <c r="F17" i="33"/>
  <c r="G17" i="33"/>
  <c r="I17" i="33"/>
  <c r="C30" i="33"/>
  <c r="H8" i="10"/>
  <c r="I8" i="10"/>
  <c r="J8" i="10"/>
  <c r="K8" i="10"/>
  <c r="L8" i="10"/>
  <c r="G9" i="10"/>
  <c r="I9" i="10"/>
  <c r="J9" i="10"/>
  <c r="K9" i="10"/>
  <c r="L9" i="10"/>
  <c r="G10" i="10"/>
  <c r="H10" i="10"/>
  <c r="J10" i="10"/>
  <c r="K10" i="10"/>
  <c r="L10" i="10"/>
  <c r="G11" i="10"/>
  <c r="H11" i="10"/>
  <c r="I11" i="10"/>
  <c r="K11" i="10"/>
  <c r="L11" i="10"/>
  <c r="G12" i="10"/>
  <c r="H12" i="10"/>
  <c r="I12" i="10"/>
  <c r="J12" i="10"/>
  <c r="L12" i="10"/>
  <c r="G13" i="10"/>
  <c r="H13" i="10"/>
  <c r="I13" i="10"/>
  <c r="J13" i="10"/>
  <c r="K13" i="10"/>
  <c r="H17" i="10"/>
  <c r="I17" i="10"/>
  <c r="J17" i="10"/>
  <c r="K17" i="10"/>
  <c r="L17" i="10"/>
  <c r="G18" i="10"/>
  <c r="I18" i="10"/>
  <c r="J18" i="10"/>
  <c r="K18" i="10"/>
  <c r="L18" i="10"/>
  <c r="G19" i="10"/>
  <c r="H19" i="10"/>
  <c r="J19" i="10"/>
  <c r="K19" i="10"/>
  <c r="L19" i="10"/>
  <c r="G20" i="10"/>
  <c r="H20" i="10"/>
  <c r="I20" i="10"/>
  <c r="K20" i="10"/>
  <c r="L20" i="10"/>
  <c r="G21" i="10"/>
  <c r="H21" i="10"/>
  <c r="I21" i="10"/>
  <c r="J21" i="10"/>
  <c r="L21" i="10"/>
  <c r="G22" i="10"/>
  <c r="H22" i="10"/>
  <c r="I22" i="10"/>
  <c r="J22" i="10"/>
  <c r="K22" i="10"/>
  <c r="H26" i="10"/>
  <c r="I26" i="10"/>
  <c r="J26" i="10"/>
  <c r="K26" i="10"/>
  <c r="L26" i="10"/>
  <c r="G27" i="10"/>
  <c r="I27" i="10"/>
  <c r="J27" i="10"/>
  <c r="K27" i="10"/>
  <c r="L27" i="10"/>
  <c r="G28" i="10"/>
  <c r="H28" i="10"/>
  <c r="J28" i="10"/>
  <c r="K28" i="10"/>
  <c r="L28" i="10"/>
  <c r="G29" i="10"/>
  <c r="H29" i="10"/>
  <c r="I29" i="10"/>
  <c r="K29" i="10"/>
  <c r="L29" i="10"/>
  <c r="G30" i="10"/>
  <c r="H30" i="10"/>
  <c r="I30" i="10"/>
  <c r="J30" i="10"/>
  <c r="L30" i="10"/>
  <c r="G31" i="10"/>
  <c r="H31" i="10"/>
  <c r="I31" i="10"/>
  <c r="J31" i="10"/>
  <c r="K31" i="10"/>
  <c r="H35" i="10"/>
  <c r="I35" i="10"/>
  <c r="J35" i="10"/>
  <c r="K35" i="10"/>
  <c r="L35" i="10"/>
  <c r="G36" i="10"/>
  <c r="I36" i="10"/>
  <c r="J36" i="10"/>
  <c r="K36" i="10"/>
  <c r="L36" i="10"/>
  <c r="G37" i="10"/>
  <c r="H37" i="10"/>
  <c r="J37" i="10"/>
  <c r="K37" i="10"/>
  <c r="L37" i="10"/>
  <c r="G38" i="10"/>
  <c r="H38" i="10"/>
  <c r="I38" i="10"/>
  <c r="K38" i="10"/>
  <c r="L38" i="10"/>
  <c r="G39" i="10"/>
  <c r="H39" i="10"/>
  <c r="I39" i="10"/>
  <c r="J39" i="10"/>
  <c r="L39" i="10"/>
  <c r="G40" i="10"/>
  <c r="H40" i="10"/>
  <c r="I40" i="10"/>
  <c r="J40" i="10"/>
  <c r="K40" i="10"/>
  <c r="D17" i="37"/>
  <c r="E17" i="37"/>
  <c r="F17" i="37"/>
  <c r="G17" i="37"/>
  <c r="I17" i="37"/>
  <c r="C30" i="37"/>
  <c r="D17" i="46"/>
  <c r="E17" i="46"/>
  <c r="F17" i="46"/>
  <c r="G17" i="46"/>
  <c r="I17" i="46"/>
  <c r="C30" i="46"/>
  <c r="D17" i="47"/>
  <c r="E17" i="47"/>
  <c r="F17" i="47"/>
  <c r="G17" i="47"/>
  <c r="I17" i="47"/>
  <c r="C30" i="47"/>
  <c r="D17" i="48"/>
  <c r="E17" i="48"/>
  <c r="F17" i="48"/>
  <c r="G17" i="48"/>
  <c r="I17" i="48"/>
  <c r="C30" i="48"/>
  <c r="BR52" i="48"/>
  <c r="BS51" i="48"/>
  <c r="BV52" i="48"/>
  <c r="BW52" i="48"/>
  <c r="BX52" i="48"/>
  <c r="BY52" i="48"/>
  <c r="BZ52" i="48"/>
  <c r="CA52" i="48"/>
  <c r="BS55" i="48"/>
  <c r="BS56" i="48"/>
  <c r="BS57" i="48"/>
  <c r="BS58" i="48"/>
  <c r="BS59" i="48"/>
  <c r="BS60" i="48"/>
  <c r="BR41" i="48"/>
  <c r="BS40" i="48"/>
  <c r="BR30" i="48"/>
  <c r="BS29" i="48"/>
  <c r="BV30" i="48"/>
  <c r="BS33" i="48"/>
  <c r="BV41" i="48"/>
  <c r="BW30" i="48"/>
  <c r="BS34" i="48"/>
  <c r="BW41" i="48"/>
  <c r="BX30" i="48"/>
  <c r="BS35" i="48"/>
  <c r="BX41" i="48"/>
  <c r="BY30" i="48"/>
  <c r="BS36" i="48"/>
  <c r="BY41" i="48"/>
  <c r="BZ30" i="48"/>
  <c r="BS37" i="48"/>
  <c r="BZ41" i="48"/>
  <c r="CA30" i="48"/>
  <c r="BS38" i="48"/>
  <c r="CA41" i="48"/>
  <c r="BS44" i="48"/>
  <c r="BS45" i="48"/>
  <c r="BS46" i="48"/>
  <c r="BS47" i="48"/>
  <c r="BS48" i="48"/>
  <c r="BS49" i="48"/>
  <c r="AE17" i="48"/>
  <c r="AE17" i="45"/>
  <c r="Z25" i="3"/>
  <c r="Z24" i="3"/>
  <c r="Z23" i="3"/>
  <c r="Z22" i="3"/>
  <c r="AG17" i="17"/>
  <c r="AH17" i="17"/>
  <c r="AG18" i="17"/>
  <c r="AH18" i="17"/>
  <c r="AG19" i="17"/>
  <c r="AH19" i="17"/>
  <c r="AG20" i="17"/>
  <c r="AH20" i="17"/>
  <c r="AG21" i="17"/>
  <c r="AH21" i="17"/>
  <c r="AG22" i="17"/>
  <c r="AH22" i="17"/>
  <c r="AG23" i="17"/>
  <c r="AH23" i="17"/>
  <c r="AG24" i="17"/>
  <c r="AH24" i="17"/>
  <c r="AG25" i="17"/>
  <c r="AH25" i="17"/>
  <c r="AE18" i="45"/>
  <c r="BT51" i="47"/>
  <c r="BT52" i="47"/>
  <c r="BR53" i="47"/>
  <c r="BS53" i="47"/>
  <c r="BV53" i="47"/>
  <c r="BW53" i="47"/>
  <c r="BX53" i="47"/>
  <c r="BY53" i="47"/>
  <c r="BZ53" i="47"/>
  <c r="CA53" i="47"/>
  <c r="BT55" i="47"/>
  <c r="BT56" i="47"/>
  <c r="BT57" i="47"/>
  <c r="BT58" i="47"/>
  <c r="BT59" i="47"/>
  <c r="BT60" i="47"/>
  <c r="BT40" i="47"/>
  <c r="BT29" i="47"/>
  <c r="BT30" i="47"/>
  <c r="BR31" i="47"/>
  <c r="BS31" i="47"/>
  <c r="BT41" i="47"/>
  <c r="BR42" i="47"/>
  <c r="BS42" i="47"/>
  <c r="BV31" i="47"/>
  <c r="BT33" i="47"/>
  <c r="BV42" i="47"/>
  <c r="BW31" i="47"/>
  <c r="BT34" i="47"/>
  <c r="BW42" i="47"/>
  <c r="BX31" i="47"/>
  <c r="BT35" i="47"/>
  <c r="BX42" i="47"/>
  <c r="BY31" i="47"/>
  <c r="BT36" i="47"/>
  <c r="BY42" i="47"/>
  <c r="BZ31" i="47"/>
  <c r="BT37" i="47"/>
  <c r="BZ42" i="47"/>
  <c r="CA31" i="47"/>
  <c r="BT38" i="47"/>
  <c r="CA42" i="47"/>
  <c r="BT44" i="47"/>
  <c r="BT45" i="47"/>
  <c r="BT46" i="47"/>
  <c r="BT47" i="47"/>
  <c r="BT48" i="47"/>
  <c r="BT49" i="47"/>
  <c r="AE18" i="47"/>
  <c r="BT51" i="33"/>
  <c r="BT52" i="33"/>
  <c r="BR53" i="33"/>
  <c r="BS53" i="33"/>
  <c r="BV53" i="33"/>
  <c r="BW53" i="33"/>
  <c r="BX53" i="33"/>
  <c r="BY53" i="33"/>
  <c r="BZ53" i="33"/>
  <c r="CA53" i="33"/>
  <c r="BT55" i="33"/>
  <c r="BT56" i="33"/>
  <c r="BT57" i="33"/>
  <c r="BT58" i="33"/>
  <c r="BT59" i="33"/>
  <c r="BT60" i="33"/>
  <c r="BT40" i="33"/>
  <c r="BT29" i="33"/>
  <c r="BT30" i="33"/>
  <c r="BR31" i="33"/>
  <c r="BS31" i="33"/>
  <c r="BT41" i="33"/>
  <c r="BR42" i="33"/>
  <c r="BS42" i="33"/>
  <c r="BV31" i="33"/>
  <c r="BT33" i="33"/>
  <c r="BV42" i="33"/>
  <c r="BW31" i="33"/>
  <c r="BT34" i="33"/>
  <c r="BW42" i="33"/>
  <c r="BX31" i="33"/>
  <c r="BT35" i="33"/>
  <c r="BX42" i="33"/>
  <c r="BY31" i="33"/>
  <c r="BT36" i="33"/>
  <c r="BY42" i="33"/>
  <c r="BZ31" i="33"/>
  <c r="BT37" i="33"/>
  <c r="BZ42" i="33"/>
  <c r="CA31" i="33"/>
  <c r="BT38" i="33"/>
  <c r="CA42" i="33"/>
  <c r="BT44" i="33"/>
  <c r="BT45" i="33"/>
  <c r="BT46" i="33"/>
  <c r="BT47" i="33"/>
  <c r="BT48" i="33"/>
  <c r="BT49" i="33"/>
  <c r="AE18" i="33"/>
  <c r="BT51" i="46"/>
  <c r="BT52" i="46"/>
  <c r="BR53" i="46"/>
  <c r="BS53" i="46"/>
  <c r="BV53" i="46"/>
  <c r="BW53" i="46"/>
  <c r="BX53" i="46"/>
  <c r="BY53" i="46"/>
  <c r="BZ53" i="46"/>
  <c r="CA53" i="46"/>
  <c r="BT55" i="46"/>
  <c r="BT56" i="46"/>
  <c r="BT57" i="46"/>
  <c r="BT58" i="46"/>
  <c r="BT59" i="46"/>
  <c r="BT60" i="46"/>
  <c r="BT40" i="46"/>
  <c r="BT29" i="46"/>
  <c r="BT30" i="46"/>
  <c r="BR31" i="46"/>
  <c r="BS31" i="46"/>
  <c r="BT41" i="46"/>
  <c r="BR42" i="46"/>
  <c r="BS42" i="46"/>
  <c r="BV31" i="46"/>
  <c r="BT33" i="46"/>
  <c r="BV42" i="46"/>
  <c r="BW31" i="46"/>
  <c r="BT34" i="46"/>
  <c r="BW42" i="46"/>
  <c r="BX31" i="46"/>
  <c r="BT35" i="46"/>
  <c r="BX42" i="46"/>
  <c r="BY31" i="46"/>
  <c r="BT36" i="46"/>
  <c r="BY42" i="46"/>
  <c r="BZ31" i="46"/>
  <c r="BT37" i="46"/>
  <c r="BZ42" i="46"/>
  <c r="CA31" i="46"/>
  <c r="BT38" i="46"/>
  <c r="CA42" i="46"/>
  <c r="BT44" i="46"/>
  <c r="BT45" i="46"/>
  <c r="BT46" i="46"/>
  <c r="BT47" i="46"/>
  <c r="BT48" i="46"/>
  <c r="BT49" i="46"/>
  <c r="AE18" i="46"/>
  <c r="BT51" i="37"/>
  <c r="BT52" i="37"/>
  <c r="BR53" i="37"/>
  <c r="BS53" i="37"/>
  <c r="BV53" i="37"/>
  <c r="BW53" i="37"/>
  <c r="BX53" i="37"/>
  <c r="BY53" i="37"/>
  <c r="BZ53" i="37"/>
  <c r="CA53" i="37"/>
  <c r="BT55" i="37"/>
  <c r="BT56" i="37"/>
  <c r="BT57" i="37"/>
  <c r="BT58" i="37"/>
  <c r="BT59" i="37"/>
  <c r="BT60" i="37"/>
  <c r="BT40" i="37"/>
  <c r="BT29" i="37"/>
  <c r="BT30" i="37"/>
  <c r="BR31" i="37"/>
  <c r="BS31" i="37"/>
  <c r="BT41" i="37"/>
  <c r="BR42" i="37"/>
  <c r="BS42" i="37"/>
  <c r="BV31" i="37"/>
  <c r="BT33" i="37"/>
  <c r="BV42" i="37"/>
  <c r="BW31" i="37"/>
  <c r="BT34" i="37"/>
  <c r="BW42" i="37"/>
  <c r="BX31" i="37"/>
  <c r="BT35" i="37"/>
  <c r="BX42" i="37"/>
  <c r="BY31" i="37"/>
  <c r="BT36" i="37"/>
  <c r="BY42" i="37"/>
  <c r="BZ31" i="37"/>
  <c r="BT37" i="37"/>
  <c r="BZ42" i="37"/>
  <c r="CA31" i="37"/>
  <c r="BT38" i="37"/>
  <c r="CA42" i="37"/>
  <c r="BT44" i="37"/>
  <c r="BT45" i="37"/>
  <c r="BT46" i="37"/>
  <c r="BT47" i="37"/>
  <c r="BT48" i="37"/>
  <c r="BT49" i="37"/>
  <c r="AE18" i="37"/>
  <c r="BT51" i="31"/>
  <c r="BR53" i="31"/>
  <c r="BT40" i="31"/>
  <c r="BT29" i="31"/>
  <c r="BR31" i="31"/>
  <c r="BR42" i="31"/>
  <c r="AJ48" i="21"/>
  <c r="Y18" i="31"/>
  <c r="BT51" i="48"/>
  <c r="BT52" i="48"/>
  <c r="BR53" i="48"/>
  <c r="BS53" i="48"/>
  <c r="BV53" i="48"/>
  <c r="BW53" i="48"/>
  <c r="BX53" i="48"/>
  <c r="BY53" i="48"/>
  <c r="BZ53" i="48"/>
  <c r="CA53" i="48"/>
  <c r="BT55" i="48"/>
  <c r="BT56" i="48"/>
  <c r="BT57" i="48"/>
  <c r="BT58" i="48"/>
  <c r="BT59" i="48"/>
  <c r="BT60" i="48"/>
  <c r="BT40" i="48"/>
  <c r="BT29" i="48"/>
  <c r="BT30" i="48"/>
  <c r="BR31" i="48"/>
  <c r="BS31" i="48"/>
  <c r="BT41" i="48"/>
  <c r="BR42" i="48"/>
  <c r="BS42" i="48"/>
  <c r="BV31" i="48"/>
  <c r="BT33" i="48"/>
  <c r="BV42" i="48"/>
  <c r="BW31" i="48"/>
  <c r="BT34" i="48"/>
  <c r="BW42" i="48"/>
  <c r="BX31" i="48"/>
  <c r="BT35" i="48"/>
  <c r="BX42" i="48"/>
  <c r="BY31" i="48"/>
  <c r="BT36" i="48"/>
  <c r="BY42" i="48"/>
  <c r="BZ31" i="48"/>
  <c r="BT37" i="48"/>
  <c r="BZ42" i="48"/>
  <c r="CA31" i="48"/>
  <c r="BT38" i="48"/>
  <c r="CA42" i="48"/>
  <c r="BT44" i="48"/>
  <c r="BT45" i="48"/>
  <c r="BT46" i="48"/>
  <c r="BT47" i="48"/>
  <c r="BT48" i="48"/>
  <c r="BT49" i="48"/>
  <c r="AE18" i="48"/>
  <c r="C13" i="21" a="1"/>
  <c r="C13" i="21"/>
  <c r="D13" i="21" a="1"/>
  <c r="D13" i="21"/>
  <c r="C18" i="21" a="1"/>
  <c r="C18" i="21"/>
  <c r="D18" i="21" a="1"/>
  <c r="D18" i="21"/>
  <c r="C17" i="21" a="1"/>
  <c r="C17" i="21"/>
  <c r="D17" i="21" a="1"/>
  <c r="D17" i="21"/>
  <c r="C16" i="21" a="1"/>
  <c r="C16" i="21"/>
  <c r="D16" i="21" a="1"/>
  <c r="D16" i="21"/>
  <c r="C15" i="21" a="1"/>
  <c r="C15" i="21"/>
  <c r="D15" i="21" a="1"/>
  <c r="D15" i="21"/>
  <c r="C14" i="21" a="1"/>
  <c r="C14" i="21"/>
  <c r="D14" i="21" a="1"/>
  <c r="D14" i="21"/>
  <c r="E18" i="21"/>
  <c r="E17" i="21"/>
  <c r="E16" i="21"/>
  <c r="E15" i="21"/>
  <c r="E14" i="21"/>
  <c r="E13" i="21"/>
  <c r="Z64" i="26"/>
  <c r="AB64" i="26"/>
  <c r="Z65" i="26"/>
  <c r="AB65" i="26"/>
  <c r="Z66" i="26"/>
  <c r="AB66" i="26"/>
  <c r="Z67" i="26"/>
  <c r="AB67" i="26"/>
  <c r="Z68" i="26"/>
  <c r="AB68" i="26"/>
  <c r="Z69" i="26"/>
  <c r="AB69" i="26"/>
  <c r="Z136" i="26"/>
  <c r="AA136" i="26"/>
  <c r="AB136" i="26"/>
  <c r="Z137" i="26"/>
  <c r="AA137" i="26"/>
  <c r="AB137" i="26"/>
  <c r="Z138" i="26"/>
  <c r="AA138" i="26"/>
  <c r="AB138" i="26"/>
  <c r="Z139" i="26"/>
  <c r="AA139" i="26"/>
  <c r="AB139" i="26"/>
  <c r="Z140" i="26"/>
  <c r="AA140" i="26"/>
  <c r="AB140" i="26"/>
  <c r="Z141" i="26"/>
  <c r="AA141" i="26"/>
  <c r="AB141" i="26"/>
  <c r="AI64" i="26"/>
  <c r="AI65" i="26"/>
  <c r="AI66" i="26"/>
  <c r="AI67" i="26"/>
  <c r="AI68" i="26"/>
  <c r="AI69" i="26"/>
  <c r="AI136" i="26"/>
  <c r="AI137" i="26"/>
  <c r="AI138" i="26"/>
  <c r="AI139" i="26"/>
  <c r="AI140" i="26"/>
  <c r="AI141" i="26"/>
  <c r="Z64" i="27"/>
  <c r="AI64" i="27"/>
  <c r="Z65" i="27"/>
  <c r="AI65" i="27"/>
  <c r="Z66" i="27"/>
  <c r="AI66" i="27"/>
  <c r="Z67" i="27"/>
  <c r="AI67" i="27"/>
  <c r="Z68" i="27"/>
  <c r="AI68" i="27"/>
  <c r="Z69" i="27"/>
  <c r="AI69" i="27"/>
  <c r="Z136" i="27"/>
  <c r="AA136" i="27"/>
  <c r="AB136" i="27"/>
  <c r="AI136" i="27"/>
  <c r="Z137" i="27"/>
  <c r="AA137" i="27"/>
  <c r="AB137" i="27"/>
  <c r="AI137" i="27"/>
  <c r="Z138" i="27"/>
  <c r="AA138" i="27"/>
  <c r="AB138" i="27"/>
  <c r="AI138" i="27"/>
  <c r="Z139" i="27"/>
  <c r="AA139" i="27"/>
  <c r="AB139" i="27"/>
  <c r="AI139" i="27"/>
  <c r="Z140" i="27"/>
  <c r="AA140" i="27"/>
  <c r="AB140" i="27"/>
  <c r="AI140" i="27"/>
  <c r="Z141" i="27"/>
  <c r="AA141" i="27"/>
  <c r="AB141" i="27"/>
  <c r="AI141" i="27"/>
  <c r="Z64" i="28"/>
  <c r="AI64" i="28"/>
  <c r="Z65" i="28"/>
  <c r="AI65" i="28"/>
  <c r="Z66" i="28"/>
  <c r="AI66" i="28"/>
  <c r="Z67" i="28"/>
  <c r="AI67" i="28"/>
  <c r="Z68" i="28"/>
  <c r="AI68" i="28"/>
  <c r="Z69" i="28"/>
  <c r="AI69" i="28"/>
  <c r="Z136" i="28"/>
  <c r="AA136" i="28"/>
  <c r="AB136" i="28"/>
  <c r="AI136" i="28"/>
  <c r="Z137" i="28"/>
  <c r="AA137" i="28"/>
  <c r="AB137" i="28"/>
  <c r="AI137" i="28"/>
  <c r="Z138" i="28"/>
  <c r="AA138" i="28"/>
  <c r="AB138" i="28"/>
  <c r="AI138" i="28"/>
  <c r="Z139" i="28"/>
  <c r="AA139" i="28"/>
  <c r="AB139" i="28"/>
  <c r="AI139" i="28"/>
  <c r="Z140" i="28"/>
  <c r="AA140" i="28"/>
  <c r="AB140" i="28"/>
  <c r="AI140" i="28"/>
  <c r="Z141" i="28"/>
  <c r="AA141" i="28"/>
  <c r="AB141" i="28"/>
  <c r="AI141" i="28"/>
  <c r="Z64" i="29"/>
  <c r="AI64" i="29"/>
  <c r="Z65" i="29"/>
  <c r="AI65" i="29"/>
  <c r="Z66" i="29"/>
  <c r="AI66" i="29"/>
  <c r="Z67" i="29"/>
  <c r="AI67" i="29"/>
  <c r="Z68" i="29"/>
  <c r="AI68" i="29"/>
  <c r="Z69" i="29"/>
  <c r="AI69" i="29"/>
  <c r="Z136" i="29"/>
  <c r="AA136" i="29"/>
  <c r="AB136" i="29"/>
  <c r="AI136" i="29"/>
  <c r="Z137" i="29"/>
  <c r="AA137" i="29"/>
  <c r="AB137" i="29"/>
  <c r="AI137" i="29"/>
  <c r="Z138" i="29"/>
  <c r="AA138" i="29"/>
  <c r="AB138" i="29"/>
  <c r="AI138" i="29"/>
  <c r="Z139" i="29"/>
  <c r="AA139" i="29"/>
  <c r="AB139" i="29"/>
  <c r="AI139" i="29"/>
  <c r="Z140" i="29"/>
  <c r="AA140" i="29"/>
  <c r="AB140" i="29"/>
  <c r="AI140" i="29"/>
  <c r="Z141" i="29"/>
  <c r="AA141" i="29"/>
  <c r="AB141" i="29"/>
  <c r="AI141" i="29"/>
  <c r="Z64" i="30"/>
  <c r="AI64" i="30"/>
  <c r="Z65" i="30"/>
  <c r="AI65" i="30"/>
  <c r="Z66" i="30"/>
  <c r="AI66" i="30"/>
  <c r="Z67" i="30"/>
  <c r="AI67" i="30"/>
  <c r="Z68" i="30"/>
  <c r="AI68" i="30"/>
  <c r="Z69" i="30"/>
  <c r="AI69" i="30"/>
  <c r="Z136" i="30"/>
  <c r="AA136" i="30"/>
  <c r="AB136" i="30"/>
  <c r="AI136" i="30"/>
  <c r="Z137" i="30"/>
  <c r="AA137" i="30"/>
  <c r="AB137" i="30"/>
  <c r="AI137" i="30"/>
  <c r="Z138" i="30"/>
  <c r="AA138" i="30"/>
  <c r="AB138" i="30"/>
  <c r="AI138" i="30"/>
  <c r="Z139" i="30"/>
  <c r="AA139" i="30"/>
  <c r="AB139" i="30"/>
  <c r="AI139" i="30"/>
  <c r="Z140" i="30"/>
  <c r="AA140" i="30"/>
  <c r="AB140" i="30"/>
  <c r="AI140" i="30"/>
  <c r="Z141" i="30"/>
  <c r="AA141" i="30"/>
  <c r="AB141" i="30"/>
  <c r="AI141" i="30"/>
  <c r="Z64" i="31"/>
  <c r="AI64" i="31"/>
  <c r="Z65" i="31"/>
  <c r="AI65" i="31"/>
  <c r="Z66" i="31"/>
  <c r="AI66" i="31"/>
  <c r="Z67" i="31"/>
  <c r="AI67" i="31"/>
  <c r="Z68" i="31"/>
  <c r="AI68" i="31"/>
  <c r="Z69" i="31"/>
  <c r="AI69" i="31"/>
  <c r="Z136" i="31"/>
  <c r="AA136" i="31"/>
  <c r="AB136" i="31"/>
  <c r="AI136" i="31"/>
  <c r="Z137" i="31"/>
  <c r="AA137" i="31"/>
  <c r="AB137" i="31"/>
  <c r="AI137" i="31"/>
  <c r="Z138" i="31"/>
  <c r="AA138" i="31"/>
  <c r="AB138" i="31"/>
  <c r="AI138" i="31"/>
  <c r="Z139" i="31"/>
  <c r="AA139" i="31"/>
  <c r="AB139" i="31"/>
  <c r="AI139" i="31"/>
  <c r="Z140" i="31"/>
  <c r="AA140" i="31"/>
  <c r="AB140" i="31"/>
  <c r="AI140" i="31"/>
  <c r="Z141" i="31"/>
  <c r="AA141" i="31"/>
  <c r="AB141" i="31"/>
  <c r="AI141" i="31"/>
  <c r="Z25" i="17"/>
  <c r="Z24" i="17"/>
  <c r="Z23" i="17"/>
  <c r="C31" i="48"/>
  <c r="I18" i="48"/>
  <c r="G18" i="48"/>
  <c r="F18" i="48"/>
  <c r="E18" i="48"/>
  <c r="D18" i="48"/>
  <c r="C31" i="47"/>
  <c r="I18" i="47"/>
  <c r="G18" i="47"/>
  <c r="F18" i="47"/>
  <c r="E18" i="47"/>
  <c r="D18" i="47"/>
  <c r="C31" i="46"/>
  <c r="I18" i="46"/>
  <c r="G18" i="46"/>
  <c r="F18" i="46"/>
  <c r="E18" i="46"/>
  <c r="D18" i="46"/>
  <c r="C31" i="37"/>
  <c r="I18" i="37"/>
  <c r="G18" i="37"/>
  <c r="F18" i="37"/>
  <c r="E18" i="37"/>
  <c r="D18" i="37"/>
  <c r="C40" i="20"/>
  <c r="C39" i="20"/>
  <c r="K34" i="20"/>
  <c r="K40" i="20"/>
  <c r="C38" i="20"/>
  <c r="J34" i="20"/>
  <c r="J40" i="20"/>
  <c r="C37" i="20"/>
  <c r="I34" i="20"/>
  <c r="I40" i="20"/>
  <c r="C36" i="20"/>
  <c r="H34" i="20"/>
  <c r="H40" i="20"/>
  <c r="C35" i="20"/>
  <c r="G34" i="20"/>
  <c r="G40" i="20"/>
  <c r="L34" i="20"/>
  <c r="L39" i="20"/>
  <c r="J39" i="20"/>
  <c r="I39" i="20"/>
  <c r="H39" i="20"/>
  <c r="G39" i="20"/>
  <c r="L38" i="20"/>
  <c r="K38" i="20"/>
  <c r="I38" i="20"/>
  <c r="H38" i="20"/>
  <c r="G38" i="20"/>
  <c r="L37" i="20"/>
  <c r="K37" i="20"/>
  <c r="J37" i="20"/>
  <c r="H37" i="20"/>
  <c r="G37" i="20"/>
  <c r="L36" i="20"/>
  <c r="K36" i="20"/>
  <c r="J36" i="20"/>
  <c r="I36" i="20"/>
  <c r="G36" i="20"/>
  <c r="L35" i="20"/>
  <c r="K35" i="20"/>
  <c r="J35" i="20"/>
  <c r="I35" i="20"/>
  <c r="H35" i="20"/>
  <c r="C31" i="20"/>
  <c r="C30" i="20"/>
  <c r="K25" i="20"/>
  <c r="K31" i="20"/>
  <c r="C29" i="20"/>
  <c r="J25" i="20"/>
  <c r="J31" i="20"/>
  <c r="C28" i="20"/>
  <c r="I25" i="20"/>
  <c r="I31" i="20"/>
  <c r="C27" i="20"/>
  <c r="H25" i="20"/>
  <c r="H31" i="20"/>
  <c r="C26" i="20"/>
  <c r="G25" i="20"/>
  <c r="G31" i="20"/>
  <c r="L25" i="20"/>
  <c r="L30" i="20"/>
  <c r="J30" i="20"/>
  <c r="I30" i="20"/>
  <c r="H30" i="20"/>
  <c r="G30" i="20"/>
  <c r="L29" i="20"/>
  <c r="K29" i="20"/>
  <c r="I29" i="20"/>
  <c r="H29" i="20"/>
  <c r="G29" i="20"/>
  <c r="L28" i="20"/>
  <c r="K28" i="20"/>
  <c r="J28" i="20"/>
  <c r="H28" i="20"/>
  <c r="G28" i="20"/>
  <c r="L27" i="20"/>
  <c r="K27" i="20"/>
  <c r="J27" i="20"/>
  <c r="I27" i="20"/>
  <c r="G27" i="20"/>
  <c r="L26" i="20"/>
  <c r="K26" i="20"/>
  <c r="J26" i="20"/>
  <c r="I26" i="20"/>
  <c r="H26" i="20"/>
  <c r="Z17" i="17"/>
  <c r="Z21" i="17"/>
  <c r="C22" i="20"/>
  <c r="C21" i="20"/>
  <c r="K16" i="20"/>
  <c r="K22" i="20"/>
  <c r="C20" i="20"/>
  <c r="J16" i="20"/>
  <c r="J22" i="20"/>
  <c r="C19" i="20"/>
  <c r="I16" i="20"/>
  <c r="I22" i="20"/>
  <c r="C18" i="20"/>
  <c r="H16" i="20"/>
  <c r="H22" i="20"/>
  <c r="C17" i="20"/>
  <c r="G16" i="20"/>
  <c r="G22" i="20"/>
  <c r="L16" i="20"/>
  <c r="L21" i="20"/>
  <c r="J21" i="20"/>
  <c r="I21" i="20"/>
  <c r="H21" i="20"/>
  <c r="G21" i="20"/>
  <c r="L20" i="20"/>
  <c r="K20" i="20"/>
  <c r="I20" i="20"/>
  <c r="H20" i="20"/>
  <c r="G20" i="20"/>
  <c r="L19" i="20"/>
  <c r="K19" i="20"/>
  <c r="J19" i="20"/>
  <c r="H19" i="20"/>
  <c r="G19" i="20"/>
  <c r="L18" i="20"/>
  <c r="K18" i="20"/>
  <c r="J18" i="20"/>
  <c r="I18" i="20"/>
  <c r="G18" i="20"/>
  <c r="L17" i="20"/>
  <c r="K17" i="20"/>
  <c r="J17" i="20"/>
  <c r="I17" i="20"/>
  <c r="H17" i="20"/>
  <c r="Z18" i="17"/>
  <c r="Z19" i="17"/>
  <c r="C13" i="20"/>
  <c r="C12" i="20"/>
  <c r="K7" i="20"/>
  <c r="K13" i="20"/>
  <c r="C11" i="20"/>
  <c r="J7" i="20"/>
  <c r="J13" i="20"/>
  <c r="C10" i="20"/>
  <c r="I7" i="20"/>
  <c r="I13" i="20"/>
  <c r="C9" i="20"/>
  <c r="H7" i="20"/>
  <c r="H13" i="20"/>
  <c r="C8" i="20"/>
  <c r="G7" i="20"/>
  <c r="G13" i="20"/>
  <c r="L7" i="20"/>
  <c r="L12" i="20"/>
  <c r="J12" i="20"/>
  <c r="I12" i="20"/>
  <c r="H12" i="20"/>
  <c r="G12" i="20"/>
  <c r="L11" i="20"/>
  <c r="K11" i="20"/>
  <c r="I11" i="20"/>
  <c r="H11" i="20"/>
  <c r="G11" i="20"/>
  <c r="L10" i="20"/>
  <c r="K10" i="20"/>
  <c r="J10" i="20"/>
  <c r="H10" i="20"/>
  <c r="G10" i="20"/>
  <c r="L9" i="20"/>
  <c r="K9" i="20"/>
  <c r="J9" i="20"/>
  <c r="I9" i="20"/>
  <c r="G9" i="20"/>
  <c r="L8" i="20"/>
  <c r="K8" i="20"/>
  <c r="J8" i="20"/>
  <c r="I8" i="20"/>
  <c r="H8" i="20"/>
  <c r="C31" i="33"/>
  <c r="I18" i="33"/>
  <c r="G18" i="33"/>
  <c r="F18" i="33"/>
  <c r="E18" i="33"/>
  <c r="D18" i="33"/>
  <c r="Q23" i="6"/>
  <c r="Q24" i="6"/>
  <c r="Q25" i="6"/>
  <c r="Q26" i="6"/>
  <c r="Q27" i="6"/>
  <c r="E40" i="20"/>
  <c r="D40" i="20"/>
  <c r="B40" i="20"/>
  <c r="E39" i="20"/>
  <c r="D39" i="20"/>
  <c r="B39" i="20"/>
  <c r="E38" i="20"/>
  <c r="D38" i="20"/>
  <c r="B38" i="20"/>
  <c r="E37" i="20"/>
  <c r="D37" i="20"/>
  <c r="B37" i="20"/>
  <c r="E36" i="20"/>
  <c r="D36" i="20"/>
  <c r="B36" i="20"/>
  <c r="E35" i="20"/>
  <c r="D35" i="20"/>
  <c r="B35" i="20"/>
  <c r="E31" i="20"/>
  <c r="D31" i="20"/>
  <c r="B31" i="20"/>
  <c r="E30" i="20"/>
  <c r="D30" i="20"/>
  <c r="B30" i="20"/>
  <c r="E29" i="20"/>
  <c r="D29" i="20"/>
  <c r="B29" i="20"/>
  <c r="E28" i="20"/>
  <c r="D28" i="20"/>
  <c r="B28" i="20"/>
  <c r="E27" i="20"/>
  <c r="D27" i="20"/>
  <c r="B27" i="20"/>
  <c r="E26" i="20"/>
  <c r="D26" i="20"/>
  <c r="B26" i="20"/>
  <c r="E22" i="20"/>
  <c r="D22" i="20"/>
  <c r="B22" i="20"/>
  <c r="E21" i="20"/>
  <c r="D21" i="20"/>
  <c r="B21" i="20"/>
  <c r="E20" i="20"/>
  <c r="D20" i="20"/>
  <c r="B20" i="20"/>
  <c r="E19" i="20"/>
  <c r="D19" i="20"/>
  <c r="B19" i="20"/>
  <c r="E18" i="20"/>
  <c r="D18" i="20"/>
  <c r="B18" i="20"/>
  <c r="E17" i="20"/>
  <c r="D17" i="20"/>
  <c r="B17" i="20"/>
  <c r="E13" i="20"/>
  <c r="D13" i="20"/>
  <c r="B13" i="20"/>
  <c r="E12" i="20"/>
  <c r="D12" i="20"/>
  <c r="B12" i="20"/>
  <c r="E11" i="20"/>
  <c r="D11" i="20"/>
  <c r="B11" i="20"/>
  <c r="E10" i="20"/>
  <c r="D10" i="20"/>
  <c r="B10" i="20"/>
  <c r="E9" i="20"/>
  <c r="D9" i="20"/>
  <c r="B9" i="20"/>
  <c r="E8" i="20"/>
  <c r="D8" i="20"/>
  <c r="B8" i="20"/>
  <c r="M40" i="20"/>
  <c r="M39" i="20"/>
  <c r="M38" i="20"/>
  <c r="M37" i="20"/>
  <c r="M36" i="20"/>
  <c r="M35" i="20"/>
  <c r="L33" i="20"/>
  <c r="K33" i="20"/>
  <c r="J33" i="20"/>
  <c r="I33" i="20"/>
  <c r="H33" i="20"/>
  <c r="G33" i="20"/>
  <c r="M31" i="20"/>
  <c r="M30" i="20"/>
  <c r="M29" i="20"/>
  <c r="M28" i="20"/>
  <c r="M27" i="20"/>
  <c r="M26" i="20"/>
  <c r="L24" i="20"/>
  <c r="K24" i="20"/>
  <c r="J24" i="20"/>
  <c r="I24" i="20"/>
  <c r="H24" i="20"/>
  <c r="G24" i="20"/>
  <c r="M22" i="20"/>
  <c r="M21" i="20"/>
  <c r="M20" i="20"/>
  <c r="M19" i="20"/>
  <c r="M18" i="20"/>
  <c r="M17" i="20"/>
  <c r="L15" i="20"/>
  <c r="K15" i="20"/>
  <c r="J15" i="20"/>
  <c r="I15" i="20"/>
  <c r="H15" i="20"/>
  <c r="G15" i="20"/>
  <c r="M13" i="20"/>
  <c r="M12" i="20"/>
  <c r="M11" i="20"/>
  <c r="M10" i="20"/>
  <c r="M9" i="20"/>
  <c r="M8" i="20"/>
  <c r="L6" i="20"/>
  <c r="K6" i="20"/>
  <c r="J6" i="20"/>
  <c r="I6" i="20"/>
  <c r="H6" i="20"/>
  <c r="G6" i="20"/>
  <c r="AB27" i="6"/>
  <c r="Z27" i="6"/>
  <c r="V27" i="6"/>
  <c r="U27" i="6"/>
  <c r="T27" i="6"/>
  <c r="S27" i="6"/>
  <c r="AB26" i="6"/>
  <c r="Z26" i="6"/>
  <c r="V26" i="6"/>
  <c r="U26" i="6"/>
  <c r="T26" i="6"/>
  <c r="S26" i="6"/>
  <c r="AB25" i="6"/>
  <c r="Z25" i="6"/>
  <c r="V25" i="6"/>
  <c r="U25" i="6"/>
  <c r="T25" i="6"/>
  <c r="S25" i="6"/>
  <c r="AB24" i="6"/>
  <c r="Z24" i="6"/>
  <c r="V24" i="6"/>
  <c r="U24" i="6"/>
  <c r="T24" i="6"/>
  <c r="S24" i="6"/>
  <c r="AB23" i="6"/>
  <c r="Z23" i="6"/>
  <c r="V23" i="6"/>
  <c r="U23" i="6"/>
  <c r="T23" i="6"/>
  <c r="S23" i="6"/>
  <c r="AB22" i="6"/>
  <c r="Z22" i="6"/>
  <c r="V22" i="6"/>
  <c r="U22" i="6"/>
  <c r="T22" i="6"/>
  <c r="S22" i="6"/>
  <c r="AK27" i="6"/>
  <c r="AK26" i="6"/>
  <c r="AK25" i="6"/>
  <c r="AK24" i="6"/>
  <c r="AK23" i="6"/>
  <c r="AK22" i="6"/>
  <c r="AJ20" i="6"/>
  <c r="AI20" i="6"/>
  <c r="AH20" i="6"/>
  <c r="AG20" i="6"/>
  <c r="AF20" i="6"/>
  <c r="AE20" i="6"/>
  <c r="F8" i="20"/>
  <c r="F9" i="20"/>
  <c r="F10" i="20"/>
  <c r="F11" i="20"/>
  <c r="F12" i="20"/>
  <c r="F13" i="20"/>
  <c r="Z22" i="17"/>
  <c r="Z20" i="17"/>
  <c r="F17" i="20"/>
  <c r="F18" i="20"/>
  <c r="F19" i="20"/>
  <c r="F20" i="20"/>
  <c r="F21" i="20"/>
  <c r="F22" i="20"/>
  <c r="F26" i="20"/>
  <c r="F27" i="20"/>
  <c r="F28" i="20"/>
  <c r="F29" i="20"/>
  <c r="F30" i="20"/>
  <c r="F31" i="20"/>
  <c r="F35" i="20"/>
  <c r="F36" i="20"/>
  <c r="F37" i="20"/>
  <c r="F38" i="20"/>
  <c r="F39" i="20"/>
  <c r="F40" i="20"/>
  <c r="C31" i="26"/>
  <c r="C31" i="27"/>
  <c r="C31" i="28"/>
  <c r="C31" i="29"/>
  <c r="C31" i="30"/>
  <c r="C31" i="31"/>
  <c r="D18" i="45"/>
  <c r="E18" i="45"/>
  <c r="F18" i="45"/>
  <c r="G18" i="45"/>
  <c r="H18" i="45"/>
  <c r="I18" i="45"/>
  <c r="C31" i="45"/>
  <c r="AG17" i="25"/>
  <c r="AH17" i="25"/>
  <c r="AG18" i="25"/>
  <c r="AH18" i="25"/>
  <c r="AG19" i="25"/>
  <c r="AH19" i="25"/>
  <c r="AG20" i="25"/>
  <c r="AH20" i="25"/>
  <c r="AG21" i="25"/>
  <c r="AH21" i="25"/>
  <c r="AG22" i="25"/>
  <c r="AH22" i="25"/>
  <c r="AG23" i="25"/>
  <c r="AH23" i="25"/>
  <c r="AG24" i="25"/>
  <c r="AH24" i="25"/>
  <c r="AG25" i="25"/>
  <c r="AH25" i="25"/>
  <c r="AI153" i="31"/>
  <c r="AA153" i="31"/>
  <c r="AB153" i="31"/>
  <c r="Z153" i="31"/>
  <c r="AI152" i="31"/>
  <c r="AA152" i="31"/>
  <c r="AB152" i="31"/>
  <c r="Z152" i="31"/>
  <c r="AI151" i="31"/>
  <c r="AA151" i="31"/>
  <c r="AB151" i="31"/>
  <c r="Z151" i="31"/>
  <c r="AI150" i="31"/>
  <c r="AA150" i="31"/>
  <c r="AB150" i="31"/>
  <c r="Z150" i="31"/>
  <c r="AI149" i="31"/>
  <c r="AA149" i="31"/>
  <c r="AB149" i="31"/>
  <c r="Z149" i="31"/>
  <c r="AI148" i="31"/>
  <c r="AA148" i="31"/>
  <c r="AB148" i="31"/>
  <c r="Z148" i="31"/>
  <c r="AI81" i="31"/>
  <c r="Z81" i="31"/>
  <c r="AI80" i="31"/>
  <c r="Z80" i="31"/>
  <c r="AI79" i="31"/>
  <c r="Z79" i="31"/>
  <c r="AI78" i="31"/>
  <c r="Z78" i="31"/>
  <c r="AI77" i="31"/>
  <c r="Z77" i="31"/>
  <c r="AI76" i="31"/>
  <c r="Z76" i="31"/>
  <c r="AI153" i="30"/>
  <c r="AA153" i="30"/>
  <c r="AB153" i="30"/>
  <c r="Z153" i="30"/>
  <c r="AI152" i="30"/>
  <c r="AA152" i="30"/>
  <c r="AB152" i="30"/>
  <c r="Z152" i="30"/>
  <c r="AI151" i="30"/>
  <c r="AA151" i="30"/>
  <c r="AB151" i="30"/>
  <c r="Z151" i="30"/>
  <c r="AI150" i="30"/>
  <c r="AA150" i="30"/>
  <c r="AB150" i="30"/>
  <c r="Z150" i="30"/>
  <c r="AI149" i="30"/>
  <c r="AA149" i="30"/>
  <c r="AB149" i="30"/>
  <c r="Z149" i="30"/>
  <c r="AI148" i="30"/>
  <c r="AA148" i="30"/>
  <c r="AB148" i="30"/>
  <c r="Z148" i="30"/>
  <c r="AI81" i="30"/>
  <c r="Z81" i="30"/>
  <c r="AI80" i="30"/>
  <c r="Z80" i="30"/>
  <c r="AI79" i="30"/>
  <c r="Z79" i="30"/>
  <c r="AI78" i="30"/>
  <c r="Z78" i="30"/>
  <c r="AI77" i="30"/>
  <c r="Z77" i="30"/>
  <c r="AI76" i="30"/>
  <c r="Z76" i="30"/>
  <c r="AI153" i="29"/>
  <c r="AA153" i="29"/>
  <c r="AB153" i="29"/>
  <c r="Z153" i="29"/>
  <c r="AI152" i="29"/>
  <c r="AA152" i="29"/>
  <c r="AB152" i="29"/>
  <c r="Z152" i="29"/>
  <c r="AI151" i="29"/>
  <c r="AA151" i="29"/>
  <c r="AB151" i="29"/>
  <c r="Z151" i="29"/>
  <c r="AI150" i="29"/>
  <c r="AA150" i="29"/>
  <c r="AB150" i="29"/>
  <c r="Z150" i="29"/>
  <c r="AI149" i="29"/>
  <c r="AA149" i="29"/>
  <c r="AB149" i="29"/>
  <c r="Z149" i="29"/>
  <c r="AI148" i="29"/>
  <c r="AA148" i="29"/>
  <c r="AB148" i="29"/>
  <c r="Z148" i="29"/>
  <c r="AI81" i="29"/>
  <c r="Z81" i="29"/>
  <c r="AI80" i="29"/>
  <c r="Z80" i="29"/>
  <c r="AI79" i="29"/>
  <c r="Z79" i="29"/>
  <c r="AI78" i="29"/>
  <c r="Z78" i="29"/>
  <c r="AI77" i="29"/>
  <c r="Z77" i="29"/>
  <c r="AI76" i="29"/>
  <c r="Z76" i="29"/>
  <c r="AI153" i="28"/>
  <c r="AA153" i="28"/>
  <c r="AB153" i="28"/>
  <c r="Z153" i="28"/>
  <c r="AI152" i="28"/>
  <c r="AA152" i="28"/>
  <c r="AB152" i="28"/>
  <c r="Z152" i="28"/>
  <c r="AI151" i="28"/>
  <c r="AA151" i="28"/>
  <c r="AB151" i="28"/>
  <c r="Z151" i="28"/>
  <c r="AI150" i="28"/>
  <c r="AA150" i="28"/>
  <c r="AB150" i="28"/>
  <c r="Z150" i="28"/>
  <c r="AI149" i="28"/>
  <c r="AA149" i="28"/>
  <c r="AB149" i="28"/>
  <c r="Z149" i="28"/>
  <c r="AI148" i="28"/>
  <c r="AA148" i="28"/>
  <c r="AB148" i="28"/>
  <c r="Z148" i="28"/>
  <c r="AI81" i="28"/>
  <c r="Z81" i="28"/>
  <c r="AI80" i="28"/>
  <c r="Z80" i="28"/>
  <c r="AI79" i="28"/>
  <c r="Z79" i="28"/>
  <c r="AI78" i="28"/>
  <c r="Z78" i="28"/>
  <c r="AI77" i="28"/>
  <c r="Z77" i="28"/>
  <c r="AI76" i="28"/>
  <c r="Z76" i="28"/>
  <c r="AI153" i="27"/>
  <c r="AA153" i="27"/>
  <c r="AB153" i="27"/>
  <c r="Z153" i="27"/>
  <c r="AI152" i="27"/>
  <c r="AA152" i="27"/>
  <c r="AB152" i="27"/>
  <c r="Z152" i="27"/>
  <c r="AI151" i="27"/>
  <c r="AA151" i="27"/>
  <c r="AB151" i="27"/>
  <c r="Z151" i="27"/>
  <c r="AI150" i="27"/>
  <c r="AA150" i="27"/>
  <c r="AB150" i="27"/>
  <c r="Z150" i="27"/>
  <c r="AI149" i="27"/>
  <c r="AA149" i="27"/>
  <c r="AB149" i="27"/>
  <c r="Z149" i="27"/>
  <c r="AI148" i="27"/>
  <c r="AA148" i="27"/>
  <c r="AB148" i="27"/>
  <c r="Z148" i="27"/>
  <c r="AI81" i="27"/>
  <c r="Z81" i="27"/>
  <c r="AI80" i="27"/>
  <c r="Z80" i="27"/>
  <c r="AI79" i="27"/>
  <c r="Z79" i="27"/>
  <c r="AI78" i="27"/>
  <c r="Z78" i="27"/>
  <c r="AI77" i="27"/>
  <c r="Z77" i="27"/>
  <c r="AI76" i="27"/>
  <c r="Z76" i="27"/>
  <c r="AI153" i="26"/>
  <c r="AI152" i="26"/>
  <c r="AI151" i="26"/>
  <c r="AI150" i="26"/>
  <c r="AI149" i="26"/>
  <c r="AI148" i="26"/>
  <c r="AI81" i="26"/>
  <c r="AI80" i="26"/>
  <c r="AI79" i="26"/>
  <c r="AI78" i="26"/>
  <c r="AI77" i="26"/>
  <c r="AI76" i="26"/>
  <c r="AA153" i="26"/>
  <c r="AB153" i="26"/>
  <c r="Z153" i="26"/>
  <c r="AA152" i="26"/>
  <c r="AB152" i="26"/>
  <c r="Z152" i="26"/>
  <c r="AA151" i="26"/>
  <c r="AB151" i="26"/>
  <c r="Z151" i="26"/>
  <c r="AA150" i="26"/>
  <c r="AB150" i="26"/>
  <c r="Z150" i="26"/>
  <c r="AA149" i="26"/>
  <c r="AB149" i="26"/>
  <c r="Z149" i="26"/>
  <c r="AA148" i="26"/>
  <c r="AB148" i="26"/>
  <c r="Z148" i="26"/>
  <c r="AB81" i="26"/>
  <c r="Z81" i="26"/>
  <c r="AB80" i="26"/>
  <c r="Z80" i="26"/>
  <c r="AB79" i="26"/>
  <c r="Z79" i="26"/>
  <c r="AB78" i="26"/>
  <c r="Z78" i="26"/>
  <c r="AB77" i="26"/>
  <c r="Z77" i="26"/>
  <c r="AB76" i="26"/>
  <c r="Z76" i="26"/>
  <c r="BU51" i="37"/>
  <c r="BU52" i="37"/>
  <c r="BU53" i="37"/>
  <c r="BR54" i="37"/>
  <c r="BS54" i="37"/>
  <c r="BT54" i="37"/>
  <c r="BV54" i="37"/>
  <c r="BW54" i="37"/>
  <c r="BX54" i="37"/>
  <c r="BY54" i="37"/>
  <c r="BZ54" i="37"/>
  <c r="CA54" i="37"/>
  <c r="BU55" i="37"/>
  <c r="BU56" i="37"/>
  <c r="BU57" i="37"/>
  <c r="BU58" i="37"/>
  <c r="BU59" i="37"/>
  <c r="BU60" i="37"/>
  <c r="M20" i="37"/>
  <c r="N20" i="37" a="1"/>
  <c r="N20" i="37"/>
  <c r="P20" i="37"/>
  <c r="M21" i="37"/>
  <c r="N21" i="37" a="1"/>
  <c r="N21" i="37"/>
  <c r="P21" i="37"/>
  <c r="M22" i="37"/>
  <c r="N22" i="37" a="1"/>
  <c r="N22" i="37"/>
  <c r="P22" i="37"/>
  <c r="M23" i="37"/>
  <c r="N23" i="37" a="1"/>
  <c r="N23" i="37"/>
  <c r="P23" i="37"/>
  <c r="M24" i="37"/>
  <c r="N24" i="37" a="1"/>
  <c r="N24" i="37"/>
  <c r="P24" i="37"/>
  <c r="M25" i="37"/>
  <c r="N25" i="37" a="1"/>
  <c r="N25" i="37"/>
  <c r="P25" i="37"/>
  <c r="BU40" i="37"/>
  <c r="BU29" i="37"/>
  <c r="BU30" i="37"/>
  <c r="BR32" i="37"/>
  <c r="BS32" i="37"/>
  <c r="BU41" i="37"/>
  <c r="BU31" i="37"/>
  <c r="BT32" i="37"/>
  <c r="BU42" i="37"/>
  <c r="BR43" i="37"/>
  <c r="BS43" i="37"/>
  <c r="BT43" i="37"/>
  <c r="BV32" i="37"/>
  <c r="BU33" i="37"/>
  <c r="BV43" i="37"/>
  <c r="BW32" i="37"/>
  <c r="BU34" i="37"/>
  <c r="BW43" i="37"/>
  <c r="BX32" i="37"/>
  <c r="BU35" i="37"/>
  <c r="BX43" i="37"/>
  <c r="BY32" i="37"/>
  <c r="BU36" i="37"/>
  <c r="BY43" i="37"/>
  <c r="BZ32" i="37"/>
  <c r="BU37" i="37"/>
  <c r="BZ43" i="37"/>
  <c r="CA32" i="37"/>
  <c r="BU38" i="37"/>
  <c r="CA43" i="37"/>
  <c r="BU44" i="37"/>
  <c r="BU45" i="37"/>
  <c r="BU46" i="37"/>
  <c r="BU47" i="37"/>
  <c r="BU48" i="37"/>
  <c r="BU49" i="37"/>
  <c r="AD17" i="37"/>
  <c r="AG17" i="37"/>
  <c r="AE19" i="37"/>
  <c r="AF17" i="37"/>
  <c r="AH17" i="37"/>
  <c r="AD18" i="37"/>
  <c r="AG18" i="37"/>
  <c r="AF18" i="37"/>
  <c r="AH18" i="37"/>
  <c r="AD19" i="37"/>
  <c r="AG19" i="37"/>
  <c r="AF19" i="37"/>
  <c r="AH19" i="37"/>
  <c r="AD20" i="37"/>
  <c r="AG20" i="37"/>
  <c r="AF20" i="37"/>
  <c r="AH20" i="37"/>
  <c r="AD21" i="37"/>
  <c r="AG21" i="37"/>
  <c r="AF21" i="37"/>
  <c r="AH21" i="37"/>
  <c r="AD22" i="37"/>
  <c r="AG22" i="37"/>
  <c r="AF22" i="37"/>
  <c r="AH22" i="37"/>
  <c r="AD23" i="37"/>
  <c r="AG23" i="37"/>
  <c r="AF23" i="37"/>
  <c r="AH23" i="37"/>
  <c r="AD24" i="37"/>
  <c r="AG24" i="37"/>
  <c r="AF24" i="37"/>
  <c r="AH24" i="37"/>
  <c r="AD25" i="37"/>
  <c r="AG25" i="37"/>
  <c r="AF25" i="37"/>
  <c r="AH25" i="37"/>
  <c r="I25" i="36"/>
  <c r="I24" i="36"/>
  <c r="I23" i="36"/>
  <c r="I22" i="36"/>
  <c r="BU51" i="33"/>
  <c r="BU52" i="33"/>
  <c r="BU53" i="33"/>
  <c r="BR54" i="33"/>
  <c r="BS54" i="33"/>
  <c r="BT54" i="33"/>
  <c r="BV54" i="33"/>
  <c r="BW54" i="33"/>
  <c r="BX54" i="33"/>
  <c r="BY54" i="33"/>
  <c r="BZ54" i="33"/>
  <c r="CA54" i="33"/>
  <c r="BU55" i="33"/>
  <c r="BU56" i="33"/>
  <c r="BU57" i="33"/>
  <c r="BU58" i="33"/>
  <c r="BU59" i="33"/>
  <c r="BU60" i="33"/>
  <c r="M20" i="33"/>
  <c r="N20" i="33" a="1"/>
  <c r="N20" i="33"/>
  <c r="O20" i="33"/>
  <c r="M21" i="33"/>
  <c r="N21" i="33" a="1"/>
  <c r="N21" i="33"/>
  <c r="O21" i="33"/>
  <c r="M22" i="33"/>
  <c r="N22" i="33" a="1"/>
  <c r="N22" i="33"/>
  <c r="O22" i="33"/>
  <c r="M23" i="33"/>
  <c r="N23" i="33" a="1"/>
  <c r="N23" i="33"/>
  <c r="O23" i="33"/>
  <c r="M24" i="33"/>
  <c r="N24" i="33" a="1"/>
  <c r="N24" i="33"/>
  <c r="O24" i="33"/>
  <c r="M25" i="33"/>
  <c r="N25" i="33" a="1"/>
  <c r="N25" i="33"/>
  <c r="O25" i="33"/>
  <c r="BU40" i="33"/>
  <c r="BU29" i="33"/>
  <c r="BU30" i="33"/>
  <c r="BR32" i="33"/>
  <c r="BS32" i="33"/>
  <c r="BU41" i="33"/>
  <c r="BU31" i="33"/>
  <c r="BT32" i="33"/>
  <c r="BU42" i="33"/>
  <c r="BR43" i="33"/>
  <c r="BS43" i="33"/>
  <c r="BT43" i="33"/>
  <c r="BV32" i="33"/>
  <c r="BU33" i="33"/>
  <c r="BV43" i="33"/>
  <c r="BW32" i="33"/>
  <c r="BU34" i="33"/>
  <c r="BW43" i="33"/>
  <c r="BX32" i="33"/>
  <c r="BU35" i="33"/>
  <c r="BX43" i="33"/>
  <c r="BY32" i="33"/>
  <c r="BU36" i="33"/>
  <c r="BY43" i="33"/>
  <c r="BZ32" i="33"/>
  <c r="BU37" i="33"/>
  <c r="BZ43" i="33"/>
  <c r="CA32" i="33"/>
  <c r="BU38" i="33"/>
  <c r="CA43" i="33"/>
  <c r="BU44" i="33"/>
  <c r="BU45" i="33"/>
  <c r="BU46" i="33"/>
  <c r="BU47" i="33"/>
  <c r="BU48" i="33"/>
  <c r="BU49" i="33"/>
  <c r="AD17" i="33"/>
  <c r="AG17" i="33"/>
  <c r="AE19" i="33"/>
  <c r="AF17" i="33"/>
  <c r="AH17" i="33"/>
  <c r="AD18" i="33"/>
  <c r="AG18" i="33"/>
  <c r="AF18" i="33"/>
  <c r="AH18" i="33"/>
  <c r="AD19" i="33"/>
  <c r="AG19" i="33"/>
  <c r="AF19" i="33"/>
  <c r="AH19" i="33"/>
  <c r="AD20" i="33"/>
  <c r="AG20" i="33"/>
  <c r="AF20" i="33"/>
  <c r="AH20" i="33"/>
  <c r="AD21" i="33"/>
  <c r="AG21" i="33"/>
  <c r="AF21" i="33"/>
  <c r="AH21" i="33"/>
  <c r="AD22" i="33"/>
  <c r="AG22" i="33"/>
  <c r="AF22" i="33"/>
  <c r="AH22" i="33"/>
  <c r="AD23" i="33"/>
  <c r="AG23" i="33"/>
  <c r="AF23" i="33"/>
  <c r="AH23" i="33"/>
  <c r="AD24" i="33"/>
  <c r="AG24" i="33"/>
  <c r="AF24" i="33"/>
  <c r="AH24" i="33"/>
  <c r="AD25" i="33"/>
  <c r="AG25" i="33"/>
  <c r="AF25" i="33"/>
  <c r="AH25" i="33"/>
  <c r="I29" i="24"/>
  <c r="I28" i="24"/>
  <c r="I27" i="24"/>
  <c r="I26" i="24"/>
  <c r="F13" i="45"/>
  <c r="F14" i="45"/>
  <c r="B13" i="45"/>
  <c r="B14" i="45"/>
  <c r="BU51" i="46"/>
  <c r="BU52" i="46"/>
  <c r="BU53" i="46"/>
  <c r="BR54" i="46"/>
  <c r="BS54" i="46"/>
  <c r="BT54" i="46"/>
  <c r="BV54" i="46"/>
  <c r="BW54" i="46"/>
  <c r="BX54" i="46"/>
  <c r="BY54" i="46"/>
  <c r="BZ54" i="46"/>
  <c r="CA54" i="46"/>
  <c r="BU55" i="46"/>
  <c r="BU56" i="46"/>
  <c r="BU57" i="46"/>
  <c r="BU58" i="46"/>
  <c r="BU59" i="46"/>
  <c r="BU60" i="46"/>
  <c r="M20" i="46"/>
  <c r="N20" i="46" a="1"/>
  <c r="N20" i="46"/>
  <c r="O20" i="46"/>
  <c r="M21" i="46"/>
  <c r="N21" i="46" a="1"/>
  <c r="N21" i="46"/>
  <c r="O21" i="46"/>
  <c r="M22" i="46"/>
  <c r="N22" i="46" a="1"/>
  <c r="N22" i="46"/>
  <c r="O22" i="46"/>
  <c r="M23" i="46"/>
  <c r="N23" i="46" a="1"/>
  <c r="N23" i="46"/>
  <c r="O23" i="46"/>
  <c r="M24" i="46"/>
  <c r="N24" i="46" a="1"/>
  <c r="N24" i="46"/>
  <c r="O24" i="46"/>
  <c r="M25" i="46"/>
  <c r="N25" i="46" a="1"/>
  <c r="N25" i="46"/>
  <c r="O25" i="46"/>
  <c r="BU40" i="46"/>
  <c r="BU29" i="46"/>
  <c r="BU30" i="46"/>
  <c r="BR32" i="46"/>
  <c r="BS32" i="46"/>
  <c r="BU41" i="46"/>
  <c r="BU31" i="46"/>
  <c r="BT32" i="46"/>
  <c r="BU42" i="46"/>
  <c r="BR43" i="46"/>
  <c r="BS43" i="46"/>
  <c r="BT43" i="46"/>
  <c r="BV32" i="46"/>
  <c r="BU33" i="46"/>
  <c r="BV43" i="46"/>
  <c r="BW32" i="46"/>
  <c r="BU34" i="46"/>
  <c r="BW43" i="46"/>
  <c r="BX32" i="46"/>
  <c r="BU35" i="46"/>
  <c r="BX43" i="46"/>
  <c r="BY32" i="46"/>
  <c r="BU36" i="46"/>
  <c r="BY43" i="46"/>
  <c r="BZ32" i="46"/>
  <c r="BU37" i="46"/>
  <c r="BZ43" i="46"/>
  <c r="CA32" i="46"/>
  <c r="BU38" i="46"/>
  <c r="CA43" i="46"/>
  <c r="BU44" i="46"/>
  <c r="BU45" i="46"/>
  <c r="BU46" i="46"/>
  <c r="BU47" i="46"/>
  <c r="BU48" i="46"/>
  <c r="BU49" i="46"/>
  <c r="BU51" i="47"/>
  <c r="BU52" i="47"/>
  <c r="BU53" i="47"/>
  <c r="BR54" i="47"/>
  <c r="BS54" i="47"/>
  <c r="BT54" i="47"/>
  <c r="BV54" i="47"/>
  <c r="BW54" i="47"/>
  <c r="BX54" i="47"/>
  <c r="BY54" i="47"/>
  <c r="BZ54" i="47"/>
  <c r="CA54" i="47"/>
  <c r="BU55" i="47"/>
  <c r="BU56" i="47"/>
  <c r="BU57" i="47"/>
  <c r="BU58" i="47"/>
  <c r="BU59" i="47"/>
  <c r="BU60" i="47"/>
  <c r="M20" i="47"/>
  <c r="N20" i="47" a="1"/>
  <c r="N20" i="47"/>
  <c r="O20" i="47"/>
  <c r="M21" i="47"/>
  <c r="N21" i="47" a="1"/>
  <c r="N21" i="47"/>
  <c r="O21" i="47"/>
  <c r="M22" i="47"/>
  <c r="N22" i="47" a="1"/>
  <c r="N22" i="47"/>
  <c r="O22" i="47"/>
  <c r="M23" i="47"/>
  <c r="N23" i="47" a="1"/>
  <c r="N23" i="47"/>
  <c r="O23" i="47"/>
  <c r="M24" i="47"/>
  <c r="N24" i="47" a="1"/>
  <c r="N24" i="47"/>
  <c r="O24" i="47"/>
  <c r="M25" i="47"/>
  <c r="N25" i="47" a="1"/>
  <c r="N25" i="47"/>
  <c r="O25" i="47"/>
  <c r="BU40" i="47"/>
  <c r="BU29" i="47"/>
  <c r="BU30" i="47"/>
  <c r="BR32" i="47"/>
  <c r="BS32" i="47"/>
  <c r="BU41" i="47"/>
  <c r="BU31" i="47"/>
  <c r="BT32" i="47"/>
  <c r="BU42" i="47"/>
  <c r="BR43" i="47"/>
  <c r="BS43" i="47"/>
  <c r="BT43" i="47"/>
  <c r="BV32" i="47"/>
  <c r="BU33" i="47"/>
  <c r="BV43" i="47"/>
  <c r="BW32" i="47"/>
  <c r="BU34" i="47"/>
  <c r="BW43" i="47"/>
  <c r="BX32" i="47"/>
  <c r="BU35" i="47"/>
  <c r="BX43" i="47"/>
  <c r="BY32" i="47"/>
  <c r="BU36" i="47"/>
  <c r="BY43" i="47"/>
  <c r="BZ32" i="47"/>
  <c r="BU37" i="47"/>
  <c r="BZ43" i="47"/>
  <c r="CA32" i="47"/>
  <c r="BU38" i="47"/>
  <c r="CA43" i="47"/>
  <c r="BU44" i="47"/>
  <c r="BU45" i="47"/>
  <c r="BU46" i="47"/>
  <c r="BU47" i="47"/>
  <c r="BU48" i="47"/>
  <c r="BU49" i="47"/>
  <c r="C31" i="44"/>
  <c r="C30" i="44"/>
  <c r="C33" i="43"/>
  <c r="AD17" i="47"/>
  <c r="AG17" i="47"/>
  <c r="AE19" i="47"/>
  <c r="AF17" i="47"/>
  <c r="AH17" i="47"/>
  <c r="AD18" i="47"/>
  <c r="AG18" i="47"/>
  <c r="AF18" i="47"/>
  <c r="AH18" i="47"/>
  <c r="AD19" i="47"/>
  <c r="AG19" i="47"/>
  <c r="AF19" i="47"/>
  <c r="AH19" i="47"/>
  <c r="AD20" i="47"/>
  <c r="AG20" i="47"/>
  <c r="AF20" i="47"/>
  <c r="AH20" i="47"/>
  <c r="AD21" i="47"/>
  <c r="AG21" i="47"/>
  <c r="AF21" i="47"/>
  <c r="AH21" i="47"/>
  <c r="AD22" i="47"/>
  <c r="AG22" i="47"/>
  <c r="AF22" i="47"/>
  <c r="AH22" i="47"/>
  <c r="AD23" i="47"/>
  <c r="AG23" i="47"/>
  <c r="AF23" i="47"/>
  <c r="AH23" i="47"/>
  <c r="AD24" i="47"/>
  <c r="AG24" i="47"/>
  <c r="AF24" i="47"/>
  <c r="AH24" i="47"/>
  <c r="AD25" i="47"/>
  <c r="AG25" i="47"/>
  <c r="AF25" i="47"/>
  <c r="AH25" i="47"/>
  <c r="C32" i="43"/>
  <c r="C31" i="43"/>
  <c r="C30" i="43"/>
  <c r="AD17" i="46"/>
  <c r="AG17" i="46"/>
  <c r="AE19" i="46"/>
  <c r="AF17" i="46"/>
  <c r="AH17" i="46"/>
  <c r="AD18" i="46"/>
  <c r="AG18" i="46"/>
  <c r="AF18" i="46"/>
  <c r="AH18" i="46"/>
  <c r="AD19" i="46"/>
  <c r="AG19" i="46"/>
  <c r="AF19" i="46"/>
  <c r="AH19" i="46"/>
  <c r="AD20" i="46"/>
  <c r="AG20" i="46"/>
  <c r="AF20" i="46"/>
  <c r="AH20" i="46"/>
  <c r="AD21" i="46"/>
  <c r="AG21" i="46"/>
  <c r="AF21" i="46"/>
  <c r="AH21" i="46"/>
  <c r="AD22" i="46"/>
  <c r="AG22" i="46"/>
  <c r="AF22" i="46"/>
  <c r="AH22" i="46"/>
  <c r="AD23" i="46"/>
  <c r="AG23" i="46"/>
  <c r="AF23" i="46"/>
  <c r="AH23" i="46"/>
  <c r="AD24" i="46"/>
  <c r="AG24" i="46"/>
  <c r="AF24" i="46"/>
  <c r="AH24" i="46"/>
  <c r="AD25" i="46"/>
  <c r="AG25" i="46"/>
  <c r="AF25" i="46"/>
  <c r="AH25" i="46"/>
  <c r="C33" i="42"/>
  <c r="C32" i="42"/>
  <c r="C31" i="42"/>
  <c r="C30" i="42"/>
  <c r="C33" i="41"/>
  <c r="C32" i="41"/>
  <c r="C31" i="41"/>
  <c r="C30" i="41"/>
  <c r="AI159" i="44"/>
  <c r="AA159" i="44"/>
  <c r="AB159" i="44"/>
  <c r="Z159" i="44"/>
  <c r="AI158" i="44"/>
  <c r="AA158" i="44"/>
  <c r="AB158" i="44"/>
  <c r="Z158" i="44"/>
  <c r="AI157" i="44"/>
  <c r="AA157" i="44"/>
  <c r="AB157" i="44"/>
  <c r="Z157" i="44"/>
  <c r="AI155" i="44"/>
  <c r="AA155" i="44"/>
  <c r="AB155" i="44"/>
  <c r="Z155" i="44"/>
  <c r="AI154" i="44"/>
  <c r="AA154" i="44"/>
  <c r="AB154" i="44"/>
  <c r="Z154" i="44"/>
  <c r="AI153" i="44"/>
  <c r="AA153" i="44"/>
  <c r="AB153" i="44"/>
  <c r="Z153" i="44"/>
  <c r="AI151" i="44"/>
  <c r="AA151" i="44"/>
  <c r="AB151" i="44"/>
  <c r="Z151" i="44"/>
  <c r="AI150" i="44"/>
  <c r="AA150" i="44"/>
  <c r="AB150" i="44"/>
  <c r="Z150" i="44"/>
  <c r="AI149" i="44"/>
  <c r="AA149" i="44"/>
  <c r="AB149" i="44"/>
  <c r="Z149" i="44"/>
  <c r="AI147" i="44"/>
  <c r="AA147" i="44"/>
  <c r="AB147" i="44"/>
  <c r="Z147" i="44"/>
  <c r="AI146" i="44"/>
  <c r="AA146" i="44"/>
  <c r="AB146" i="44"/>
  <c r="Z146" i="44"/>
  <c r="AI145" i="44"/>
  <c r="AA145" i="44"/>
  <c r="AB145" i="44"/>
  <c r="Z145" i="44"/>
  <c r="AI143" i="44"/>
  <c r="AA143" i="44"/>
  <c r="AB143" i="44"/>
  <c r="Z143" i="44"/>
  <c r="AI142" i="44"/>
  <c r="AA142" i="44"/>
  <c r="AB142" i="44"/>
  <c r="Z142" i="44"/>
  <c r="AI141" i="44"/>
  <c r="AA141" i="44"/>
  <c r="AB141" i="44"/>
  <c r="Z141" i="44"/>
  <c r="AI139" i="44"/>
  <c r="AA139" i="44"/>
  <c r="AB139" i="44"/>
  <c r="Z139" i="44"/>
  <c r="AI138" i="44"/>
  <c r="AA138" i="44"/>
  <c r="AB138" i="44"/>
  <c r="Z138" i="44"/>
  <c r="AI137" i="44"/>
  <c r="AA137" i="44"/>
  <c r="AB137" i="44"/>
  <c r="Z137" i="44"/>
  <c r="AI136" i="44"/>
  <c r="AA136" i="44"/>
  <c r="AB136" i="44"/>
  <c r="Z136" i="44"/>
  <c r="AI87" i="44"/>
  <c r="Z87" i="44"/>
  <c r="AI86" i="44"/>
  <c r="Z86" i="44"/>
  <c r="AI85" i="44"/>
  <c r="Z85" i="44"/>
  <c r="AI83" i="44"/>
  <c r="Z83" i="44"/>
  <c r="AI82" i="44"/>
  <c r="Z82" i="44"/>
  <c r="AI81" i="44"/>
  <c r="Z81" i="44"/>
  <c r="AI79" i="44"/>
  <c r="Z79" i="44"/>
  <c r="AI78" i="44"/>
  <c r="Z78" i="44"/>
  <c r="AI77" i="44"/>
  <c r="Z77" i="44"/>
  <c r="AI75" i="44"/>
  <c r="Z75" i="44"/>
  <c r="AI74" i="44"/>
  <c r="Z74" i="44"/>
  <c r="AI73" i="44"/>
  <c r="Z73" i="44"/>
  <c r="AI71" i="44"/>
  <c r="Z71" i="44"/>
  <c r="AI70" i="44"/>
  <c r="Z70" i="44"/>
  <c r="AI69" i="44"/>
  <c r="Z69" i="44"/>
  <c r="AI67" i="44"/>
  <c r="Z67" i="44"/>
  <c r="AI66" i="44"/>
  <c r="Z66" i="44"/>
  <c r="AI65" i="44"/>
  <c r="Z65" i="44"/>
  <c r="AI64" i="44"/>
  <c r="Z64" i="44"/>
  <c r="AI159" i="43"/>
  <c r="AA159" i="43"/>
  <c r="AB159" i="43"/>
  <c r="Z159" i="43"/>
  <c r="AI158" i="43"/>
  <c r="AA158" i="43"/>
  <c r="AB158" i="43"/>
  <c r="Z158" i="43"/>
  <c r="AI157" i="43"/>
  <c r="AA157" i="43"/>
  <c r="AB157" i="43"/>
  <c r="Z157" i="43"/>
  <c r="AI155" i="43"/>
  <c r="AA155" i="43"/>
  <c r="AB155" i="43"/>
  <c r="Z155" i="43"/>
  <c r="AI154" i="43"/>
  <c r="AA154" i="43"/>
  <c r="AB154" i="43"/>
  <c r="Z154" i="43"/>
  <c r="AI153" i="43"/>
  <c r="AA153" i="43"/>
  <c r="AB153" i="43"/>
  <c r="Z153" i="43"/>
  <c r="AI151" i="43"/>
  <c r="AA151" i="43"/>
  <c r="AB151" i="43"/>
  <c r="Z151" i="43"/>
  <c r="AI150" i="43"/>
  <c r="AA150" i="43"/>
  <c r="AB150" i="43"/>
  <c r="Z150" i="43"/>
  <c r="AI149" i="43"/>
  <c r="AA149" i="43"/>
  <c r="AB149" i="43"/>
  <c r="Z149" i="43"/>
  <c r="AI147" i="43"/>
  <c r="AA147" i="43"/>
  <c r="AB147" i="43"/>
  <c r="Z147" i="43"/>
  <c r="AI146" i="43"/>
  <c r="AA146" i="43"/>
  <c r="AB146" i="43"/>
  <c r="Z146" i="43"/>
  <c r="AI145" i="43"/>
  <c r="AA145" i="43"/>
  <c r="AB145" i="43"/>
  <c r="Z145" i="43"/>
  <c r="AI143" i="43"/>
  <c r="AA143" i="43"/>
  <c r="AB143" i="43"/>
  <c r="Z143" i="43"/>
  <c r="AI142" i="43"/>
  <c r="AA142" i="43"/>
  <c r="AB142" i="43"/>
  <c r="Z142" i="43"/>
  <c r="AI141" i="43"/>
  <c r="AA141" i="43"/>
  <c r="AB141" i="43"/>
  <c r="Z141" i="43"/>
  <c r="AI139" i="43"/>
  <c r="AA139" i="43"/>
  <c r="AB139" i="43"/>
  <c r="Z139" i="43"/>
  <c r="AI138" i="43"/>
  <c r="AA138" i="43"/>
  <c r="AB138" i="43"/>
  <c r="Z138" i="43"/>
  <c r="AI137" i="43"/>
  <c r="AA137" i="43"/>
  <c r="AB137" i="43"/>
  <c r="Z137" i="43"/>
  <c r="AI136" i="43"/>
  <c r="AA136" i="43"/>
  <c r="AB136" i="43"/>
  <c r="Z136" i="43"/>
  <c r="AI87" i="43"/>
  <c r="Z87" i="43"/>
  <c r="AI86" i="43"/>
  <c r="Z86" i="43"/>
  <c r="AI85" i="43"/>
  <c r="Z85" i="43"/>
  <c r="AI83" i="43"/>
  <c r="Z83" i="43"/>
  <c r="AI82" i="43"/>
  <c r="Z82" i="43"/>
  <c r="AI81" i="43"/>
  <c r="Z81" i="43"/>
  <c r="AI79" i="43"/>
  <c r="Z79" i="43"/>
  <c r="AI78" i="43"/>
  <c r="Z78" i="43"/>
  <c r="AI77" i="43"/>
  <c r="Z77" i="43"/>
  <c r="AI75" i="43"/>
  <c r="Z75" i="43"/>
  <c r="AI74" i="43"/>
  <c r="Z74" i="43"/>
  <c r="AI73" i="43"/>
  <c r="Z73" i="43"/>
  <c r="AI71" i="43"/>
  <c r="Z71" i="43"/>
  <c r="AI70" i="43"/>
  <c r="Z70" i="43"/>
  <c r="AI69" i="43"/>
  <c r="Z69" i="43"/>
  <c r="AI67" i="43"/>
  <c r="Z67" i="43"/>
  <c r="AI66" i="43"/>
  <c r="Z66" i="43"/>
  <c r="AI65" i="43"/>
  <c r="Z65" i="43"/>
  <c r="AI64" i="43"/>
  <c r="Z64" i="43"/>
  <c r="AI159" i="42"/>
  <c r="AA159" i="42"/>
  <c r="AB159" i="42"/>
  <c r="Z159" i="42"/>
  <c r="AI158" i="42"/>
  <c r="AA158" i="42"/>
  <c r="AB158" i="42"/>
  <c r="Z158" i="42"/>
  <c r="AI157" i="42"/>
  <c r="AA157" i="42"/>
  <c r="AB157" i="42"/>
  <c r="Z157" i="42"/>
  <c r="AI155" i="42"/>
  <c r="AA155" i="42"/>
  <c r="AB155" i="42"/>
  <c r="Z155" i="42"/>
  <c r="AI154" i="42"/>
  <c r="AA154" i="42"/>
  <c r="AB154" i="42"/>
  <c r="Z154" i="42"/>
  <c r="AI153" i="42"/>
  <c r="AA153" i="42"/>
  <c r="AB153" i="42"/>
  <c r="Z153" i="42"/>
  <c r="AI151" i="42"/>
  <c r="AA151" i="42"/>
  <c r="AB151" i="42"/>
  <c r="Z151" i="42"/>
  <c r="AI150" i="42"/>
  <c r="AA150" i="42"/>
  <c r="AB150" i="42"/>
  <c r="Z150" i="42"/>
  <c r="AI149" i="42"/>
  <c r="AA149" i="42"/>
  <c r="AB149" i="42"/>
  <c r="Z149" i="42"/>
  <c r="AI147" i="42"/>
  <c r="AA147" i="42"/>
  <c r="AB147" i="42"/>
  <c r="Z147" i="42"/>
  <c r="AI146" i="42"/>
  <c r="AA146" i="42"/>
  <c r="AB146" i="42"/>
  <c r="Z146" i="42"/>
  <c r="AI145" i="42"/>
  <c r="AA145" i="42"/>
  <c r="AB145" i="42"/>
  <c r="Z145" i="42"/>
  <c r="AI143" i="42"/>
  <c r="AA143" i="42"/>
  <c r="AB143" i="42"/>
  <c r="Z143" i="42"/>
  <c r="AI142" i="42"/>
  <c r="AA142" i="42"/>
  <c r="AB142" i="42"/>
  <c r="Z142" i="42"/>
  <c r="AI141" i="42"/>
  <c r="AA141" i="42"/>
  <c r="AB141" i="42"/>
  <c r="Z141" i="42"/>
  <c r="AI139" i="42"/>
  <c r="AA139" i="42"/>
  <c r="AB139" i="42"/>
  <c r="Z139" i="42"/>
  <c r="AI138" i="42"/>
  <c r="AA138" i="42"/>
  <c r="AB138" i="42"/>
  <c r="Z138" i="42"/>
  <c r="AI137" i="42"/>
  <c r="AA137" i="42"/>
  <c r="AB137" i="42"/>
  <c r="Z137" i="42"/>
  <c r="AI136" i="42"/>
  <c r="AA136" i="42"/>
  <c r="AB136" i="42"/>
  <c r="Z136" i="42"/>
  <c r="AI87" i="42"/>
  <c r="Z87" i="42"/>
  <c r="AI86" i="42"/>
  <c r="Z86" i="42"/>
  <c r="AI85" i="42"/>
  <c r="Z85" i="42"/>
  <c r="AI83" i="42"/>
  <c r="Z83" i="42"/>
  <c r="AI82" i="42"/>
  <c r="Z82" i="42"/>
  <c r="AI81" i="42"/>
  <c r="Z81" i="42"/>
  <c r="AI79" i="42"/>
  <c r="Z79" i="42"/>
  <c r="AI78" i="42"/>
  <c r="Z78" i="42"/>
  <c r="AI77" i="42"/>
  <c r="Z77" i="42"/>
  <c r="AI75" i="42"/>
  <c r="Z75" i="42"/>
  <c r="AI74" i="42"/>
  <c r="Z74" i="42"/>
  <c r="AI73" i="42"/>
  <c r="Z73" i="42"/>
  <c r="AI71" i="42"/>
  <c r="Z71" i="42"/>
  <c r="AI70" i="42"/>
  <c r="Z70" i="42"/>
  <c r="AI69" i="42"/>
  <c r="Z69" i="42"/>
  <c r="AI67" i="42"/>
  <c r="Z67" i="42"/>
  <c r="AI66" i="42"/>
  <c r="Z66" i="42"/>
  <c r="AI65" i="42"/>
  <c r="Z65" i="42"/>
  <c r="AI64" i="42"/>
  <c r="Z64" i="42"/>
  <c r="AI159" i="41"/>
  <c r="AA159" i="41"/>
  <c r="AB159" i="41"/>
  <c r="Z159" i="41"/>
  <c r="AI158" i="41"/>
  <c r="AA158" i="41"/>
  <c r="AB158" i="41"/>
  <c r="Z158" i="41"/>
  <c r="AI157" i="41"/>
  <c r="AA157" i="41"/>
  <c r="AB157" i="41"/>
  <c r="Z157" i="41"/>
  <c r="AI155" i="41"/>
  <c r="AA155" i="41"/>
  <c r="AB155" i="41"/>
  <c r="Z155" i="41"/>
  <c r="AI154" i="41"/>
  <c r="AA154" i="41"/>
  <c r="AB154" i="41"/>
  <c r="Z154" i="41"/>
  <c r="AI153" i="41"/>
  <c r="AA153" i="41"/>
  <c r="AB153" i="41"/>
  <c r="Z153" i="41"/>
  <c r="AI151" i="41"/>
  <c r="AA151" i="41"/>
  <c r="AB151" i="41"/>
  <c r="Z151" i="41"/>
  <c r="AI150" i="41"/>
  <c r="AA150" i="41"/>
  <c r="AB150" i="41"/>
  <c r="Z150" i="41"/>
  <c r="AI149" i="41"/>
  <c r="AA149" i="41"/>
  <c r="AB149" i="41"/>
  <c r="Z149" i="41"/>
  <c r="AI147" i="41"/>
  <c r="AA147" i="41"/>
  <c r="AB147" i="41"/>
  <c r="Z147" i="41"/>
  <c r="AI146" i="41"/>
  <c r="AA146" i="41"/>
  <c r="AB146" i="41"/>
  <c r="Z146" i="41"/>
  <c r="AI145" i="41"/>
  <c r="AA145" i="41"/>
  <c r="AB145" i="41"/>
  <c r="Z145" i="41"/>
  <c r="AI143" i="41"/>
  <c r="AA143" i="41"/>
  <c r="AB143" i="41"/>
  <c r="Z143" i="41"/>
  <c r="AI142" i="41"/>
  <c r="AA142" i="41"/>
  <c r="AB142" i="41"/>
  <c r="Z142" i="41"/>
  <c r="AI141" i="41"/>
  <c r="AA141" i="41"/>
  <c r="AB141" i="41"/>
  <c r="Z141" i="41"/>
  <c r="AI139" i="41"/>
  <c r="AA139" i="41"/>
  <c r="AB139" i="41"/>
  <c r="Z139" i="41"/>
  <c r="AI138" i="41"/>
  <c r="AA138" i="41"/>
  <c r="AB138" i="41"/>
  <c r="Z138" i="41"/>
  <c r="AI137" i="41"/>
  <c r="AA137" i="41"/>
  <c r="AB137" i="41"/>
  <c r="Z137" i="41"/>
  <c r="AI136" i="41"/>
  <c r="AA136" i="41"/>
  <c r="AB136" i="41"/>
  <c r="Z136" i="41"/>
  <c r="AI87" i="41"/>
  <c r="Z87" i="41"/>
  <c r="AI86" i="41"/>
  <c r="Z86" i="41"/>
  <c r="AI85" i="41"/>
  <c r="Z85" i="41"/>
  <c r="AI83" i="41"/>
  <c r="Z83" i="41"/>
  <c r="AI82" i="41"/>
  <c r="Z82" i="41"/>
  <c r="AI81" i="41"/>
  <c r="Z81" i="41"/>
  <c r="AI79" i="41"/>
  <c r="Z79" i="41"/>
  <c r="AI78" i="41"/>
  <c r="Z78" i="41"/>
  <c r="AI77" i="41"/>
  <c r="Z77" i="41"/>
  <c r="AI75" i="41"/>
  <c r="Z75" i="41"/>
  <c r="AI74" i="41"/>
  <c r="Z74" i="41"/>
  <c r="AI73" i="41"/>
  <c r="Z73" i="41"/>
  <c r="AI71" i="41"/>
  <c r="Z71" i="41"/>
  <c r="AI70" i="41"/>
  <c r="Z70" i="41"/>
  <c r="AI69" i="41"/>
  <c r="Z69" i="41"/>
  <c r="AI67" i="41"/>
  <c r="Z67" i="41"/>
  <c r="AI66" i="41"/>
  <c r="Z66" i="41"/>
  <c r="AI65" i="41"/>
  <c r="Z65" i="41"/>
  <c r="AI64" i="41"/>
  <c r="Z64" i="41"/>
  <c r="C33" i="40"/>
  <c r="AI159" i="40"/>
  <c r="AI158" i="40"/>
  <c r="AI157" i="40"/>
  <c r="AI155" i="40"/>
  <c r="AI154" i="40"/>
  <c r="AA159" i="40"/>
  <c r="AB159" i="40"/>
  <c r="Z159" i="40"/>
  <c r="AA158" i="40"/>
  <c r="AB158" i="40"/>
  <c r="Z158" i="40"/>
  <c r="AA157" i="40"/>
  <c r="AB157" i="40"/>
  <c r="Z157" i="40"/>
  <c r="AA155" i="40"/>
  <c r="AB155" i="40"/>
  <c r="Z155" i="40"/>
  <c r="AA154" i="40"/>
  <c r="AB154" i="40"/>
  <c r="Z154" i="40"/>
  <c r="AI87" i="40"/>
  <c r="AI86" i="40"/>
  <c r="AI85" i="40"/>
  <c r="AI83" i="40"/>
  <c r="AI82" i="40"/>
  <c r="AB87" i="40"/>
  <c r="Z87" i="40"/>
  <c r="AB86" i="40"/>
  <c r="Z86" i="40"/>
  <c r="AB85" i="40"/>
  <c r="Z85" i="40"/>
  <c r="AB83" i="40"/>
  <c r="Z83" i="40"/>
  <c r="AB82" i="40"/>
  <c r="Z82" i="40"/>
  <c r="AI153" i="40"/>
  <c r="AA153" i="40"/>
  <c r="AB153" i="40"/>
  <c r="Z153" i="40"/>
  <c r="AI151" i="40"/>
  <c r="AA151" i="40"/>
  <c r="AB151" i="40"/>
  <c r="Z151" i="40"/>
  <c r="AI150" i="40"/>
  <c r="AA150" i="40"/>
  <c r="AB150" i="40"/>
  <c r="Z150" i="40"/>
  <c r="AI149" i="40"/>
  <c r="AA149" i="40"/>
  <c r="AB149" i="40"/>
  <c r="Z149" i="40"/>
  <c r="AI147" i="40"/>
  <c r="AA147" i="40"/>
  <c r="AB147" i="40"/>
  <c r="Z147" i="40"/>
  <c r="AI146" i="40"/>
  <c r="AA146" i="40"/>
  <c r="AB146" i="40"/>
  <c r="Z146" i="40"/>
  <c r="AI145" i="40"/>
  <c r="AA145" i="40"/>
  <c r="AB145" i="40"/>
  <c r="Z145" i="40"/>
  <c r="AI143" i="40"/>
  <c r="AA143" i="40"/>
  <c r="AB143" i="40"/>
  <c r="Z143" i="40"/>
  <c r="AI142" i="40"/>
  <c r="AA142" i="40"/>
  <c r="AB142" i="40"/>
  <c r="Z142" i="40"/>
  <c r="AI141" i="40"/>
  <c r="AA141" i="40"/>
  <c r="AB141" i="40"/>
  <c r="Z141" i="40"/>
  <c r="AI139" i="40"/>
  <c r="AA139" i="40"/>
  <c r="AB139" i="40"/>
  <c r="Z139" i="40"/>
  <c r="AI138" i="40"/>
  <c r="AA138" i="40"/>
  <c r="AB138" i="40"/>
  <c r="Z138" i="40"/>
  <c r="AI137" i="40"/>
  <c r="AA137" i="40"/>
  <c r="AB137" i="40"/>
  <c r="Z137" i="40"/>
  <c r="AI136" i="40"/>
  <c r="AA136" i="40"/>
  <c r="AB136" i="40"/>
  <c r="Z136" i="40"/>
  <c r="AI81" i="40"/>
  <c r="AB81" i="40"/>
  <c r="Z81" i="40"/>
  <c r="AI79" i="40"/>
  <c r="AB79" i="40"/>
  <c r="Z79" i="40"/>
  <c r="AI78" i="40"/>
  <c r="AB78" i="40"/>
  <c r="Z78" i="40"/>
  <c r="AI77" i="40"/>
  <c r="AB77" i="40"/>
  <c r="Z77" i="40"/>
  <c r="AI75" i="40"/>
  <c r="AB75" i="40"/>
  <c r="Z75" i="40"/>
  <c r="AI74" i="40"/>
  <c r="AB74" i="40"/>
  <c r="Z74" i="40"/>
  <c r="AI73" i="40"/>
  <c r="AB73" i="40"/>
  <c r="Z73" i="40"/>
  <c r="AI71" i="40"/>
  <c r="AB71" i="40"/>
  <c r="Z71" i="40"/>
  <c r="AI70" i="40"/>
  <c r="AB70" i="40"/>
  <c r="Z70" i="40"/>
  <c r="AI69" i="40"/>
  <c r="AB69" i="40"/>
  <c r="Z69" i="40"/>
  <c r="AI67" i="40"/>
  <c r="AB67" i="40"/>
  <c r="Z67" i="40"/>
  <c r="AI66" i="40"/>
  <c r="AB66" i="40"/>
  <c r="Z66" i="40"/>
  <c r="AI65" i="40"/>
  <c r="AB65" i="40"/>
  <c r="Z65" i="40"/>
  <c r="AI64" i="40"/>
  <c r="AB64" i="40"/>
  <c r="Z64" i="40"/>
  <c r="I25" i="31"/>
  <c r="H25" i="31"/>
  <c r="G25" i="31"/>
  <c r="F25" i="31"/>
  <c r="E25" i="31"/>
  <c r="D25" i="31"/>
  <c r="I24" i="31"/>
  <c r="H24" i="31"/>
  <c r="G24" i="31"/>
  <c r="F24" i="31"/>
  <c r="E24" i="31"/>
  <c r="D24" i="31"/>
  <c r="I23" i="31"/>
  <c r="H23" i="31"/>
  <c r="G23" i="31"/>
  <c r="F23" i="31"/>
  <c r="E23" i="31"/>
  <c r="D23" i="31"/>
  <c r="I22" i="31"/>
  <c r="H22" i="31"/>
  <c r="G22" i="31"/>
  <c r="F22" i="31"/>
  <c r="E22" i="31"/>
  <c r="D22" i="31"/>
  <c r="I21" i="31"/>
  <c r="H21" i="31"/>
  <c r="G21" i="31"/>
  <c r="F21" i="31"/>
  <c r="E21" i="31"/>
  <c r="D21" i="31"/>
  <c r="I20" i="31"/>
  <c r="H20" i="31"/>
  <c r="G20" i="31"/>
  <c r="F20" i="31"/>
  <c r="E20" i="31"/>
  <c r="D20" i="31"/>
  <c r="I19" i="31"/>
  <c r="H19" i="31"/>
  <c r="G19" i="31"/>
  <c r="F19" i="31"/>
  <c r="E19" i="31"/>
  <c r="D19" i="31"/>
  <c r="I18" i="31"/>
  <c r="H18" i="31"/>
  <c r="G18" i="31"/>
  <c r="F18" i="31"/>
  <c r="E18" i="31"/>
  <c r="D18" i="31"/>
  <c r="I17" i="31"/>
  <c r="H17" i="31"/>
  <c r="G17" i="31"/>
  <c r="F17" i="31"/>
  <c r="E17" i="31"/>
  <c r="D17" i="31"/>
  <c r="BT52" i="31"/>
  <c r="BU51" i="31"/>
  <c r="BU52" i="31"/>
  <c r="BV52" i="31"/>
  <c r="BW52" i="31"/>
  <c r="BX52" i="31"/>
  <c r="BY52" i="31"/>
  <c r="BZ52" i="31"/>
  <c r="CA52" i="31"/>
  <c r="BS53" i="31"/>
  <c r="BU53" i="31"/>
  <c r="BV53" i="31"/>
  <c r="BW53" i="31"/>
  <c r="BX53" i="31"/>
  <c r="BY53" i="31"/>
  <c r="BZ53" i="31"/>
  <c r="CA53" i="31"/>
  <c r="BR54" i="31"/>
  <c r="BS54" i="31"/>
  <c r="BT54" i="31"/>
  <c r="BV54" i="31"/>
  <c r="BW54" i="31"/>
  <c r="BX54" i="31"/>
  <c r="BY54" i="31"/>
  <c r="BZ54" i="31"/>
  <c r="CA54" i="31"/>
  <c r="BS55" i="31"/>
  <c r="BT55" i="31"/>
  <c r="BU55" i="31"/>
  <c r="BW55" i="31"/>
  <c r="BX55" i="31"/>
  <c r="BY55" i="31"/>
  <c r="BZ55" i="31"/>
  <c r="CA55" i="31"/>
  <c r="BS56" i="31"/>
  <c r="BT56" i="31"/>
  <c r="BU56" i="31"/>
  <c r="BV56" i="31"/>
  <c r="BX56" i="31"/>
  <c r="BY56" i="31"/>
  <c r="BZ56" i="31"/>
  <c r="CA56" i="31"/>
  <c r="BS57" i="31"/>
  <c r="BT57" i="31"/>
  <c r="BU57" i="31"/>
  <c r="BV57" i="31"/>
  <c r="BW57" i="31"/>
  <c r="BY57" i="31"/>
  <c r="BZ57" i="31"/>
  <c r="CA57" i="31"/>
  <c r="BS58" i="31"/>
  <c r="BT58" i="31"/>
  <c r="BU58" i="31"/>
  <c r="BV58" i="31"/>
  <c r="BW58" i="31"/>
  <c r="BX58" i="31"/>
  <c r="BZ58" i="31"/>
  <c r="CA58" i="31"/>
  <c r="BS59" i="31"/>
  <c r="BT59" i="31"/>
  <c r="BU59" i="31"/>
  <c r="BV59" i="31"/>
  <c r="BW59" i="31"/>
  <c r="BX59" i="31"/>
  <c r="BY59" i="31"/>
  <c r="CA59" i="31"/>
  <c r="BS60" i="31"/>
  <c r="BT60" i="31"/>
  <c r="BU60" i="31"/>
  <c r="BV60" i="31"/>
  <c r="BW60" i="31"/>
  <c r="BX60" i="31"/>
  <c r="BY60" i="31"/>
  <c r="BZ60" i="31"/>
  <c r="F30" i="31" a="1"/>
  <c r="F30" i="31"/>
  <c r="G30" i="31" a="1"/>
  <c r="H30" i="31" a="1"/>
  <c r="I30" i="31" a="1"/>
  <c r="J30" i="31" a="1"/>
  <c r="K30" i="31" a="1"/>
  <c r="L30" i="31" a="1"/>
  <c r="P17" i="31"/>
  <c r="P18" i="31"/>
  <c r="M30" i="31" a="1"/>
  <c r="P19" i="31"/>
  <c r="N30" i="31" a="1"/>
  <c r="P20" i="31"/>
  <c r="O30" i="31" a="1"/>
  <c r="P21" i="31"/>
  <c r="P30" i="31" a="1"/>
  <c r="P22" i="31"/>
  <c r="Q30" i="31" a="1"/>
  <c r="P23" i="31"/>
  <c r="R30" i="31" a="1"/>
  <c r="P24" i="31"/>
  <c r="S30" i="31" a="1"/>
  <c r="P25" i="31"/>
  <c r="T30" i="31" a="1"/>
  <c r="Q17" i="31"/>
  <c r="Q18" i="31"/>
  <c r="U30" i="31" a="1"/>
  <c r="Q19" i="31"/>
  <c r="V30" i="31" a="1"/>
  <c r="Q20" i="31"/>
  <c r="W30" i="31" a="1"/>
  <c r="Q21" i="31"/>
  <c r="X30" i="31" a="1"/>
  <c r="Q22" i="31"/>
  <c r="Y30" i="31" a="1"/>
  <c r="Q23" i="31"/>
  <c r="Z30" i="31" a="1"/>
  <c r="Q24" i="31"/>
  <c r="AA30" i="31" a="1"/>
  <c r="Q25" i="31"/>
  <c r="AB30" i="31" a="1"/>
  <c r="R17" i="31"/>
  <c r="R18" i="31"/>
  <c r="AC30" i="31" a="1"/>
  <c r="R19" i="31"/>
  <c r="AD30" i="31" a="1"/>
  <c r="R20" i="31"/>
  <c r="AE30" i="31" a="1"/>
  <c r="R21" i="31"/>
  <c r="AF30" i="31" a="1"/>
  <c r="R22" i="31"/>
  <c r="AG30" i="31" a="1"/>
  <c r="R23" i="31"/>
  <c r="AH30" i="31" a="1"/>
  <c r="R24" i="31"/>
  <c r="AI30" i="31" a="1"/>
  <c r="R25" i="31"/>
  <c r="AJ30" i="31" a="1"/>
  <c r="S17" i="31"/>
  <c r="S18" i="31"/>
  <c r="AK30" i="31" a="1"/>
  <c r="S19" i="31"/>
  <c r="AL30" i="31" a="1"/>
  <c r="S20" i="31"/>
  <c r="AM30" i="31" a="1"/>
  <c r="S21" i="31"/>
  <c r="AN30" i="31" a="1"/>
  <c r="S22" i="31"/>
  <c r="AO30" i="31" a="1"/>
  <c r="S23" i="31"/>
  <c r="AP30" i="31" a="1"/>
  <c r="S24" i="31"/>
  <c r="AQ30" i="31" a="1"/>
  <c r="S25" i="31"/>
  <c r="AR30" i="31" a="1"/>
  <c r="T17" i="31"/>
  <c r="T18" i="31"/>
  <c r="AS30" i="31" a="1"/>
  <c r="T19" i="31"/>
  <c r="AT30" i="31" a="1"/>
  <c r="T20" i="31"/>
  <c r="AU30" i="31" a="1"/>
  <c r="T21" i="31"/>
  <c r="AV30" i="31" a="1"/>
  <c r="T22" i="31"/>
  <c r="AW30" i="31" a="1"/>
  <c r="T23" i="31"/>
  <c r="AX30" i="31" a="1"/>
  <c r="T24" i="31"/>
  <c r="AY30" i="31" a="1"/>
  <c r="T25" i="31"/>
  <c r="AZ30" i="31" a="1"/>
  <c r="U17" i="31"/>
  <c r="U18" i="31"/>
  <c r="BA30" i="31" a="1"/>
  <c r="U19" i="31"/>
  <c r="BB30" i="31" a="1"/>
  <c r="U20" i="31"/>
  <c r="BC30" i="31" a="1"/>
  <c r="U21" i="31"/>
  <c r="BD30" i="31" a="1"/>
  <c r="U22" i="31"/>
  <c r="BE30" i="31" a="1"/>
  <c r="U23" i="31"/>
  <c r="BF30" i="31" a="1"/>
  <c r="U24" i="31"/>
  <c r="BG30" i="31" a="1"/>
  <c r="U25" i="31"/>
  <c r="BH30" i="31" a="1"/>
  <c r="V17" i="31"/>
  <c r="V18" i="31"/>
  <c r="BI30" i="31" a="1"/>
  <c r="V19" i="31"/>
  <c r="BJ30" i="31" a="1"/>
  <c r="V20" i="31"/>
  <c r="BK30" i="31" a="1"/>
  <c r="V21" i="31"/>
  <c r="BL30" i="31" a="1"/>
  <c r="V22" i="31"/>
  <c r="BM30" i="31" a="1"/>
  <c r="V23" i="31"/>
  <c r="BN30" i="31" a="1"/>
  <c r="V24" i="31"/>
  <c r="BO30" i="31" a="1"/>
  <c r="V25" i="31"/>
  <c r="BP30" i="31" a="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T30" i="31"/>
  <c r="BS31" i="31"/>
  <c r="BT41" i="31"/>
  <c r="BU40" i="31"/>
  <c r="BU29" i="31"/>
  <c r="BU30" i="31"/>
  <c r="BR32" i="31"/>
  <c r="BS32" i="31"/>
  <c r="BU41" i="31"/>
  <c r="BV30" i="31"/>
  <c r="BS33" i="31"/>
  <c r="BV41" i="31"/>
  <c r="BW30" i="31"/>
  <c r="BS34" i="31"/>
  <c r="BW41" i="31"/>
  <c r="BX30" i="31"/>
  <c r="BS35" i="31"/>
  <c r="BX41" i="31"/>
  <c r="BY30" i="31"/>
  <c r="BS36" i="31"/>
  <c r="BY41" i="31"/>
  <c r="BZ30" i="31"/>
  <c r="BS37" i="31"/>
  <c r="BZ41" i="31"/>
  <c r="CA30" i="31"/>
  <c r="BS38" i="31"/>
  <c r="CA41" i="31"/>
  <c r="BS42" i="31"/>
  <c r="BU31" i="31"/>
  <c r="BT32" i="31"/>
  <c r="BU42" i="31"/>
  <c r="BV31" i="31"/>
  <c r="BT33" i="31"/>
  <c r="BV42" i="31"/>
  <c r="BW31" i="31"/>
  <c r="BT34" i="31"/>
  <c r="BW42" i="31"/>
  <c r="BX31" i="31"/>
  <c r="BT35" i="31"/>
  <c r="BX42" i="31"/>
  <c r="BY31" i="31"/>
  <c r="BT36" i="31"/>
  <c r="BY42" i="31"/>
  <c r="BZ31" i="31"/>
  <c r="BT37" i="31"/>
  <c r="BZ42" i="31"/>
  <c r="CA31" i="31"/>
  <c r="BT38" i="31"/>
  <c r="CA42" i="31"/>
  <c r="BR43" i="31"/>
  <c r="BS43" i="31"/>
  <c r="BT43" i="31"/>
  <c r="BV32" i="31"/>
  <c r="BU33" i="31"/>
  <c r="BV43" i="31"/>
  <c r="BW32" i="31"/>
  <c r="BU34" i="31"/>
  <c r="BW43" i="31"/>
  <c r="BX32" i="31"/>
  <c r="BU35" i="31"/>
  <c r="BX43" i="31"/>
  <c r="BY32" i="31"/>
  <c r="BU36" i="31"/>
  <c r="BY43" i="31"/>
  <c r="BZ32" i="31"/>
  <c r="BU37" i="31"/>
  <c r="BZ43" i="31"/>
  <c r="CA32" i="31"/>
  <c r="BU38" i="31"/>
  <c r="CA43" i="31"/>
  <c r="BS44" i="31"/>
  <c r="BT44" i="31"/>
  <c r="BU44" i="31"/>
  <c r="BW33" i="31"/>
  <c r="BV34" i="31"/>
  <c r="BW44" i="31"/>
  <c r="BX33" i="31"/>
  <c r="BV35" i="31"/>
  <c r="BX44" i="31"/>
  <c r="BY33" i="31"/>
  <c r="BV36" i="31"/>
  <c r="BY44" i="31"/>
  <c r="BZ33" i="31"/>
  <c r="BV37" i="31"/>
  <c r="BZ44" i="31"/>
  <c r="CA33" i="31"/>
  <c r="BV38" i="31"/>
  <c r="CA44" i="31"/>
  <c r="BS45" i="31"/>
  <c r="BT45" i="31"/>
  <c r="BU45" i="31"/>
  <c r="BV45" i="31"/>
  <c r="BX34" i="31"/>
  <c r="BW35" i="31"/>
  <c r="BX45" i="31"/>
  <c r="BY34" i="31"/>
  <c r="BW36" i="31"/>
  <c r="BY45" i="31"/>
  <c r="BZ34" i="31"/>
  <c r="BW37" i="31"/>
  <c r="BZ45" i="31"/>
  <c r="CA34" i="31"/>
  <c r="BW38" i="31"/>
  <c r="CA45" i="31"/>
  <c r="BS46" i="31"/>
  <c r="BT46" i="31"/>
  <c r="BU46" i="31"/>
  <c r="BV46" i="31"/>
  <c r="BW46" i="31"/>
  <c r="BY35" i="31"/>
  <c r="BX36" i="31"/>
  <c r="BY46" i="31"/>
  <c r="BZ35" i="31"/>
  <c r="BX37" i="31"/>
  <c r="BZ46" i="31"/>
  <c r="CA35" i="31"/>
  <c r="BX38" i="31"/>
  <c r="CA46" i="31"/>
  <c r="BS47" i="31"/>
  <c r="BT47" i="31"/>
  <c r="BU47" i="31"/>
  <c r="BV47" i="31"/>
  <c r="BW47" i="31"/>
  <c r="BX47" i="31"/>
  <c r="BZ36" i="31"/>
  <c r="BY37" i="31"/>
  <c r="BZ47" i="31"/>
  <c r="CA36" i="31"/>
  <c r="BY38" i="31"/>
  <c r="CA47" i="31"/>
  <c r="BS48" i="31"/>
  <c r="BT48" i="31"/>
  <c r="BU48" i="31"/>
  <c r="BV48" i="31"/>
  <c r="BW48" i="31"/>
  <c r="BX48" i="31"/>
  <c r="BY48" i="31"/>
  <c r="CA37" i="31"/>
  <c r="BZ38" i="31"/>
  <c r="CA48" i="31"/>
  <c r="BS49" i="31"/>
  <c r="BT49" i="31"/>
  <c r="BU49" i="31"/>
  <c r="BV49" i="31"/>
  <c r="BW49" i="31"/>
  <c r="BX49" i="31"/>
  <c r="BY49" i="31"/>
  <c r="BZ49"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F31" i="31" a="1"/>
  <c r="F31" i="31"/>
  <c r="G31" i="31" a="1"/>
  <c r="H31" i="31" a="1"/>
  <c r="I31" i="31" a="1"/>
  <c r="J31" i="31" a="1"/>
  <c r="K31" i="31" a="1"/>
  <c r="L31" i="31" a="1"/>
  <c r="M31" i="31" a="1"/>
  <c r="N31" i="31" a="1"/>
  <c r="O31" i="31" a="1"/>
  <c r="P31" i="31" a="1"/>
  <c r="Q31" i="31" a="1"/>
  <c r="R31" i="31" a="1"/>
  <c r="S31" i="31" a="1"/>
  <c r="T31" i="31" a="1"/>
  <c r="U31" i="31" a="1"/>
  <c r="V31" i="31" a="1"/>
  <c r="W31" i="31" a="1"/>
  <c r="X31" i="31" a="1"/>
  <c r="Y31" i="31" a="1"/>
  <c r="Z31" i="31" a="1"/>
  <c r="AA31" i="31" a="1"/>
  <c r="AB31" i="31" a="1"/>
  <c r="AC31" i="31" a="1"/>
  <c r="AD31" i="31" a="1"/>
  <c r="AE31" i="31" a="1"/>
  <c r="AF31" i="31" a="1"/>
  <c r="AG31" i="31" a="1"/>
  <c r="AH31" i="31" a="1"/>
  <c r="AI31" i="31" a="1"/>
  <c r="AJ31" i="31" a="1"/>
  <c r="AK31" i="31" a="1"/>
  <c r="AL31" i="31" a="1"/>
  <c r="AM31" i="31" a="1"/>
  <c r="AN31" i="31" a="1"/>
  <c r="AO31" i="31" a="1"/>
  <c r="AP31" i="31" a="1"/>
  <c r="AQ31" i="31" a="1"/>
  <c r="AR31" i="31" a="1"/>
  <c r="AS31" i="31" a="1"/>
  <c r="AT31" i="31" a="1"/>
  <c r="AU31" i="31" a="1"/>
  <c r="AV31" i="31" a="1"/>
  <c r="AW31" i="31" a="1"/>
  <c r="AX31" i="31" a="1"/>
  <c r="AY31" i="31" a="1"/>
  <c r="AZ31" i="31" a="1"/>
  <c r="BA31" i="31" a="1"/>
  <c r="BB31" i="31" a="1"/>
  <c r="BC31" i="31" a="1"/>
  <c r="BD31" i="31" a="1"/>
  <c r="BE31" i="31" a="1"/>
  <c r="BF31" i="31" a="1"/>
  <c r="BG31" i="31" a="1"/>
  <c r="BH31" i="31" a="1"/>
  <c r="BI31" i="31" a="1"/>
  <c r="BJ31" i="31" a="1"/>
  <c r="BK31" i="31" a="1"/>
  <c r="BL31" i="31" a="1"/>
  <c r="BM31" i="31" a="1"/>
  <c r="BN31" i="31" a="1"/>
  <c r="BO31" i="31" a="1"/>
  <c r="BP31" i="31" a="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F32" i="31" a="1"/>
  <c r="F32" i="31"/>
  <c r="G32" i="31" a="1"/>
  <c r="H32" i="31" a="1"/>
  <c r="I32" i="31" a="1"/>
  <c r="J32" i="31" a="1"/>
  <c r="K32" i="31" a="1"/>
  <c r="L32" i="31" a="1"/>
  <c r="M32" i="31" a="1"/>
  <c r="N32" i="31" a="1"/>
  <c r="O32" i="31" a="1"/>
  <c r="P32" i="31" a="1"/>
  <c r="Q32" i="31" a="1"/>
  <c r="R32" i="31" a="1"/>
  <c r="S32" i="31" a="1"/>
  <c r="T32" i="31" a="1"/>
  <c r="U32" i="31" a="1"/>
  <c r="V32" i="31" a="1"/>
  <c r="W32" i="31" a="1"/>
  <c r="X32" i="31" a="1"/>
  <c r="Y32" i="31" a="1"/>
  <c r="Z32" i="31" a="1"/>
  <c r="AA32" i="31" a="1"/>
  <c r="AB32" i="31" a="1"/>
  <c r="AC32" i="31" a="1"/>
  <c r="AD32" i="31" a="1"/>
  <c r="AE32" i="31" a="1"/>
  <c r="AF32" i="31" a="1"/>
  <c r="AG32" i="31" a="1"/>
  <c r="AH32" i="31" a="1"/>
  <c r="AI32" i="31" a="1"/>
  <c r="AJ32" i="31" a="1"/>
  <c r="AK32" i="31" a="1"/>
  <c r="AL32" i="31" a="1"/>
  <c r="AM32" i="31" a="1"/>
  <c r="AN32" i="31" a="1"/>
  <c r="AO32" i="31" a="1"/>
  <c r="AP32" i="31" a="1"/>
  <c r="AQ32" i="31" a="1"/>
  <c r="AR32" i="31" a="1"/>
  <c r="AS32" i="31" a="1"/>
  <c r="AT32" i="31" a="1"/>
  <c r="AU32" i="31" a="1"/>
  <c r="AV32" i="31" a="1"/>
  <c r="AW32" i="31" a="1"/>
  <c r="AX32" i="31" a="1"/>
  <c r="AY32" i="31" a="1"/>
  <c r="AZ32" i="31" a="1"/>
  <c r="BA32" i="31" a="1"/>
  <c r="BB32" i="31" a="1"/>
  <c r="BC32" i="31" a="1"/>
  <c r="BD32" i="31" a="1"/>
  <c r="BE32" i="31" a="1"/>
  <c r="BF32" i="31" a="1"/>
  <c r="BG32" i="31" a="1"/>
  <c r="BH32" i="31" a="1"/>
  <c r="BI32" i="31" a="1"/>
  <c r="BJ32" i="31" a="1"/>
  <c r="BK32" i="31" a="1"/>
  <c r="BL32" i="31" a="1"/>
  <c r="BM32" i="31" a="1"/>
  <c r="BN32" i="31" a="1"/>
  <c r="BO32" i="31" a="1"/>
  <c r="BP32" i="31" a="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F33" i="31" a="1"/>
  <c r="F33" i="31"/>
  <c r="G33" i="31" a="1"/>
  <c r="H33" i="31" a="1"/>
  <c r="I33" i="31" a="1"/>
  <c r="J33" i="31" a="1"/>
  <c r="K33" i="31" a="1"/>
  <c r="L33" i="31" a="1"/>
  <c r="M33" i="31" a="1"/>
  <c r="N33" i="31" a="1"/>
  <c r="O33" i="31" a="1"/>
  <c r="P33" i="31" a="1"/>
  <c r="Q33" i="31" a="1"/>
  <c r="R33" i="31" a="1"/>
  <c r="S33" i="31" a="1"/>
  <c r="T33" i="31" a="1"/>
  <c r="U33" i="31" a="1"/>
  <c r="V33" i="31" a="1"/>
  <c r="W33" i="31" a="1"/>
  <c r="X33" i="31" a="1"/>
  <c r="Y33" i="31" a="1"/>
  <c r="Z33" i="31" a="1"/>
  <c r="AA33" i="31" a="1"/>
  <c r="AB33" i="31" a="1"/>
  <c r="AC33" i="31" a="1"/>
  <c r="AD33" i="31" a="1"/>
  <c r="AE33" i="31" a="1"/>
  <c r="AF33" i="31" a="1"/>
  <c r="AG33" i="31" a="1"/>
  <c r="AH33" i="31" a="1"/>
  <c r="AI33" i="31" a="1"/>
  <c r="AJ33" i="31" a="1"/>
  <c r="AK33" i="31" a="1"/>
  <c r="AL33" i="31" a="1"/>
  <c r="AM33" i="31" a="1"/>
  <c r="AN33" i="31" a="1"/>
  <c r="AO33" i="31" a="1"/>
  <c r="AP33" i="31" a="1"/>
  <c r="AQ33" i="31" a="1"/>
  <c r="AR33" i="31" a="1"/>
  <c r="AS33" i="31" a="1"/>
  <c r="AT33" i="31" a="1"/>
  <c r="AU33" i="31" a="1"/>
  <c r="AV33" i="31" a="1"/>
  <c r="AW33" i="31" a="1"/>
  <c r="AX33" i="31" a="1"/>
  <c r="AY33" i="31" a="1"/>
  <c r="AZ33" i="31" a="1"/>
  <c r="BA33" i="31" a="1"/>
  <c r="BB33" i="31" a="1"/>
  <c r="BC33" i="31" a="1"/>
  <c r="BD33" i="31" a="1"/>
  <c r="BE33" i="31" a="1"/>
  <c r="BF33" i="31" a="1"/>
  <c r="BG33" i="31" a="1"/>
  <c r="BH33" i="31" a="1"/>
  <c r="BI33" i="31" a="1"/>
  <c r="BJ33" i="31" a="1"/>
  <c r="BK33" i="31" a="1"/>
  <c r="BL33" i="31" a="1"/>
  <c r="BM33" i="31" a="1"/>
  <c r="BN33" i="31" a="1"/>
  <c r="BO33" i="31" a="1"/>
  <c r="BP33" i="31" a="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F34" i="31" a="1"/>
  <c r="F34" i="31"/>
  <c r="G34" i="31" a="1"/>
  <c r="H34" i="31" a="1"/>
  <c r="I34" i="31" a="1"/>
  <c r="J34" i="31" a="1"/>
  <c r="K34" i="31" a="1"/>
  <c r="L34" i="31" a="1"/>
  <c r="M34" i="31" a="1"/>
  <c r="N34" i="31" a="1"/>
  <c r="O34" i="31" a="1"/>
  <c r="P34" i="31" a="1"/>
  <c r="Q34" i="31" a="1"/>
  <c r="R34" i="31" a="1"/>
  <c r="S34" i="31" a="1"/>
  <c r="T34" i="31" a="1"/>
  <c r="U34" i="31" a="1"/>
  <c r="V34" i="31" a="1"/>
  <c r="W34" i="31" a="1"/>
  <c r="X34" i="31" a="1"/>
  <c r="Y34" i="31" a="1"/>
  <c r="Z34" i="31" a="1"/>
  <c r="AA34" i="31" a="1"/>
  <c r="AB34" i="31" a="1"/>
  <c r="AC34" i="31" a="1"/>
  <c r="AD34" i="31" a="1"/>
  <c r="AE34" i="31" a="1"/>
  <c r="AF34" i="31" a="1"/>
  <c r="AG34" i="31" a="1"/>
  <c r="AH34" i="31" a="1"/>
  <c r="AI34" i="31" a="1"/>
  <c r="AJ34" i="31" a="1"/>
  <c r="AK34" i="31" a="1"/>
  <c r="AL34" i="31" a="1"/>
  <c r="AM34" i="31" a="1"/>
  <c r="AN34" i="31" a="1"/>
  <c r="AO34" i="31" a="1"/>
  <c r="AP34" i="31" a="1"/>
  <c r="AQ34" i="31" a="1"/>
  <c r="AR34" i="31" a="1"/>
  <c r="AS34" i="31" a="1"/>
  <c r="AT34" i="31" a="1"/>
  <c r="AU34" i="31" a="1"/>
  <c r="AV34" i="31" a="1"/>
  <c r="AW34" i="31" a="1"/>
  <c r="AX34" i="31" a="1"/>
  <c r="AY34" i="31" a="1"/>
  <c r="AZ34" i="31" a="1"/>
  <c r="BA34" i="31" a="1"/>
  <c r="BB34" i="31" a="1"/>
  <c r="BC34" i="31" a="1"/>
  <c r="BD34" i="31" a="1"/>
  <c r="BE34" i="31" a="1"/>
  <c r="BF34" i="31" a="1"/>
  <c r="BG34" i="31" a="1"/>
  <c r="BH34" i="31" a="1"/>
  <c r="BI34" i="31" a="1"/>
  <c r="BJ34" i="31" a="1"/>
  <c r="BK34" i="31" a="1"/>
  <c r="BL34" i="31" a="1"/>
  <c r="BM34" i="31" a="1"/>
  <c r="BN34" i="31" a="1"/>
  <c r="BO34" i="31" a="1"/>
  <c r="BP34" i="31" a="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F35" i="31" a="1"/>
  <c r="F35" i="31"/>
  <c r="G35" i="31" a="1"/>
  <c r="H35" i="31" a="1"/>
  <c r="I35" i="31" a="1"/>
  <c r="J35" i="31" a="1"/>
  <c r="K35" i="31" a="1"/>
  <c r="L35" i="31" a="1"/>
  <c r="M35" i="31" a="1"/>
  <c r="N35" i="31" a="1"/>
  <c r="O35" i="31" a="1"/>
  <c r="P35" i="31" a="1"/>
  <c r="Q35" i="31" a="1"/>
  <c r="R35" i="31" a="1"/>
  <c r="S35" i="31" a="1"/>
  <c r="T35" i="31" a="1"/>
  <c r="U35" i="31" a="1"/>
  <c r="V35" i="31" a="1"/>
  <c r="W35" i="31" a="1"/>
  <c r="X35" i="31" a="1"/>
  <c r="Y35" i="31" a="1"/>
  <c r="Z35" i="31" a="1"/>
  <c r="AA35" i="31" a="1"/>
  <c r="AB35" i="31" a="1"/>
  <c r="AC35" i="31" a="1"/>
  <c r="AD35" i="31" a="1"/>
  <c r="AE35" i="31" a="1"/>
  <c r="AF35" i="31" a="1"/>
  <c r="AG35" i="31" a="1"/>
  <c r="AH35" i="31" a="1"/>
  <c r="AI35" i="31" a="1"/>
  <c r="AJ35" i="31" a="1"/>
  <c r="AK35" i="31" a="1"/>
  <c r="AL35" i="31" a="1"/>
  <c r="AM35" i="31" a="1"/>
  <c r="AN35" i="31" a="1"/>
  <c r="AO35" i="31" a="1"/>
  <c r="AP35" i="31" a="1"/>
  <c r="AQ35" i="31" a="1"/>
  <c r="AR35" i="31" a="1"/>
  <c r="AS35" i="31" a="1"/>
  <c r="AT35" i="31" a="1"/>
  <c r="AU35" i="31" a="1"/>
  <c r="AV35" i="31" a="1"/>
  <c r="AW35" i="31" a="1"/>
  <c r="AX35" i="31" a="1"/>
  <c r="AY35" i="31" a="1"/>
  <c r="AZ35" i="31" a="1"/>
  <c r="BA35" i="31" a="1"/>
  <c r="BB35" i="31" a="1"/>
  <c r="BC35" i="31" a="1"/>
  <c r="BD35" i="31" a="1"/>
  <c r="BE35" i="31" a="1"/>
  <c r="BF35" i="31" a="1"/>
  <c r="BG35" i="31" a="1"/>
  <c r="BH35" i="31" a="1"/>
  <c r="BI35" i="31" a="1"/>
  <c r="BJ35" i="31" a="1"/>
  <c r="BK35" i="31" a="1"/>
  <c r="BL35" i="31" a="1"/>
  <c r="BM35" i="31" a="1"/>
  <c r="BN35" i="31" a="1"/>
  <c r="BO35" i="31" a="1"/>
  <c r="BP35" i="31" a="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F36" i="31" a="1"/>
  <c r="F36" i="31"/>
  <c r="G36" i="31" a="1"/>
  <c r="H36" i="31" a="1"/>
  <c r="I36" i="31" a="1"/>
  <c r="J36" i="31" a="1"/>
  <c r="K36" i="31" a="1"/>
  <c r="L36" i="31" a="1"/>
  <c r="M36" i="31" a="1"/>
  <c r="N36" i="31" a="1"/>
  <c r="O36" i="31" a="1"/>
  <c r="P36" i="31" a="1"/>
  <c r="Q36" i="31" a="1"/>
  <c r="R36" i="31" a="1"/>
  <c r="S36" i="31" a="1"/>
  <c r="T36" i="31" a="1"/>
  <c r="U36" i="31" a="1"/>
  <c r="V36" i="31" a="1"/>
  <c r="W36" i="31" a="1"/>
  <c r="X36" i="31" a="1"/>
  <c r="Y36" i="31" a="1"/>
  <c r="Z36" i="31" a="1"/>
  <c r="AA36" i="31" a="1"/>
  <c r="AB36" i="31" a="1"/>
  <c r="AC36" i="31" a="1"/>
  <c r="AD36" i="31" a="1"/>
  <c r="AE36" i="31" a="1"/>
  <c r="AF36" i="31" a="1"/>
  <c r="AG36" i="31" a="1"/>
  <c r="AH36" i="31" a="1"/>
  <c r="AI36" i="31" a="1"/>
  <c r="AJ36" i="31" a="1"/>
  <c r="AK36" i="31" a="1"/>
  <c r="AL36" i="31" a="1"/>
  <c r="AM36" i="31" a="1"/>
  <c r="AN36" i="31" a="1"/>
  <c r="AO36" i="31" a="1"/>
  <c r="AP36" i="31" a="1"/>
  <c r="AQ36" i="31" a="1"/>
  <c r="AR36" i="31" a="1"/>
  <c r="AS36" i="31" a="1"/>
  <c r="AT36" i="31" a="1"/>
  <c r="AU36" i="31" a="1"/>
  <c r="AV36" i="31" a="1"/>
  <c r="AW36" i="31" a="1"/>
  <c r="AX36" i="31" a="1"/>
  <c r="AY36" i="31" a="1"/>
  <c r="AZ36" i="31" a="1"/>
  <c r="BA36" i="31" a="1"/>
  <c r="BB36" i="31" a="1"/>
  <c r="BC36" i="31" a="1"/>
  <c r="BD36" i="31" a="1"/>
  <c r="BE36" i="31" a="1"/>
  <c r="BF36" i="31" a="1"/>
  <c r="BG36" i="31" a="1"/>
  <c r="BH36" i="31" a="1"/>
  <c r="BI36" i="31" a="1"/>
  <c r="BJ36" i="31" a="1"/>
  <c r="BK36" i="31" a="1"/>
  <c r="BL36" i="31" a="1"/>
  <c r="BM36" i="31" a="1"/>
  <c r="BN36" i="31" a="1"/>
  <c r="BO36" i="31" a="1"/>
  <c r="BP36" i="31" a="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F37" i="31" a="1"/>
  <c r="F37" i="31"/>
  <c r="G37" i="31" a="1"/>
  <c r="H37" i="31" a="1"/>
  <c r="I37" i="31" a="1"/>
  <c r="J37" i="31" a="1"/>
  <c r="K37" i="31" a="1"/>
  <c r="L37" i="31" a="1"/>
  <c r="M37" i="31" a="1"/>
  <c r="N37" i="31" a="1"/>
  <c r="O37" i="31" a="1"/>
  <c r="P37" i="31" a="1"/>
  <c r="Q37" i="31" a="1"/>
  <c r="R37" i="31" a="1"/>
  <c r="S37" i="31" a="1"/>
  <c r="T37" i="31" a="1"/>
  <c r="U37" i="31" a="1"/>
  <c r="V37" i="31" a="1"/>
  <c r="W37" i="31" a="1"/>
  <c r="X37" i="31" a="1"/>
  <c r="Y37" i="31" a="1"/>
  <c r="Z37" i="31" a="1"/>
  <c r="AA37" i="31" a="1"/>
  <c r="AB37" i="31" a="1"/>
  <c r="AC37" i="31" a="1"/>
  <c r="AD37" i="31" a="1"/>
  <c r="AE37" i="31" a="1"/>
  <c r="AF37" i="31" a="1"/>
  <c r="AG37" i="31" a="1"/>
  <c r="AH37" i="31" a="1"/>
  <c r="AI37" i="31" a="1"/>
  <c r="AJ37" i="31" a="1"/>
  <c r="AK37" i="31" a="1"/>
  <c r="AL37" i="31" a="1"/>
  <c r="AM37" i="31" a="1"/>
  <c r="AN37" i="31" a="1"/>
  <c r="AO37" i="31" a="1"/>
  <c r="AP37" i="31" a="1"/>
  <c r="AQ37" i="31" a="1"/>
  <c r="AR37" i="31" a="1"/>
  <c r="AS37" i="31" a="1"/>
  <c r="AT37" i="31" a="1"/>
  <c r="AU37" i="31" a="1"/>
  <c r="AV37" i="31" a="1"/>
  <c r="AW37" i="31" a="1"/>
  <c r="AX37" i="31" a="1"/>
  <c r="AY37" i="31" a="1"/>
  <c r="AZ37" i="31" a="1"/>
  <c r="BA37" i="31" a="1"/>
  <c r="BB37" i="31" a="1"/>
  <c r="BC37" i="31" a="1"/>
  <c r="BD37" i="31" a="1"/>
  <c r="BE37" i="31" a="1"/>
  <c r="BF37" i="31" a="1"/>
  <c r="BG37" i="31" a="1"/>
  <c r="BH37" i="31" a="1"/>
  <c r="BI37" i="31" a="1"/>
  <c r="BJ37" i="31" a="1"/>
  <c r="BK37" i="31" a="1"/>
  <c r="BL37" i="31" a="1"/>
  <c r="BM37" i="31" a="1"/>
  <c r="BN37" i="31" a="1"/>
  <c r="BO37" i="31" a="1"/>
  <c r="BP37" i="31" a="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F38" i="31" a="1"/>
  <c r="F38" i="31"/>
  <c r="G38" i="31" a="1"/>
  <c r="H38" i="31" a="1"/>
  <c r="I38" i="31" a="1"/>
  <c r="J38" i="31" a="1"/>
  <c r="K38" i="31" a="1"/>
  <c r="L38" i="31" a="1"/>
  <c r="M38" i="31" a="1"/>
  <c r="N38" i="31" a="1"/>
  <c r="O38" i="31" a="1"/>
  <c r="P38" i="31" a="1"/>
  <c r="Q38" i="31" a="1"/>
  <c r="R38" i="31" a="1"/>
  <c r="S38" i="31" a="1"/>
  <c r="T38" i="31" a="1"/>
  <c r="U38" i="31" a="1"/>
  <c r="V38" i="31" a="1"/>
  <c r="W38" i="31" a="1"/>
  <c r="X38" i="31" a="1"/>
  <c r="Y38" i="31" a="1"/>
  <c r="Z38" i="31" a="1"/>
  <c r="AA38" i="31" a="1"/>
  <c r="AB38" i="31" a="1"/>
  <c r="AC38" i="31" a="1"/>
  <c r="AD38" i="31" a="1"/>
  <c r="AE38" i="31" a="1"/>
  <c r="AF38" i="31" a="1"/>
  <c r="AG38" i="31" a="1"/>
  <c r="AH38" i="31" a="1"/>
  <c r="AI38" i="31" a="1"/>
  <c r="AJ38" i="31" a="1"/>
  <c r="AK38" i="31" a="1"/>
  <c r="AL38" i="31" a="1"/>
  <c r="AM38" i="31" a="1"/>
  <c r="AN38" i="31" a="1"/>
  <c r="AO38" i="31" a="1"/>
  <c r="AP38" i="31" a="1"/>
  <c r="AQ38" i="31" a="1"/>
  <c r="AR38" i="31" a="1"/>
  <c r="AS38" i="31" a="1"/>
  <c r="AT38" i="31" a="1"/>
  <c r="AU38" i="31" a="1"/>
  <c r="AV38" i="31" a="1"/>
  <c r="AW38" i="31" a="1"/>
  <c r="AX38" i="31" a="1"/>
  <c r="AY38" i="31" a="1"/>
  <c r="AZ38" i="31" a="1"/>
  <c r="BA38" i="31" a="1"/>
  <c r="BB38" i="31" a="1"/>
  <c r="BC38" i="31" a="1"/>
  <c r="BD38" i="31" a="1"/>
  <c r="BE38" i="31" a="1"/>
  <c r="BF38" i="31" a="1"/>
  <c r="BG38" i="31" a="1"/>
  <c r="BH38" i="31" a="1"/>
  <c r="BI38" i="31" a="1"/>
  <c r="BJ38" i="31" a="1"/>
  <c r="BK38" i="31" a="1"/>
  <c r="BL38" i="31" a="1"/>
  <c r="BM38" i="31" a="1"/>
  <c r="BN38" i="31" a="1"/>
  <c r="BO38" i="31" a="1"/>
  <c r="BP38" i="31" a="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AJ49" i="21"/>
  <c r="Y19" i="31"/>
  <c r="I25" i="30"/>
  <c r="H25" i="30"/>
  <c r="G25" i="30"/>
  <c r="F25" i="30"/>
  <c r="E25" i="30"/>
  <c r="D25" i="30"/>
  <c r="I24" i="30"/>
  <c r="H24" i="30"/>
  <c r="G24" i="30"/>
  <c r="F24" i="30"/>
  <c r="E24" i="30"/>
  <c r="D24" i="30"/>
  <c r="I23" i="30"/>
  <c r="H23" i="30"/>
  <c r="G23" i="30"/>
  <c r="F23" i="30"/>
  <c r="E23" i="30"/>
  <c r="D23" i="30"/>
  <c r="I22" i="30"/>
  <c r="H22" i="30"/>
  <c r="G22" i="30"/>
  <c r="F22" i="30"/>
  <c r="E22" i="30"/>
  <c r="D22" i="30"/>
  <c r="I21" i="30"/>
  <c r="H21" i="30"/>
  <c r="G21" i="30"/>
  <c r="F21" i="30"/>
  <c r="E21" i="30"/>
  <c r="D21" i="30"/>
  <c r="I20" i="30"/>
  <c r="H20" i="30"/>
  <c r="G20" i="30"/>
  <c r="F20" i="30"/>
  <c r="E20" i="30"/>
  <c r="D20" i="30"/>
  <c r="I19" i="30"/>
  <c r="H19" i="30"/>
  <c r="G19" i="30"/>
  <c r="F19" i="30"/>
  <c r="E19" i="30"/>
  <c r="D19" i="30"/>
  <c r="I18" i="30"/>
  <c r="H18" i="30"/>
  <c r="G18" i="30"/>
  <c r="F18" i="30"/>
  <c r="E18" i="30"/>
  <c r="D18" i="30"/>
  <c r="I17" i="30"/>
  <c r="H17" i="30"/>
  <c r="G17" i="30"/>
  <c r="F17" i="30"/>
  <c r="E17" i="30"/>
  <c r="D17" i="30"/>
  <c r="I25" i="29"/>
  <c r="H25" i="29"/>
  <c r="G25" i="29"/>
  <c r="F25" i="29"/>
  <c r="E25" i="29"/>
  <c r="D25" i="29"/>
  <c r="I24" i="29"/>
  <c r="H24" i="29"/>
  <c r="G24" i="29"/>
  <c r="F24" i="29"/>
  <c r="E24" i="29"/>
  <c r="D24" i="29"/>
  <c r="I23" i="29"/>
  <c r="H23" i="29"/>
  <c r="G23" i="29"/>
  <c r="F23" i="29"/>
  <c r="E23" i="29"/>
  <c r="D23" i="29"/>
  <c r="I22" i="29"/>
  <c r="H22" i="29"/>
  <c r="G22" i="29"/>
  <c r="F22" i="29"/>
  <c r="E22" i="29"/>
  <c r="D22" i="29"/>
  <c r="I21" i="29"/>
  <c r="H21" i="29"/>
  <c r="G21" i="29"/>
  <c r="F21" i="29"/>
  <c r="E21" i="29"/>
  <c r="D21" i="29"/>
  <c r="I20" i="29"/>
  <c r="H20" i="29"/>
  <c r="G20" i="29"/>
  <c r="F20" i="29"/>
  <c r="E20" i="29"/>
  <c r="D20" i="29"/>
  <c r="I19" i="29"/>
  <c r="H19" i="29"/>
  <c r="G19" i="29"/>
  <c r="F19" i="29"/>
  <c r="E19" i="29"/>
  <c r="D19" i="29"/>
  <c r="I18" i="29"/>
  <c r="H18" i="29"/>
  <c r="G18" i="29"/>
  <c r="F18" i="29"/>
  <c r="E18" i="29"/>
  <c r="D18" i="29"/>
  <c r="I17" i="29"/>
  <c r="H17" i="29"/>
  <c r="G17" i="29"/>
  <c r="F17" i="29"/>
  <c r="E17" i="29"/>
  <c r="D17" i="29"/>
  <c r="I25" i="28"/>
  <c r="H25" i="28"/>
  <c r="G25" i="28"/>
  <c r="F25" i="28"/>
  <c r="E25" i="28"/>
  <c r="D25" i="28"/>
  <c r="I24" i="28"/>
  <c r="H24" i="28"/>
  <c r="G24" i="28"/>
  <c r="F24" i="28"/>
  <c r="E24" i="28"/>
  <c r="D24" i="28"/>
  <c r="I23" i="28"/>
  <c r="H23" i="28"/>
  <c r="G23" i="28"/>
  <c r="F23" i="28"/>
  <c r="E23" i="28"/>
  <c r="D23" i="28"/>
  <c r="I22" i="28"/>
  <c r="H22" i="28"/>
  <c r="G22" i="28"/>
  <c r="F22" i="28"/>
  <c r="E22" i="28"/>
  <c r="D22" i="28"/>
  <c r="I21" i="28"/>
  <c r="H21" i="28"/>
  <c r="G21" i="28"/>
  <c r="F21" i="28"/>
  <c r="E21" i="28"/>
  <c r="D21" i="28"/>
  <c r="I20" i="28"/>
  <c r="H20" i="28"/>
  <c r="G20" i="28"/>
  <c r="F20" i="28"/>
  <c r="E20" i="28"/>
  <c r="D20" i="28"/>
  <c r="I19" i="28"/>
  <c r="H19" i="28"/>
  <c r="G19" i="28"/>
  <c r="F19" i="28"/>
  <c r="E19" i="28"/>
  <c r="D19" i="28"/>
  <c r="I18" i="28"/>
  <c r="H18" i="28"/>
  <c r="G18" i="28"/>
  <c r="F18" i="28"/>
  <c r="E18" i="28"/>
  <c r="D18" i="28"/>
  <c r="I17" i="28"/>
  <c r="H17" i="28"/>
  <c r="G17" i="28"/>
  <c r="F17" i="28"/>
  <c r="E17" i="28"/>
  <c r="D17" i="28"/>
  <c r="I25" i="27"/>
  <c r="H25" i="27"/>
  <c r="G25" i="27"/>
  <c r="F25" i="27"/>
  <c r="E25" i="27"/>
  <c r="D25" i="27"/>
  <c r="I24" i="27"/>
  <c r="H24" i="27"/>
  <c r="G24" i="27"/>
  <c r="F24" i="27"/>
  <c r="E24" i="27"/>
  <c r="D24" i="27"/>
  <c r="I23" i="27"/>
  <c r="H23" i="27"/>
  <c r="G23" i="27"/>
  <c r="F23" i="27"/>
  <c r="E23" i="27"/>
  <c r="D23" i="27"/>
  <c r="I22" i="27"/>
  <c r="H22" i="27"/>
  <c r="G22" i="27"/>
  <c r="F22" i="27"/>
  <c r="E22" i="27"/>
  <c r="D22" i="27"/>
  <c r="I21" i="27"/>
  <c r="H21" i="27"/>
  <c r="G21" i="27"/>
  <c r="F21" i="27"/>
  <c r="E21" i="27"/>
  <c r="D21" i="27"/>
  <c r="I20" i="27"/>
  <c r="H20" i="27"/>
  <c r="G20" i="27"/>
  <c r="F20" i="27"/>
  <c r="E20" i="27"/>
  <c r="D20" i="27"/>
  <c r="I19" i="27"/>
  <c r="H19" i="27"/>
  <c r="G19" i="27"/>
  <c r="F19" i="27"/>
  <c r="E19" i="27"/>
  <c r="D19" i="27"/>
  <c r="I18" i="27"/>
  <c r="H18" i="27"/>
  <c r="G18" i="27"/>
  <c r="F18" i="27"/>
  <c r="E18" i="27"/>
  <c r="D18" i="27"/>
  <c r="I17" i="27"/>
  <c r="H17" i="27"/>
  <c r="G17" i="27"/>
  <c r="F17" i="27"/>
  <c r="E17" i="27"/>
  <c r="D17" i="27"/>
  <c r="I25" i="26"/>
  <c r="H25" i="26"/>
  <c r="G25" i="26"/>
  <c r="F25" i="26"/>
  <c r="E25" i="26"/>
  <c r="D25" i="26"/>
  <c r="I24" i="26"/>
  <c r="H24" i="26"/>
  <c r="G24" i="26"/>
  <c r="F24" i="26"/>
  <c r="E24" i="26"/>
  <c r="D24" i="26"/>
  <c r="I23" i="26"/>
  <c r="H23" i="26"/>
  <c r="G23" i="26"/>
  <c r="F23" i="26"/>
  <c r="E23" i="26"/>
  <c r="D23" i="26"/>
  <c r="I22" i="26"/>
  <c r="H22" i="26"/>
  <c r="G22" i="26"/>
  <c r="F22" i="26"/>
  <c r="E22" i="26"/>
  <c r="D22" i="26"/>
  <c r="I21" i="26"/>
  <c r="H21" i="26"/>
  <c r="G21" i="26"/>
  <c r="F21" i="26"/>
  <c r="E21" i="26"/>
  <c r="D21" i="26"/>
  <c r="I20" i="26"/>
  <c r="H20" i="26"/>
  <c r="G20" i="26"/>
  <c r="F20" i="26"/>
  <c r="E20" i="26"/>
  <c r="D20" i="26"/>
  <c r="I19" i="26"/>
  <c r="H19" i="26"/>
  <c r="G19" i="26"/>
  <c r="F19" i="26"/>
  <c r="E19" i="26"/>
  <c r="D19" i="26"/>
  <c r="I18" i="26"/>
  <c r="H18" i="26"/>
  <c r="G18" i="26"/>
  <c r="F18" i="26"/>
  <c r="E18" i="26"/>
  <c r="D18" i="26"/>
  <c r="I17" i="26"/>
  <c r="H17" i="26"/>
  <c r="G17" i="26"/>
  <c r="F17" i="26"/>
  <c r="E17" i="26"/>
  <c r="D17" i="26"/>
  <c r="F13" i="26"/>
  <c r="B13" i="26"/>
  <c r="BU51" i="48"/>
  <c r="BU52" i="48"/>
  <c r="BU53" i="48"/>
  <c r="BR54" i="48"/>
  <c r="BS54" i="48"/>
  <c r="BT54" i="48"/>
  <c r="BV54" i="48"/>
  <c r="BW54" i="48"/>
  <c r="BX54" i="48"/>
  <c r="BY54" i="48"/>
  <c r="BZ54" i="48"/>
  <c r="CA54" i="48"/>
  <c r="BU55" i="48"/>
  <c r="BU56" i="48"/>
  <c r="BU57" i="48"/>
  <c r="BU58" i="48"/>
  <c r="BU59" i="48"/>
  <c r="BU60" i="48"/>
  <c r="F30" i="48" a="1"/>
  <c r="F30" i="48"/>
  <c r="M20" i="48"/>
  <c r="N20" i="48" a="1"/>
  <c r="N20" i="48"/>
  <c r="O20" i="48"/>
  <c r="G30" i="48" a="1"/>
  <c r="M21" i="48"/>
  <c r="N21" i="48" a="1"/>
  <c r="N21" i="48"/>
  <c r="O21" i="48"/>
  <c r="H30" i="48" a="1"/>
  <c r="M22" i="48"/>
  <c r="N22" i="48" a="1"/>
  <c r="N22" i="48"/>
  <c r="O22" i="48"/>
  <c r="I30" i="48" a="1"/>
  <c r="M23" i="48"/>
  <c r="N23" i="48" a="1"/>
  <c r="N23" i="48"/>
  <c r="O23" i="48"/>
  <c r="J30" i="48" a="1"/>
  <c r="M24" i="48"/>
  <c r="N24" i="48" a="1"/>
  <c r="N24" i="48"/>
  <c r="O24" i="48"/>
  <c r="K30" i="48" a="1"/>
  <c r="M25" i="48"/>
  <c r="N25" i="48" a="1"/>
  <c r="N25" i="48"/>
  <c r="O25" i="48"/>
  <c r="L30" i="48" a="1"/>
  <c r="P17" i="48"/>
  <c r="P18" i="48"/>
  <c r="M30" i="48" a="1"/>
  <c r="P19" i="48"/>
  <c r="N30" i="48" a="1"/>
  <c r="P20" i="48"/>
  <c r="O30" i="48" a="1"/>
  <c r="P21" i="48"/>
  <c r="P30" i="48" a="1"/>
  <c r="P22" i="48"/>
  <c r="Q30" i="48" a="1"/>
  <c r="P23" i="48"/>
  <c r="R30" i="48" a="1"/>
  <c r="P24" i="48"/>
  <c r="S30" i="48" a="1"/>
  <c r="P25" i="48"/>
  <c r="T30" i="48" a="1"/>
  <c r="Q17" i="48"/>
  <c r="Q18" i="48"/>
  <c r="U30" i="48" a="1"/>
  <c r="Q19" i="48"/>
  <c r="V30" i="48" a="1"/>
  <c r="Q20" i="48"/>
  <c r="W30" i="48" a="1"/>
  <c r="Q21" i="48"/>
  <c r="X30" i="48" a="1"/>
  <c r="Q22" i="48"/>
  <c r="Y30" i="48" a="1"/>
  <c r="Q23" i="48"/>
  <c r="Z30" i="48" a="1"/>
  <c r="Q24" i="48"/>
  <c r="AA30" i="48" a="1"/>
  <c r="Q25" i="48"/>
  <c r="AB30" i="48" a="1"/>
  <c r="R17" i="48"/>
  <c r="R18" i="48"/>
  <c r="AC30" i="48" a="1"/>
  <c r="R19" i="48"/>
  <c r="AD30" i="48" a="1"/>
  <c r="R20" i="48"/>
  <c r="AE30" i="48" a="1"/>
  <c r="R21" i="48"/>
  <c r="AF30" i="48" a="1"/>
  <c r="R22" i="48"/>
  <c r="AG30" i="48" a="1"/>
  <c r="R23" i="48"/>
  <c r="AH30" i="48" a="1"/>
  <c r="R24" i="48"/>
  <c r="AI30" i="48" a="1"/>
  <c r="R25" i="48"/>
  <c r="AJ30" i="48" a="1"/>
  <c r="S17" i="48"/>
  <c r="S18" i="48"/>
  <c r="AK30" i="48" a="1"/>
  <c r="S19" i="48"/>
  <c r="AL30" i="48" a="1"/>
  <c r="S20" i="48"/>
  <c r="AM30" i="48" a="1"/>
  <c r="S21" i="48"/>
  <c r="AN30" i="48" a="1"/>
  <c r="S22" i="48"/>
  <c r="AO30" i="48" a="1"/>
  <c r="S23" i="48"/>
  <c r="AP30" i="48" a="1"/>
  <c r="S24" i="48"/>
  <c r="AQ30" i="48" a="1"/>
  <c r="S25" i="48"/>
  <c r="AR30" i="48" a="1"/>
  <c r="T17" i="48"/>
  <c r="T18" i="48"/>
  <c r="AS30" i="48" a="1"/>
  <c r="T19" i="48"/>
  <c r="AT30" i="48" a="1"/>
  <c r="T20" i="48"/>
  <c r="AU30" i="48" a="1"/>
  <c r="T21" i="48"/>
  <c r="AV30" i="48" a="1"/>
  <c r="T22" i="48"/>
  <c r="AW30" i="48" a="1"/>
  <c r="T23" i="48"/>
  <c r="AX30" i="48" a="1"/>
  <c r="T24" i="48"/>
  <c r="AY30" i="48" a="1"/>
  <c r="T25" i="48"/>
  <c r="AZ30" i="48" a="1"/>
  <c r="U17" i="48"/>
  <c r="U18" i="48"/>
  <c r="BA30" i="48" a="1"/>
  <c r="U19" i="48"/>
  <c r="BB30" i="48" a="1"/>
  <c r="U20" i="48"/>
  <c r="BC30" i="48" a="1"/>
  <c r="U21" i="48"/>
  <c r="BD30" i="48" a="1"/>
  <c r="U22" i="48"/>
  <c r="BE30" i="48" a="1"/>
  <c r="U23" i="48"/>
  <c r="BF30" i="48" a="1"/>
  <c r="U24" i="48"/>
  <c r="BG30" i="48" a="1"/>
  <c r="U25" i="48"/>
  <c r="BH30" i="48" a="1"/>
  <c r="V17" i="48"/>
  <c r="V18" i="48"/>
  <c r="BI30" i="48" a="1"/>
  <c r="V19" i="48"/>
  <c r="BJ30" i="48" a="1"/>
  <c r="V20" i="48"/>
  <c r="BK30" i="48" a="1"/>
  <c r="V21" i="48"/>
  <c r="BL30" i="48" a="1"/>
  <c r="V22" i="48"/>
  <c r="BM30" i="48" a="1"/>
  <c r="V23" i="48"/>
  <c r="BN30" i="48" a="1"/>
  <c r="V24" i="48"/>
  <c r="BO30" i="48" a="1"/>
  <c r="V25" i="48"/>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BU40" i="48"/>
  <c r="BU29" i="48"/>
  <c r="BU30" i="48"/>
  <c r="BR32" i="48"/>
  <c r="BS32" i="48"/>
  <c r="BU41" i="48"/>
  <c r="BU31" i="48"/>
  <c r="BT32" i="48"/>
  <c r="BU42" i="48"/>
  <c r="BR43" i="48"/>
  <c r="BS43" i="48"/>
  <c r="BT43" i="48"/>
  <c r="BV32" i="48"/>
  <c r="BU33" i="48"/>
  <c r="BV43" i="48"/>
  <c r="BW32" i="48"/>
  <c r="BU34" i="48"/>
  <c r="BW43" i="48"/>
  <c r="BX32" i="48"/>
  <c r="BU35" i="48"/>
  <c r="BX43" i="48"/>
  <c r="BY32" i="48"/>
  <c r="BU36" i="48"/>
  <c r="BY43" i="48"/>
  <c r="BZ32" i="48"/>
  <c r="BU37" i="48"/>
  <c r="BZ43" i="48"/>
  <c r="CA32" i="48"/>
  <c r="BU38" i="48"/>
  <c r="CA43" i="48"/>
  <c r="BU44" i="48"/>
  <c r="BU45" i="48"/>
  <c r="BU46" i="48"/>
  <c r="BU47" i="48"/>
  <c r="BU48" i="48"/>
  <c r="BU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AD17" i="48"/>
  <c r="AE19" i="48"/>
  <c r="AF17" i="48"/>
  <c r="AD18" i="48"/>
  <c r="AF18" i="48"/>
  <c r="AD19" i="48"/>
  <c r="AF19" i="48"/>
  <c r="AD20" i="48"/>
  <c r="AF20" i="48"/>
  <c r="AD21" i="48"/>
  <c r="AF21" i="48"/>
  <c r="AD22" i="48"/>
  <c r="AF22" i="48"/>
  <c r="AD23" i="48"/>
  <c r="AF23" i="48"/>
  <c r="AD24" i="48"/>
  <c r="AF24" i="48"/>
  <c r="AD25" i="48"/>
  <c r="AF25" i="48"/>
  <c r="C13" i="39" a="1"/>
  <c r="C13" i="39"/>
  <c r="D13" i="39" a="1"/>
  <c r="D13" i="39"/>
  <c r="C28" i="21" a="1"/>
  <c r="C28" i="21"/>
  <c r="D28" i="21" a="1"/>
  <c r="D28" i="21"/>
  <c r="C27" i="21" a="1"/>
  <c r="C27" i="21"/>
  <c r="D27" i="21" a="1"/>
  <c r="D27" i="21"/>
  <c r="C26" i="21" a="1"/>
  <c r="C26" i="21"/>
  <c r="D26" i="21" a="1"/>
  <c r="D26" i="21"/>
  <c r="C25" i="21" a="1"/>
  <c r="C25" i="21"/>
  <c r="D25" i="21" a="1"/>
  <c r="D25" i="21"/>
  <c r="C24" i="21" a="1"/>
  <c r="C24" i="21"/>
  <c r="D24" i="21" a="1"/>
  <c r="D24" i="21"/>
  <c r="C23" i="21" a="1"/>
  <c r="C23" i="21"/>
  <c r="D23" i="21" a="1"/>
  <c r="D23" i="21"/>
  <c r="C22" i="21" a="1"/>
  <c r="C22" i="21"/>
  <c r="D22" i="21" a="1"/>
  <c r="D22" i="21"/>
  <c r="C21" i="21" a="1"/>
  <c r="C21" i="21"/>
  <c r="D21" i="21" a="1"/>
  <c r="D21" i="21"/>
  <c r="C20" i="21" a="1"/>
  <c r="C20" i="21"/>
  <c r="D20" i="21" a="1"/>
  <c r="D20" i="21"/>
  <c r="C19" i="21" a="1"/>
  <c r="C19" i="21"/>
  <c r="D19" i="21" a="1"/>
  <c r="D19" i="21"/>
  <c r="C29" i="21" a="1"/>
  <c r="C29" i="21"/>
  <c r="D29" i="21" a="1"/>
  <c r="D29" i="21"/>
  <c r="J31" i="21"/>
  <c r="S15" i="22"/>
  <c r="C13" i="24" a="1"/>
  <c r="C13" i="24"/>
  <c r="D13" i="24" a="1"/>
  <c r="D13" i="24"/>
  <c r="C15" i="24" a="1"/>
  <c r="C15" i="24"/>
  <c r="D15" i="24" a="1"/>
  <c r="D15" i="24"/>
  <c r="D17" i="24"/>
  <c r="D18" i="24"/>
  <c r="D20" i="24"/>
  <c r="D21" i="24"/>
  <c r="K23" i="24"/>
  <c r="S16" i="22"/>
  <c r="C14" i="24" a="1"/>
  <c r="C14" i="24"/>
  <c r="D14" i="24" a="1"/>
  <c r="D14" i="24"/>
  <c r="AH50" i="21"/>
  <c r="V48" i="21"/>
  <c r="V49" i="21"/>
  <c r="C17" i="24" a="1"/>
  <c r="C17" i="24"/>
  <c r="C18" i="24"/>
  <c r="C21" i="24"/>
  <c r="C20" i="24"/>
  <c r="E15" i="24"/>
  <c r="E14" i="24"/>
  <c r="E13" i="24"/>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E60" i="47" a="1"/>
  <c r="E60" i="47"/>
  <c r="F60" i="47" a="1"/>
  <c r="F60" i="47"/>
  <c r="G60" i="47" a="1"/>
  <c r="H60" i="47" a="1"/>
  <c r="I60" i="47" a="1"/>
  <c r="J60" i="47" a="1"/>
  <c r="K60" i="47" a="1"/>
  <c r="L60" i="47" a="1"/>
  <c r="P25" i="47"/>
  <c r="M60" i="47" a="1"/>
  <c r="N60" i="47" a="1"/>
  <c r="O60" i="47" a="1"/>
  <c r="P20" i="47"/>
  <c r="P60" i="47" a="1"/>
  <c r="P21" i="47"/>
  <c r="Q60" i="47" a="1"/>
  <c r="P22" i="47"/>
  <c r="R60" i="47" a="1"/>
  <c r="P23" i="47"/>
  <c r="S60" i="47" a="1"/>
  <c r="P24" i="47"/>
  <c r="T60" i="47" a="1"/>
  <c r="Q25" i="47"/>
  <c r="U60" i="47" a="1"/>
  <c r="V60" i="47" a="1"/>
  <c r="W60" i="47" a="1"/>
  <c r="Q20" i="47"/>
  <c r="X60" i="47" a="1"/>
  <c r="Q21" i="47"/>
  <c r="Y60" i="47" a="1"/>
  <c r="Q22" i="47"/>
  <c r="Z60" i="47" a="1"/>
  <c r="Q23" i="47"/>
  <c r="AA60" i="47" a="1"/>
  <c r="Q24" i="47"/>
  <c r="AB60" i="47" a="1"/>
  <c r="R25" i="47"/>
  <c r="AC60" i="47" a="1"/>
  <c r="AD60" i="47" a="1"/>
  <c r="AE60" i="47" a="1"/>
  <c r="R20" i="47"/>
  <c r="AF60" i="47" a="1"/>
  <c r="R21" i="47"/>
  <c r="AG60" i="47" a="1"/>
  <c r="R22" i="47"/>
  <c r="AH60" i="47" a="1"/>
  <c r="R23" i="47"/>
  <c r="AI60" i="47" a="1"/>
  <c r="R24" i="47"/>
  <c r="AJ60" i="47" a="1"/>
  <c r="S25" i="47"/>
  <c r="AK60" i="47" a="1"/>
  <c r="AL60" i="47" a="1"/>
  <c r="AM60" i="47" a="1"/>
  <c r="S20" i="47"/>
  <c r="AN60" i="47" a="1"/>
  <c r="S21" i="47"/>
  <c r="AO60" i="47" a="1"/>
  <c r="S22" i="47"/>
  <c r="AP60" i="47" a="1"/>
  <c r="S23" i="47"/>
  <c r="AQ60" i="47" a="1"/>
  <c r="S24" i="47"/>
  <c r="AR60" i="47" a="1"/>
  <c r="T25" i="47"/>
  <c r="AS60" i="47" a="1"/>
  <c r="AT60" i="47" a="1"/>
  <c r="AU60" i="47" a="1"/>
  <c r="T20" i="47"/>
  <c r="AV60" i="47" a="1"/>
  <c r="T21" i="47"/>
  <c r="AW60" i="47" a="1"/>
  <c r="T22" i="47"/>
  <c r="AX60" i="47" a="1"/>
  <c r="T23" i="47"/>
  <c r="AY60" i="47" a="1"/>
  <c r="T24" i="47"/>
  <c r="AZ60" i="47" a="1"/>
  <c r="U25" i="47"/>
  <c r="BA60" i="47" a="1"/>
  <c r="BB60" i="47" a="1"/>
  <c r="BC60" i="47" a="1"/>
  <c r="U20" i="47"/>
  <c r="BD60" i="47" a="1"/>
  <c r="U21" i="47"/>
  <c r="BE60" i="47" a="1"/>
  <c r="U22" i="47"/>
  <c r="BF60" i="47" a="1"/>
  <c r="U23" i="47"/>
  <c r="BG60" i="47" a="1"/>
  <c r="U24" i="47"/>
  <c r="BH60" i="47" a="1"/>
  <c r="V25" i="47"/>
  <c r="BI60" i="47" a="1"/>
  <c r="BJ60" i="47" a="1"/>
  <c r="BK60" i="47" a="1"/>
  <c r="V20" i="47"/>
  <c r="BL60" i="47" a="1"/>
  <c r="V21" i="47"/>
  <c r="BM60" i="47" a="1"/>
  <c r="V22" i="47"/>
  <c r="BN60" i="47" a="1"/>
  <c r="V23" i="47"/>
  <c r="BO60" i="47" a="1"/>
  <c r="V24" i="47"/>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E60" i="46" a="1"/>
  <c r="E60" i="46"/>
  <c r="F60" i="46" a="1"/>
  <c r="F60" i="46"/>
  <c r="G60" i="46" a="1"/>
  <c r="H60" i="46" a="1"/>
  <c r="I60" i="46" a="1"/>
  <c r="J60" i="46" a="1"/>
  <c r="K60" i="46" a="1"/>
  <c r="L60" i="46" a="1"/>
  <c r="P25" i="46"/>
  <c r="M60" i="46" a="1"/>
  <c r="N60" i="46" a="1"/>
  <c r="O60" i="46" a="1"/>
  <c r="P20" i="46"/>
  <c r="P60" i="46" a="1"/>
  <c r="P21" i="46"/>
  <c r="Q60" i="46" a="1"/>
  <c r="P22" i="46"/>
  <c r="R60" i="46" a="1"/>
  <c r="P23" i="46"/>
  <c r="S60" i="46" a="1"/>
  <c r="P24" i="46"/>
  <c r="T60" i="46" a="1"/>
  <c r="Q25" i="46"/>
  <c r="U60" i="46" a="1"/>
  <c r="V60" i="46" a="1"/>
  <c r="W60" i="46" a="1"/>
  <c r="Q20" i="46"/>
  <c r="X60" i="46" a="1"/>
  <c r="Q21" i="46"/>
  <c r="Y60" i="46" a="1"/>
  <c r="Q22" i="46"/>
  <c r="Z60" i="46" a="1"/>
  <c r="Q23" i="46"/>
  <c r="AA60" i="46" a="1"/>
  <c r="Q24" i="46"/>
  <c r="AB60" i="46" a="1"/>
  <c r="R25" i="46"/>
  <c r="AC60" i="46" a="1"/>
  <c r="AD60" i="46" a="1"/>
  <c r="AE60" i="46" a="1"/>
  <c r="R20" i="46"/>
  <c r="AF60" i="46" a="1"/>
  <c r="R21" i="46"/>
  <c r="AG60" i="46" a="1"/>
  <c r="R22" i="46"/>
  <c r="AH60" i="46" a="1"/>
  <c r="R23" i="46"/>
  <c r="AI60" i="46" a="1"/>
  <c r="R24" i="46"/>
  <c r="AJ60" i="46" a="1"/>
  <c r="S25" i="46"/>
  <c r="AK60" i="46" a="1"/>
  <c r="AL60" i="46" a="1"/>
  <c r="AM60" i="46" a="1"/>
  <c r="S20" i="46"/>
  <c r="AN60" i="46" a="1"/>
  <c r="S21" i="46"/>
  <c r="AO60" i="46" a="1"/>
  <c r="S22" i="46"/>
  <c r="AP60" i="46" a="1"/>
  <c r="S23" i="46"/>
  <c r="AQ60" i="46" a="1"/>
  <c r="S24" i="46"/>
  <c r="AR60" i="46" a="1"/>
  <c r="T25" i="46"/>
  <c r="AS60" i="46" a="1"/>
  <c r="AT60" i="46" a="1"/>
  <c r="AU60" i="46" a="1"/>
  <c r="T20" i="46"/>
  <c r="AV60" i="46" a="1"/>
  <c r="T21" i="46"/>
  <c r="AW60" i="46" a="1"/>
  <c r="T22" i="46"/>
  <c r="AX60" i="46" a="1"/>
  <c r="T23" i="46"/>
  <c r="AY60" i="46" a="1"/>
  <c r="T24" i="46"/>
  <c r="AZ60" i="46" a="1"/>
  <c r="U25" i="46"/>
  <c r="BA60" i="46" a="1"/>
  <c r="BB60" i="46" a="1"/>
  <c r="BC60" i="46" a="1"/>
  <c r="U20" i="46"/>
  <c r="BD60" i="46" a="1"/>
  <c r="U21" i="46"/>
  <c r="BE60" i="46" a="1"/>
  <c r="U22" i="46"/>
  <c r="BF60" i="46" a="1"/>
  <c r="U23" i="46"/>
  <c r="BG60" i="46" a="1"/>
  <c r="U24" i="46"/>
  <c r="BH60" i="46" a="1"/>
  <c r="V25" i="46"/>
  <c r="BI60" i="46" a="1"/>
  <c r="BJ60" i="46" a="1"/>
  <c r="BK60" i="46" a="1"/>
  <c r="V20" i="46"/>
  <c r="BL60" i="46" a="1"/>
  <c r="V21" i="46"/>
  <c r="BM60" i="46" a="1"/>
  <c r="V22" i="46"/>
  <c r="BN60" i="46" a="1"/>
  <c r="V23" i="46"/>
  <c r="BO60" i="46" a="1"/>
  <c r="V24" i="46"/>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13" i="39"/>
  <c r="AH14" i="24"/>
  <c r="AF14" i="24"/>
  <c r="AD14" i="24"/>
  <c r="AC14" i="24"/>
  <c r="AB14" i="24"/>
  <c r="AA14" i="24"/>
  <c r="Z14" i="24"/>
  <c r="AH13" i="24"/>
  <c r="AF13" i="24"/>
  <c r="AD13" i="24"/>
  <c r="AC13" i="24"/>
  <c r="AB13" i="24"/>
  <c r="AA13" i="24"/>
  <c r="Z13" i="24"/>
  <c r="AH12" i="24"/>
  <c r="AF12" i="24"/>
  <c r="AD12" i="24"/>
  <c r="AH14" i="36"/>
  <c r="AF14" i="36"/>
  <c r="AD14" i="36"/>
  <c r="AC14" i="36"/>
  <c r="AB14" i="36"/>
  <c r="AA14" i="36"/>
  <c r="Z14" i="36"/>
  <c r="AH13" i="36"/>
  <c r="AF13" i="36"/>
  <c r="AD13" i="36"/>
  <c r="AC13" i="36"/>
  <c r="AB13" i="36"/>
  <c r="AA13" i="36"/>
  <c r="Z13" i="36"/>
  <c r="AH12" i="36"/>
  <c r="AF12" i="36"/>
  <c r="AD12" i="36"/>
  <c r="AC12" i="36"/>
  <c r="AB12" i="36"/>
  <c r="AA12" i="36"/>
  <c r="Z12" i="36"/>
  <c r="Y14" i="36"/>
  <c r="Y13" i="36"/>
  <c r="O25" i="37"/>
  <c r="E60" i="37" a="1"/>
  <c r="E60" i="37"/>
  <c r="F60" i="37" a="1"/>
  <c r="F60" i="37"/>
  <c r="G60" i="37" a="1"/>
  <c r="O20" i="37"/>
  <c r="H60" i="37" a="1"/>
  <c r="O21" i="37"/>
  <c r="I60" i="37" a="1"/>
  <c r="O22" i="37"/>
  <c r="J60" i="37" a="1"/>
  <c r="O23" i="37"/>
  <c r="K60" i="37" a="1"/>
  <c r="O24" i="37"/>
  <c r="L60" i="37" a="1"/>
  <c r="M60" i="37" a="1"/>
  <c r="N60" i="37" a="1"/>
  <c r="O60" i="37" a="1"/>
  <c r="P60" i="37" a="1"/>
  <c r="Q60" i="37" a="1"/>
  <c r="R60" i="37" a="1"/>
  <c r="S60" i="37" a="1"/>
  <c r="T60" i="37" a="1"/>
  <c r="Q25" i="37"/>
  <c r="U60" i="37" a="1"/>
  <c r="V60" i="37" a="1"/>
  <c r="W60" i="37" a="1"/>
  <c r="Q20" i="37"/>
  <c r="X60" i="37" a="1"/>
  <c r="Q21" i="37"/>
  <c r="Y60" i="37" a="1"/>
  <c r="Q22" i="37"/>
  <c r="Z60" i="37" a="1"/>
  <c r="Q23" i="37"/>
  <c r="AA60" i="37" a="1"/>
  <c r="Q24" i="37"/>
  <c r="AB60" i="37" a="1"/>
  <c r="R25" i="37"/>
  <c r="AC60" i="37" a="1"/>
  <c r="AD60" i="37" a="1"/>
  <c r="AE60" i="37" a="1"/>
  <c r="R20" i="37"/>
  <c r="AF60" i="37" a="1"/>
  <c r="R21" i="37"/>
  <c r="AG60" i="37" a="1"/>
  <c r="R22" i="37"/>
  <c r="AH60" i="37" a="1"/>
  <c r="R23" i="37"/>
  <c r="AI60" i="37" a="1"/>
  <c r="R24" i="37"/>
  <c r="AJ60" i="37" a="1"/>
  <c r="S25" i="37"/>
  <c r="AK60" i="37" a="1"/>
  <c r="AL60" i="37" a="1"/>
  <c r="AM60" i="37" a="1"/>
  <c r="S20" i="37"/>
  <c r="AN60" i="37" a="1"/>
  <c r="S21" i="37"/>
  <c r="AO60" i="37" a="1"/>
  <c r="S22" i="37"/>
  <c r="AP60" i="37" a="1"/>
  <c r="S23" i="37"/>
  <c r="AQ60" i="37" a="1"/>
  <c r="S24" i="37"/>
  <c r="AR60" i="37" a="1"/>
  <c r="T25" i="37"/>
  <c r="AS60" i="37" a="1"/>
  <c r="AT60" i="37" a="1"/>
  <c r="AU60" i="37" a="1"/>
  <c r="T20" i="37"/>
  <c r="AV60" i="37" a="1"/>
  <c r="T21" i="37"/>
  <c r="AW60" i="37" a="1"/>
  <c r="T22" i="37"/>
  <c r="AX60" i="37" a="1"/>
  <c r="T23" i="37"/>
  <c r="AY60" i="37" a="1"/>
  <c r="T24" i="37"/>
  <c r="AZ60" i="37" a="1"/>
  <c r="U25" i="37"/>
  <c r="BA60" i="37" a="1"/>
  <c r="BB60" i="37" a="1"/>
  <c r="BC60" i="37" a="1"/>
  <c r="U20" i="37"/>
  <c r="BD60" i="37" a="1"/>
  <c r="U21" i="37"/>
  <c r="BE60" i="37" a="1"/>
  <c r="U22" i="37"/>
  <c r="BF60" i="37" a="1"/>
  <c r="U23" i="37"/>
  <c r="BG60" i="37" a="1"/>
  <c r="U24" i="37"/>
  <c r="BH60" i="37" a="1"/>
  <c r="V25" i="37"/>
  <c r="BI60" i="37" a="1"/>
  <c r="BJ60" i="37" a="1"/>
  <c r="BK60" i="37" a="1"/>
  <c r="V20" i="37"/>
  <c r="BL60" i="37" a="1"/>
  <c r="V21" i="37"/>
  <c r="BM60" i="37" a="1"/>
  <c r="V22" i="37"/>
  <c r="BN60" i="37" a="1"/>
  <c r="V23" i="37"/>
  <c r="BO60" i="37" a="1"/>
  <c r="V24" i="37"/>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Z25"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Z24"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Z23" i="37"/>
  <c r="Z22" i="37"/>
  <c r="Z21" i="37"/>
  <c r="Z20" i="37"/>
  <c r="E29" i="21"/>
  <c r="E22" i="21"/>
  <c r="E23" i="21"/>
  <c r="E24" i="21"/>
  <c r="E25" i="21"/>
  <c r="E26" i="21"/>
  <c r="E27" i="21"/>
  <c r="E28" i="21"/>
  <c r="E21" i="21"/>
  <c r="E20" i="21"/>
  <c r="E19" i="21"/>
  <c r="E60" i="33" a="1"/>
  <c r="E60" i="33"/>
  <c r="F60" i="33" a="1"/>
  <c r="F60" i="33"/>
  <c r="G60" i="33" a="1"/>
  <c r="H60" i="33" a="1"/>
  <c r="I60" i="33" a="1"/>
  <c r="J60" i="33" a="1"/>
  <c r="K60" i="33" a="1"/>
  <c r="L60" i="33" a="1"/>
  <c r="P25" i="33"/>
  <c r="M60" i="33" a="1"/>
  <c r="N60" i="33" a="1"/>
  <c r="O60" i="33" a="1"/>
  <c r="P20" i="33"/>
  <c r="P60" i="33" a="1"/>
  <c r="P21" i="33"/>
  <c r="Q60" i="33" a="1"/>
  <c r="P22" i="33"/>
  <c r="R60" i="33" a="1"/>
  <c r="P23" i="33"/>
  <c r="S60" i="33" a="1"/>
  <c r="P24" i="33"/>
  <c r="T60" i="33" a="1"/>
  <c r="Q25" i="33"/>
  <c r="U60" i="33" a="1"/>
  <c r="V60" i="33" a="1"/>
  <c r="W60" i="33" a="1"/>
  <c r="Q20" i="33"/>
  <c r="X60" i="33" a="1"/>
  <c r="Q21" i="33"/>
  <c r="Y60" i="33" a="1"/>
  <c r="Q22" i="33"/>
  <c r="Z60" i="33" a="1"/>
  <c r="Q23" i="33"/>
  <c r="AA60" i="33" a="1"/>
  <c r="Q24" i="33"/>
  <c r="AB60" i="33" a="1"/>
  <c r="R25" i="33"/>
  <c r="AC60" i="33" a="1"/>
  <c r="AD60" i="33" a="1"/>
  <c r="AE60" i="33" a="1"/>
  <c r="R20" i="33"/>
  <c r="AF60" i="33" a="1"/>
  <c r="R21" i="33"/>
  <c r="AG60" i="33" a="1"/>
  <c r="R22" i="33"/>
  <c r="AH60" i="33" a="1"/>
  <c r="R23" i="33"/>
  <c r="AI60" i="33" a="1"/>
  <c r="R24" i="33"/>
  <c r="AJ60" i="33" a="1"/>
  <c r="S25" i="33"/>
  <c r="AK60" i="33" a="1"/>
  <c r="AL60" i="33" a="1"/>
  <c r="AM60" i="33" a="1"/>
  <c r="S20" i="33"/>
  <c r="AN60" i="33" a="1"/>
  <c r="S21" i="33"/>
  <c r="AO60" i="33" a="1"/>
  <c r="S22" i="33"/>
  <c r="AP60" i="33" a="1"/>
  <c r="S23" i="33"/>
  <c r="AQ60" i="33" a="1"/>
  <c r="S24" i="33"/>
  <c r="AR60" i="33" a="1"/>
  <c r="T25" i="33"/>
  <c r="AS60" i="33" a="1"/>
  <c r="AT60" i="33" a="1"/>
  <c r="AU60" i="33" a="1"/>
  <c r="T20" i="33"/>
  <c r="AV60" i="33" a="1"/>
  <c r="T21" i="33"/>
  <c r="AW60" i="33" a="1"/>
  <c r="T22" i="33"/>
  <c r="AX60" i="33" a="1"/>
  <c r="T23" i="33"/>
  <c r="AY60" i="33" a="1"/>
  <c r="T24" i="33"/>
  <c r="AZ60" i="33" a="1"/>
  <c r="U25" i="33"/>
  <c r="BA60" i="33" a="1"/>
  <c r="BB60" i="33" a="1"/>
  <c r="BC60" i="33" a="1"/>
  <c r="U20" i="33"/>
  <c r="BD60" i="33" a="1"/>
  <c r="U21" i="33"/>
  <c r="BE60" i="33" a="1"/>
  <c r="U22" i="33"/>
  <c r="BF60" i="33" a="1"/>
  <c r="U23" i="33"/>
  <c r="BG60" i="33" a="1"/>
  <c r="U24" i="33"/>
  <c r="BH60" i="33" a="1"/>
  <c r="V25" i="33"/>
  <c r="BI60" i="33" a="1"/>
  <c r="BJ60" i="33" a="1"/>
  <c r="BK60" i="33" a="1"/>
  <c r="V20" i="33"/>
  <c r="BL60" i="33" a="1"/>
  <c r="V21" i="33"/>
  <c r="BM60" i="33" a="1"/>
  <c r="V22" i="33"/>
  <c r="BN60" i="33" a="1"/>
  <c r="V23" i="33"/>
  <c r="BO60" i="33" a="1"/>
  <c r="V24" i="33"/>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Z25"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Z24"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Z23" i="33"/>
  <c r="Z22" i="33"/>
  <c r="Z21" i="33"/>
  <c r="Z20" i="33"/>
  <c r="Z17" i="33"/>
  <c r="E36" i="33" a="1"/>
  <c r="E36" i="33"/>
  <c r="F36" i="33" a="1"/>
  <c r="F36" i="33"/>
  <c r="G36" i="33" a="1"/>
  <c r="H36" i="33" a="1"/>
  <c r="I36" i="33" a="1"/>
  <c r="J36" i="33" a="1"/>
  <c r="K36" i="33" a="1"/>
  <c r="L36" i="33" a="1"/>
  <c r="M36" i="33" a="1"/>
  <c r="N36" i="33" a="1"/>
  <c r="O36" i="33" a="1"/>
  <c r="P36" i="33" a="1"/>
  <c r="Q36" i="33" a="1"/>
  <c r="R36" i="33" a="1"/>
  <c r="S36" i="33" a="1"/>
  <c r="T36" i="33" a="1"/>
  <c r="U36" i="33" a="1"/>
  <c r="V36" i="33" a="1"/>
  <c r="W36" i="33" a="1"/>
  <c r="X36" i="33" a="1"/>
  <c r="Y36" i="33" a="1"/>
  <c r="Z36" i="33" a="1"/>
  <c r="AA36" i="33" a="1"/>
  <c r="AB36" i="33" a="1"/>
  <c r="AC36" i="33" a="1"/>
  <c r="AD36" i="33" a="1"/>
  <c r="AE36" i="33" a="1"/>
  <c r="AF36" i="33" a="1"/>
  <c r="AG36" i="33" a="1"/>
  <c r="AH36" i="33" a="1"/>
  <c r="AI36" i="33" a="1"/>
  <c r="AJ36" i="33" a="1"/>
  <c r="AK36" i="33" a="1"/>
  <c r="AL36" i="33" a="1"/>
  <c r="AM36" i="33" a="1"/>
  <c r="AN36" i="33" a="1"/>
  <c r="AO36" i="33" a="1"/>
  <c r="AP36" i="33" a="1"/>
  <c r="AQ36" i="33" a="1"/>
  <c r="AR36" i="33" a="1"/>
  <c r="AS36" i="33" a="1"/>
  <c r="AT36" i="33" a="1"/>
  <c r="AU36" i="33" a="1"/>
  <c r="AV36" i="33" a="1"/>
  <c r="AW36" i="33" a="1"/>
  <c r="AX36" i="33" a="1"/>
  <c r="AY36" i="33" a="1"/>
  <c r="AZ36" i="33" a="1"/>
  <c r="BA36" i="33" a="1"/>
  <c r="BB36" i="33" a="1"/>
  <c r="BC36" i="33" a="1"/>
  <c r="BD36" i="33" a="1"/>
  <c r="BE36" i="33" a="1"/>
  <c r="BF36" i="33" a="1"/>
  <c r="BG36" i="33" a="1"/>
  <c r="BH36" i="33" a="1"/>
  <c r="BI36" i="33" a="1"/>
  <c r="BJ36" i="33" a="1"/>
  <c r="BK36" i="33" a="1"/>
  <c r="BL36" i="33" a="1"/>
  <c r="BM36" i="33" a="1"/>
  <c r="BN36" i="33" a="1"/>
  <c r="BO36" i="33" a="1"/>
  <c r="BP36" i="33" a="1"/>
  <c r="G36" i="33"/>
  <c r="H36" i="33"/>
  <c r="I36" i="33"/>
  <c r="J36" i="33"/>
  <c r="K36" i="33"/>
  <c r="L36" i="33"/>
  <c r="M36" i="33"/>
  <c r="N36" i="33"/>
  <c r="O36" i="33"/>
  <c r="P36" i="33"/>
  <c r="Q36" i="33"/>
  <c r="R36" i="33"/>
  <c r="S36" i="33"/>
  <c r="T36" i="33"/>
  <c r="U36" i="33"/>
  <c r="V36" i="33"/>
  <c r="W36" i="33"/>
  <c r="X36" i="33"/>
  <c r="Y36" i="33"/>
  <c r="Z36" i="33"/>
  <c r="AA36" i="33"/>
  <c r="AB36" i="33"/>
  <c r="AC36" i="33"/>
  <c r="AD36" i="33"/>
  <c r="AE36" i="33"/>
  <c r="AF36" i="33"/>
  <c r="AG36" i="33"/>
  <c r="AH36" i="33"/>
  <c r="AI36" i="33"/>
  <c r="AJ36" i="33"/>
  <c r="AK36" i="33"/>
  <c r="AL36" i="33"/>
  <c r="AM36" i="33"/>
  <c r="AN36" i="33"/>
  <c r="AO36" i="33"/>
  <c r="AP36" i="33"/>
  <c r="AQ36" i="33"/>
  <c r="AR36" i="33"/>
  <c r="AS36" i="33"/>
  <c r="AT36" i="33"/>
  <c r="AU36" i="33"/>
  <c r="AV36" i="33"/>
  <c r="AW36" i="33"/>
  <c r="AX36" i="33"/>
  <c r="AY36" i="33"/>
  <c r="AZ36" i="33"/>
  <c r="BA36" i="33"/>
  <c r="BB36" i="33"/>
  <c r="BC36" i="33"/>
  <c r="BD36" i="33"/>
  <c r="BE36" i="33"/>
  <c r="BF36" i="33"/>
  <c r="BG36" i="33"/>
  <c r="BH36" i="33"/>
  <c r="BI36" i="33"/>
  <c r="BJ36" i="33"/>
  <c r="BK36" i="33"/>
  <c r="BL36" i="33"/>
  <c r="BM36" i="33"/>
  <c r="BN36" i="33"/>
  <c r="BO36" i="33"/>
  <c r="BP36" i="33"/>
  <c r="AA23" i="33"/>
  <c r="E37" i="33" a="1"/>
  <c r="E37" i="33"/>
  <c r="F37" i="33" a="1"/>
  <c r="F37" i="33"/>
  <c r="G37" i="33" a="1"/>
  <c r="H37" i="33" a="1"/>
  <c r="I37" i="33" a="1"/>
  <c r="J37" i="33" a="1"/>
  <c r="K37" i="33" a="1"/>
  <c r="L37" i="33" a="1"/>
  <c r="M37" i="33" a="1"/>
  <c r="N37" i="33" a="1"/>
  <c r="O37" i="33" a="1"/>
  <c r="P37" i="33" a="1"/>
  <c r="Q37" i="33" a="1"/>
  <c r="R37" i="33" a="1"/>
  <c r="S37" i="33" a="1"/>
  <c r="T37" i="33" a="1"/>
  <c r="U37" i="33" a="1"/>
  <c r="V37" i="33" a="1"/>
  <c r="W37" i="33" a="1"/>
  <c r="X37" i="33" a="1"/>
  <c r="Y37" i="33" a="1"/>
  <c r="Z37" i="33" a="1"/>
  <c r="AA37" i="33" a="1"/>
  <c r="AB37" i="33" a="1"/>
  <c r="AC37" i="33" a="1"/>
  <c r="AD37" i="33" a="1"/>
  <c r="AE37" i="33" a="1"/>
  <c r="AF37" i="33" a="1"/>
  <c r="AG37" i="33" a="1"/>
  <c r="AH37" i="33" a="1"/>
  <c r="AI37" i="33" a="1"/>
  <c r="AJ37" i="33" a="1"/>
  <c r="AK37" i="33" a="1"/>
  <c r="AL37" i="33" a="1"/>
  <c r="AM37" i="33" a="1"/>
  <c r="AN37" i="33" a="1"/>
  <c r="AO37" i="33" a="1"/>
  <c r="AP37" i="33" a="1"/>
  <c r="AQ37" i="33" a="1"/>
  <c r="AR37" i="33" a="1"/>
  <c r="AS37" i="33" a="1"/>
  <c r="AT37" i="33" a="1"/>
  <c r="AU37" i="33" a="1"/>
  <c r="AV37" i="33" a="1"/>
  <c r="AW37" i="33" a="1"/>
  <c r="AX37" i="33" a="1"/>
  <c r="AY37" i="33" a="1"/>
  <c r="AZ37" i="33" a="1"/>
  <c r="BA37" i="33" a="1"/>
  <c r="BB37" i="33" a="1"/>
  <c r="BC37" i="33" a="1"/>
  <c r="BD37" i="33" a="1"/>
  <c r="BE37" i="33" a="1"/>
  <c r="BF37" i="33" a="1"/>
  <c r="BG37" i="33" a="1"/>
  <c r="BH37" i="33" a="1"/>
  <c r="BI37" i="33" a="1"/>
  <c r="BJ37" i="33" a="1"/>
  <c r="BK37" i="33" a="1"/>
  <c r="BL37" i="33" a="1"/>
  <c r="BM37" i="33" a="1"/>
  <c r="BN37" i="33" a="1"/>
  <c r="BO37" i="33" a="1"/>
  <c r="BP37" i="33" a="1"/>
  <c r="G37" i="33"/>
  <c r="H37" i="33"/>
  <c r="I37" i="33"/>
  <c r="J37" i="33"/>
  <c r="K37" i="33"/>
  <c r="L37" i="33"/>
  <c r="M37" i="33"/>
  <c r="N37" i="33"/>
  <c r="O37" i="33"/>
  <c r="P37" i="33"/>
  <c r="Q37" i="33"/>
  <c r="R37" i="33"/>
  <c r="S37" i="33"/>
  <c r="T37" i="33"/>
  <c r="U37" i="33"/>
  <c r="V37" i="33"/>
  <c r="W37" i="33"/>
  <c r="X37" i="33"/>
  <c r="Y37" i="33"/>
  <c r="Z37" i="33"/>
  <c r="AA37" i="33"/>
  <c r="AB37" i="33"/>
  <c r="AC37" i="33"/>
  <c r="AD37" i="33"/>
  <c r="AE37" i="33"/>
  <c r="AF37" i="33"/>
  <c r="AG37" i="33"/>
  <c r="AH37" i="33"/>
  <c r="AI37" i="33"/>
  <c r="AJ37" i="33"/>
  <c r="AK37" i="33"/>
  <c r="AL37" i="33"/>
  <c r="AM37" i="33"/>
  <c r="AN37" i="33"/>
  <c r="AO37" i="33"/>
  <c r="AP37" i="33"/>
  <c r="AQ37" i="33"/>
  <c r="AR37" i="33"/>
  <c r="AS37" i="33"/>
  <c r="AT37" i="33"/>
  <c r="AU37" i="33"/>
  <c r="AV37" i="33"/>
  <c r="AW37" i="33"/>
  <c r="AX37" i="33"/>
  <c r="AY37" i="33"/>
  <c r="AZ37" i="33"/>
  <c r="BA37" i="33"/>
  <c r="BB37" i="33"/>
  <c r="BC37" i="33"/>
  <c r="BD37" i="33"/>
  <c r="BE37" i="33"/>
  <c r="BF37" i="33"/>
  <c r="BG37" i="33"/>
  <c r="BH37" i="33"/>
  <c r="BI37" i="33"/>
  <c r="BJ37" i="33"/>
  <c r="BK37" i="33"/>
  <c r="BL37" i="33"/>
  <c r="BM37" i="33"/>
  <c r="BN37" i="33"/>
  <c r="BO37" i="33"/>
  <c r="BP37" i="33"/>
  <c r="AA24" i="33"/>
  <c r="E38" i="33" a="1"/>
  <c r="E38" i="33"/>
  <c r="F38" i="33" a="1"/>
  <c r="F38" i="33"/>
  <c r="G38" i="33" a="1"/>
  <c r="H38" i="33" a="1"/>
  <c r="I38" i="33" a="1"/>
  <c r="J38" i="33" a="1"/>
  <c r="K38" i="33" a="1"/>
  <c r="L38" i="33" a="1"/>
  <c r="M38" i="33" a="1"/>
  <c r="N38" i="33" a="1"/>
  <c r="O38" i="33" a="1"/>
  <c r="P38" i="33" a="1"/>
  <c r="Q38" i="33" a="1"/>
  <c r="R38" i="33" a="1"/>
  <c r="S38" i="33" a="1"/>
  <c r="T38" i="33" a="1"/>
  <c r="U38" i="33" a="1"/>
  <c r="V38" i="33" a="1"/>
  <c r="W38" i="33" a="1"/>
  <c r="X38" i="33" a="1"/>
  <c r="Y38" i="33" a="1"/>
  <c r="Z38" i="33" a="1"/>
  <c r="AA38" i="33" a="1"/>
  <c r="AB38" i="33" a="1"/>
  <c r="AC38" i="33" a="1"/>
  <c r="AD38" i="33" a="1"/>
  <c r="AE38" i="33" a="1"/>
  <c r="AF38" i="33" a="1"/>
  <c r="AG38" i="33" a="1"/>
  <c r="AH38" i="33" a="1"/>
  <c r="AI38" i="33" a="1"/>
  <c r="AJ38" i="33" a="1"/>
  <c r="AK38" i="33" a="1"/>
  <c r="AL38" i="33" a="1"/>
  <c r="AM38" i="33" a="1"/>
  <c r="AN38" i="33" a="1"/>
  <c r="AO38" i="33" a="1"/>
  <c r="AP38" i="33" a="1"/>
  <c r="AQ38" i="33" a="1"/>
  <c r="AR38" i="33" a="1"/>
  <c r="AS38" i="33" a="1"/>
  <c r="AT38" i="33" a="1"/>
  <c r="AU38" i="33" a="1"/>
  <c r="AV38" i="33" a="1"/>
  <c r="AW38" i="33" a="1"/>
  <c r="AX38" i="33" a="1"/>
  <c r="AY38" i="33" a="1"/>
  <c r="AZ38" i="33" a="1"/>
  <c r="BA38" i="33" a="1"/>
  <c r="BB38" i="33" a="1"/>
  <c r="BC38" i="33" a="1"/>
  <c r="BD38" i="33" a="1"/>
  <c r="BE38" i="33" a="1"/>
  <c r="BF38" i="33" a="1"/>
  <c r="BG38" i="33" a="1"/>
  <c r="BH38" i="33" a="1"/>
  <c r="BI38" i="33" a="1"/>
  <c r="BJ38" i="33" a="1"/>
  <c r="BK38" i="33" a="1"/>
  <c r="BL38" i="33" a="1"/>
  <c r="BM38" i="33" a="1"/>
  <c r="BN38" i="33" a="1"/>
  <c r="BO38" i="33" a="1"/>
  <c r="BP38" i="33" a="1"/>
  <c r="G38" i="33"/>
  <c r="H38" i="33"/>
  <c r="I38" i="33"/>
  <c r="J38" i="33"/>
  <c r="K38" i="33"/>
  <c r="L38" i="33"/>
  <c r="M38" i="33"/>
  <c r="N38" i="33"/>
  <c r="O38" i="33"/>
  <c r="P38" i="33"/>
  <c r="Q38" i="33"/>
  <c r="R38" i="33"/>
  <c r="S38" i="33"/>
  <c r="T38" i="33"/>
  <c r="U38" i="33"/>
  <c r="V38" i="33"/>
  <c r="W38" i="33"/>
  <c r="X38" i="33"/>
  <c r="Y38" i="33"/>
  <c r="Z38" i="33"/>
  <c r="AA38" i="33"/>
  <c r="AB38" i="33"/>
  <c r="AC38" i="33"/>
  <c r="AD38" i="33"/>
  <c r="AE38" i="33"/>
  <c r="AF38" i="33"/>
  <c r="AG38" i="33"/>
  <c r="AH38" i="33"/>
  <c r="AI38" i="33"/>
  <c r="AJ38" i="33"/>
  <c r="AK38" i="33"/>
  <c r="AL38" i="33"/>
  <c r="AM38" i="33"/>
  <c r="AN38" i="33"/>
  <c r="AO38" i="33"/>
  <c r="AP38" i="33"/>
  <c r="AQ38" i="33"/>
  <c r="AR38" i="33"/>
  <c r="AS38" i="33"/>
  <c r="AT38" i="33"/>
  <c r="AU38" i="33"/>
  <c r="AV38" i="33"/>
  <c r="AW38" i="33"/>
  <c r="AX38" i="33"/>
  <c r="AY38" i="33"/>
  <c r="AZ38" i="33"/>
  <c r="BA38" i="33"/>
  <c r="BB38" i="33"/>
  <c r="BC38" i="33"/>
  <c r="BD38" i="33"/>
  <c r="BE38" i="33"/>
  <c r="BF38" i="33"/>
  <c r="BG38" i="33"/>
  <c r="BH38" i="33"/>
  <c r="BI38" i="33"/>
  <c r="BJ38" i="33"/>
  <c r="BK38" i="33"/>
  <c r="BL38" i="33"/>
  <c r="BM38" i="33"/>
  <c r="BN38" i="33"/>
  <c r="BO38" i="33"/>
  <c r="BP38" i="33"/>
  <c r="AA25" i="33"/>
  <c r="E36" i="37" a="1"/>
  <c r="E36" i="37"/>
  <c r="F36" i="37" a="1"/>
  <c r="F36" i="37"/>
  <c r="G36" i="37" a="1"/>
  <c r="H36" i="37" a="1"/>
  <c r="I36" i="37" a="1"/>
  <c r="J36" i="37" a="1"/>
  <c r="K36" i="37" a="1"/>
  <c r="L36" i="37" a="1"/>
  <c r="M36" i="37" a="1"/>
  <c r="N36" i="37" a="1"/>
  <c r="O36" i="37" a="1"/>
  <c r="P36" i="37" a="1"/>
  <c r="Q36" i="37" a="1"/>
  <c r="R36" i="37" a="1"/>
  <c r="S36" i="37" a="1"/>
  <c r="T36" i="37" a="1"/>
  <c r="U36" i="37" a="1"/>
  <c r="V36" i="37" a="1"/>
  <c r="W36" i="37" a="1"/>
  <c r="X36" i="37" a="1"/>
  <c r="Y36" i="37" a="1"/>
  <c r="Z36" i="37" a="1"/>
  <c r="AA36" i="37" a="1"/>
  <c r="AB36" i="37" a="1"/>
  <c r="AC36" i="37" a="1"/>
  <c r="AD36" i="37" a="1"/>
  <c r="AE36" i="37" a="1"/>
  <c r="AF36" i="37" a="1"/>
  <c r="AG36" i="37" a="1"/>
  <c r="AH36" i="37" a="1"/>
  <c r="AI36" i="37" a="1"/>
  <c r="AJ36" i="37" a="1"/>
  <c r="AK36" i="37" a="1"/>
  <c r="AL36" i="37" a="1"/>
  <c r="AM36" i="37" a="1"/>
  <c r="AN36" i="37" a="1"/>
  <c r="AO36" i="37" a="1"/>
  <c r="AP36" i="37" a="1"/>
  <c r="AQ36" i="37" a="1"/>
  <c r="AR36" i="37" a="1"/>
  <c r="AS36" i="37" a="1"/>
  <c r="AT36" i="37" a="1"/>
  <c r="AU36" i="37" a="1"/>
  <c r="AV36" i="37" a="1"/>
  <c r="AW36" i="37" a="1"/>
  <c r="AX36" i="37" a="1"/>
  <c r="AY36" i="37" a="1"/>
  <c r="AZ36" i="37" a="1"/>
  <c r="BA36" i="37" a="1"/>
  <c r="BB36" i="37" a="1"/>
  <c r="BC36" i="37" a="1"/>
  <c r="BD36" i="37" a="1"/>
  <c r="BE36" i="37" a="1"/>
  <c r="BF36" i="37" a="1"/>
  <c r="BG36" i="37" a="1"/>
  <c r="BH36" i="37" a="1"/>
  <c r="BI36" i="37" a="1"/>
  <c r="BJ36" i="37" a="1"/>
  <c r="BK36" i="37" a="1"/>
  <c r="BL36" i="37" a="1"/>
  <c r="BM36" i="37" a="1"/>
  <c r="BN36" i="37" a="1"/>
  <c r="BO36" i="37" a="1"/>
  <c r="BP36" i="37" a="1"/>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BF36" i="37"/>
  <c r="BG36" i="37"/>
  <c r="BH36" i="37"/>
  <c r="BI36" i="37"/>
  <c r="BJ36" i="37"/>
  <c r="BK36" i="37"/>
  <c r="BL36" i="37"/>
  <c r="BM36" i="37"/>
  <c r="BN36" i="37"/>
  <c r="BO36" i="37"/>
  <c r="BP36" i="37"/>
  <c r="AA23" i="37"/>
  <c r="E37" i="37" a="1"/>
  <c r="E37" i="37"/>
  <c r="F37" i="37" a="1"/>
  <c r="F37" i="37"/>
  <c r="G37" i="37" a="1"/>
  <c r="H37" i="37" a="1"/>
  <c r="I37" i="37" a="1"/>
  <c r="J37" i="37" a="1"/>
  <c r="K37" i="37" a="1"/>
  <c r="L37" i="37" a="1"/>
  <c r="M37" i="37" a="1"/>
  <c r="N37" i="37" a="1"/>
  <c r="O37" i="37" a="1"/>
  <c r="P37" i="37" a="1"/>
  <c r="Q37" i="37" a="1"/>
  <c r="R37" i="37" a="1"/>
  <c r="S37" i="37" a="1"/>
  <c r="T37" i="37" a="1"/>
  <c r="U37" i="37" a="1"/>
  <c r="V37" i="37" a="1"/>
  <c r="W37" i="37" a="1"/>
  <c r="X37" i="37" a="1"/>
  <c r="Y37" i="37" a="1"/>
  <c r="Z37" i="37" a="1"/>
  <c r="AA37" i="37" a="1"/>
  <c r="AB37" i="37" a="1"/>
  <c r="AC37" i="37" a="1"/>
  <c r="AD37" i="37" a="1"/>
  <c r="AE37" i="37" a="1"/>
  <c r="AF37" i="37" a="1"/>
  <c r="AG37" i="37" a="1"/>
  <c r="AH37" i="37" a="1"/>
  <c r="AI37" i="37" a="1"/>
  <c r="AJ37" i="37" a="1"/>
  <c r="AK37" i="37" a="1"/>
  <c r="AL37" i="37" a="1"/>
  <c r="AM37" i="37" a="1"/>
  <c r="AN37" i="37" a="1"/>
  <c r="AO37" i="37" a="1"/>
  <c r="AP37" i="37" a="1"/>
  <c r="AQ37" i="37" a="1"/>
  <c r="AR37" i="37" a="1"/>
  <c r="AS37" i="37" a="1"/>
  <c r="AT37" i="37" a="1"/>
  <c r="AU37" i="37" a="1"/>
  <c r="AV37" i="37" a="1"/>
  <c r="AW37" i="37" a="1"/>
  <c r="AX37" i="37" a="1"/>
  <c r="AY37" i="37" a="1"/>
  <c r="AZ37" i="37" a="1"/>
  <c r="BA37" i="37" a="1"/>
  <c r="BB37" i="37" a="1"/>
  <c r="BC37" i="37" a="1"/>
  <c r="BD37" i="37" a="1"/>
  <c r="BE37" i="37" a="1"/>
  <c r="BF37" i="37" a="1"/>
  <c r="BG37" i="37" a="1"/>
  <c r="BH37" i="37" a="1"/>
  <c r="BI37" i="37" a="1"/>
  <c r="BJ37" i="37" a="1"/>
  <c r="BK37" i="37" a="1"/>
  <c r="BL37" i="37" a="1"/>
  <c r="BM37" i="37" a="1"/>
  <c r="BN37" i="37" a="1"/>
  <c r="BO37" i="37" a="1"/>
  <c r="BP37" i="37" a="1"/>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BF37" i="37"/>
  <c r="BG37" i="37"/>
  <c r="BH37" i="37"/>
  <c r="BI37" i="37"/>
  <c r="BJ37" i="37"/>
  <c r="BK37" i="37"/>
  <c r="BL37" i="37"/>
  <c r="BM37" i="37"/>
  <c r="BN37" i="37"/>
  <c r="BO37" i="37"/>
  <c r="BP37" i="37"/>
  <c r="AA24" i="37"/>
  <c r="E38" i="37" a="1"/>
  <c r="E38" i="37"/>
  <c r="F38" i="37" a="1"/>
  <c r="F38" i="37"/>
  <c r="G38" i="37" a="1"/>
  <c r="H38" i="37" a="1"/>
  <c r="I38" i="37" a="1"/>
  <c r="J38" i="37" a="1"/>
  <c r="K38" i="37" a="1"/>
  <c r="L38" i="37" a="1"/>
  <c r="M38" i="37" a="1"/>
  <c r="N38" i="37" a="1"/>
  <c r="O38" i="37" a="1"/>
  <c r="P38" i="37" a="1"/>
  <c r="Q38" i="37" a="1"/>
  <c r="R38" i="37" a="1"/>
  <c r="S38" i="37" a="1"/>
  <c r="T38" i="37" a="1"/>
  <c r="U38" i="37" a="1"/>
  <c r="V38" i="37" a="1"/>
  <c r="W38" i="37" a="1"/>
  <c r="X38" i="37" a="1"/>
  <c r="Y38" i="37" a="1"/>
  <c r="Z38" i="37" a="1"/>
  <c r="AA38" i="37" a="1"/>
  <c r="AB38" i="37" a="1"/>
  <c r="AC38" i="37" a="1"/>
  <c r="AD38" i="37" a="1"/>
  <c r="AE38" i="37" a="1"/>
  <c r="AF38" i="37" a="1"/>
  <c r="AG38" i="37" a="1"/>
  <c r="AH38" i="37" a="1"/>
  <c r="AI38" i="37" a="1"/>
  <c r="AJ38" i="37" a="1"/>
  <c r="AK38" i="37" a="1"/>
  <c r="AL38" i="37" a="1"/>
  <c r="AM38" i="37" a="1"/>
  <c r="AN38" i="37" a="1"/>
  <c r="AO38" i="37" a="1"/>
  <c r="AP38" i="37" a="1"/>
  <c r="AQ38" i="37" a="1"/>
  <c r="AR38" i="37" a="1"/>
  <c r="AS38" i="37" a="1"/>
  <c r="AT38" i="37" a="1"/>
  <c r="AU38" i="37" a="1"/>
  <c r="AV38" i="37" a="1"/>
  <c r="AW38" i="37" a="1"/>
  <c r="AX38" i="37" a="1"/>
  <c r="AY38" i="37" a="1"/>
  <c r="AZ38" i="37" a="1"/>
  <c r="BA38" i="37" a="1"/>
  <c r="BB38" i="37" a="1"/>
  <c r="BC38" i="37" a="1"/>
  <c r="BD38" i="37" a="1"/>
  <c r="BE38" i="37" a="1"/>
  <c r="BF38" i="37" a="1"/>
  <c r="BG38" i="37" a="1"/>
  <c r="BH38" i="37" a="1"/>
  <c r="BI38" i="37" a="1"/>
  <c r="BJ38" i="37" a="1"/>
  <c r="BK38" i="37" a="1"/>
  <c r="BL38" i="37" a="1"/>
  <c r="BM38" i="37" a="1"/>
  <c r="BN38" i="37" a="1"/>
  <c r="BO38" i="37" a="1"/>
  <c r="BP38" i="37" a="1"/>
  <c r="G38" i="37"/>
  <c r="H38" i="37"/>
  <c r="I38" i="37"/>
  <c r="J38" i="37"/>
  <c r="K38" i="37"/>
  <c r="L38" i="37"/>
  <c r="M38" i="37"/>
  <c r="N38" i="37"/>
  <c r="O38" i="37"/>
  <c r="P38" i="37"/>
  <c r="Q38" i="37"/>
  <c r="R38" i="37"/>
  <c r="S38" i="37"/>
  <c r="T38" i="37"/>
  <c r="U38" i="37"/>
  <c r="V38" i="37"/>
  <c r="W38" i="37"/>
  <c r="X38" i="37"/>
  <c r="Y38" i="37"/>
  <c r="Z38" i="37"/>
  <c r="AA38" i="37"/>
  <c r="AB38" i="37"/>
  <c r="AC38" i="37"/>
  <c r="AD38" i="37"/>
  <c r="AE38" i="37"/>
  <c r="AF38" i="37"/>
  <c r="AG38" i="37"/>
  <c r="AH38" i="37"/>
  <c r="AI38" i="37"/>
  <c r="AJ38" i="37"/>
  <c r="AK38" i="37"/>
  <c r="AL38" i="37"/>
  <c r="AM38" i="37"/>
  <c r="AN38" i="37"/>
  <c r="AO38" i="37"/>
  <c r="AP38" i="37"/>
  <c r="AQ38" i="37"/>
  <c r="AR38" i="37"/>
  <c r="AS38" i="37"/>
  <c r="AT38" i="37"/>
  <c r="AU38" i="37"/>
  <c r="AV38" i="37"/>
  <c r="AW38" i="37"/>
  <c r="AX38" i="37"/>
  <c r="AY38" i="37"/>
  <c r="AZ38" i="37"/>
  <c r="BA38" i="37"/>
  <c r="BB38" i="37"/>
  <c r="BC38" i="37"/>
  <c r="BD38" i="37"/>
  <c r="BE38" i="37"/>
  <c r="BF38" i="37"/>
  <c r="BG38" i="37"/>
  <c r="BH38" i="37"/>
  <c r="BI38" i="37"/>
  <c r="BJ38" i="37"/>
  <c r="BK38" i="37"/>
  <c r="BL38" i="37"/>
  <c r="BM38" i="37"/>
  <c r="BN38" i="37"/>
  <c r="BO38" i="37"/>
  <c r="BP38" i="37"/>
  <c r="AA25"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Y14" i="24"/>
  <c r="Z17" i="46"/>
  <c r="Z20" i="46"/>
  <c r="E33" i="46" a="1"/>
  <c r="E33" i="46"/>
  <c r="F33" i="46" a="1"/>
  <c r="F33" i="46"/>
  <c r="G33" i="46" a="1"/>
  <c r="H33" i="46" a="1"/>
  <c r="I33" i="46" a="1"/>
  <c r="J33" i="46" a="1"/>
  <c r="K33" i="46" a="1"/>
  <c r="L33" i="46" a="1"/>
  <c r="M33" i="46" a="1"/>
  <c r="N33" i="46" a="1"/>
  <c r="O33" i="46" a="1"/>
  <c r="P33" i="46" a="1"/>
  <c r="Q33" i="46" a="1"/>
  <c r="R33" i="46" a="1"/>
  <c r="S33" i="46" a="1"/>
  <c r="T33" i="46" a="1"/>
  <c r="U33" i="46" a="1"/>
  <c r="V33" i="46" a="1"/>
  <c r="W33" i="46" a="1"/>
  <c r="X33" i="46" a="1"/>
  <c r="Y33" i="46" a="1"/>
  <c r="Z33" i="46" a="1"/>
  <c r="AA33" i="46" a="1"/>
  <c r="AB33" i="46" a="1"/>
  <c r="AC33" i="46" a="1"/>
  <c r="AD33" i="46" a="1"/>
  <c r="AE33" i="46" a="1"/>
  <c r="AF33" i="46" a="1"/>
  <c r="AG33" i="46" a="1"/>
  <c r="AH33" i="46" a="1"/>
  <c r="AI33" i="46" a="1"/>
  <c r="AJ33" i="46" a="1"/>
  <c r="AK33" i="46" a="1"/>
  <c r="AL33" i="46" a="1"/>
  <c r="AM33" i="46" a="1"/>
  <c r="AN33" i="46" a="1"/>
  <c r="AO33" i="46" a="1"/>
  <c r="AP33" i="46" a="1"/>
  <c r="AQ33" i="46" a="1"/>
  <c r="AR33" i="46" a="1"/>
  <c r="AS33" i="46" a="1"/>
  <c r="AT33" i="46" a="1"/>
  <c r="AU33" i="46" a="1"/>
  <c r="AV33" i="46" a="1"/>
  <c r="AW33" i="46" a="1"/>
  <c r="AX33" i="46" a="1"/>
  <c r="AY33" i="46" a="1"/>
  <c r="AZ33" i="46" a="1"/>
  <c r="BA33" i="46" a="1"/>
  <c r="BB33" i="46" a="1"/>
  <c r="BC33" i="46" a="1"/>
  <c r="BD33" i="46" a="1"/>
  <c r="BE33" i="46" a="1"/>
  <c r="BF33" i="46" a="1"/>
  <c r="BG33" i="46" a="1"/>
  <c r="BH33" i="46" a="1"/>
  <c r="BI33" i="46" a="1"/>
  <c r="BJ33" i="46" a="1"/>
  <c r="BK33" i="46" a="1"/>
  <c r="BL33" i="46" a="1"/>
  <c r="BM33" i="46" a="1"/>
  <c r="BN33" i="46" a="1"/>
  <c r="BO33" i="46" a="1"/>
  <c r="BP33" i="46" a="1"/>
  <c r="G33" i="46"/>
  <c r="H33" i="46"/>
  <c r="I33" i="46"/>
  <c r="J33" i="46"/>
  <c r="K33" i="46"/>
  <c r="L33" i="46"/>
  <c r="M33" i="46"/>
  <c r="N33" i="46"/>
  <c r="O33" i="46"/>
  <c r="P33" i="46"/>
  <c r="Q33" i="46"/>
  <c r="R33" i="46"/>
  <c r="S33" i="46"/>
  <c r="T33" i="46"/>
  <c r="U33" i="46"/>
  <c r="V33" i="46"/>
  <c r="W33" i="46"/>
  <c r="X33" i="46"/>
  <c r="Y33" i="46"/>
  <c r="Z33" i="46"/>
  <c r="AA33" i="46"/>
  <c r="AB33" i="46"/>
  <c r="AC33" i="46"/>
  <c r="AD33" i="46"/>
  <c r="AE33" i="46"/>
  <c r="AF33" i="46"/>
  <c r="AG33" i="46"/>
  <c r="AH33" i="46"/>
  <c r="AI33" i="46"/>
  <c r="AJ33" i="46"/>
  <c r="AK33" i="46"/>
  <c r="AL33" i="46"/>
  <c r="AM33" i="46"/>
  <c r="AN33" i="46"/>
  <c r="AO33" i="46"/>
  <c r="AP33" i="46"/>
  <c r="AQ33" i="46"/>
  <c r="AR33" i="46"/>
  <c r="AS33" i="46"/>
  <c r="AT33" i="46"/>
  <c r="AU33" i="46"/>
  <c r="AV33" i="46"/>
  <c r="AW33" i="46"/>
  <c r="AX33" i="46"/>
  <c r="AY33" i="46"/>
  <c r="AZ33" i="46"/>
  <c r="BA33" i="46"/>
  <c r="BB33" i="46"/>
  <c r="BC33" i="46"/>
  <c r="BD33" i="46"/>
  <c r="BE33" i="46"/>
  <c r="BF33" i="46"/>
  <c r="BG33" i="46"/>
  <c r="BH33" i="46"/>
  <c r="BI33" i="46"/>
  <c r="BJ33" i="46"/>
  <c r="BK33" i="46"/>
  <c r="BL33" i="46"/>
  <c r="BM33" i="46"/>
  <c r="BN33" i="46"/>
  <c r="BO33" i="46"/>
  <c r="BP33" i="46"/>
  <c r="AA20" i="46"/>
  <c r="Z21" i="46"/>
  <c r="E34" i="46" a="1"/>
  <c r="E34" i="46"/>
  <c r="F34" i="46" a="1"/>
  <c r="F34" i="46"/>
  <c r="G34" i="46" a="1"/>
  <c r="H34" i="46" a="1"/>
  <c r="I34" i="46" a="1"/>
  <c r="J34" i="46" a="1"/>
  <c r="K34" i="46" a="1"/>
  <c r="L34" i="46" a="1"/>
  <c r="M34" i="46" a="1"/>
  <c r="N34" i="46" a="1"/>
  <c r="O34" i="46" a="1"/>
  <c r="P34" i="46" a="1"/>
  <c r="Q34" i="46" a="1"/>
  <c r="R34" i="46" a="1"/>
  <c r="S34" i="46" a="1"/>
  <c r="T34" i="46" a="1"/>
  <c r="U34" i="46" a="1"/>
  <c r="V34" i="46" a="1"/>
  <c r="W34" i="46" a="1"/>
  <c r="X34" i="46" a="1"/>
  <c r="Y34" i="46" a="1"/>
  <c r="Z34" i="46" a="1"/>
  <c r="AA34" i="46" a="1"/>
  <c r="AB34" i="46" a="1"/>
  <c r="AC34" i="46" a="1"/>
  <c r="AD34" i="46" a="1"/>
  <c r="AE34" i="46" a="1"/>
  <c r="AF34" i="46" a="1"/>
  <c r="AG34" i="46" a="1"/>
  <c r="AH34" i="46" a="1"/>
  <c r="AI34" i="46" a="1"/>
  <c r="AJ34" i="46" a="1"/>
  <c r="AK34" i="46" a="1"/>
  <c r="AL34" i="46" a="1"/>
  <c r="AM34" i="46" a="1"/>
  <c r="AN34" i="46" a="1"/>
  <c r="AO34" i="46" a="1"/>
  <c r="AP34" i="46" a="1"/>
  <c r="AQ34" i="46" a="1"/>
  <c r="AR34" i="46" a="1"/>
  <c r="AS34" i="46" a="1"/>
  <c r="AT34" i="46" a="1"/>
  <c r="AU34" i="46" a="1"/>
  <c r="AV34" i="46" a="1"/>
  <c r="AW34" i="46" a="1"/>
  <c r="AX34" i="46" a="1"/>
  <c r="AY34" i="46" a="1"/>
  <c r="AZ34" i="46" a="1"/>
  <c r="BA34" i="46" a="1"/>
  <c r="BB34" i="46" a="1"/>
  <c r="BC34" i="46" a="1"/>
  <c r="BD34" i="46" a="1"/>
  <c r="BE34" i="46" a="1"/>
  <c r="BF34" i="46" a="1"/>
  <c r="BG34" i="46" a="1"/>
  <c r="BH34" i="46" a="1"/>
  <c r="BI34" i="46" a="1"/>
  <c r="BJ34" i="46" a="1"/>
  <c r="BK34" i="46" a="1"/>
  <c r="BL34" i="46" a="1"/>
  <c r="BM34" i="46" a="1"/>
  <c r="BN34" i="46" a="1"/>
  <c r="BO34" i="46" a="1"/>
  <c r="BP34" i="46" a="1"/>
  <c r="G34" i="46"/>
  <c r="H34" i="46"/>
  <c r="I34" i="46"/>
  <c r="J34" i="46"/>
  <c r="K34" i="46"/>
  <c r="L34" i="46"/>
  <c r="M34" i="46"/>
  <c r="N34" i="46"/>
  <c r="O34" i="46"/>
  <c r="P34" i="46"/>
  <c r="Q34" i="46"/>
  <c r="R34" i="46"/>
  <c r="S34" i="46"/>
  <c r="T34" i="46"/>
  <c r="U34" i="46"/>
  <c r="V34" i="46"/>
  <c r="W34" i="46"/>
  <c r="X34" i="46"/>
  <c r="Y34" i="46"/>
  <c r="Z34" i="46"/>
  <c r="AA34" i="46"/>
  <c r="AB34" i="46"/>
  <c r="AC34" i="46"/>
  <c r="AD34" i="46"/>
  <c r="AE34" i="46"/>
  <c r="AF34" i="46"/>
  <c r="AG34" i="46"/>
  <c r="AH34" i="46"/>
  <c r="AI34" i="46"/>
  <c r="AJ34" i="46"/>
  <c r="AK34" i="46"/>
  <c r="AL34" i="46"/>
  <c r="AM34" i="46"/>
  <c r="AN34" i="46"/>
  <c r="AO34" i="46"/>
  <c r="AP34" i="46"/>
  <c r="AQ34" i="46"/>
  <c r="AR34" i="46"/>
  <c r="AS34" i="46"/>
  <c r="AT34" i="46"/>
  <c r="AU34" i="46"/>
  <c r="AV34" i="46"/>
  <c r="AW34" i="46"/>
  <c r="AX34" i="46"/>
  <c r="AY34" i="46"/>
  <c r="AZ34" i="46"/>
  <c r="BA34" i="46"/>
  <c r="BB34" i="46"/>
  <c r="BC34" i="46"/>
  <c r="BD34" i="46"/>
  <c r="BE34" i="46"/>
  <c r="BF34" i="46"/>
  <c r="BG34" i="46"/>
  <c r="BH34" i="46"/>
  <c r="BI34" i="46"/>
  <c r="BJ34" i="46"/>
  <c r="BK34" i="46"/>
  <c r="BL34" i="46"/>
  <c r="BM34" i="46"/>
  <c r="BN34" i="46"/>
  <c r="BO34" i="46"/>
  <c r="BP34" i="46"/>
  <c r="AA21" i="46"/>
  <c r="Z22" i="46"/>
  <c r="E35" i="46" a="1"/>
  <c r="E35" i="46"/>
  <c r="F35" i="46" a="1"/>
  <c r="F35" i="46"/>
  <c r="G35" i="46" a="1"/>
  <c r="H35" i="46" a="1"/>
  <c r="I35" i="46" a="1"/>
  <c r="J35" i="46" a="1"/>
  <c r="K35" i="46" a="1"/>
  <c r="L35" i="46" a="1"/>
  <c r="M35" i="46" a="1"/>
  <c r="N35" i="46" a="1"/>
  <c r="O35" i="46" a="1"/>
  <c r="P35" i="46" a="1"/>
  <c r="Q35" i="46" a="1"/>
  <c r="R35" i="46" a="1"/>
  <c r="S35" i="46" a="1"/>
  <c r="T35" i="46" a="1"/>
  <c r="U35" i="46" a="1"/>
  <c r="V35" i="46" a="1"/>
  <c r="W35" i="46" a="1"/>
  <c r="X35" i="46" a="1"/>
  <c r="Y35" i="46" a="1"/>
  <c r="Z35" i="46" a="1"/>
  <c r="AA35" i="46" a="1"/>
  <c r="AB35" i="46" a="1"/>
  <c r="AC35" i="46" a="1"/>
  <c r="AD35" i="46" a="1"/>
  <c r="AE35" i="46" a="1"/>
  <c r="AF35" i="46" a="1"/>
  <c r="AG35" i="46" a="1"/>
  <c r="AH35" i="46" a="1"/>
  <c r="AI35" i="46" a="1"/>
  <c r="AJ35" i="46" a="1"/>
  <c r="AK35" i="46" a="1"/>
  <c r="AL35" i="46" a="1"/>
  <c r="AM35" i="46" a="1"/>
  <c r="AN35" i="46" a="1"/>
  <c r="AO35" i="46" a="1"/>
  <c r="AP35" i="46" a="1"/>
  <c r="AQ35" i="46" a="1"/>
  <c r="AR35" i="46" a="1"/>
  <c r="AS35" i="46" a="1"/>
  <c r="AT35" i="46" a="1"/>
  <c r="AU35" i="46" a="1"/>
  <c r="AV35" i="46" a="1"/>
  <c r="AW35" i="46" a="1"/>
  <c r="AX35" i="46" a="1"/>
  <c r="AY35" i="46" a="1"/>
  <c r="AZ35" i="46" a="1"/>
  <c r="BA35" i="46" a="1"/>
  <c r="BB35" i="46" a="1"/>
  <c r="BC35" i="46" a="1"/>
  <c r="BD35" i="46" a="1"/>
  <c r="BE35" i="46" a="1"/>
  <c r="BF35" i="46" a="1"/>
  <c r="BG35" i="46" a="1"/>
  <c r="BH35" i="46" a="1"/>
  <c r="BI35" i="46" a="1"/>
  <c r="BJ35" i="46" a="1"/>
  <c r="BK35" i="46" a="1"/>
  <c r="BL35" i="46" a="1"/>
  <c r="BM35" i="46" a="1"/>
  <c r="BN35" i="46" a="1"/>
  <c r="BO35" i="46" a="1"/>
  <c r="BP35" i="46" a="1"/>
  <c r="G35" i="46"/>
  <c r="H35" i="46"/>
  <c r="I35" i="46"/>
  <c r="J35" i="46"/>
  <c r="K35" i="46"/>
  <c r="L35" i="46"/>
  <c r="M35" i="46"/>
  <c r="N35" i="46"/>
  <c r="O35" i="46"/>
  <c r="P35" i="46"/>
  <c r="Q35" i="46"/>
  <c r="R35" i="46"/>
  <c r="S35" i="46"/>
  <c r="T35" i="46"/>
  <c r="U35" i="46"/>
  <c r="V35" i="46"/>
  <c r="W35" i="46"/>
  <c r="X35" i="46"/>
  <c r="Y35" i="46"/>
  <c r="Z35" i="46"/>
  <c r="AA35" i="46"/>
  <c r="AB35" i="46"/>
  <c r="AC35" i="46"/>
  <c r="AD35" i="46"/>
  <c r="AE35" i="46"/>
  <c r="AF35" i="46"/>
  <c r="AG35" i="46"/>
  <c r="AH35" i="46"/>
  <c r="AI35" i="46"/>
  <c r="AJ35" i="46"/>
  <c r="AK35" i="46"/>
  <c r="AL35" i="46"/>
  <c r="AM35" i="46"/>
  <c r="AN35" i="46"/>
  <c r="AO35" i="46"/>
  <c r="AP35" i="46"/>
  <c r="AQ35" i="46"/>
  <c r="AR35" i="46"/>
  <c r="AS35" i="46"/>
  <c r="AT35" i="46"/>
  <c r="AU35" i="46"/>
  <c r="AV35" i="46"/>
  <c r="AW35" i="46"/>
  <c r="AX35" i="46"/>
  <c r="AY35" i="46"/>
  <c r="AZ35" i="46"/>
  <c r="BA35" i="46"/>
  <c r="BB35" i="46"/>
  <c r="BC35" i="46"/>
  <c r="BD35" i="46"/>
  <c r="BE35" i="46"/>
  <c r="BF35" i="46"/>
  <c r="BG35" i="46"/>
  <c r="BH35" i="46"/>
  <c r="BI35" i="46"/>
  <c r="BJ35" i="46"/>
  <c r="BK35" i="46"/>
  <c r="BL35" i="46"/>
  <c r="BM35" i="46"/>
  <c r="BN35" i="46"/>
  <c r="BO35" i="46"/>
  <c r="BP35" i="46"/>
  <c r="AA22" i="46"/>
  <c r="Z23" i="46"/>
  <c r="E36" i="46" a="1"/>
  <c r="E36" i="46"/>
  <c r="F36" i="46" a="1"/>
  <c r="F36" i="46"/>
  <c r="G36" i="46" a="1"/>
  <c r="H36" i="46" a="1"/>
  <c r="I36" i="46" a="1"/>
  <c r="J36" i="46" a="1"/>
  <c r="K36" i="46" a="1"/>
  <c r="L36" i="46" a="1"/>
  <c r="M36" i="46" a="1"/>
  <c r="N36" i="46" a="1"/>
  <c r="O36" i="46" a="1"/>
  <c r="P36" i="46" a="1"/>
  <c r="Q36" i="46" a="1"/>
  <c r="R36" i="46" a="1"/>
  <c r="S36" i="46" a="1"/>
  <c r="T36" i="46" a="1"/>
  <c r="U36" i="46" a="1"/>
  <c r="V36" i="46" a="1"/>
  <c r="W36" i="46" a="1"/>
  <c r="X36" i="46" a="1"/>
  <c r="Y36" i="46" a="1"/>
  <c r="Z36" i="46" a="1"/>
  <c r="AA36" i="46" a="1"/>
  <c r="AB36" i="46" a="1"/>
  <c r="AC36" i="46" a="1"/>
  <c r="AD36" i="46" a="1"/>
  <c r="AE36" i="46" a="1"/>
  <c r="AF36" i="46" a="1"/>
  <c r="AG36" i="46" a="1"/>
  <c r="AH36" i="46" a="1"/>
  <c r="AI36" i="46" a="1"/>
  <c r="AJ36" i="46" a="1"/>
  <c r="AK36" i="46" a="1"/>
  <c r="AL36" i="46" a="1"/>
  <c r="AM36" i="46" a="1"/>
  <c r="AN36" i="46" a="1"/>
  <c r="AO36" i="46" a="1"/>
  <c r="AP36" i="46" a="1"/>
  <c r="AQ36" i="46" a="1"/>
  <c r="AR36" i="46" a="1"/>
  <c r="AS36" i="46" a="1"/>
  <c r="AT36" i="46" a="1"/>
  <c r="AU36" i="46" a="1"/>
  <c r="AV36" i="46" a="1"/>
  <c r="AW36" i="46" a="1"/>
  <c r="AX36" i="46" a="1"/>
  <c r="AY36" i="46" a="1"/>
  <c r="AZ36" i="46" a="1"/>
  <c r="BA36" i="46" a="1"/>
  <c r="BB36" i="46" a="1"/>
  <c r="BC36" i="46" a="1"/>
  <c r="BD36" i="46" a="1"/>
  <c r="BE36" i="46" a="1"/>
  <c r="BF36" i="46" a="1"/>
  <c r="BG36" i="46" a="1"/>
  <c r="BH36" i="46" a="1"/>
  <c r="BI36" i="46" a="1"/>
  <c r="BJ36" i="46" a="1"/>
  <c r="BK36" i="46" a="1"/>
  <c r="BL36" i="46" a="1"/>
  <c r="BM36" i="46" a="1"/>
  <c r="BN36" i="46" a="1"/>
  <c r="BO36" i="46" a="1"/>
  <c r="BP36" i="46" a="1"/>
  <c r="G36" i="46"/>
  <c r="H36" i="46"/>
  <c r="I36" i="46"/>
  <c r="J36" i="46"/>
  <c r="K36" i="46"/>
  <c r="L36" i="46"/>
  <c r="M36" i="46"/>
  <c r="N36" i="46"/>
  <c r="O36" i="46"/>
  <c r="P36" i="46"/>
  <c r="Q36" i="46"/>
  <c r="R36" i="46"/>
  <c r="S36" i="46"/>
  <c r="T36" i="46"/>
  <c r="U36" i="46"/>
  <c r="V36" i="46"/>
  <c r="W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AW36" i="46"/>
  <c r="AX36" i="46"/>
  <c r="AY36" i="46"/>
  <c r="AZ36" i="46"/>
  <c r="BA36" i="46"/>
  <c r="BB36" i="46"/>
  <c r="BC36" i="46"/>
  <c r="BD36" i="46"/>
  <c r="BE36" i="46"/>
  <c r="BF36" i="46"/>
  <c r="BG36" i="46"/>
  <c r="BH36" i="46"/>
  <c r="BI36" i="46"/>
  <c r="BJ36" i="46"/>
  <c r="BK36" i="46"/>
  <c r="BL36" i="46"/>
  <c r="BM36" i="46"/>
  <c r="BN36" i="46"/>
  <c r="BO36" i="46"/>
  <c r="BP36" i="46"/>
  <c r="AA23" i="46"/>
  <c r="Z24" i="46"/>
  <c r="E37" i="46" a="1"/>
  <c r="E37" i="46"/>
  <c r="F37" i="46" a="1"/>
  <c r="F37" i="46"/>
  <c r="G37" i="46" a="1"/>
  <c r="H37" i="46" a="1"/>
  <c r="I37" i="46" a="1"/>
  <c r="J37" i="46" a="1"/>
  <c r="K37" i="46" a="1"/>
  <c r="L37" i="46" a="1"/>
  <c r="M37" i="46" a="1"/>
  <c r="N37" i="46" a="1"/>
  <c r="O37" i="46" a="1"/>
  <c r="P37" i="46" a="1"/>
  <c r="Q37" i="46" a="1"/>
  <c r="R37" i="46" a="1"/>
  <c r="S37" i="46" a="1"/>
  <c r="T37" i="46" a="1"/>
  <c r="U37" i="46" a="1"/>
  <c r="V37" i="46" a="1"/>
  <c r="W37" i="46" a="1"/>
  <c r="X37" i="46" a="1"/>
  <c r="Y37" i="46" a="1"/>
  <c r="Z37" i="46" a="1"/>
  <c r="AA37" i="46" a="1"/>
  <c r="AB37" i="46" a="1"/>
  <c r="AC37" i="46" a="1"/>
  <c r="AD37" i="46" a="1"/>
  <c r="AE37" i="46" a="1"/>
  <c r="AF37" i="46" a="1"/>
  <c r="AG37" i="46" a="1"/>
  <c r="AH37" i="46" a="1"/>
  <c r="AI37" i="46" a="1"/>
  <c r="AJ37" i="46" a="1"/>
  <c r="AK37" i="46" a="1"/>
  <c r="AL37" i="46" a="1"/>
  <c r="AM37" i="46" a="1"/>
  <c r="AN37" i="46" a="1"/>
  <c r="AO37" i="46" a="1"/>
  <c r="AP37" i="46" a="1"/>
  <c r="AQ37" i="46" a="1"/>
  <c r="AR37" i="46" a="1"/>
  <c r="AS37" i="46" a="1"/>
  <c r="AT37" i="46" a="1"/>
  <c r="AU37" i="46" a="1"/>
  <c r="AV37" i="46" a="1"/>
  <c r="AW37" i="46" a="1"/>
  <c r="AX37" i="46" a="1"/>
  <c r="AY37" i="46" a="1"/>
  <c r="AZ37" i="46" a="1"/>
  <c r="BA37" i="46" a="1"/>
  <c r="BB37" i="46" a="1"/>
  <c r="BC37" i="46" a="1"/>
  <c r="BD37" i="46" a="1"/>
  <c r="BE37" i="46" a="1"/>
  <c r="BF37" i="46" a="1"/>
  <c r="BG37" i="46" a="1"/>
  <c r="BH37" i="46" a="1"/>
  <c r="BI37" i="46" a="1"/>
  <c r="BJ37" i="46" a="1"/>
  <c r="BK37" i="46" a="1"/>
  <c r="BL37" i="46" a="1"/>
  <c r="BM37" i="46" a="1"/>
  <c r="BN37" i="46" a="1"/>
  <c r="BO37" i="46" a="1"/>
  <c r="BP37" i="46" a="1"/>
  <c r="G37" i="46"/>
  <c r="H37" i="46"/>
  <c r="I37" i="46"/>
  <c r="J37" i="46"/>
  <c r="K37" i="46"/>
  <c r="L37" i="46"/>
  <c r="M37" i="46"/>
  <c r="N37" i="46"/>
  <c r="O37" i="46"/>
  <c r="P37" i="46"/>
  <c r="Q37" i="46"/>
  <c r="R37" i="46"/>
  <c r="S37" i="46"/>
  <c r="T37" i="46"/>
  <c r="U37" i="46"/>
  <c r="V37" i="46"/>
  <c r="W37" i="46"/>
  <c r="X37" i="46"/>
  <c r="Y37" i="46"/>
  <c r="Z37" i="46"/>
  <c r="AA37" i="46"/>
  <c r="AB37" i="46"/>
  <c r="AC37" i="46"/>
  <c r="AD37" i="46"/>
  <c r="AE37" i="46"/>
  <c r="AF37" i="46"/>
  <c r="AG37" i="46"/>
  <c r="AH37" i="46"/>
  <c r="AI37" i="46"/>
  <c r="AJ37" i="46"/>
  <c r="AK37" i="46"/>
  <c r="AL37" i="46"/>
  <c r="AM37" i="46"/>
  <c r="AN37" i="46"/>
  <c r="AO37" i="46"/>
  <c r="AP37" i="46"/>
  <c r="AQ37" i="46"/>
  <c r="AR37" i="46"/>
  <c r="AS37" i="46"/>
  <c r="AT37" i="46"/>
  <c r="AU37" i="46"/>
  <c r="AV37" i="46"/>
  <c r="AW37" i="46"/>
  <c r="AX37" i="46"/>
  <c r="AY37" i="46"/>
  <c r="AZ37" i="46"/>
  <c r="BA37" i="46"/>
  <c r="BB37" i="46"/>
  <c r="BC37" i="46"/>
  <c r="BD37" i="46"/>
  <c r="BE37" i="46"/>
  <c r="BF37" i="46"/>
  <c r="BG37" i="46"/>
  <c r="BH37" i="46"/>
  <c r="BI37" i="46"/>
  <c r="BJ37" i="46"/>
  <c r="BK37" i="46"/>
  <c r="BL37" i="46"/>
  <c r="BM37" i="46"/>
  <c r="BN37" i="46"/>
  <c r="BO37" i="46"/>
  <c r="BP37" i="46"/>
  <c r="AA24" i="46"/>
  <c r="Z25" i="46"/>
  <c r="E38" i="46" a="1"/>
  <c r="E38" i="46"/>
  <c r="F38" i="46" a="1"/>
  <c r="F38" i="46"/>
  <c r="G38" i="46" a="1"/>
  <c r="H38" i="46" a="1"/>
  <c r="I38" i="46" a="1"/>
  <c r="J38" i="46" a="1"/>
  <c r="K38" i="46" a="1"/>
  <c r="L38" i="46" a="1"/>
  <c r="M38" i="46" a="1"/>
  <c r="N38" i="46" a="1"/>
  <c r="O38" i="46" a="1"/>
  <c r="P38" i="46" a="1"/>
  <c r="Q38" i="46" a="1"/>
  <c r="R38" i="46" a="1"/>
  <c r="S38" i="46" a="1"/>
  <c r="T38" i="46" a="1"/>
  <c r="U38" i="46" a="1"/>
  <c r="V38" i="46" a="1"/>
  <c r="W38" i="46" a="1"/>
  <c r="X38" i="46" a="1"/>
  <c r="Y38" i="46" a="1"/>
  <c r="Z38" i="46" a="1"/>
  <c r="AA38" i="46" a="1"/>
  <c r="AB38" i="46" a="1"/>
  <c r="AC38" i="46" a="1"/>
  <c r="AD38" i="46" a="1"/>
  <c r="AE38" i="46" a="1"/>
  <c r="AF38" i="46" a="1"/>
  <c r="AG38" i="46" a="1"/>
  <c r="AH38" i="46" a="1"/>
  <c r="AI38" i="46" a="1"/>
  <c r="AJ38" i="46" a="1"/>
  <c r="AK38" i="46" a="1"/>
  <c r="AL38" i="46" a="1"/>
  <c r="AM38" i="46" a="1"/>
  <c r="AN38" i="46" a="1"/>
  <c r="AO38" i="46" a="1"/>
  <c r="AP38" i="46" a="1"/>
  <c r="AQ38" i="46" a="1"/>
  <c r="AR38" i="46" a="1"/>
  <c r="AS38" i="46" a="1"/>
  <c r="AT38" i="46" a="1"/>
  <c r="AU38" i="46" a="1"/>
  <c r="AV38" i="46" a="1"/>
  <c r="AW38" i="46" a="1"/>
  <c r="AX38" i="46" a="1"/>
  <c r="AY38" i="46" a="1"/>
  <c r="AZ38" i="46" a="1"/>
  <c r="BA38" i="46" a="1"/>
  <c r="BB38" i="46" a="1"/>
  <c r="BC38" i="46" a="1"/>
  <c r="BD38" i="46" a="1"/>
  <c r="BE38" i="46" a="1"/>
  <c r="BF38" i="46" a="1"/>
  <c r="BG38" i="46" a="1"/>
  <c r="BH38" i="46" a="1"/>
  <c r="BI38" i="46" a="1"/>
  <c r="BJ38" i="46" a="1"/>
  <c r="BK38" i="46" a="1"/>
  <c r="BL38" i="46" a="1"/>
  <c r="BM38" i="46" a="1"/>
  <c r="BN38" i="46" a="1"/>
  <c r="BO38" i="46" a="1"/>
  <c r="BP38" i="46" a="1"/>
  <c r="G38" i="46"/>
  <c r="H38" i="46"/>
  <c r="I38" i="46"/>
  <c r="J38" i="46"/>
  <c r="K38" i="46"/>
  <c r="L38" i="46"/>
  <c r="M38" i="46"/>
  <c r="N38" i="46"/>
  <c r="O38" i="46"/>
  <c r="P38" i="46"/>
  <c r="Q38" i="46"/>
  <c r="R38" i="46"/>
  <c r="S38" i="46"/>
  <c r="T38" i="46"/>
  <c r="U38" i="46"/>
  <c r="V38" i="46"/>
  <c r="W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AW38" i="46"/>
  <c r="AX38" i="46"/>
  <c r="AY38" i="46"/>
  <c r="AZ38" i="46"/>
  <c r="BA38" i="46"/>
  <c r="BB38" i="46"/>
  <c r="BC38" i="46"/>
  <c r="BD38" i="46"/>
  <c r="BE38" i="46"/>
  <c r="BF38" i="46"/>
  <c r="BG38" i="46"/>
  <c r="BH38" i="46"/>
  <c r="BI38" i="46"/>
  <c r="BJ38" i="46"/>
  <c r="BK38" i="46"/>
  <c r="BL38" i="46"/>
  <c r="BM38" i="46"/>
  <c r="BN38" i="46"/>
  <c r="BO38" i="46"/>
  <c r="BP38" i="46"/>
  <c r="AA25" i="46"/>
  <c r="Z20" i="47"/>
  <c r="E33" i="47" a="1"/>
  <c r="E33" i="47"/>
  <c r="F33" i="47" a="1"/>
  <c r="F33" i="47"/>
  <c r="G33" i="47" a="1"/>
  <c r="H33" i="47" a="1"/>
  <c r="I33" i="47" a="1"/>
  <c r="J33" i="47" a="1"/>
  <c r="K33" i="47" a="1"/>
  <c r="L33" i="47" a="1"/>
  <c r="M33" i="47" a="1"/>
  <c r="N33" i="47" a="1"/>
  <c r="O33" i="47" a="1"/>
  <c r="P33" i="47" a="1"/>
  <c r="Q33" i="47" a="1"/>
  <c r="R33" i="47" a="1"/>
  <c r="S33" i="47" a="1"/>
  <c r="T33" i="47" a="1"/>
  <c r="U33" i="47" a="1"/>
  <c r="V33" i="47" a="1"/>
  <c r="W33" i="47" a="1"/>
  <c r="X33" i="47" a="1"/>
  <c r="Y33" i="47" a="1"/>
  <c r="Z33" i="47" a="1"/>
  <c r="AA33" i="47" a="1"/>
  <c r="AB33" i="47" a="1"/>
  <c r="AC33" i="47" a="1"/>
  <c r="AD33" i="47" a="1"/>
  <c r="AE33" i="47" a="1"/>
  <c r="AF33" i="47" a="1"/>
  <c r="AG33" i="47" a="1"/>
  <c r="AH33" i="47" a="1"/>
  <c r="AI33" i="47" a="1"/>
  <c r="AJ33" i="47" a="1"/>
  <c r="AK33" i="47" a="1"/>
  <c r="AL33" i="47" a="1"/>
  <c r="AM33" i="47" a="1"/>
  <c r="AN33" i="47" a="1"/>
  <c r="AO33" i="47" a="1"/>
  <c r="AP33" i="47" a="1"/>
  <c r="AQ33" i="47" a="1"/>
  <c r="AR33" i="47" a="1"/>
  <c r="AS33" i="47" a="1"/>
  <c r="AT33" i="47" a="1"/>
  <c r="AU33" i="47" a="1"/>
  <c r="AV33" i="47" a="1"/>
  <c r="AW33" i="47" a="1"/>
  <c r="AX33" i="47" a="1"/>
  <c r="AY33" i="47" a="1"/>
  <c r="AZ33" i="47" a="1"/>
  <c r="BA33" i="47" a="1"/>
  <c r="BB33" i="47" a="1"/>
  <c r="BC33" i="47" a="1"/>
  <c r="BD33" i="47" a="1"/>
  <c r="BE33" i="47" a="1"/>
  <c r="BF33" i="47" a="1"/>
  <c r="BG33" i="47" a="1"/>
  <c r="BH33" i="47" a="1"/>
  <c r="BI33" i="47" a="1"/>
  <c r="BJ33" i="47" a="1"/>
  <c r="BK33" i="47" a="1"/>
  <c r="BL33" i="47" a="1"/>
  <c r="BM33" i="47" a="1"/>
  <c r="BN33" i="47" a="1"/>
  <c r="BO33" i="47" a="1"/>
  <c r="BP33" i="47" a="1"/>
  <c r="G33" i="47"/>
  <c r="H33" i="47"/>
  <c r="I33" i="47"/>
  <c r="J33" i="47"/>
  <c r="K33" i="47"/>
  <c r="L33" i="47"/>
  <c r="M33" i="47"/>
  <c r="N33" i="47"/>
  <c r="O33" i="47"/>
  <c r="P33" i="47"/>
  <c r="Q33" i="47"/>
  <c r="R33" i="47"/>
  <c r="S33" i="47"/>
  <c r="T33" i="47"/>
  <c r="U33" i="47"/>
  <c r="V33" i="47"/>
  <c r="W33" i="47"/>
  <c r="X33" i="47"/>
  <c r="Y33" i="47"/>
  <c r="Z33" i="47"/>
  <c r="AA33" i="47"/>
  <c r="AB33" i="47"/>
  <c r="AC33" i="47"/>
  <c r="AD33" i="47"/>
  <c r="AE33" i="47"/>
  <c r="AF33" i="47"/>
  <c r="AG33" i="47"/>
  <c r="AH33" i="47"/>
  <c r="AI33" i="47"/>
  <c r="AJ33" i="47"/>
  <c r="AK33" i="47"/>
  <c r="AL33" i="47"/>
  <c r="AM33" i="47"/>
  <c r="AN33" i="47"/>
  <c r="AO33" i="47"/>
  <c r="AP33" i="47"/>
  <c r="AQ33" i="47"/>
  <c r="AR33" i="47"/>
  <c r="AS33" i="47"/>
  <c r="AT33" i="47"/>
  <c r="AU33" i="47"/>
  <c r="AV33" i="47"/>
  <c r="AW33" i="47"/>
  <c r="AX33" i="47"/>
  <c r="AY33" i="47"/>
  <c r="AZ33" i="47"/>
  <c r="BA33" i="47"/>
  <c r="BB33" i="47"/>
  <c r="BC33" i="47"/>
  <c r="BD33" i="47"/>
  <c r="BE33" i="47"/>
  <c r="BF33" i="47"/>
  <c r="BG33" i="47"/>
  <c r="BH33" i="47"/>
  <c r="BI33" i="47"/>
  <c r="BJ33" i="47"/>
  <c r="BK33" i="47"/>
  <c r="BL33" i="47"/>
  <c r="BM33" i="47"/>
  <c r="BN33" i="47"/>
  <c r="BO33" i="47"/>
  <c r="BP33" i="47"/>
  <c r="AA20" i="47"/>
  <c r="Z21" i="47"/>
  <c r="E34" i="47" a="1"/>
  <c r="E34" i="47"/>
  <c r="F34" i="47" a="1"/>
  <c r="F34" i="47"/>
  <c r="G34" i="47" a="1"/>
  <c r="H34" i="47" a="1"/>
  <c r="I34" i="47" a="1"/>
  <c r="J34" i="47" a="1"/>
  <c r="K34" i="47" a="1"/>
  <c r="L34" i="47" a="1"/>
  <c r="M34" i="47" a="1"/>
  <c r="N34" i="47" a="1"/>
  <c r="O34" i="47" a="1"/>
  <c r="P34" i="47" a="1"/>
  <c r="Q34" i="47" a="1"/>
  <c r="R34" i="47" a="1"/>
  <c r="S34" i="47" a="1"/>
  <c r="T34" i="47" a="1"/>
  <c r="U34" i="47" a="1"/>
  <c r="V34" i="47" a="1"/>
  <c r="W34" i="47" a="1"/>
  <c r="X34" i="47" a="1"/>
  <c r="Y34" i="47" a="1"/>
  <c r="Z34" i="47" a="1"/>
  <c r="AA34" i="47" a="1"/>
  <c r="AB34" i="47" a="1"/>
  <c r="AC34" i="47" a="1"/>
  <c r="AD34" i="47" a="1"/>
  <c r="AE34" i="47" a="1"/>
  <c r="AF34" i="47" a="1"/>
  <c r="AG34" i="47" a="1"/>
  <c r="AH34" i="47" a="1"/>
  <c r="AI34" i="47" a="1"/>
  <c r="AJ34" i="47" a="1"/>
  <c r="AK34" i="47" a="1"/>
  <c r="AL34" i="47" a="1"/>
  <c r="AM34" i="47" a="1"/>
  <c r="AN34" i="47" a="1"/>
  <c r="AO34" i="47" a="1"/>
  <c r="AP34" i="47" a="1"/>
  <c r="AQ34" i="47" a="1"/>
  <c r="AR34" i="47" a="1"/>
  <c r="AS34" i="47" a="1"/>
  <c r="AT34" i="47" a="1"/>
  <c r="AU34" i="47" a="1"/>
  <c r="AV34" i="47" a="1"/>
  <c r="AW34" i="47" a="1"/>
  <c r="AX34" i="47" a="1"/>
  <c r="AY34" i="47" a="1"/>
  <c r="AZ34" i="47" a="1"/>
  <c r="BA34" i="47" a="1"/>
  <c r="BB34" i="47" a="1"/>
  <c r="BC34" i="47" a="1"/>
  <c r="BD34" i="47" a="1"/>
  <c r="BE34" i="47" a="1"/>
  <c r="BF34" i="47" a="1"/>
  <c r="BG34" i="47" a="1"/>
  <c r="BH34" i="47" a="1"/>
  <c r="BI34" i="47" a="1"/>
  <c r="BJ34" i="47" a="1"/>
  <c r="BK34" i="47" a="1"/>
  <c r="BL34" i="47" a="1"/>
  <c r="BM34" i="47" a="1"/>
  <c r="BN34" i="47" a="1"/>
  <c r="BO34" i="47" a="1"/>
  <c r="BP34" i="47" a="1"/>
  <c r="G34" i="47"/>
  <c r="H34" i="47"/>
  <c r="I34" i="47"/>
  <c r="J34" i="47"/>
  <c r="K34" i="47"/>
  <c r="L34" i="47"/>
  <c r="M34" i="47"/>
  <c r="N34" i="47"/>
  <c r="O34" i="47"/>
  <c r="P34" i="47"/>
  <c r="Q34" i="47"/>
  <c r="R34" i="47"/>
  <c r="S34" i="47"/>
  <c r="T34" i="47"/>
  <c r="U34" i="47"/>
  <c r="V34" i="47"/>
  <c r="W34" i="47"/>
  <c r="X34" i="47"/>
  <c r="Y34" i="47"/>
  <c r="Z34" i="47"/>
  <c r="AA34" i="47"/>
  <c r="AB34" i="47"/>
  <c r="AC34" i="47"/>
  <c r="AD34" i="47"/>
  <c r="AE34" i="47"/>
  <c r="AF34" i="47"/>
  <c r="AG34" i="47"/>
  <c r="AH34" i="47"/>
  <c r="AI34" i="47"/>
  <c r="AJ34" i="47"/>
  <c r="AK34" i="47"/>
  <c r="AL34" i="47"/>
  <c r="AM34" i="47"/>
  <c r="AN34" i="47"/>
  <c r="AO34" i="47"/>
  <c r="AP34" i="47"/>
  <c r="AQ34" i="47"/>
  <c r="AR34" i="47"/>
  <c r="AS34" i="47"/>
  <c r="AT34" i="47"/>
  <c r="AU34" i="47"/>
  <c r="AV34" i="47"/>
  <c r="AW34" i="47"/>
  <c r="AX34" i="47"/>
  <c r="AY34" i="47"/>
  <c r="AZ34" i="47"/>
  <c r="BA34" i="47"/>
  <c r="BB34" i="47"/>
  <c r="BC34" i="47"/>
  <c r="BD34" i="47"/>
  <c r="BE34" i="47"/>
  <c r="BF34" i="47"/>
  <c r="BG34" i="47"/>
  <c r="BH34" i="47"/>
  <c r="BI34" i="47"/>
  <c r="BJ34" i="47"/>
  <c r="BK34" i="47"/>
  <c r="BL34" i="47"/>
  <c r="BM34" i="47"/>
  <c r="BN34" i="47"/>
  <c r="BO34" i="47"/>
  <c r="BP34" i="47"/>
  <c r="AA21" i="47"/>
  <c r="Z22" i="47"/>
  <c r="E35" i="47" a="1"/>
  <c r="E35" i="47"/>
  <c r="F35" i="47" a="1"/>
  <c r="F35" i="47"/>
  <c r="G35" i="47" a="1"/>
  <c r="H35" i="47" a="1"/>
  <c r="I35" i="47" a="1"/>
  <c r="J35" i="47" a="1"/>
  <c r="K35" i="47" a="1"/>
  <c r="L35" i="47" a="1"/>
  <c r="M35" i="47" a="1"/>
  <c r="N35" i="47" a="1"/>
  <c r="O35" i="47" a="1"/>
  <c r="P35" i="47" a="1"/>
  <c r="Q35" i="47" a="1"/>
  <c r="R35" i="47" a="1"/>
  <c r="S35" i="47" a="1"/>
  <c r="T35" i="47" a="1"/>
  <c r="U35" i="47" a="1"/>
  <c r="V35" i="47" a="1"/>
  <c r="W35" i="47" a="1"/>
  <c r="X35" i="47" a="1"/>
  <c r="Y35" i="47" a="1"/>
  <c r="Z35" i="47" a="1"/>
  <c r="AA35" i="47" a="1"/>
  <c r="AB35" i="47" a="1"/>
  <c r="AC35" i="47" a="1"/>
  <c r="AD35" i="47" a="1"/>
  <c r="AE35" i="47" a="1"/>
  <c r="AF35" i="47" a="1"/>
  <c r="AG35" i="47" a="1"/>
  <c r="AH35" i="47" a="1"/>
  <c r="AI35" i="47" a="1"/>
  <c r="AJ35" i="47" a="1"/>
  <c r="AK35" i="47" a="1"/>
  <c r="AL35" i="47" a="1"/>
  <c r="AM35" i="47" a="1"/>
  <c r="AN35" i="47" a="1"/>
  <c r="AO35" i="47" a="1"/>
  <c r="AP35" i="47" a="1"/>
  <c r="AQ35" i="47" a="1"/>
  <c r="AR35" i="47" a="1"/>
  <c r="AS35" i="47" a="1"/>
  <c r="AT35" i="47" a="1"/>
  <c r="AU35" i="47" a="1"/>
  <c r="AV35" i="47" a="1"/>
  <c r="AW35" i="47" a="1"/>
  <c r="AX35" i="47" a="1"/>
  <c r="AY35" i="47" a="1"/>
  <c r="AZ35" i="47" a="1"/>
  <c r="BA35" i="47" a="1"/>
  <c r="BB35" i="47" a="1"/>
  <c r="BC35" i="47" a="1"/>
  <c r="BD35" i="47" a="1"/>
  <c r="BE35" i="47" a="1"/>
  <c r="BF35" i="47" a="1"/>
  <c r="BG35" i="47" a="1"/>
  <c r="BH35" i="47" a="1"/>
  <c r="BI35" i="47" a="1"/>
  <c r="BJ35" i="47" a="1"/>
  <c r="BK35" i="47" a="1"/>
  <c r="BL35" i="47" a="1"/>
  <c r="BM35" i="47" a="1"/>
  <c r="BN35" i="47" a="1"/>
  <c r="BO35" i="47" a="1"/>
  <c r="BP35" i="47" a="1"/>
  <c r="G35" i="47"/>
  <c r="H35" i="47"/>
  <c r="I35" i="47"/>
  <c r="J35" i="47"/>
  <c r="K35" i="47"/>
  <c r="L35" i="47"/>
  <c r="M35" i="47"/>
  <c r="N35" i="47"/>
  <c r="O35" i="47"/>
  <c r="P35" i="47"/>
  <c r="Q35" i="47"/>
  <c r="R35" i="47"/>
  <c r="S35" i="47"/>
  <c r="T35" i="47"/>
  <c r="U35" i="47"/>
  <c r="V35" i="47"/>
  <c r="W35" i="47"/>
  <c r="X35" i="47"/>
  <c r="Y35" i="47"/>
  <c r="Z35" i="47"/>
  <c r="AA35" i="47"/>
  <c r="AB35" i="47"/>
  <c r="AC35" i="47"/>
  <c r="AD35" i="47"/>
  <c r="AE35" i="47"/>
  <c r="AF35" i="47"/>
  <c r="AG35" i="47"/>
  <c r="AH35" i="47"/>
  <c r="AI35" i="47"/>
  <c r="AJ35" i="47"/>
  <c r="AK35" i="47"/>
  <c r="AL35" i="47"/>
  <c r="AM35" i="47"/>
  <c r="AN35" i="47"/>
  <c r="AO35" i="47"/>
  <c r="AP35" i="47"/>
  <c r="AQ35" i="47"/>
  <c r="AR35" i="47"/>
  <c r="AS35" i="47"/>
  <c r="AT35" i="47"/>
  <c r="AU35" i="47"/>
  <c r="AV35" i="47"/>
  <c r="AW35" i="47"/>
  <c r="AX35" i="47"/>
  <c r="AY35" i="47"/>
  <c r="AZ35" i="47"/>
  <c r="BA35" i="47"/>
  <c r="BB35" i="47"/>
  <c r="BC35" i="47"/>
  <c r="BD35" i="47"/>
  <c r="BE35" i="47"/>
  <c r="BF35" i="47"/>
  <c r="BG35" i="47"/>
  <c r="BH35" i="47"/>
  <c r="BI35" i="47"/>
  <c r="BJ35" i="47"/>
  <c r="BK35" i="47"/>
  <c r="BL35" i="47"/>
  <c r="BM35" i="47"/>
  <c r="BN35" i="47"/>
  <c r="BO35" i="47"/>
  <c r="BP35" i="47"/>
  <c r="AA22" i="47"/>
  <c r="Z23" i="47"/>
  <c r="E36" i="47" a="1"/>
  <c r="E36" i="47"/>
  <c r="F36" i="47" a="1"/>
  <c r="F36" i="47"/>
  <c r="G36" i="47" a="1"/>
  <c r="H36" i="47" a="1"/>
  <c r="I36" i="47" a="1"/>
  <c r="J36" i="47" a="1"/>
  <c r="K36" i="47" a="1"/>
  <c r="L36" i="47" a="1"/>
  <c r="M36" i="47" a="1"/>
  <c r="N36" i="47" a="1"/>
  <c r="O36" i="47" a="1"/>
  <c r="P36" i="47" a="1"/>
  <c r="Q36" i="47" a="1"/>
  <c r="R36" i="47" a="1"/>
  <c r="S36" i="47" a="1"/>
  <c r="T36" i="47" a="1"/>
  <c r="U36" i="47" a="1"/>
  <c r="V36" i="47" a="1"/>
  <c r="W36" i="47" a="1"/>
  <c r="X36" i="47" a="1"/>
  <c r="Y36" i="47" a="1"/>
  <c r="Z36" i="47" a="1"/>
  <c r="AA36" i="47" a="1"/>
  <c r="AB36" i="47" a="1"/>
  <c r="AC36" i="47" a="1"/>
  <c r="AD36" i="47" a="1"/>
  <c r="AE36" i="47" a="1"/>
  <c r="AF36" i="47" a="1"/>
  <c r="AG36" i="47" a="1"/>
  <c r="AH36" i="47" a="1"/>
  <c r="AI36" i="47" a="1"/>
  <c r="AJ36" i="47" a="1"/>
  <c r="AK36" i="47" a="1"/>
  <c r="AL36" i="47" a="1"/>
  <c r="AM36" i="47" a="1"/>
  <c r="AN36" i="47" a="1"/>
  <c r="AO36" i="47" a="1"/>
  <c r="AP36" i="47" a="1"/>
  <c r="AQ36" i="47" a="1"/>
  <c r="AR36" i="47" a="1"/>
  <c r="AS36" i="47" a="1"/>
  <c r="AT36" i="47" a="1"/>
  <c r="AU36" i="47" a="1"/>
  <c r="AV36" i="47" a="1"/>
  <c r="AW36" i="47" a="1"/>
  <c r="AX36" i="47" a="1"/>
  <c r="AY36" i="47" a="1"/>
  <c r="AZ36" i="47" a="1"/>
  <c r="BA36" i="47" a="1"/>
  <c r="BB36" i="47" a="1"/>
  <c r="BC36" i="47" a="1"/>
  <c r="BD36" i="47" a="1"/>
  <c r="BE36" i="47" a="1"/>
  <c r="BF36" i="47" a="1"/>
  <c r="BG36" i="47" a="1"/>
  <c r="BH36" i="47" a="1"/>
  <c r="BI36" i="47" a="1"/>
  <c r="BJ36" i="47" a="1"/>
  <c r="BK36" i="47" a="1"/>
  <c r="BL36" i="47" a="1"/>
  <c r="BM36" i="47" a="1"/>
  <c r="BN36" i="47" a="1"/>
  <c r="BO36" i="47" a="1"/>
  <c r="BP36" i="47" a="1"/>
  <c r="G36" i="47"/>
  <c r="H36" i="47"/>
  <c r="I36" i="47"/>
  <c r="J36" i="47"/>
  <c r="K36" i="47"/>
  <c r="L36" i="47"/>
  <c r="M36" i="47"/>
  <c r="N36" i="47"/>
  <c r="O36" i="47"/>
  <c r="P36" i="47"/>
  <c r="Q36" i="47"/>
  <c r="R36" i="47"/>
  <c r="S36" i="47"/>
  <c r="T36" i="47"/>
  <c r="U36" i="47"/>
  <c r="V36" i="47"/>
  <c r="W36" i="47"/>
  <c r="X36" i="47"/>
  <c r="Y36" i="47"/>
  <c r="Z36" i="47"/>
  <c r="AA36" i="47"/>
  <c r="AB36" i="47"/>
  <c r="AC36" i="47"/>
  <c r="AD36" i="47"/>
  <c r="AE36" i="47"/>
  <c r="AF36" i="47"/>
  <c r="AG36" i="47"/>
  <c r="AH36" i="47"/>
  <c r="AI36" i="47"/>
  <c r="AJ36" i="47"/>
  <c r="AK36" i="47"/>
  <c r="AL36" i="47"/>
  <c r="AM36" i="47"/>
  <c r="AN36" i="47"/>
  <c r="AO36" i="47"/>
  <c r="AP36" i="47"/>
  <c r="AQ36" i="47"/>
  <c r="AR36" i="47"/>
  <c r="AS36" i="47"/>
  <c r="AT36" i="47"/>
  <c r="AU36" i="47"/>
  <c r="AV36" i="47"/>
  <c r="AW36" i="47"/>
  <c r="AX36" i="47"/>
  <c r="AY36" i="47"/>
  <c r="AZ36" i="47"/>
  <c r="BA36" i="47"/>
  <c r="BB36" i="47"/>
  <c r="BC36" i="47"/>
  <c r="BD36" i="47"/>
  <c r="BE36" i="47"/>
  <c r="BF36" i="47"/>
  <c r="BG36" i="47"/>
  <c r="BH36" i="47"/>
  <c r="BI36" i="47"/>
  <c r="BJ36" i="47"/>
  <c r="BK36" i="47"/>
  <c r="BL36" i="47"/>
  <c r="BM36" i="47"/>
  <c r="BN36" i="47"/>
  <c r="BO36" i="47"/>
  <c r="BP36" i="47"/>
  <c r="AA23" i="47"/>
  <c r="Z24" i="47"/>
  <c r="E37" i="47" a="1"/>
  <c r="E37" i="47"/>
  <c r="F37" i="47" a="1"/>
  <c r="F37" i="47"/>
  <c r="G37" i="47" a="1"/>
  <c r="H37" i="47" a="1"/>
  <c r="I37" i="47" a="1"/>
  <c r="J37" i="47" a="1"/>
  <c r="K37" i="47" a="1"/>
  <c r="L37" i="47" a="1"/>
  <c r="M37" i="47" a="1"/>
  <c r="N37" i="47" a="1"/>
  <c r="O37" i="47" a="1"/>
  <c r="P37" i="47" a="1"/>
  <c r="Q37" i="47" a="1"/>
  <c r="R37" i="47" a="1"/>
  <c r="S37" i="47" a="1"/>
  <c r="T37" i="47" a="1"/>
  <c r="U37" i="47" a="1"/>
  <c r="V37" i="47" a="1"/>
  <c r="W37" i="47" a="1"/>
  <c r="X37" i="47" a="1"/>
  <c r="Y37" i="47" a="1"/>
  <c r="Z37" i="47" a="1"/>
  <c r="AA37" i="47" a="1"/>
  <c r="AB37" i="47" a="1"/>
  <c r="AC37" i="47" a="1"/>
  <c r="AD37" i="47" a="1"/>
  <c r="AE37" i="47" a="1"/>
  <c r="AF37" i="47" a="1"/>
  <c r="AG37" i="47" a="1"/>
  <c r="AH37" i="47" a="1"/>
  <c r="AI37" i="47" a="1"/>
  <c r="AJ37" i="47" a="1"/>
  <c r="AK37" i="47" a="1"/>
  <c r="AL37" i="47" a="1"/>
  <c r="AM37" i="47" a="1"/>
  <c r="AN37" i="47" a="1"/>
  <c r="AO37" i="47" a="1"/>
  <c r="AP37" i="47" a="1"/>
  <c r="AQ37" i="47" a="1"/>
  <c r="AR37" i="47" a="1"/>
  <c r="AS37" i="47" a="1"/>
  <c r="AT37" i="47" a="1"/>
  <c r="AU37" i="47" a="1"/>
  <c r="AV37" i="47" a="1"/>
  <c r="AW37" i="47" a="1"/>
  <c r="AX37" i="47" a="1"/>
  <c r="AY37" i="47" a="1"/>
  <c r="AZ37" i="47" a="1"/>
  <c r="BA37" i="47" a="1"/>
  <c r="BB37" i="47" a="1"/>
  <c r="BC37" i="47" a="1"/>
  <c r="BD37" i="47" a="1"/>
  <c r="BE37" i="47" a="1"/>
  <c r="BF37" i="47" a="1"/>
  <c r="BG37" i="47" a="1"/>
  <c r="BH37" i="47" a="1"/>
  <c r="BI37" i="47" a="1"/>
  <c r="BJ37" i="47" a="1"/>
  <c r="BK37" i="47" a="1"/>
  <c r="BL37" i="47" a="1"/>
  <c r="BM37" i="47" a="1"/>
  <c r="BN37" i="47" a="1"/>
  <c r="BO37" i="47" a="1"/>
  <c r="BP37" i="47" a="1"/>
  <c r="G37" i="47"/>
  <c r="H37" i="47"/>
  <c r="I37" i="47"/>
  <c r="J37" i="47"/>
  <c r="K37" i="47"/>
  <c r="L37" i="47"/>
  <c r="M37" i="47"/>
  <c r="N37" i="47"/>
  <c r="O37" i="47"/>
  <c r="P37" i="47"/>
  <c r="Q37" i="47"/>
  <c r="R37" i="47"/>
  <c r="S37" i="47"/>
  <c r="T37" i="47"/>
  <c r="U37" i="47"/>
  <c r="V37" i="47"/>
  <c r="W37" i="47"/>
  <c r="X37" i="47"/>
  <c r="Y37" i="47"/>
  <c r="Z37" i="47"/>
  <c r="AA37" i="47"/>
  <c r="AB37" i="47"/>
  <c r="AC37" i="47"/>
  <c r="AD37" i="47"/>
  <c r="AE37" i="47"/>
  <c r="AF37" i="47"/>
  <c r="AG37" i="47"/>
  <c r="AH37" i="47"/>
  <c r="AI37" i="47"/>
  <c r="AJ37" i="47"/>
  <c r="AK37" i="47"/>
  <c r="AL37" i="47"/>
  <c r="AM37" i="47"/>
  <c r="AN37" i="47"/>
  <c r="AO37" i="47"/>
  <c r="AP37" i="47"/>
  <c r="AQ37" i="47"/>
  <c r="AR37" i="47"/>
  <c r="AS37" i="47"/>
  <c r="AT37" i="47"/>
  <c r="AU37" i="47"/>
  <c r="AV37" i="47"/>
  <c r="AW37" i="47"/>
  <c r="AX37" i="47"/>
  <c r="AY37" i="47"/>
  <c r="AZ37" i="47"/>
  <c r="BA37" i="47"/>
  <c r="BB37" i="47"/>
  <c r="BC37" i="47"/>
  <c r="BD37" i="47"/>
  <c r="BE37" i="47"/>
  <c r="BF37" i="47"/>
  <c r="BG37" i="47"/>
  <c r="BH37" i="47"/>
  <c r="BI37" i="47"/>
  <c r="BJ37" i="47"/>
  <c r="BK37" i="47"/>
  <c r="BL37" i="47"/>
  <c r="BM37" i="47"/>
  <c r="BN37" i="47"/>
  <c r="BO37" i="47"/>
  <c r="BP37" i="47"/>
  <c r="AA24" i="47"/>
  <c r="Z25" i="47"/>
  <c r="E38" i="47" a="1"/>
  <c r="E38" i="47"/>
  <c r="F38" i="47" a="1"/>
  <c r="F38" i="47"/>
  <c r="G38" i="47" a="1"/>
  <c r="H38" i="47" a="1"/>
  <c r="I38" i="47" a="1"/>
  <c r="J38" i="47" a="1"/>
  <c r="K38" i="47" a="1"/>
  <c r="L38" i="47" a="1"/>
  <c r="M38" i="47" a="1"/>
  <c r="N38" i="47" a="1"/>
  <c r="O38" i="47" a="1"/>
  <c r="P38" i="47" a="1"/>
  <c r="Q38" i="47" a="1"/>
  <c r="R38" i="47" a="1"/>
  <c r="S38" i="47" a="1"/>
  <c r="T38" i="47" a="1"/>
  <c r="U38" i="47" a="1"/>
  <c r="V38" i="47" a="1"/>
  <c r="W38" i="47" a="1"/>
  <c r="X38" i="47" a="1"/>
  <c r="Y38" i="47" a="1"/>
  <c r="Z38" i="47" a="1"/>
  <c r="AA38" i="47" a="1"/>
  <c r="AB38" i="47" a="1"/>
  <c r="AC38" i="47" a="1"/>
  <c r="AD38" i="47" a="1"/>
  <c r="AE38" i="47" a="1"/>
  <c r="AF38" i="47" a="1"/>
  <c r="AG38" i="47" a="1"/>
  <c r="AH38" i="47" a="1"/>
  <c r="AI38" i="47" a="1"/>
  <c r="AJ38" i="47" a="1"/>
  <c r="AK38" i="47" a="1"/>
  <c r="AL38" i="47" a="1"/>
  <c r="AM38" i="47" a="1"/>
  <c r="AN38" i="47" a="1"/>
  <c r="AO38" i="47" a="1"/>
  <c r="AP38" i="47" a="1"/>
  <c r="AQ38" i="47" a="1"/>
  <c r="AR38" i="47" a="1"/>
  <c r="AS38" i="47" a="1"/>
  <c r="AT38" i="47" a="1"/>
  <c r="AU38" i="47" a="1"/>
  <c r="AV38" i="47" a="1"/>
  <c r="AW38" i="47" a="1"/>
  <c r="AX38" i="47" a="1"/>
  <c r="AY38" i="47" a="1"/>
  <c r="AZ38" i="47" a="1"/>
  <c r="BA38" i="47" a="1"/>
  <c r="BB38" i="47" a="1"/>
  <c r="BC38" i="47" a="1"/>
  <c r="BD38" i="47" a="1"/>
  <c r="BE38" i="47" a="1"/>
  <c r="BF38" i="47" a="1"/>
  <c r="BG38" i="47" a="1"/>
  <c r="BH38" i="47" a="1"/>
  <c r="BI38" i="47" a="1"/>
  <c r="BJ38" i="47" a="1"/>
  <c r="BK38" i="47" a="1"/>
  <c r="BL38" i="47" a="1"/>
  <c r="BM38" i="47" a="1"/>
  <c r="BN38" i="47" a="1"/>
  <c r="BO38" i="47" a="1"/>
  <c r="BP38" i="47" a="1"/>
  <c r="G38" i="47"/>
  <c r="H38" i="47"/>
  <c r="I38" i="47"/>
  <c r="J38" i="47"/>
  <c r="K38" i="47"/>
  <c r="L38" i="47"/>
  <c r="M38" i="47"/>
  <c r="N38" i="47"/>
  <c r="O38" i="47"/>
  <c r="P38" i="47"/>
  <c r="Q38" i="47"/>
  <c r="R38" i="47"/>
  <c r="S38" i="47"/>
  <c r="T38" i="47"/>
  <c r="U38" i="47"/>
  <c r="V38" i="47"/>
  <c r="W38" i="47"/>
  <c r="X38" i="47"/>
  <c r="Y38" i="47"/>
  <c r="Z38" i="47"/>
  <c r="AA38" i="47"/>
  <c r="AB38" i="47"/>
  <c r="AC38" i="47"/>
  <c r="AD38" i="47"/>
  <c r="AE38" i="47"/>
  <c r="AF38" i="47"/>
  <c r="AG38" i="47"/>
  <c r="AH38" i="47"/>
  <c r="AI38" i="47"/>
  <c r="AJ38" i="47"/>
  <c r="AK38" i="47"/>
  <c r="AL38" i="47"/>
  <c r="AM38" i="47"/>
  <c r="AN38" i="47"/>
  <c r="AO38" i="47"/>
  <c r="AP38" i="47"/>
  <c r="AQ38" i="47"/>
  <c r="AR38" i="47"/>
  <c r="AS38" i="47"/>
  <c r="AT38" i="47"/>
  <c r="AU38" i="47"/>
  <c r="AV38" i="47"/>
  <c r="AW38" i="47"/>
  <c r="AX38" i="47"/>
  <c r="AY38" i="47"/>
  <c r="AZ38" i="47"/>
  <c r="BA38" i="47"/>
  <c r="BB38" i="47"/>
  <c r="BC38" i="47"/>
  <c r="BD38" i="47"/>
  <c r="BE38" i="47"/>
  <c r="BF38" i="47"/>
  <c r="BG38" i="47"/>
  <c r="BH38" i="47"/>
  <c r="BI38" i="47"/>
  <c r="BJ38" i="47"/>
  <c r="BK38" i="47"/>
  <c r="BL38" i="47"/>
  <c r="BM38" i="47"/>
  <c r="BN38" i="47"/>
  <c r="BO38" i="47"/>
  <c r="BP38" i="47"/>
  <c r="AA25" i="47"/>
  <c r="E33" i="48" a="1"/>
  <c r="E33" i="48"/>
  <c r="F33" i="48" a="1"/>
  <c r="F33" i="48"/>
  <c r="G33" i="48" a="1"/>
  <c r="H33" i="48" a="1"/>
  <c r="I33" i="48" a="1"/>
  <c r="J33" i="48" a="1"/>
  <c r="K33" i="48" a="1"/>
  <c r="L33" i="48" a="1"/>
  <c r="M33" i="48" a="1"/>
  <c r="N33" i="48" a="1"/>
  <c r="O33" i="48" a="1"/>
  <c r="P33" i="48" a="1"/>
  <c r="Q33" i="48" a="1"/>
  <c r="R33" i="48" a="1"/>
  <c r="S33" i="48" a="1"/>
  <c r="T33" i="48" a="1"/>
  <c r="U33" i="48" a="1"/>
  <c r="V33" i="48" a="1"/>
  <c r="W33" i="48" a="1"/>
  <c r="X33" i="48" a="1"/>
  <c r="Y33" i="48" a="1"/>
  <c r="Z33" i="48" a="1"/>
  <c r="AA33" i="48" a="1"/>
  <c r="AB33" i="48" a="1"/>
  <c r="AC33" i="48" a="1"/>
  <c r="AD33" i="48" a="1"/>
  <c r="AE33" i="48" a="1"/>
  <c r="AF33" i="48" a="1"/>
  <c r="AG33" i="48" a="1"/>
  <c r="AH33" i="48" a="1"/>
  <c r="AI33" i="48" a="1"/>
  <c r="AJ33" i="48" a="1"/>
  <c r="AK33" i="48" a="1"/>
  <c r="AL33" i="48" a="1"/>
  <c r="AM33" i="48" a="1"/>
  <c r="AN33" i="48" a="1"/>
  <c r="AO33" i="48" a="1"/>
  <c r="AP33" i="48" a="1"/>
  <c r="AQ33" i="48" a="1"/>
  <c r="AR33" i="48" a="1"/>
  <c r="AS33" i="48" a="1"/>
  <c r="AT33" i="48" a="1"/>
  <c r="AU33" i="48" a="1"/>
  <c r="AV33" i="48" a="1"/>
  <c r="AW33" i="48" a="1"/>
  <c r="AX33" i="48" a="1"/>
  <c r="AY33" i="48" a="1"/>
  <c r="AZ33" i="48" a="1"/>
  <c r="BA33" i="48" a="1"/>
  <c r="BB33" i="48" a="1"/>
  <c r="BC33" i="48" a="1"/>
  <c r="BD33" i="48" a="1"/>
  <c r="BE33" i="48" a="1"/>
  <c r="BF33" i="48" a="1"/>
  <c r="BG33" i="48" a="1"/>
  <c r="BH33" i="48" a="1"/>
  <c r="BI33" i="48" a="1"/>
  <c r="BJ33" i="48" a="1"/>
  <c r="BK33" i="48" a="1"/>
  <c r="BL33" i="48" a="1"/>
  <c r="BM33" i="48" a="1"/>
  <c r="BN33" i="48" a="1"/>
  <c r="BO33" i="48" a="1"/>
  <c r="BP33" i="48" a="1"/>
  <c r="G33" i="48"/>
  <c r="H33" i="48"/>
  <c r="I33" i="48"/>
  <c r="J33" i="48"/>
  <c r="K33" i="48"/>
  <c r="L33" i="48"/>
  <c r="M33" i="48"/>
  <c r="N33" i="48"/>
  <c r="O33" i="48"/>
  <c r="P33" i="48"/>
  <c r="Q33" i="48"/>
  <c r="R33" i="48"/>
  <c r="S33" i="48"/>
  <c r="T33" i="48"/>
  <c r="U33" i="48"/>
  <c r="V33" i="48"/>
  <c r="W33" i="48"/>
  <c r="X33" i="48"/>
  <c r="Y33" i="48"/>
  <c r="Z33" i="48"/>
  <c r="AA33" i="48"/>
  <c r="AB33" i="48"/>
  <c r="AC33" i="48"/>
  <c r="AD33" i="48"/>
  <c r="AE33" i="48"/>
  <c r="AF33" i="48"/>
  <c r="AG33" i="48"/>
  <c r="AH33" i="48"/>
  <c r="AI33" i="48"/>
  <c r="AJ33" i="48"/>
  <c r="AK33" i="48"/>
  <c r="AL33" i="48"/>
  <c r="AM33" i="48"/>
  <c r="AN33" i="48"/>
  <c r="AO33" i="48"/>
  <c r="AP33" i="48"/>
  <c r="AQ33" i="48"/>
  <c r="AR33" i="48"/>
  <c r="AS33" i="48"/>
  <c r="AT33" i="48"/>
  <c r="AU33" i="48"/>
  <c r="AV33" i="48"/>
  <c r="AW33" i="48"/>
  <c r="AX33" i="48"/>
  <c r="AY33" i="48"/>
  <c r="AZ33" i="48"/>
  <c r="BA33" i="48"/>
  <c r="BB33" i="48"/>
  <c r="BC33" i="48"/>
  <c r="BD33" i="48"/>
  <c r="BE33" i="48"/>
  <c r="BF33" i="48"/>
  <c r="BG33" i="48"/>
  <c r="BH33" i="48"/>
  <c r="BI33" i="48"/>
  <c r="BJ33" i="48"/>
  <c r="BK33" i="48"/>
  <c r="BL33" i="48"/>
  <c r="BM33" i="48"/>
  <c r="BN33" i="48"/>
  <c r="BO33" i="48"/>
  <c r="BP33" i="48"/>
  <c r="AA20" i="48"/>
  <c r="E34" i="48" a="1"/>
  <c r="E34" i="48"/>
  <c r="F34" i="48" a="1"/>
  <c r="F34" i="48"/>
  <c r="G34" i="48" a="1"/>
  <c r="H34" i="48" a="1"/>
  <c r="I34" i="48" a="1"/>
  <c r="J34" i="48" a="1"/>
  <c r="K34" i="48" a="1"/>
  <c r="L34" i="48" a="1"/>
  <c r="M34" i="48" a="1"/>
  <c r="N34" i="48" a="1"/>
  <c r="O34" i="48" a="1"/>
  <c r="P34" i="48" a="1"/>
  <c r="Q34" i="48" a="1"/>
  <c r="R34" i="48" a="1"/>
  <c r="S34" i="48" a="1"/>
  <c r="T34" i="48" a="1"/>
  <c r="U34" i="48" a="1"/>
  <c r="V34" i="48" a="1"/>
  <c r="W34" i="48" a="1"/>
  <c r="X34" i="48" a="1"/>
  <c r="Y34" i="48" a="1"/>
  <c r="Z34" i="48" a="1"/>
  <c r="AA34" i="48" a="1"/>
  <c r="AB34" i="48" a="1"/>
  <c r="AC34" i="48" a="1"/>
  <c r="AD34" i="48" a="1"/>
  <c r="AE34" i="48" a="1"/>
  <c r="AF34" i="48" a="1"/>
  <c r="AG34" i="48" a="1"/>
  <c r="AH34" i="48" a="1"/>
  <c r="AI34" i="48" a="1"/>
  <c r="AJ34" i="48" a="1"/>
  <c r="AK34" i="48" a="1"/>
  <c r="AL34" i="48" a="1"/>
  <c r="AM34" i="48" a="1"/>
  <c r="AN34" i="48" a="1"/>
  <c r="AO34" i="48" a="1"/>
  <c r="AP34" i="48" a="1"/>
  <c r="AQ34" i="48" a="1"/>
  <c r="AR34" i="48" a="1"/>
  <c r="AS34" i="48" a="1"/>
  <c r="AT34" i="48" a="1"/>
  <c r="AU34" i="48" a="1"/>
  <c r="AV34" i="48" a="1"/>
  <c r="AW34" i="48" a="1"/>
  <c r="AX34" i="48" a="1"/>
  <c r="AY34" i="48" a="1"/>
  <c r="AZ34" i="48" a="1"/>
  <c r="BA34" i="48" a="1"/>
  <c r="BB34" i="48" a="1"/>
  <c r="BC34" i="48" a="1"/>
  <c r="BD34" i="48" a="1"/>
  <c r="BE34" i="48" a="1"/>
  <c r="BF34" i="48" a="1"/>
  <c r="BG34" i="48" a="1"/>
  <c r="BH34" i="48" a="1"/>
  <c r="BI34" i="48" a="1"/>
  <c r="BJ34" i="48" a="1"/>
  <c r="BK34" i="48" a="1"/>
  <c r="BL34" i="48" a="1"/>
  <c r="BM34" i="48" a="1"/>
  <c r="BN34" i="48" a="1"/>
  <c r="BO34" i="48" a="1"/>
  <c r="BP34" i="48" a="1"/>
  <c r="G34" i="48"/>
  <c r="H34" i="48"/>
  <c r="I34" i="48"/>
  <c r="J34" i="48"/>
  <c r="K34" i="48"/>
  <c r="L34" i="48"/>
  <c r="M34" i="48"/>
  <c r="N34" i="48"/>
  <c r="O34" i="48"/>
  <c r="P34" i="48"/>
  <c r="Q34" i="48"/>
  <c r="R34" i="48"/>
  <c r="S34" i="48"/>
  <c r="T34" i="48"/>
  <c r="U34" i="48"/>
  <c r="V34" i="48"/>
  <c r="W34" i="48"/>
  <c r="X34" i="48"/>
  <c r="Y34" i="48"/>
  <c r="Z34" i="48"/>
  <c r="AA34" i="48"/>
  <c r="AB34" i="48"/>
  <c r="AC34" i="48"/>
  <c r="AD34" i="48"/>
  <c r="AE34" i="48"/>
  <c r="AF34" i="48"/>
  <c r="AG34" i="48"/>
  <c r="AH34" i="48"/>
  <c r="AI34" i="48"/>
  <c r="AJ34" i="48"/>
  <c r="AK34" i="48"/>
  <c r="AL34" i="48"/>
  <c r="AM34" i="48"/>
  <c r="AN34" i="48"/>
  <c r="AO34" i="48"/>
  <c r="AP34" i="48"/>
  <c r="AQ34" i="48"/>
  <c r="AR34" i="48"/>
  <c r="AS34" i="48"/>
  <c r="AT34" i="48"/>
  <c r="AU34" i="48"/>
  <c r="AV34" i="48"/>
  <c r="AW34" i="48"/>
  <c r="AX34" i="48"/>
  <c r="AY34" i="48"/>
  <c r="AZ34" i="48"/>
  <c r="BA34" i="48"/>
  <c r="BB34" i="48"/>
  <c r="BC34" i="48"/>
  <c r="BD34" i="48"/>
  <c r="BE34" i="48"/>
  <c r="BF34" i="48"/>
  <c r="BG34" i="48"/>
  <c r="BH34" i="48"/>
  <c r="BI34" i="48"/>
  <c r="BJ34" i="48"/>
  <c r="BK34" i="48"/>
  <c r="BL34" i="48"/>
  <c r="BM34" i="48"/>
  <c r="BN34" i="48"/>
  <c r="BO34" i="48"/>
  <c r="BP34" i="48"/>
  <c r="AA21" i="48"/>
  <c r="E35" i="48" a="1"/>
  <c r="E35" i="48"/>
  <c r="F35" i="48" a="1"/>
  <c r="F35" i="48"/>
  <c r="G35" i="48" a="1"/>
  <c r="H35" i="48" a="1"/>
  <c r="I35" i="48" a="1"/>
  <c r="J35" i="48" a="1"/>
  <c r="K35" i="48" a="1"/>
  <c r="L35" i="48" a="1"/>
  <c r="M35" i="48" a="1"/>
  <c r="N35" i="48" a="1"/>
  <c r="O35" i="48" a="1"/>
  <c r="P35" i="48" a="1"/>
  <c r="Q35" i="48" a="1"/>
  <c r="R35" i="48" a="1"/>
  <c r="S35" i="48" a="1"/>
  <c r="T35" i="48" a="1"/>
  <c r="U35" i="48" a="1"/>
  <c r="V35" i="48" a="1"/>
  <c r="W35" i="48" a="1"/>
  <c r="X35" i="48" a="1"/>
  <c r="Y35" i="48" a="1"/>
  <c r="Z35" i="48" a="1"/>
  <c r="AA35" i="48" a="1"/>
  <c r="AB35" i="48" a="1"/>
  <c r="AC35" i="48" a="1"/>
  <c r="AD35" i="48" a="1"/>
  <c r="AE35" i="48" a="1"/>
  <c r="AF35" i="48" a="1"/>
  <c r="AG35" i="48" a="1"/>
  <c r="AH35" i="48" a="1"/>
  <c r="AI35" i="48" a="1"/>
  <c r="AJ35" i="48" a="1"/>
  <c r="AK35" i="48" a="1"/>
  <c r="AL35" i="48" a="1"/>
  <c r="AM35" i="48" a="1"/>
  <c r="AN35" i="48" a="1"/>
  <c r="AO35" i="48" a="1"/>
  <c r="AP35" i="48" a="1"/>
  <c r="AQ35" i="48" a="1"/>
  <c r="AR35" i="48" a="1"/>
  <c r="AS35" i="48" a="1"/>
  <c r="AT35" i="48" a="1"/>
  <c r="AU35" i="48" a="1"/>
  <c r="AV35" i="48" a="1"/>
  <c r="AW35" i="48" a="1"/>
  <c r="AX35" i="48" a="1"/>
  <c r="AY35" i="48" a="1"/>
  <c r="AZ35" i="48" a="1"/>
  <c r="BA35" i="48" a="1"/>
  <c r="BB35" i="48" a="1"/>
  <c r="BC35" i="48" a="1"/>
  <c r="BD35" i="48" a="1"/>
  <c r="BE35" i="48" a="1"/>
  <c r="BF35" i="48" a="1"/>
  <c r="BG35" i="48" a="1"/>
  <c r="BH35" i="48" a="1"/>
  <c r="BI35" i="48" a="1"/>
  <c r="BJ35" i="48" a="1"/>
  <c r="BK35" i="48" a="1"/>
  <c r="BL35" i="48" a="1"/>
  <c r="BM35" i="48" a="1"/>
  <c r="BN35" i="48" a="1"/>
  <c r="BO35" i="48" a="1"/>
  <c r="BP35" i="48" a="1"/>
  <c r="G35" i="48"/>
  <c r="H35" i="48"/>
  <c r="I35" i="48"/>
  <c r="J35" i="48"/>
  <c r="K35" i="48"/>
  <c r="L35" i="48"/>
  <c r="M35" i="48"/>
  <c r="N35" i="48"/>
  <c r="O35" i="48"/>
  <c r="P35" i="48"/>
  <c r="Q35" i="48"/>
  <c r="R35" i="48"/>
  <c r="S35" i="48"/>
  <c r="T35" i="48"/>
  <c r="U35" i="48"/>
  <c r="V35" i="48"/>
  <c r="W35" i="48"/>
  <c r="X35" i="48"/>
  <c r="Y35" i="48"/>
  <c r="Z35" i="48"/>
  <c r="AA35" i="48"/>
  <c r="AB35" i="48"/>
  <c r="AC35" i="48"/>
  <c r="AD35" i="48"/>
  <c r="AE35" i="48"/>
  <c r="AF35" i="48"/>
  <c r="AG35" i="48"/>
  <c r="AH35" i="48"/>
  <c r="AI35" i="48"/>
  <c r="AJ35" i="48"/>
  <c r="AK35" i="48"/>
  <c r="AL35" i="48"/>
  <c r="AM35" i="48"/>
  <c r="AN35" i="48"/>
  <c r="AO35" i="48"/>
  <c r="AP35" i="48"/>
  <c r="AQ35" i="48"/>
  <c r="AR35" i="48"/>
  <c r="AS35" i="48"/>
  <c r="AT35" i="48"/>
  <c r="AU35" i="48"/>
  <c r="AV35" i="48"/>
  <c r="AW35" i="48"/>
  <c r="AX35" i="48"/>
  <c r="AY35" i="48"/>
  <c r="AZ35" i="48"/>
  <c r="BA35" i="48"/>
  <c r="BB35" i="48"/>
  <c r="BC35" i="48"/>
  <c r="BD35" i="48"/>
  <c r="BE35" i="48"/>
  <c r="BF35" i="48"/>
  <c r="BG35" i="48"/>
  <c r="BH35" i="48"/>
  <c r="BI35" i="48"/>
  <c r="BJ35" i="48"/>
  <c r="BK35" i="48"/>
  <c r="BL35" i="48"/>
  <c r="BM35" i="48"/>
  <c r="BN35" i="48"/>
  <c r="BO35" i="48"/>
  <c r="BP35" i="48"/>
  <c r="AA22" i="48"/>
  <c r="E36" i="48" a="1"/>
  <c r="E36" i="48"/>
  <c r="F36" i="48" a="1"/>
  <c r="F36" i="48"/>
  <c r="G36" i="48" a="1"/>
  <c r="H36" i="48" a="1"/>
  <c r="I36" i="48" a="1"/>
  <c r="J36" i="48" a="1"/>
  <c r="K36" i="48" a="1"/>
  <c r="L36" i="48" a="1"/>
  <c r="M36" i="48" a="1"/>
  <c r="N36" i="48" a="1"/>
  <c r="O36" i="48" a="1"/>
  <c r="P36" i="48" a="1"/>
  <c r="Q36" i="48" a="1"/>
  <c r="R36" i="48" a="1"/>
  <c r="S36" i="48" a="1"/>
  <c r="T36" i="48" a="1"/>
  <c r="U36" i="48" a="1"/>
  <c r="V36" i="48" a="1"/>
  <c r="W36" i="48" a="1"/>
  <c r="X36" i="48" a="1"/>
  <c r="Y36" i="48" a="1"/>
  <c r="Z36" i="48" a="1"/>
  <c r="AA36" i="48" a="1"/>
  <c r="AB36" i="48" a="1"/>
  <c r="AC36" i="48" a="1"/>
  <c r="AD36" i="48" a="1"/>
  <c r="AE36" i="48" a="1"/>
  <c r="AF36" i="48" a="1"/>
  <c r="AG36" i="48" a="1"/>
  <c r="AH36" i="48" a="1"/>
  <c r="AI36" i="48" a="1"/>
  <c r="AJ36" i="48" a="1"/>
  <c r="AK36" i="48" a="1"/>
  <c r="AL36" i="48" a="1"/>
  <c r="AM36" i="48" a="1"/>
  <c r="AN36" i="48" a="1"/>
  <c r="AO36" i="48" a="1"/>
  <c r="AP36" i="48" a="1"/>
  <c r="AQ36" i="48" a="1"/>
  <c r="AR36" i="48" a="1"/>
  <c r="AS36" i="48" a="1"/>
  <c r="AT36" i="48" a="1"/>
  <c r="AU36" i="48" a="1"/>
  <c r="AV36" i="48" a="1"/>
  <c r="AW36" i="48" a="1"/>
  <c r="AX36" i="48" a="1"/>
  <c r="AY36" i="48" a="1"/>
  <c r="AZ36" i="48" a="1"/>
  <c r="BA36" i="48" a="1"/>
  <c r="BB36" i="48" a="1"/>
  <c r="BC36" i="48" a="1"/>
  <c r="BD36" i="48" a="1"/>
  <c r="BE36" i="48" a="1"/>
  <c r="BF36" i="48" a="1"/>
  <c r="BG36" i="48" a="1"/>
  <c r="BH36" i="48" a="1"/>
  <c r="BI36" i="48" a="1"/>
  <c r="BJ36" i="48" a="1"/>
  <c r="BK36" i="48" a="1"/>
  <c r="BL36" i="48" a="1"/>
  <c r="BM36" i="48" a="1"/>
  <c r="BN36" i="48" a="1"/>
  <c r="BO36" i="48" a="1"/>
  <c r="BP36" i="48" a="1"/>
  <c r="G36" i="48"/>
  <c r="H36" i="48"/>
  <c r="I36" i="48"/>
  <c r="J36" i="48"/>
  <c r="K36" i="48"/>
  <c r="L36" i="48"/>
  <c r="M36" i="48"/>
  <c r="N36" i="48"/>
  <c r="O36" i="48"/>
  <c r="P36" i="48"/>
  <c r="Q36" i="48"/>
  <c r="R36" i="48"/>
  <c r="S36" i="48"/>
  <c r="T36" i="48"/>
  <c r="U36" i="48"/>
  <c r="V36" i="48"/>
  <c r="W36" i="48"/>
  <c r="X36" i="48"/>
  <c r="Y36" i="48"/>
  <c r="Z36" i="48"/>
  <c r="AA36" i="48"/>
  <c r="AB36" i="48"/>
  <c r="AC36" i="48"/>
  <c r="AD36" i="48"/>
  <c r="AE36" i="48"/>
  <c r="AF36" i="48"/>
  <c r="AG36" i="48"/>
  <c r="AH36" i="48"/>
  <c r="AI36" i="48"/>
  <c r="AJ36" i="48"/>
  <c r="AK36" i="48"/>
  <c r="AL36" i="48"/>
  <c r="AM36" i="48"/>
  <c r="AN36" i="48"/>
  <c r="AO36" i="48"/>
  <c r="AP36" i="48"/>
  <c r="AQ36" i="48"/>
  <c r="AR36" i="48"/>
  <c r="AS36" i="48"/>
  <c r="AT36" i="48"/>
  <c r="AU36" i="48"/>
  <c r="AV36" i="48"/>
  <c r="AW36" i="48"/>
  <c r="AX36" i="48"/>
  <c r="AY36" i="48"/>
  <c r="AZ36" i="48"/>
  <c r="BA36" i="48"/>
  <c r="BB36" i="48"/>
  <c r="BC36" i="48"/>
  <c r="BD36" i="48"/>
  <c r="BE36" i="48"/>
  <c r="BF36" i="48"/>
  <c r="BG36" i="48"/>
  <c r="BH36" i="48"/>
  <c r="BI36" i="48"/>
  <c r="BJ36" i="48"/>
  <c r="BK36" i="48"/>
  <c r="BL36" i="48"/>
  <c r="BM36" i="48"/>
  <c r="BN36" i="48"/>
  <c r="BO36" i="48"/>
  <c r="BP36" i="48"/>
  <c r="AA23" i="48"/>
  <c r="E37" i="48" a="1"/>
  <c r="E37" i="48"/>
  <c r="F37" i="48" a="1"/>
  <c r="F37" i="48"/>
  <c r="G37" i="48" a="1"/>
  <c r="H37" i="48" a="1"/>
  <c r="I37" i="48" a="1"/>
  <c r="J37" i="48" a="1"/>
  <c r="K37" i="48" a="1"/>
  <c r="L37" i="48" a="1"/>
  <c r="M37" i="48" a="1"/>
  <c r="N37" i="48" a="1"/>
  <c r="O37" i="48" a="1"/>
  <c r="P37" i="48" a="1"/>
  <c r="Q37" i="48" a="1"/>
  <c r="R37" i="48" a="1"/>
  <c r="S37" i="48" a="1"/>
  <c r="T37" i="48" a="1"/>
  <c r="U37" i="48" a="1"/>
  <c r="V37" i="48" a="1"/>
  <c r="W37" i="48" a="1"/>
  <c r="X37" i="48" a="1"/>
  <c r="Y37" i="48" a="1"/>
  <c r="Z37" i="48" a="1"/>
  <c r="AA37" i="48" a="1"/>
  <c r="AB37" i="48" a="1"/>
  <c r="AC37" i="48" a="1"/>
  <c r="AD37" i="48" a="1"/>
  <c r="AE37" i="48" a="1"/>
  <c r="AF37" i="48" a="1"/>
  <c r="AG37" i="48" a="1"/>
  <c r="AH37" i="48" a="1"/>
  <c r="AI37" i="48" a="1"/>
  <c r="AJ37" i="48" a="1"/>
  <c r="AK37" i="48" a="1"/>
  <c r="AL37" i="48" a="1"/>
  <c r="AM37" i="48" a="1"/>
  <c r="AN37" i="48" a="1"/>
  <c r="AO37" i="48" a="1"/>
  <c r="AP37" i="48" a="1"/>
  <c r="AQ37" i="48" a="1"/>
  <c r="AR37" i="48" a="1"/>
  <c r="AS37" i="48" a="1"/>
  <c r="AT37" i="48" a="1"/>
  <c r="AU37" i="48" a="1"/>
  <c r="AV37" i="48" a="1"/>
  <c r="AW37" i="48" a="1"/>
  <c r="AX37" i="48" a="1"/>
  <c r="AY37" i="48" a="1"/>
  <c r="AZ37" i="48" a="1"/>
  <c r="BA37" i="48" a="1"/>
  <c r="BB37" i="48" a="1"/>
  <c r="BC37" i="48" a="1"/>
  <c r="BD37" i="48" a="1"/>
  <c r="BE37" i="48" a="1"/>
  <c r="BF37" i="48" a="1"/>
  <c r="BG37" i="48" a="1"/>
  <c r="BH37" i="48" a="1"/>
  <c r="BI37" i="48" a="1"/>
  <c r="BJ37" i="48" a="1"/>
  <c r="BK37" i="48" a="1"/>
  <c r="BL37" i="48" a="1"/>
  <c r="BM37" i="48" a="1"/>
  <c r="BN37" i="48" a="1"/>
  <c r="BO37" i="48" a="1"/>
  <c r="BP37" i="48" a="1"/>
  <c r="G37" i="48"/>
  <c r="H37" i="48"/>
  <c r="I37" i="48"/>
  <c r="J37"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AX37" i="48"/>
  <c r="AY37" i="48"/>
  <c r="AZ37" i="48"/>
  <c r="BA37" i="48"/>
  <c r="BB37" i="48"/>
  <c r="BC37" i="48"/>
  <c r="BD37" i="48"/>
  <c r="BE37" i="48"/>
  <c r="BF37" i="48"/>
  <c r="BG37" i="48"/>
  <c r="BH37" i="48"/>
  <c r="BI37" i="48"/>
  <c r="BJ37" i="48"/>
  <c r="BK37" i="48"/>
  <c r="BL37" i="48"/>
  <c r="BM37" i="48"/>
  <c r="BN37" i="48"/>
  <c r="BO37" i="48"/>
  <c r="BP37" i="48"/>
  <c r="AA24" i="48"/>
  <c r="E38" i="48" a="1"/>
  <c r="E38" i="48"/>
  <c r="F38" i="48" a="1"/>
  <c r="F38" i="48"/>
  <c r="G38" i="48" a="1"/>
  <c r="H38" i="48" a="1"/>
  <c r="I38" i="48" a="1"/>
  <c r="J38" i="48" a="1"/>
  <c r="K38" i="48" a="1"/>
  <c r="L38" i="48" a="1"/>
  <c r="M38" i="48" a="1"/>
  <c r="N38" i="48" a="1"/>
  <c r="O38" i="48" a="1"/>
  <c r="P38" i="48" a="1"/>
  <c r="Q38" i="48" a="1"/>
  <c r="R38" i="48" a="1"/>
  <c r="S38" i="48" a="1"/>
  <c r="T38" i="48" a="1"/>
  <c r="U38" i="48" a="1"/>
  <c r="V38" i="48" a="1"/>
  <c r="W38" i="48" a="1"/>
  <c r="X38" i="48" a="1"/>
  <c r="Y38" i="48" a="1"/>
  <c r="Z38" i="48" a="1"/>
  <c r="AA38" i="48" a="1"/>
  <c r="AB38" i="48" a="1"/>
  <c r="AC38" i="48" a="1"/>
  <c r="AD38" i="48" a="1"/>
  <c r="AE38" i="48" a="1"/>
  <c r="AF38" i="48" a="1"/>
  <c r="AG38" i="48" a="1"/>
  <c r="AH38" i="48" a="1"/>
  <c r="AI38" i="48" a="1"/>
  <c r="AJ38" i="48" a="1"/>
  <c r="AK38" i="48" a="1"/>
  <c r="AL38" i="48" a="1"/>
  <c r="AM38" i="48" a="1"/>
  <c r="AN38" i="48" a="1"/>
  <c r="AO38" i="48" a="1"/>
  <c r="AP38" i="48" a="1"/>
  <c r="AQ38" i="48" a="1"/>
  <c r="AR38" i="48" a="1"/>
  <c r="AS38" i="48" a="1"/>
  <c r="AT38" i="48" a="1"/>
  <c r="AU38" i="48" a="1"/>
  <c r="AV38" i="48" a="1"/>
  <c r="AW38" i="48" a="1"/>
  <c r="AX38" i="48" a="1"/>
  <c r="AY38" i="48" a="1"/>
  <c r="AZ38" i="48" a="1"/>
  <c r="BA38" i="48" a="1"/>
  <c r="BB38" i="48" a="1"/>
  <c r="BC38" i="48" a="1"/>
  <c r="BD38" i="48" a="1"/>
  <c r="BE38" i="48" a="1"/>
  <c r="BF38" i="48" a="1"/>
  <c r="BG38" i="48" a="1"/>
  <c r="BH38" i="48" a="1"/>
  <c r="BI38" i="48" a="1"/>
  <c r="BJ38" i="48" a="1"/>
  <c r="BK38" i="48" a="1"/>
  <c r="BL38" i="48" a="1"/>
  <c r="BM38" i="48" a="1"/>
  <c r="BN38" i="48" a="1"/>
  <c r="BO38" i="48" a="1"/>
  <c r="BP38" i="48" a="1"/>
  <c r="G38" i="48"/>
  <c r="H38" i="48"/>
  <c r="I38" i="48"/>
  <c r="J38" i="48"/>
  <c r="K38" i="48"/>
  <c r="L38" i="48"/>
  <c r="M38" i="48"/>
  <c r="N38" i="48"/>
  <c r="O38" i="48"/>
  <c r="P38" i="48"/>
  <c r="Q38" i="48"/>
  <c r="R38" i="48"/>
  <c r="S38" i="48"/>
  <c r="T38" i="48"/>
  <c r="U38" i="48"/>
  <c r="V38" i="48"/>
  <c r="W38" i="48"/>
  <c r="X38" i="48"/>
  <c r="Y38" i="48"/>
  <c r="Z38" i="48"/>
  <c r="AA38" i="48"/>
  <c r="AB38" i="48"/>
  <c r="AC38" i="48"/>
  <c r="AD38" i="48"/>
  <c r="AE38" i="48"/>
  <c r="AF38" i="48"/>
  <c r="AG38" i="48"/>
  <c r="AH38" i="48"/>
  <c r="AI38" i="48"/>
  <c r="AJ38" i="48"/>
  <c r="AK38" i="48"/>
  <c r="AL38" i="48"/>
  <c r="AM38" i="48"/>
  <c r="AN38" i="48"/>
  <c r="AO38" i="48"/>
  <c r="AP38" i="48"/>
  <c r="AQ38" i="48"/>
  <c r="AR38" i="48"/>
  <c r="AS38" i="48"/>
  <c r="AT38" i="48"/>
  <c r="AU38" i="48"/>
  <c r="AV38" i="48"/>
  <c r="AW38" i="48"/>
  <c r="AX38" i="48"/>
  <c r="AY38" i="48"/>
  <c r="AZ38" i="48"/>
  <c r="BA38" i="48"/>
  <c r="BB38" i="48"/>
  <c r="BC38" i="48"/>
  <c r="BD38" i="48"/>
  <c r="BE38" i="48"/>
  <c r="BF38" i="48"/>
  <c r="BG38" i="48"/>
  <c r="BH38" i="48"/>
  <c r="BI38" i="48"/>
  <c r="BJ38" i="48"/>
  <c r="BK38" i="48"/>
  <c r="BL38" i="48"/>
  <c r="BM38" i="48"/>
  <c r="BN38" i="48"/>
  <c r="BO38" i="48"/>
  <c r="BP38" i="48"/>
  <c r="AA25" i="48"/>
  <c r="AN18" i="39"/>
  <c r="AO18" i="39"/>
  <c r="AP18" i="39"/>
  <c r="AQ18" i="39"/>
  <c r="AR18" i="39"/>
  <c r="AT18" i="39"/>
  <c r="AV18" i="39"/>
  <c r="AN19" i="39"/>
  <c r="AO19" i="39"/>
  <c r="AP19" i="39"/>
  <c r="AQ19" i="39"/>
  <c r="AR19" i="39"/>
  <c r="AT19" i="39"/>
  <c r="AV19" i="39"/>
  <c r="AN20" i="39"/>
  <c r="AO20" i="39"/>
  <c r="AP20" i="39"/>
  <c r="AQ20" i="39"/>
  <c r="AR20" i="39"/>
  <c r="AT20" i="39"/>
  <c r="AV20" i="39"/>
  <c r="AN24" i="39"/>
  <c r="AO24" i="39"/>
  <c r="AP24" i="39"/>
  <c r="AQ24" i="39"/>
  <c r="AR24" i="39"/>
  <c r="AT24" i="39"/>
  <c r="AV24" i="39"/>
  <c r="AN25" i="39"/>
  <c r="AO25" i="39"/>
  <c r="AP25" i="39"/>
  <c r="AQ25" i="39"/>
  <c r="AR25" i="39"/>
  <c r="AT25" i="39"/>
  <c r="AV25" i="39"/>
  <c r="AN26" i="39"/>
  <c r="AO26" i="39"/>
  <c r="AP26" i="39"/>
  <c r="AQ26" i="39"/>
  <c r="AR26" i="39"/>
  <c r="AT26" i="39"/>
  <c r="AV26" i="39"/>
  <c r="AN30" i="39"/>
  <c r="AO30" i="39"/>
  <c r="AP30" i="39"/>
  <c r="AQ30" i="39"/>
  <c r="AR30" i="39"/>
  <c r="AT30" i="39"/>
  <c r="AV30" i="39"/>
  <c r="AN31" i="39"/>
  <c r="AO31" i="39"/>
  <c r="AP31" i="39"/>
  <c r="AQ31" i="39"/>
  <c r="AR31" i="39"/>
  <c r="AT31" i="39"/>
  <c r="AV31" i="39"/>
  <c r="AN32" i="39"/>
  <c r="AO32" i="39"/>
  <c r="AP32" i="39"/>
  <c r="AQ32" i="39"/>
  <c r="AR32" i="39"/>
  <c r="AT32" i="39"/>
  <c r="AV32" i="39"/>
  <c r="AN36" i="39"/>
  <c r="AO36" i="39"/>
  <c r="AP36" i="39"/>
  <c r="AQ36" i="39"/>
  <c r="AR36" i="39"/>
  <c r="AT36" i="39"/>
  <c r="AV36" i="39"/>
  <c r="AN37" i="39"/>
  <c r="AO37" i="39"/>
  <c r="AP37" i="39"/>
  <c r="AQ37" i="39"/>
  <c r="AR37" i="39"/>
  <c r="AT37" i="39"/>
  <c r="AV37" i="39"/>
  <c r="AN38" i="39"/>
  <c r="AO38" i="39"/>
  <c r="AP38" i="39"/>
  <c r="AQ38" i="39"/>
  <c r="AR38" i="39"/>
  <c r="AT38" i="39"/>
  <c r="AV38" i="39"/>
  <c r="AN42" i="39"/>
  <c r="AO42" i="39"/>
  <c r="AP42" i="39"/>
  <c r="AQ42" i="39"/>
  <c r="AR42" i="39"/>
  <c r="AT42" i="39"/>
  <c r="AV42" i="39"/>
  <c r="AN43" i="39"/>
  <c r="AO43" i="39"/>
  <c r="AP43" i="39"/>
  <c r="AQ43" i="39"/>
  <c r="AR43" i="39"/>
  <c r="AT43" i="39"/>
  <c r="AV43" i="39"/>
  <c r="AN44" i="39"/>
  <c r="AO44" i="39"/>
  <c r="AP44" i="39"/>
  <c r="AQ44" i="39"/>
  <c r="AR44" i="39"/>
  <c r="AT44" i="39"/>
  <c r="AV44" i="39"/>
  <c r="W47" i="21"/>
  <c r="X47" i="21"/>
  <c r="Y47" i="21"/>
  <c r="Z47" i="21"/>
  <c r="AA47" i="21"/>
  <c r="AC47" i="21"/>
  <c r="AE47" i="21"/>
  <c r="W48" i="21"/>
  <c r="X48" i="21"/>
  <c r="Y48" i="21"/>
  <c r="Z48" i="21"/>
  <c r="AA48" i="21"/>
  <c r="AC48" i="21"/>
  <c r="AE48" i="21"/>
  <c r="W49" i="21"/>
  <c r="X49" i="21"/>
  <c r="Y49" i="21"/>
  <c r="Z49" i="21"/>
  <c r="AA49" i="21"/>
  <c r="AC49" i="21"/>
  <c r="AE49" i="21"/>
  <c r="U49" i="21"/>
  <c r="U48" i="21"/>
  <c r="U47" i="21"/>
  <c r="I50" i="21"/>
  <c r="I51" i="21"/>
  <c r="AD17" i="31"/>
  <c r="AE17" i="31"/>
  <c r="AE18" i="31"/>
  <c r="AE19" i="31"/>
  <c r="AE20" i="31"/>
  <c r="AE21" i="31"/>
  <c r="AE22" i="31"/>
  <c r="AE23" i="31"/>
  <c r="AE24" i="31"/>
  <c r="AE25" i="31"/>
  <c r="AF17" i="31"/>
  <c r="AD18" i="31"/>
  <c r="AF18" i="31"/>
  <c r="AD19" i="31"/>
  <c r="AF19" i="31"/>
  <c r="AD20" i="31"/>
  <c r="AF20" i="31"/>
  <c r="AD21" i="31"/>
  <c r="AF21" i="31"/>
  <c r="AD22" i="31"/>
  <c r="AF22" i="31"/>
  <c r="AD23" i="31"/>
  <c r="AF23" i="31"/>
  <c r="AD24" i="31"/>
  <c r="AF24" i="31"/>
  <c r="AD25" i="31"/>
  <c r="AF25" i="31"/>
  <c r="V47" i="21"/>
  <c r="I49" i="21"/>
  <c r="Z19" i="37"/>
  <c r="Z18" i="37"/>
  <c r="Z17" i="37"/>
  <c r="Z19" i="33"/>
  <c r="Z18" i="33"/>
  <c r="Z19" i="46"/>
  <c r="Z18" i="46"/>
  <c r="Z19" i="47"/>
  <c r="Z18" i="47"/>
  <c r="Z17" i="47"/>
  <c r="C16" i="39" a="1"/>
  <c r="C16" i="39"/>
  <c r="E16" i="39"/>
  <c r="C15" i="39" a="1"/>
  <c r="C15" i="39"/>
  <c r="E15" i="39"/>
  <c r="C14" i="39" a="1"/>
  <c r="C14" i="39"/>
  <c r="E14" i="39"/>
  <c r="D16" i="39" a="1"/>
  <c r="D16" i="39"/>
  <c r="D15" i="39" a="1"/>
  <c r="D15" i="39"/>
  <c r="D14" i="39" a="1"/>
  <c r="D14" i="39"/>
  <c r="AD17" i="26"/>
  <c r="AG17" i="26"/>
  <c r="AE17" i="26"/>
  <c r="AE18" i="26"/>
  <c r="AE19" i="26"/>
  <c r="AE20" i="26"/>
  <c r="AE21" i="26"/>
  <c r="AE22" i="26"/>
  <c r="AE23" i="26"/>
  <c r="AE24" i="26"/>
  <c r="AE25" i="26"/>
  <c r="AF17" i="26"/>
  <c r="AH17" i="26"/>
  <c r="AD18" i="26"/>
  <c r="AG18" i="26"/>
  <c r="AF18" i="26"/>
  <c r="AH18" i="26"/>
  <c r="AD19" i="26"/>
  <c r="AG19" i="26"/>
  <c r="AF19" i="26"/>
  <c r="AH19" i="26"/>
  <c r="AD20" i="26"/>
  <c r="AG20" i="26"/>
  <c r="AF20" i="26"/>
  <c r="AH20" i="26"/>
  <c r="AD21" i="26"/>
  <c r="AG21" i="26"/>
  <c r="AF21" i="26"/>
  <c r="AH21" i="26"/>
  <c r="AD22" i="26"/>
  <c r="AG22" i="26"/>
  <c r="AF22" i="26"/>
  <c r="AH22" i="26"/>
  <c r="AD23" i="26"/>
  <c r="AG23" i="26"/>
  <c r="AF23" i="26"/>
  <c r="AH23" i="26"/>
  <c r="AD24" i="26"/>
  <c r="AG24" i="26"/>
  <c r="AF24" i="26"/>
  <c r="AH24" i="26"/>
  <c r="AD25" i="26"/>
  <c r="AG25" i="26"/>
  <c r="AF25" i="26"/>
  <c r="AH25" i="26"/>
  <c r="V14" i="21"/>
  <c r="I36" i="21"/>
  <c r="V13" i="21"/>
  <c r="I35" i="21"/>
  <c r="V12" i="21"/>
  <c r="I34" i="21"/>
  <c r="U12" i="21"/>
  <c r="U13" i="21"/>
  <c r="U14" i="21"/>
  <c r="AE14" i="21"/>
  <c r="AC14" i="21"/>
  <c r="AA14" i="21"/>
  <c r="Z14" i="21"/>
  <c r="Y14" i="21"/>
  <c r="X14" i="21"/>
  <c r="W14" i="21"/>
  <c r="AE13" i="21"/>
  <c r="AC13" i="21"/>
  <c r="AA13" i="21"/>
  <c r="Z13" i="21"/>
  <c r="Y13" i="21"/>
  <c r="X13" i="21"/>
  <c r="W13" i="21"/>
  <c r="AE12" i="21"/>
  <c r="AC12" i="21"/>
  <c r="AA12" i="21"/>
  <c r="Z12" i="21"/>
  <c r="Y12" i="21"/>
  <c r="X12" i="21"/>
  <c r="W12" i="21"/>
  <c r="Z17" i="26"/>
  <c r="Z18" i="26"/>
  <c r="Z19" i="26"/>
  <c r="Z20" i="26"/>
  <c r="Z21" i="26"/>
  <c r="Z22" i="26"/>
  <c r="Z23" i="26"/>
  <c r="Z24" i="26"/>
  <c r="Z25" i="26"/>
  <c r="AD17" i="27"/>
  <c r="AE17" i="27"/>
  <c r="AE18" i="27"/>
  <c r="AE19" i="27"/>
  <c r="AE20" i="27"/>
  <c r="AE21" i="27"/>
  <c r="AE22" i="27"/>
  <c r="AE23" i="27"/>
  <c r="AE24" i="27"/>
  <c r="AE25" i="27"/>
  <c r="AF17" i="27"/>
  <c r="AD18" i="27"/>
  <c r="AF18" i="27"/>
  <c r="AD19" i="27"/>
  <c r="AF19" i="27"/>
  <c r="AD20" i="27"/>
  <c r="AF20" i="27"/>
  <c r="AD21" i="27"/>
  <c r="AF21" i="27"/>
  <c r="AD22" i="27"/>
  <c r="AF22" i="27"/>
  <c r="AD23" i="27"/>
  <c r="AF23" i="27"/>
  <c r="AD24" i="27"/>
  <c r="AF24" i="27"/>
  <c r="AD25" i="27"/>
  <c r="AF25" i="27"/>
  <c r="U19" i="21"/>
  <c r="AD17" i="28"/>
  <c r="AE17" i="28"/>
  <c r="AE18" i="28"/>
  <c r="AE19" i="28"/>
  <c r="AE20" i="28"/>
  <c r="AE21" i="28"/>
  <c r="AE22" i="28"/>
  <c r="AE23" i="28"/>
  <c r="AE24" i="28"/>
  <c r="AE25" i="28"/>
  <c r="AF17" i="28"/>
  <c r="AD18" i="28"/>
  <c r="AF18" i="28"/>
  <c r="AD19" i="28"/>
  <c r="AF19" i="28"/>
  <c r="AD20" i="28"/>
  <c r="AF20" i="28"/>
  <c r="AD21" i="28"/>
  <c r="AF21" i="28"/>
  <c r="AD22" i="28"/>
  <c r="AF22" i="28"/>
  <c r="AD23" i="28"/>
  <c r="AF23" i="28"/>
  <c r="AD24" i="28"/>
  <c r="AF24" i="28"/>
  <c r="AD25" i="28"/>
  <c r="AF25" i="28"/>
  <c r="U26" i="21"/>
  <c r="AD17" i="29"/>
  <c r="AE17" i="29"/>
  <c r="AE18" i="29"/>
  <c r="AE19" i="29"/>
  <c r="AE20" i="29"/>
  <c r="AE21" i="29"/>
  <c r="AE22" i="29"/>
  <c r="AE23" i="29"/>
  <c r="AE24" i="29"/>
  <c r="AE25" i="29"/>
  <c r="AF17" i="29"/>
  <c r="AD18" i="29"/>
  <c r="AF18" i="29"/>
  <c r="AD19" i="29"/>
  <c r="AF19" i="29"/>
  <c r="AD20" i="29"/>
  <c r="AF20" i="29"/>
  <c r="AD21" i="29"/>
  <c r="AF21" i="29"/>
  <c r="AD22" i="29"/>
  <c r="AF22" i="29"/>
  <c r="AD23" i="29"/>
  <c r="AF23" i="29"/>
  <c r="AD24" i="29"/>
  <c r="AF24" i="29"/>
  <c r="AD25" i="29"/>
  <c r="AF25" i="29"/>
  <c r="U33" i="21"/>
  <c r="AD17" i="30"/>
  <c r="AE17" i="30"/>
  <c r="AE18" i="30"/>
  <c r="AE19" i="30"/>
  <c r="AE20" i="30"/>
  <c r="AE21" i="30"/>
  <c r="AE22" i="30"/>
  <c r="AE23" i="30"/>
  <c r="AE24" i="30"/>
  <c r="AE25" i="30"/>
  <c r="AF17" i="30"/>
  <c r="AD18" i="30"/>
  <c r="AF18" i="30"/>
  <c r="AD19" i="30"/>
  <c r="AF19" i="30"/>
  <c r="AD20" i="30"/>
  <c r="AF20" i="30"/>
  <c r="AD21" i="30"/>
  <c r="AF21" i="30"/>
  <c r="AD22" i="30"/>
  <c r="AF22" i="30"/>
  <c r="AD23" i="30"/>
  <c r="AF23" i="30"/>
  <c r="AD24" i="30"/>
  <c r="AF24" i="30"/>
  <c r="AD25" i="30"/>
  <c r="AF25" i="30"/>
  <c r="U40" i="21"/>
  <c r="AD17" i="45"/>
  <c r="AG17" i="45"/>
  <c r="AE19" i="45"/>
  <c r="AF17" i="45"/>
  <c r="AH17" i="45"/>
  <c r="AD18" i="45"/>
  <c r="AG18" i="45"/>
  <c r="AF18" i="45"/>
  <c r="AH18" i="45"/>
  <c r="AD19" i="45"/>
  <c r="AG19" i="45"/>
  <c r="AF19" i="45"/>
  <c r="AH19" i="45"/>
  <c r="AD20" i="45"/>
  <c r="AG20" i="45"/>
  <c r="AF20" i="45"/>
  <c r="AH20" i="45"/>
  <c r="AD21" i="45"/>
  <c r="AG21" i="45"/>
  <c r="AF21" i="45"/>
  <c r="AH21" i="45"/>
  <c r="AD22" i="45"/>
  <c r="AG22" i="45"/>
  <c r="AF22" i="45"/>
  <c r="AH22" i="45"/>
  <c r="AD23" i="45"/>
  <c r="AG23" i="45"/>
  <c r="AF23" i="45"/>
  <c r="AH23" i="45"/>
  <c r="AD24" i="45"/>
  <c r="AG24" i="45"/>
  <c r="AF24" i="45"/>
  <c r="AH24" i="45"/>
  <c r="AD25" i="45"/>
  <c r="AG25" i="45"/>
  <c r="AF25" i="45"/>
  <c r="AH25" i="45"/>
  <c r="BR52" i="44"/>
  <c r="BS51" i="44"/>
  <c r="BT51" i="44"/>
  <c r="BT52" i="44"/>
  <c r="BU52" i="44"/>
  <c r="BV52" i="44"/>
  <c r="BW52" i="44"/>
  <c r="BX52" i="44"/>
  <c r="BY52" i="44"/>
  <c r="BZ52" i="44"/>
  <c r="CA52" i="44"/>
  <c r="BR53"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BR41" i="44"/>
  <c r="BS40" i="44"/>
  <c r="BT40" i="44"/>
  <c r="BR30" i="44"/>
  <c r="BT29" i="44"/>
  <c r="BT30" i="44"/>
  <c r="BR31" i="44"/>
  <c r="BS29"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R42"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AI45" i="39"/>
  <c r="Y18" i="44"/>
  <c r="AI44" i="39"/>
  <c r="Y17" i="44"/>
  <c r="AD25" i="44"/>
  <c r="AE25" i="44"/>
  <c r="AE17" i="44"/>
  <c r="AE18" i="44"/>
  <c r="AE19" i="44"/>
  <c r="AE20" i="44"/>
  <c r="AE21" i="44"/>
  <c r="AE22" i="44"/>
  <c r="AE23" i="44"/>
  <c r="AE24" i="44"/>
  <c r="AF25" i="44"/>
  <c r="AD17" i="44"/>
  <c r="AF17" i="44"/>
  <c r="AD18" i="44"/>
  <c r="AF18" i="44"/>
  <c r="AD19" i="44"/>
  <c r="AF19" i="44"/>
  <c r="AD20" i="44"/>
  <c r="AF20" i="44"/>
  <c r="AD21" i="44"/>
  <c r="AF21" i="44"/>
  <c r="AD22" i="44"/>
  <c r="AF22" i="44"/>
  <c r="AD23" i="44"/>
  <c r="AF23" i="44"/>
  <c r="AD24" i="44"/>
  <c r="AF24" i="44"/>
  <c r="AH40" i="39"/>
  <c r="AD17" i="43"/>
  <c r="AE17" i="43"/>
  <c r="AE18" i="43"/>
  <c r="AE19" i="43"/>
  <c r="AE20" i="43"/>
  <c r="AE21" i="43"/>
  <c r="AE22" i="43"/>
  <c r="AE23" i="43"/>
  <c r="AE24" i="43"/>
  <c r="AE25" i="43"/>
  <c r="AF17" i="43"/>
  <c r="AD18" i="43"/>
  <c r="AF18" i="43"/>
  <c r="AD19" i="43"/>
  <c r="AF19" i="43"/>
  <c r="AD20" i="43"/>
  <c r="AF20" i="43"/>
  <c r="AD21" i="43"/>
  <c r="AF21" i="43"/>
  <c r="AD22" i="43"/>
  <c r="AF22" i="43"/>
  <c r="AD23" i="43"/>
  <c r="AF23" i="43"/>
  <c r="AD24" i="43"/>
  <c r="AF24" i="43"/>
  <c r="AD25" i="43"/>
  <c r="AF25" i="43"/>
  <c r="AD25" i="42"/>
  <c r="AE25" i="42"/>
  <c r="AE17" i="42"/>
  <c r="AE18" i="42"/>
  <c r="AE19" i="42"/>
  <c r="AE20" i="42"/>
  <c r="AE21" i="42"/>
  <c r="AE22" i="42"/>
  <c r="AE23" i="42"/>
  <c r="AE24" i="42"/>
  <c r="AF25" i="42"/>
  <c r="AD17" i="42"/>
  <c r="AF17" i="42"/>
  <c r="AD18" i="42"/>
  <c r="AF18" i="42"/>
  <c r="AD19" i="42"/>
  <c r="AF19" i="42"/>
  <c r="AD20" i="42"/>
  <c r="AF20" i="42"/>
  <c r="AD21" i="42"/>
  <c r="AF21" i="42"/>
  <c r="AD22" i="42"/>
  <c r="AF22" i="42"/>
  <c r="AD23" i="42"/>
  <c r="AF23" i="42"/>
  <c r="AD24" i="42"/>
  <c r="AF24" i="42"/>
  <c r="AH32" i="39"/>
  <c r="AD25" i="41"/>
  <c r="AE25" i="41"/>
  <c r="AE17" i="41"/>
  <c r="AE18" i="41"/>
  <c r="AE19" i="41"/>
  <c r="AE20" i="41"/>
  <c r="AE21" i="41"/>
  <c r="AE22" i="41"/>
  <c r="AE23" i="41"/>
  <c r="AE24" i="41"/>
  <c r="AF25" i="41"/>
  <c r="AD17" i="41"/>
  <c r="AF17" i="41"/>
  <c r="AD18" i="41"/>
  <c r="AF18" i="41"/>
  <c r="AD19" i="41"/>
  <c r="AF19" i="41"/>
  <c r="AD20" i="41"/>
  <c r="AF20" i="41"/>
  <c r="AD21" i="41"/>
  <c r="AF21" i="41"/>
  <c r="AD22" i="41"/>
  <c r="AF22" i="41"/>
  <c r="AD23" i="41"/>
  <c r="AF23" i="41"/>
  <c r="AD24" i="41"/>
  <c r="AF24" i="41"/>
  <c r="AH24" i="39"/>
  <c r="Z25" i="40"/>
  <c r="Z24" i="40"/>
  <c r="Z23" i="40"/>
  <c r="Z22" i="40"/>
  <c r="Z21" i="40"/>
  <c r="Z20" i="40"/>
  <c r="Z19" i="40"/>
  <c r="Z18" i="40"/>
  <c r="Z17" i="40"/>
  <c r="AD25" i="40"/>
  <c r="AG25" i="40"/>
  <c r="AE25" i="40"/>
  <c r="AE17" i="40"/>
  <c r="AE18" i="40"/>
  <c r="AE19" i="40"/>
  <c r="AE20" i="40"/>
  <c r="AE21" i="40"/>
  <c r="AE22" i="40"/>
  <c r="AE23" i="40"/>
  <c r="AE24" i="40"/>
  <c r="AF25" i="40"/>
  <c r="AH25" i="40"/>
  <c r="AD17" i="40"/>
  <c r="AG17" i="40"/>
  <c r="AF17" i="40"/>
  <c r="AH17" i="40"/>
  <c r="AD18" i="40"/>
  <c r="AG18" i="40"/>
  <c r="AF18" i="40"/>
  <c r="AH18" i="40"/>
  <c r="AD19" i="40"/>
  <c r="AG19" i="40"/>
  <c r="AF19" i="40"/>
  <c r="AH19" i="40"/>
  <c r="AD20" i="40"/>
  <c r="AG20" i="40"/>
  <c r="AF20" i="40"/>
  <c r="AH20" i="40"/>
  <c r="AD21" i="40"/>
  <c r="AG21" i="40"/>
  <c r="AF21" i="40"/>
  <c r="AH21" i="40"/>
  <c r="AD22" i="40"/>
  <c r="AG22" i="40"/>
  <c r="AF22" i="40"/>
  <c r="AH22" i="40"/>
  <c r="AD23" i="40"/>
  <c r="AG23" i="40"/>
  <c r="AF23" i="40"/>
  <c r="AH23" i="40"/>
  <c r="AD24" i="40"/>
  <c r="AG24" i="40"/>
  <c r="AF24" i="40"/>
  <c r="AH24" i="40"/>
  <c r="AE15" i="39"/>
  <c r="AC15" i="39"/>
  <c r="AA15" i="39"/>
  <c r="Z15" i="39"/>
  <c r="Y15" i="39"/>
  <c r="X15" i="39"/>
  <c r="W15" i="39"/>
  <c r="U12" i="39"/>
  <c r="U13" i="39"/>
  <c r="U14" i="39"/>
  <c r="U15" i="39"/>
  <c r="AE14" i="39"/>
  <c r="AC14" i="39"/>
  <c r="AA14" i="39"/>
  <c r="Z14" i="39"/>
  <c r="Y14" i="39"/>
  <c r="X14" i="39"/>
  <c r="W14" i="39"/>
  <c r="AE13" i="39"/>
  <c r="AC13" i="39"/>
  <c r="AA13" i="39"/>
  <c r="Z13" i="39"/>
  <c r="Y13" i="39"/>
  <c r="X13" i="39"/>
  <c r="W13" i="39"/>
  <c r="AE12" i="39"/>
  <c r="AC12" i="39"/>
  <c r="AA12" i="39"/>
  <c r="Z12" i="39"/>
  <c r="Y12" i="39"/>
  <c r="X12" i="39"/>
  <c r="W12" i="39"/>
  <c r="V12" i="39"/>
  <c r="I41" i="39"/>
  <c r="V13" i="39"/>
  <c r="I42" i="39"/>
  <c r="V14" i="39"/>
  <c r="I43" i="39"/>
  <c r="V15" i="39"/>
  <c r="I44" i="39"/>
  <c r="C29" i="39" a="1"/>
  <c r="C29" i="39"/>
  <c r="D29" i="39" a="1"/>
  <c r="D29" i="39"/>
  <c r="C28" i="39" a="1"/>
  <c r="C28" i="39"/>
  <c r="D28" i="39" a="1"/>
  <c r="D28" i="39"/>
  <c r="C35" i="39" a="1"/>
  <c r="C35" i="39"/>
  <c r="D35" i="39" a="1"/>
  <c r="D35" i="39"/>
  <c r="C34" i="39" a="1"/>
  <c r="C34" i="39"/>
  <c r="D34" i="39" a="1"/>
  <c r="D34" i="39"/>
  <c r="C33" i="39" a="1"/>
  <c r="C33" i="39"/>
  <c r="D33" i="39" a="1"/>
  <c r="D33" i="39"/>
  <c r="C32" i="39" a="1"/>
  <c r="C32" i="39"/>
  <c r="D32" i="39" a="1"/>
  <c r="D32" i="39"/>
  <c r="C31" i="39" a="1"/>
  <c r="C31" i="39"/>
  <c r="D31" i="39" a="1"/>
  <c r="D31" i="39"/>
  <c r="C30" i="39" a="1"/>
  <c r="C30" i="39"/>
  <c r="D30" i="39" a="1"/>
  <c r="D30" i="39"/>
  <c r="C27" i="39" a="1"/>
  <c r="C27" i="39"/>
  <c r="D27" i="39" a="1"/>
  <c r="D27" i="39"/>
  <c r="C17" i="39" a="1"/>
  <c r="C17" i="39"/>
  <c r="D17" i="39" a="1"/>
  <c r="D17" i="39"/>
  <c r="C18" i="39" a="1"/>
  <c r="C18" i="39"/>
  <c r="D18" i="39" a="1"/>
  <c r="D18" i="39"/>
  <c r="C19" i="39" a="1"/>
  <c r="C19" i="39"/>
  <c r="D19" i="39" a="1"/>
  <c r="D19" i="39"/>
  <c r="C20" i="39" a="1"/>
  <c r="C20" i="39"/>
  <c r="D20" i="39" a="1"/>
  <c r="D20" i="39"/>
  <c r="C21" i="39" a="1"/>
  <c r="C21" i="39"/>
  <c r="D21" i="39" a="1"/>
  <c r="D21" i="39"/>
  <c r="C22" i="39" a="1"/>
  <c r="C22" i="39"/>
  <c r="D22" i="39" a="1"/>
  <c r="D22" i="39"/>
  <c r="C23" i="39" a="1"/>
  <c r="C23" i="39"/>
  <c r="D23" i="39" a="1"/>
  <c r="D23" i="39"/>
  <c r="C24" i="39" a="1"/>
  <c r="C24" i="39"/>
  <c r="D24" i="39" a="1"/>
  <c r="D24" i="39"/>
  <c r="C25" i="39" a="1"/>
  <c r="C25" i="39"/>
  <c r="D25" i="39" a="1"/>
  <c r="D25" i="39"/>
  <c r="C26" i="39" a="1"/>
  <c r="C26" i="39"/>
  <c r="D26" i="39" a="1"/>
  <c r="D26" i="39"/>
  <c r="E29" i="39"/>
  <c r="E30" i="39"/>
  <c r="E31" i="39"/>
  <c r="E32" i="39"/>
  <c r="E33" i="39"/>
  <c r="E34" i="39"/>
  <c r="E35" i="39"/>
  <c r="E28" i="39"/>
  <c r="E27" i="39"/>
  <c r="E26" i="39"/>
  <c r="E25" i="39"/>
  <c r="E24" i="39"/>
  <c r="E23" i="39"/>
  <c r="E22" i="39"/>
  <c r="E21" i="39"/>
  <c r="E20" i="39"/>
  <c r="E19" i="39"/>
  <c r="E18" i="39"/>
  <c r="E17" i="39"/>
  <c r="AV14" i="39"/>
  <c r="AT14" i="39"/>
  <c r="AR14" i="39"/>
  <c r="AQ14" i="39"/>
  <c r="AP14" i="39"/>
  <c r="AO14" i="39"/>
  <c r="AN14" i="39"/>
  <c r="AV13" i="39"/>
  <c r="AT13" i="39"/>
  <c r="AR13" i="39"/>
  <c r="AQ13" i="39"/>
  <c r="AP13" i="39"/>
  <c r="AO13" i="39"/>
  <c r="AN13" i="39"/>
  <c r="AV12" i="39"/>
  <c r="AT12" i="39"/>
  <c r="AR12" i="39"/>
  <c r="AQ12" i="39"/>
  <c r="AP12" i="39"/>
  <c r="AO12" i="39"/>
  <c r="AN12" i="39"/>
  <c r="C36" i="39" a="1"/>
  <c r="C36" i="39"/>
  <c r="E36" i="39"/>
  <c r="I58" i="39"/>
  <c r="I57" i="39"/>
  <c r="AH46" i="39"/>
  <c r="V44" i="39"/>
  <c r="W44" i="39"/>
  <c r="X44" i="39"/>
  <c r="Y44" i="39"/>
  <c r="Z44" i="39"/>
  <c r="AA44" i="39"/>
  <c r="AC44" i="39"/>
  <c r="AE44" i="39"/>
  <c r="W45" i="39"/>
  <c r="X45" i="39"/>
  <c r="Y45" i="39"/>
  <c r="Z45" i="39"/>
  <c r="AA45" i="39"/>
  <c r="AC45" i="39"/>
  <c r="AE45" i="39"/>
  <c r="V45" i="39"/>
  <c r="D36" i="39" a="1"/>
  <c r="D36" i="39"/>
  <c r="J38" i="39"/>
  <c r="S18" i="22"/>
  <c r="Z68" i="40"/>
  <c r="AB68" i="40"/>
  <c r="AI68" i="40"/>
  <c r="Z72" i="40"/>
  <c r="AB72" i="40"/>
  <c r="AI72" i="40"/>
  <c r="Z76" i="40"/>
  <c r="AB76" i="40"/>
  <c r="AI76" i="40"/>
  <c r="Z80" i="40"/>
  <c r="AB80" i="40"/>
  <c r="AI80" i="40"/>
  <c r="Z140" i="40"/>
  <c r="AA140" i="40"/>
  <c r="AB140" i="40"/>
  <c r="AI140" i="40"/>
  <c r="Z144" i="40"/>
  <c r="AA144" i="40"/>
  <c r="AB144" i="40"/>
  <c r="AI144" i="40"/>
  <c r="Z148" i="40"/>
  <c r="AA148" i="40"/>
  <c r="AB148" i="40"/>
  <c r="AI148" i="40"/>
  <c r="Z152" i="40"/>
  <c r="AA152" i="40"/>
  <c r="AB152" i="40"/>
  <c r="AI152" i="40"/>
  <c r="Z84" i="40"/>
  <c r="AB84" i="40"/>
  <c r="Z88" i="40"/>
  <c r="AB88" i="40"/>
  <c r="AI84" i="40"/>
  <c r="AI88" i="40"/>
  <c r="Z156" i="40"/>
  <c r="AA156" i="40"/>
  <c r="AB156" i="40"/>
  <c r="Z160" i="40"/>
  <c r="AA160" i="40"/>
  <c r="AB160" i="40"/>
  <c r="AI156" i="40"/>
  <c r="AI160" i="40"/>
  <c r="F13" i="40"/>
  <c r="B13" i="40"/>
  <c r="D17" i="40"/>
  <c r="E17" i="40"/>
  <c r="F17" i="40"/>
  <c r="G17" i="40"/>
  <c r="H17" i="40"/>
  <c r="I17" i="40"/>
  <c r="D18" i="40"/>
  <c r="E18" i="40"/>
  <c r="F18" i="40"/>
  <c r="G18" i="40"/>
  <c r="H18" i="40"/>
  <c r="I18" i="40"/>
  <c r="D19" i="40"/>
  <c r="E19" i="40"/>
  <c r="F19" i="40"/>
  <c r="G19" i="40"/>
  <c r="H19" i="40"/>
  <c r="I19" i="40"/>
  <c r="D20" i="40"/>
  <c r="E20" i="40"/>
  <c r="F20" i="40"/>
  <c r="G20" i="40"/>
  <c r="H20" i="40"/>
  <c r="I20" i="40"/>
  <c r="D21" i="40"/>
  <c r="E21" i="40"/>
  <c r="F21" i="40"/>
  <c r="G21" i="40"/>
  <c r="H21" i="40"/>
  <c r="I21" i="40"/>
  <c r="D22" i="40"/>
  <c r="E22" i="40"/>
  <c r="F22" i="40"/>
  <c r="G22" i="40"/>
  <c r="H22" i="40"/>
  <c r="I22" i="40"/>
  <c r="D23" i="40"/>
  <c r="E23" i="40"/>
  <c r="F23" i="40"/>
  <c r="G23" i="40"/>
  <c r="H23" i="40"/>
  <c r="I23" i="40"/>
  <c r="D24" i="40"/>
  <c r="E24" i="40"/>
  <c r="F24" i="40"/>
  <c r="G24" i="40"/>
  <c r="H24" i="40"/>
  <c r="I24" i="40"/>
  <c r="D25" i="40"/>
  <c r="E25" i="40"/>
  <c r="F25" i="40"/>
  <c r="G25" i="40"/>
  <c r="H25" i="40"/>
  <c r="I25" i="40"/>
  <c r="C30" i="40"/>
  <c r="C31" i="40"/>
  <c r="C32" i="40"/>
  <c r="Z68" i="41"/>
  <c r="AI68" i="41"/>
  <c r="Z72" i="41"/>
  <c r="AI72" i="41"/>
  <c r="Z76" i="41"/>
  <c r="AI76" i="41"/>
  <c r="Z80" i="41"/>
  <c r="AI80" i="41"/>
  <c r="Z84" i="41"/>
  <c r="AI84" i="41"/>
  <c r="Z88" i="41"/>
  <c r="AI88" i="41"/>
  <c r="Z140" i="41"/>
  <c r="AA140" i="41"/>
  <c r="AB140" i="41"/>
  <c r="AI140" i="41"/>
  <c r="Z144" i="41"/>
  <c r="AA144" i="41"/>
  <c r="AB144" i="41"/>
  <c r="AI144" i="41"/>
  <c r="Z148" i="41"/>
  <c r="AA148" i="41"/>
  <c r="AB148" i="41"/>
  <c r="AI148" i="41"/>
  <c r="Z152" i="41"/>
  <c r="AA152" i="41"/>
  <c r="AB152" i="41"/>
  <c r="AI152" i="41"/>
  <c r="Z156" i="41"/>
  <c r="AA156" i="41"/>
  <c r="AB156" i="41"/>
  <c r="AI156" i="41"/>
  <c r="Z160" i="41"/>
  <c r="AA160" i="41"/>
  <c r="AB160" i="41"/>
  <c r="AI160" i="41"/>
  <c r="Z68" i="42"/>
  <c r="AI68" i="42"/>
  <c r="Z72" i="42"/>
  <c r="AI72" i="42"/>
  <c r="Z76" i="42"/>
  <c r="AI76" i="42"/>
  <c r="Z80" i="42"/>
  <c r="AI80" i="42"/>
  <c r="Z84" i="42"/>
  <c r="AI84" i="42"/>
  <c r="Z88" i="42"/>
  <c r="AI88" i="42"/>
  <c r="Z140" i="42"/>
  <c r="AA140" i="42"/>
  <c r="AB140" i="42"/>
  <c r="AI140" i="42"/>
  <c r="Z144" i="42"/>
  <c r="AA144" i="42"/>
  <c r="AB144" i="42"/>
  <c r="AI144" i="42"/>
  <c r="Z148" i="42"/>
  <c r="AA148" i="42"/>
  <c r="AB148" i="42"/>
  <c r="AI148" i="42"/>
  <c r="Z152" i="42"/>
  <c r="AA152" i="42"/>
  <c r="AB152" i="42"/>
  <c r="AI152" i="42"/>
  <c r="Z156" i="42"/>
  <c r="AA156" i="42"/>
  <c r="AB156" i="42"/>
  <c r="AI156" i="42"/>
  <c r="Z160" i="42"/>
  <c r="AA160" i="42"/>
  <c r="AB160" i="42"/>
  <c r="AI160" i="42"/>
  <c r="Z68" i="43"/>
  <c r="AI68" i="43"/>
  <c r="Z72" i="43"/>
  <c r="AI72" i="43"/>
  <c r="Z76" i="43"/>
  <c r="AI76" i="43"/>
  <c r="Z80" i="43"/>
  <c r="AI80" i="43"/>
  <c r="Z84" i="43"/>
  <c r="AI84" i="43"/>
  <c r="Z88" i="43"/>
  <c r="AI88" i="43"/>
  <c r="Z140" i="43"/>
  <c r="AA140" i="43"/>
  <c r="AB140" i="43"/>
  <c r="AI140" i="43"/>
  <c r="Z144" i="43"/>
  <c r="AA144" i="43"/>
  <c r="AB144" i="43"/>
  <c r="AI144" i="43"/>
  <c r="Z148" i="43"/>
  <c r="AA148" i="43"/>
  <c r="AB148" i="43"/>
  <c r="AI148" i="43"/>
  <c r="Z152" i="43"/>
  <c r="AA152" i="43"/>
  <c r="AB152" i="43"/>
  <c r="AI152" i="43"/>
  <c r="Z156" i="43"/>
  <c r="AA156" i="43"/>
  <c r="AB156" i="43"/>
  <c r="AI156" i="43"/>
  <c r="Z160" i="43"/>
  <c r="AA160" i="43"/>
  <c r="AB160" i="43"/>
  <c r="AI160" i="43"/>
  <c r="Z68" i="44"/>
  <c r="AI68" i="44"/>
  <c r="Z72" i="44"/>
  <c r="AI72" i="44"/>
  <c r="Z76" i="44"/>
  <c r="AI76" i="44"/>
  <c r="Z80" i="44"/>
  <c r="AI80" i="44"/>
  <c r="Z84" i="44"/>
  <c r="AI84" i="44"/>
  <c r="Z88" i="44"/>
  <c r="AI88" i="44"/>
  <c r="Z140" i="44"/>
  <c r="AA140" i="44"/>
  <c r="AB140" i="44"/>
  <c r="AI140" i="44"/>
  <c r="Z144" i="44"/>
  <c r="AA144" i="44"/>
  <c r="AB144" i="44"/>
  <c r="AI144" i="44"/>
  <c r="Z148" i="44"/>
  <c r="AA148" i="44"/>
  <c r="AB148" i="44"/>
  <c r="AI148" i="44"/>
  <c r="Z152" i="44"/>
  <c r="AA152" i="44"/>
  <c r="AB152" i="44"/>
  <c r="AI152" i="44"/>
  <c r="Z156" i="44"/>
  <c r="AA156" i="44"/>
  <c r="AB156" i="44"/>
  <c r="AI156" i="44"/>
  <c r="Z160" i="44"/>
  <c r="AA160" i="44"/>
  <c r="AB160" i="44"/>
  <c r="AI160" i="44"/>
  <c r="D17" i="41"/>
  <c r="E17" i="41"/>
  <c r="F17" i="41"/>
  <c r="G17" i="41"/>
  <c r="H17" i="41"/>
  <c r="I17" i="41"/>
  <c r="D18" i="41"/>
  <c r="E18" i="41"/>
  <c r="F18" i="41"/>
  <c r="G18" i="41"/>
  <c r="H18" i="41"/>
  <c r="I18" i="41"/>
  <c r="D19" i="41"/>
  <c r="E19" i="41"/>
  <c r="F19" i="41"/>
  <c r="G19" i="41"/>
  <c r="H19" i="41"/>
  <c r="I19" i="41"/>
  <c r="D20" i="41"/>
  <c r="E20" i="41"/>
  <c r="F20" i="41"/>
  <c r="G20" i="41"/>
  <c r="H20" i="41"/>
  <c r="I20" i="41"/>
  <c r="D21" i="41"/>
  <c r="E21" i="41"/>
  <c r="F21" i="41"/>
  <c r="G21" i="41"/>
  <c r="H21" i="41"/>
  <c r="I21" i="41"/>
  <c r="D22" i="41"/>
  <c r="E22" i="41"/>
  <c r="F22" i="41"/>
  <c r="G22" i="41"/>
  <c r="H22" i="41"/>
  <c r="I22" i="41"/>
  <c r="D23" i="41"/>
  <c r="E23" i="41"/>
  <c r="F23" i="41"/>
  <c r="G23" i="41"/>
  <c r="H23" i="41"/>
  <c r="I23" i="41"/>
  <c r="D24" i="41"/>
  <c r="E24" i="41"/>
  <c r="F24" i="41"/>
  <c r="G24" i="41"/>
  <c r="H24" i="41"/>
  <c r="I24" i="41"/>
  <c r="D25" i="41"/>
  <c r="E25" i="41"/>
  <c r="F25" i="41"/>
  <c r="G25" i="41"/>
  <c r="H25" i="41"/>
  <c r="I25" i="41"/>
  <c r="D17" i="42"/>
  <c r="E17" i="42"/>
  <c r="F17" i="42"/>
  <c r="G17" i="42"/>
  <c r="H17" i="42"/>
  <c r="I17" i="42"/>
  <c r="D18" i="42"/>
  <c r="E18" i="42"/>
  <c r="F18" i="42"/>
  <c r="G18" i="42"/>
  <c r="H18" i="42"/>
  <c r="I18" i="42"/>
  <c r="D19" i="42"/>
  <c r="E19" i="42"/>
  <c r="F19" i="42"/>
  <c r="G19" i="42"/>
  <c r="H19" i="42"/>
  <c r="I19" i="42"/>
  <c r="D20" i="42"/>
  <c r="E20" i="42"/>
  <c r="F20" i="42"/>
  <c r="G20" i="42"/>
  <c r="H20" i="42"/>
  <c r="I20" i="42"/>
  <c r="D21" i="42"/>
  <c r="E21" i="42"/>
  <c r="F21" i="42"/>
  <c r="G21" i="42"/>
  <c r="H21" i="42"/>
  <c r="I21" i="42"/>
  <c r="D22" i="42"/>
  <c r="E22" i="42"/>
  <c r="F22" i="42"/>
  <c r="G22" i="42"/>
  <c r="H22" i="42"/>
  <c r="I22" i="42"/>
  <c r="D23" i="42"/>
  <c r="E23" i="42"/>
  <c r="F23" i="42"/>
  <c r="G23" i="42"/>
  <c r="H23" i="42"/>
  <c r="I23" i="42"/>
  <c r="D24" i="42"/>
  <c r="E24" i="42"/>
  <c r="F24" i="42"/>
  <c r="G24" i="42"/>
  <c r="H24" i="42"/>
  <c r="I24" i="42"/>
  <c r="D25" i="42"/>
  <c r="E25" i="42"/>
  <c r="F25" i="42"/>
  <c r="G25" i="42"/>
  <c r="H25" i="42"/>
  <c r="I25" i="42"/>
  <c r="D17" i="43"/>
  <c r="E17" i="43"/>
  <c r="F17" i="43"/>
  <c r="G17" i="43"/>
  <c r="H17" i="43"/>
  <c r="I17" i="43"/>
  <c r="D18" i="43"/>
  <c r="E18" i="43"/>
  <c r="F18" i="43"/>
  <c r="G18" i="43"/>
  <c r="H18" i="43"/>
  <c r="I18" i="43"/>
  <c r="D19" i="43"/>
  <c r="E19" i="43"/>
  <c r="F19" i="43"/>
  <c r="G19" i="43"/>
  <c r="H19" i="43"/>
  <c r="I19" i="43"/>
  <c r="D20" i="43"/>
  <c r="E20" i="43"/>
  <c r="F20" i="43"/>
  <c r="G20" i="43"/>
  <c r="H20" i="43"/>
  <c r="I20" i="43"/>
  <c r="D21" i="43"/>
  <c r="E21" i="43"/>
  <c r="F21" i="43"/>
  <c r="G21" i="43"/>
  <c r="H21" i="43"/>
  <c r="I21" i="43"/>
  <c r="D22" i="43"/>
  <c r="E22" i="43"/>
  <c r="F22" i="43"/>
  <c r="G22" i="43"/>
  <c r="H22" i="43"/>
  <c r="I22" i="43"/>
  <c r="D23" i="43"/>
  <c r="E23" i="43"/>
  <c r="F23" i="43"/>
  <c r="G23" i="43"/>
  <c r="H23" i="43"/>
  <c r="I23" i="43"/>
  <c r="D24" i="43"/>
  <c r="E24" i="43"/>
  <c r="F24" i="43"/>
  <c r="G24" i="43"/>
  <c r="H24" i="43"/>
  <c r="I24" i="43"/>
  <c r="D25" i="43"/>
  <c r="E25" i="43"/>
  <c r="F25" i="43"/>
  <c r="G25" i="43"/>
  <c r="H25" i="43"/>
  <c r="I25" i="43"/>
  <c r="D17" i="44"/>
  <c r="E17" i="44"/>
  <c r="F17" i="44"/>
  <c r="G17" i="44"/>
  <c r="H17" i="44"/>
  <c r="I17" i="44"/>
  <c r="D18" i="44"/>
  <c r="E18" i="44"/>
  <c r="F18" i="44"/>
  <c r="G18" i="44"/>
  <c r="H18" i="44"/>
  <c r="I18" i="44"/>
  <c r="D19" i="44"/>
  <c r="E19" i="44"/>
  <c r="F19" i="44"/>
  <c r="G19" i="44"/>
  <c r="H19" i="44"/>
  <c r="I19" i="44"/>
  <c r="D20" i="44"/>
  <c r="E20" i="44"/>
  <c r="F20" i="44"/>
  <c r="G20" i="44"/>
  <c r="H20" i="44"/>
  <c r="I20" i="44"/>
  <c r="D21" i="44"/>
  <c r="E21" i="44"/>
  <c r="F21" i="44"/>
  <c r="G21" i="44"/>
  <c r="H21" i="44"/>
  <c r="I21" i="44"/>
  <c r="D22" i="44"/>
  <c r="E22" i="44"/>
  <c r="F22" i="44"/>
  <c r="G22" i="44"/>
  <c r="H22" i="44"/>
  <c r="I22" i="44"/>
  <c r="D23" i="44"/>
  <c r="E23" i="44"/>
  <c r="F23" i="44"/>
  <c r="G23" i="44"/>
  <c r="H23" i="44"/>
  <c r="I23" i="44"/>
  <c r="D24" i="44"/>
  <c r="E24" i="44"/>
  <c r="F24" i="44"/>
  <c r="G24" i="44"/>
  <c r="H24" i="44"/>
  <c r="I24" i="44"/>
  <c r="D25" i="44"/>
  <c r="E25" i="44"/>
  <c r="F25" i="44"/>
  <c r="G25" i="44"/>
  <c r="H25" i="44"/>
  <c r="I25" i="44"/>
  <c r="C7" i="45"/>
  <c r="C8" i="45"/>
  <c r="C9" i="45"/>
  <c r="C10" i="45"/>
  <c r="C11" i="45"/>
  <c r="C12" i="45"/>
  <c r="Z17" i="45"/>
  <c r="Z18" i="45"/>
  <c r="Z19" i="45"/>
  <c r="Z20" i="45"/>
  <c r="Z21" i="45"/>
  <c r="Z22" i="45"/>
  <c r="Z23" i="45"/>
  <c r="Z24" i="45"/>
  <c r="Z25" i="45"/>
  <c r="Z70" i="26"/>
  <c r="AB70" i="26"/>
  <c r="Z71" i="26"/>
  <c r="AB71" i="26"/>
  <c r="Z72" i="26"/>
  <c r="AB72" i="26"/>
  <c r="Z73" i="26"/>
  <c r="AB73" i="26"/>
  <c r="Z74" i="26"/>
  <c r="AB74" i="26"/>
  <c r="Z75" i="26"/>
  <c r="AB75" i="26"/>
  <c r="Z142" i="26"/>
  <c r="AA142" i="26"/>
  <c r="AB142" i="26"/>
  <c r="Z143" i="26"/>
  <c r="AA143" i="26"/>
  <c r="AB143" i="26"/>
  <c r="Z144" i="26"/>
  <c r="AA144" i="26"/>
  <c r="AB144" i="26"/>
  <c r="Z145" i="26"/>
  <c r="AA145" i="26"/>
  <c r="AB145" i="26"/>
  <c r="Z146" i="26"/>
  <c r="AA146" i="26"/>
  <c r="AB146" i="26"/>
  <c r="Z147" i="26"/>
  <c r="AA147" i="26"/>
  <c r="AB147" i="26"/>
  <c r="AI70" i="26"/>
  <c r="AI71" i="26"/>
  <c r="AI72" i="26"/>
  <c r="AI73" i="26"/>
  <c r="AI74" i="26"/>
  <c r="AI75" i="26"/>
  <c r="AI142" i="26"/>
  <c r="AI143" i="26"/>
  <c r="AI144" i="26"/>
  <c r="AI145" i="26"/>
  <c r="AI146" i="26"/>
  <c r="AI147" i="26"/>
  <c r="Z70" i="27"/>
  <c r="AI70" i="27"/>
  <c r="Z71" i="27"/>
  <c r="AI71" i="27"/>
  <c r="Z72" i="27"/>
  <c r="AI72" i="27"/>
  <c r="Z73" i="27"/>
  <c r="AI73" i="27"/>
  <c r="Z74" i="27"/>
  <c r="AI74" i="27"/>
  <c r="Z75" i="27"/>
  <c r="AI75" i="27"/>
  <c r="Z142" i="27"/>
  <c r="AA142" i="27"/>
  <c r="AB142" i="27"/>
  <c r="AI142" i="27"/>
  <c r="Z143" i="27"/>
  <c r="AA143" i="27"/>
  <c r="AB143" i="27"/>
  <c r="AI143" i="27"/>
  <c r="Z144" i="27"/>
  <c r="AA144" i="27"/>
  <c r="AB144" i="27"/>
  <c r="AI144" i="27"/>
  <c r="Z145" i="27"/>
  <c r="AA145" i="27"/>
  <c r="AB145" i="27"/>
  <c r="AI145" i="27"/>
  <c r="Z146" i="27"/>
  <c r="AA146" i="27"/>
  <c r="AB146" i="27"/>
  <c r="AI146" i="27"/>
  <c r="Z147" i="27"/>
  <c r="AA147" i="27"/>
  <c r="AB147" i="27"/>
  <c r="AI147" i="27"/>
  <c r="Z70" i="28"/>
  <c r="AI70" i="28"/>
  <c r="Z71" i="28"/>
  <c r="AI71" i="28"/>
  <c r="Z72" i="28"/>
  <c r="AI72" i="28"/>
  <c r="Z73" i="28"/>
  <c r="AI73" i="28"/>
  <c r="Z74" i="28"/>
  <c r="AI74" i="28"/>
  <c r="Z75" i="28"/>
  <c r="AI75" i="28"/>
  <c r="Z142" i="28"/>
  <c r="AA142" i="28"/>
  <c r="AB142" i="28"/>
  <c r="AI142" i="28"/>
  <c r="Z143" i="28"/>
  <c r="AA143" i="28"/>
  <c r="AB143" i="28"/>
  <c r="AI143" i="28"/>
  <c r="Z144" i="28"/>
  <c r="AA144" i="28"/>
  <c r="AB144" i="28"/>
  <c r="AI144" i="28"/>
  <c r="Z145" i="28"/>
  <c r="AA145" i="28"/>
  <c r="AB145" i="28"/>
  <c r="AI145" i="28"/>
  <c r="Z146" i="28"/>
  <c r="AA146" i="28"/>
  <c r="AB146" i="28"/>
  <c r="AI146" i="28"/>
  <c r="Z147" i="28"/>
  <c r="AA147" i="28"/>
  <c r="AB147" i="28"/>
  <c r="AI147" i="28"/>
  <c r="Z70" i="29"/>
  <c r="AI70" i="29"/>
  <c r="Z71" i="29"/>
  <c r="AI71" i="29"/>
  <c r="Z72" i="29"/>
  <c r="AI72" i="29"/>
  <c r="Z73" i="29"/>
  <c r="AI73" i="29"/>
  <c r="Z74" i="29"/>
  <c r="AI74" i="29"/>
  <c r="Z75" i="29"/>
  <c r="AI75" i="29"/>
  <c r="Z142" i="29"/>
  <c r="AA142" i="29"/>
  <c r="AB142" i="29"/>
  <c r="AI142" i="29"/>
  <c r="Z143" i="29"/>
  <c r="AA143" i="29"/>
  <c r="AB143" i="29"/>
  <c r="AI143" i="29"/>
  <c r="Z144" i="29"/>
  <c r="AA144" i="29"/>
  <c r="AB144" i="29"/>
  <c r="AI144" i="29"/>
  <c r="Z145" i="29"/>
  <c r="AA145" i="29"/>
  <c r="AB145" i="29"/>
  <c r="AI145" i="29"/>
  <c r="Z146" i="29"/>
  <c r="AA146" i="29"/>
  <c r="AB146" i="29"/>
  <c r="AI146" i="29"/>
  <c r="Z147" i="29"/>
  <c r="AA147" i="29"/>
  <c r="AB147" i="29"/>
  <c r="AI147" i="29"/>
  <c r="Z70" i="30"/>
  <c r="AI70" i="30"/>
  <c r="Z71" i="30"/>
  <c r="AI71" i="30"/>
  <c r="Z72" i="30"/>
  <c r="AI72" i="30"/>
  <c r="Z73" i="30"/>
  <c r="AI73" i="30"/>
  <c r="Z74" i="30"/>
  <c r="AI74" i="30"/>
  <c r="Z75" i="30"/>
  <c r="AI75" i="30"/>
  <c r="Z142" i="30"/>
  <c r="AA142" i="30"/>
  <c r="AB142" i="30"/>
  <c r="AI142" i="30"/>
  <c r="Z143" i="30"/>
  <c r="AA143" i="30"/>
  <c r="AB143" i="30"/>
  <c r="AI143" i="30"/>
  <c r="Z144" i="30"/>
  <c r="AA144" i="30"/>
  <c r="AB144" i="30"/>
  <c r="AI144" i="30"/>
  <c r="Z145" i="30"/>
  <c r="AA145" i="30"/>
  <c r="AB145" i="30"/>
  <c r="AI145" i="30"/>
  <c r="Z146" i="30"/>
  <c r="AA146" i="30"/>
  <c r="AB146" i="30"/>
  <c r="AI146" i="30"/>
  <c r="Z147" i="30"/>
  <c r="AA147" i="30"/>
  <c r="AB147" i="30"/>
  <c r="AI147" i="30"/>
  <c r="Z70" i="31"/>
  <c r="AI70" i="31"/>
  <c r="Z71" i="31"/>
  <c r="AI71" i="31"/>
  <c r="Z72" i="31"/>
  <c r="AI72" i="31"/>
  <c r="Z73" i="31"/>
  <c r="AI73" i="31"/>
  <c r="Z74" i="31"/>
  <c r="AI74" i="31"/>
  <c r="Z75" i="31"/>
  <c r="AI75" i="31"/>
  <c r="Z142" i="31"/>
  <c r="AA142" i="31"/>
  <c r="AB142" i="31"/>
  <c r="AI142" i="31"/>
  <c r="Z143" i="31"/>
  <c r="AA143" i="31"/>
  <c r="AB143" i="31"/>
  <c r="AI143" i="31"/>
  <c r="Z144" i="31"/>
  <c r="AA144" i="31"/>
  <c r="AB144" i="31"/>
  <c r="AI144" i="31"/>
  <c r="Z145" i="31"/>
  <c r="AA145" i="31"/>
  <c r="AB145" i="31"/>
  <c r="AI145" i="31"/>
  <c r="Z146" i="31"/>
  <c r="AA146" i="31"/>
  <c r="AB146" i="31"/>
  <c r="AI146" i="31"/>
  <c r="Z147" i="31"/>
  <c r="AA147" i="31"/>
  <c r="AB147" i="31"/>
  <c r="AI147" i="31"/>
  <c r="Z25" i="25"/>
  <c r="Z24" i="25"/>
  <c r="Z23" i="25"/>
  <c r="Z22" i="25"/>
  <c r="C32" i="48"/>
  <c r="I19" i="48"/>
  <c r="G19" i="48"/>
  <c r="F19" i="48"/>
  <c r="E19" i="48"/>
  <c r="D19" i="48"/>
  <c r="C32" i="47"/>
  <c r="I19" i="47"/>
  <c r="G19" i="47"/>
  <c r="F19" i="47"/>
  <c r="E19" i="47"/>
  <c r="D19" i="47"/>
  <c r="C32" i="46"/>
  <c r="I19" i="46"/>
  <c r="G19" i="46"/>
  <c r="F19" i="46"/>
  <c r="E19" i="46"/>
  <c r="D19" i="46"/>
  <c r="C32" i="37"/>
  <c r="I19" i="37"/>
  <c r="G19" i="37"/>
  <c r="F19" i="37"/>
  <c r="E19" i="37"/>
  <c r="D19" i="37"/>
  <c r="C40" i="35"/>
  <c r="C39" i="35"/>
  <c r="K34" i="35"/>
  <c r="K40" i="35"/>
  <c r="C38" i="35"/>
  <c r="J34" i="35"/>
  <c r="J40" i="35"/>
  <c r="C37" i="35"/>
  <c r="I34" i="35"/>
  <c r="I40" i="35"/>
  <c r="C36" i="35"/>
  <c r="H34" i="35"/>
  <c r="H40" i="35"/>
  <c r="C35" i="35"/>
  <c r="G34" i="35"/>
  <c r="G40" i="35"/>
  <c r="E40" i="35"/>
  <c r="D40" i="35"/>
  <c r="B40" i="35"/>
  <c r="L34" i="35"/>
  <c r="L39" i="35"/>
  <c r="J39" i="35"/>
  <c r="I39" i="35"/>
  <c r="H39" i="35"/>
  <c r="G39" i="35"/>
  <c r="E39" i="35"/>
  <c r="D39" i="35"/>
  <c r="B39" i="35"/>
  <c r="L38" i="35"/>
  <c r="K38" i="35"/>
  <c r="I38" i="35"/>
  <c r="H38" i="35"/>
  <c r="G38" i="35"/>
  <c r="E38" i="35"/>
  <c r="D38" i="35"/>
  <c r="B38" i="35"/>
  <c r="L37" i="35"/>
  <c r="K37" i="35"/>
  <c r="J37" i="35"/>
  <c r="H37" i="35"/>
  <c r="G37" i="35"/>
  <c r="E37" i="35"/>
  <c r="D37" i="35"/>
  <c r="B37" i="35"/>
  <c r="L36" i="35"/>
  <c r="K36" i="35"/>
  <c r="J36" i="35"/>
  <c r="I36" i="35"/>
  <c r="G36" i="35"/>
  <c r="E36" i="35"/>
  <c r="D36" i="35"/>
  <c r="B36" i="35"/>
  <c r="L35" i="35"/>
  <c r="K35" i="35"/>
  <c r="J35" i="35"/>
  <c r="I35" i="35"/>
  <c r="H35" i="35"/>
  <c r="E35" i="35"/>
  <c r="D35" i="35"/>
  <c r="B35" i="35"/>
  <c r="C31" i="35"/>
  <c r="C30" i="35"/>
  <c r="K25" i="35"/>
  <c r="K31" i="35"/>
  <c r="C29" i="35"/>
  <c r="J25" i="35"/>
  <c r="J31" i="35"/>
  <c r="C28" i="35"/>
  <c r="I25" i="35"/>
  <c r="I31" i="35"/>
  <c r="C27" i="35"/>
  <c r="H25" i="35"/>
  <c r="H31" i="35"/>
  <c r="C26" i="35"/>
  <c r="G25" i="35"/>
  <c r="G31" i="35"/>
  <c r="E31" i="35"/>
  <c r="D31" i="35"/>
  <c r="B31" i="35"/>
  <c r="L25" i="35"/>
  <c r="L30" i="35"/>
  <c r="J30" i="35"/>
  <c r="I30" i="35"/>
  <c r="H30" i="35"/>
  <c r="G30" i="35"/>
  <c r="E30" i="35"/>
  <c r="D30" i="35"/>
  <c r="B30" i="35"/>
  <c r="L29" i="35"/>
  <c r="K29" i="35"/>
  <c r="I29" i="35"/>
  <c r="H29" i="35"/>
  <c r="G29" i="35"/>
  <c r="E29" i="35"/>
  <c r="D29" i="35"/>
  <c r="B29" i="35"/>
  <c r="L28" i="35"/>
  <c r="K28" i="35"/>
  <c r="J28" i="35"/>
  <c r="H28" i="35"/>
  <c r="G28" i="35"/>
  <c r="E28" i="35"/>
  <c r="D28" i="35"/>
  <c r="B28" i="35"/>
  <c r="L27" i="35"/>
  <c r="K27" i="35"/>
  <c r="J27" i="35"/>
  <c r="I27" i="35"/>
  <c r="G27" i="35"/>
  <c r="E27" i="35"/>
  <c r="D27" i="35"/>
  <c r="B27" i="35"/>
  <c r="L26" i="35"/>
  <c r="K26" i="35"/>
  <c r="J26" i="35"/>
  <c r="I26" i="35"/>
  <c r="H26" i="35"/>
  <c r="E26" i="35"/>
  <c r="D26" i="35"/>
  <c r="B26" i="35"/>
  <c r="Z18" i="25"/>
  <c r="Z20" i="25"/>
  <c r="C22" i="35"/>
  <c r="C21" i="35"/>
  <c r="K16" i="35"/>
  <c r="K22" i="35"/>
  <c r="C20" i="35"/>
  <c r="J16" i="35"/>
  <c r="J22" i="35"/>
  <c r="C19" i="35"/>
  <c r="I16" i="35"/>
  <c r="I22" i="35"/>
  <c r="C18" i="35"/>
  <c r="H16" i="35"/>
  <c r="H22" i="35"/>
  <c r="C17" i="35"/>
  <c r="G16" i="35"/>
  <c r="G22" i="35"/>
  <c r="E22" i="35"/>
  <c r="D22" i="35"/>
  <c r="B22" i="35"/>
  <c r="L16" i="35"/>
  <c r="L21" i="35"/>
  <c r="J21" i="35"/>
  <c r="I21" i="35"/>
  <c r="H21" i="35"/>
  <c r="G21" i="35"/>
  <c r="E21" i="35"/>
  <c r="D21" i="35"/>
  <c r="B21" i="35"/>
  <c r="L20" i="35"/>
  <c r="K20" i="35"/>
  <c r="I20" i="35"/>
  <c r="H20" i="35"/>
  <c r="G20" i="35"/>
  <c r="E20" i="35"/>
  <c r="D20" i="35"/>
  <c r="B20" i="35"/>
  <c r="L19" i="35"/>
  <c r="K19" i="35"/>
  <c r="J19" i="35"/>
  <c r="H19" i="35"/>
  <c r="G19" i="35"/>
  <c r="E19" i="35"/>
  <c r="D19" i="35"/>
  <c r="B19" i="35"/>
  <c r="L18" i="35"/>
  <c r="K18" i="35"/>
  <c r="J18" i="35"/>
  <c r="I18" i="35"/>
  <c r="G18" i="35"/>
  <c r="E18" i="35"/>
  <c r="D18" i="35"/>
  <c r="B18" i="35"/>
  <c r="L17" i="35"/>
  <c r="K17" i="35"/>
  <c r="J17" i="35"/>
  <c r="I17" i="35"/>
  <c r="H17" i="35"/>
  <c r="E17" i="35"/>
  <c r="D17" i="35"/>
  <c r="B17" i="35"/>
  <c r="Z17" i="25"/>
  <c r="Z21" i="25"/>
  <c r="C13" i="35"/>
  <c r="C12" i="35"/>
  <c r="K7" i="35"/>
  <c r="K13" i="35"/>
  <c r="C11" i="35"/>
  <c r="J7" i="35"/>
  <c r="J13" i="35"/>
  <c r="C10" i="35"/>
  <c r="I7" i="35"/>
  <c r="I13" i="35"/>
  <c r="C9" i="35"/>
  <c r="H7" i="35"/>
  <c r="H13" i="35"/>
  <c r="C8" i="35"/>
  <c r="G7" i="35"/>
  <c r="G13" i="35"/>
  <c r="E13" i="35"/>
  <c r="D13" i="35"/>
  <c r="B13" i="35"/>
  <c r="L7" i="35"/>
  <c r="L12" i="35"/>
  <c r="J12" i="35"/>
  <c r="I12" i="35"/>
  <c r="H12" i="35"/>
  <c r="G12" i="35"/>
  <c r="E12" i="35"/>
  <c r="D12" i="35"/>
  <c r="B12" i="35"/>
  <c r="L11" i="35"/>
  <c r="K11" i="35"/>
  <c r="I11" i="35"/>
  <c r="H11" i="35"/>
  <c r="G11" i="35"/>
  <c r="E11" i="35"/>
  <c r="D11" i="35"/>
  <c r="B11" i="35"/>
  <c r="L10" i="35"/>
  <c r="K10" i="35"/>
  <c r="J10" i="35"/>
  <c r="H10" i="35"/>
  <c r="G10" i="35"/>
  <c r="E10" i="35"/>
  <c r="D10" i="35"/>
  <c r="B10" i="35"/>
  <c r="L9" i="35"/>
  <c r="K9" i="35"/>
  <c r="J9" i="35"/>
  <c r="I9" i="35"/>
  <c r="G9" i="35"/>
  <c r="E9" i="35"/>
  <c r="D9" i="35"/>
  <c r="B9" i="35"/>
  <c r="L8" i="35"/>
  <c r="K8" i="35"/>
  <c r="J8" i="35"/>
  <c r="I8" i="35"/>
  <c r="H8" i="35"/>
  <c r="E8" i="35"/>
  <c r="D8" i="35"/>
  <c r="B8" i="35"/>
  <c r="M40" i="35"/>
  <c r="M39" i="35"/>
  <c r="M38" i="35"/>
  <c r="M37" i="35"/>
  <c r="M36" i="35"/>
  <c r="M35" i="35"/>
  <c r="L33" i="35"/>
  <c r="K33" i="35"/>
  <c r="J33" i="35"/>
  <c r="I33" i="35"/>
  <c r="H33" i="35"/>
  <c r="G33" i="35"/>
  <c r="M31" i="35"/>
  <c r="M30" i="35"/>
  <c r="M29" i="35"/>
  <c r="M28" i="35"/>
  <c r="M27" i="35"/>
  <c r="M26" i="35"/>
  <c r="L24" i="35"/>
  <c r="K24" i="35"/>
  <c r="J24" i="35"/>
  <c r="I24" i="35"/>
  <c r="H24" i="35"/>
  <c r="G24" i="35"/>
  <c r="M22" i="35"/>
  <c r="M21" i="35"/>
  <c r="M20" i="35"/>
  <c r="M19" i="35"/>
  <c r="M18" i="35"/>
  <c r="M17" i="35"/>
  <c r="L15" i="35"/>
  <c r="K15" i="35"/>
  <c r="J15" i="35"/>
  <c r="I15" i="35"/>
  <c r="H15" i="35"/>
  <c r="G15" i="35"/>
  <c r="M13" i="35"/>
  <c r="M12" i="35"/>
  <c r="M11" i="35"/>
  <c r="M10" i="35"/>
  <c r="M9" i="35"/>
  <c r="M8" i="35"/>
  <c r="L6" i="35"/>
  <c r="K6" i="35"/>
  <c r="J6" i="35"/>
  <c r="I6" i="35"/>
  <c r="H6" i="35"/>
  <c r="G6" i="35"/>
  <c r="C32" i="33"/>
  <c r="I19" i="33"/>
  <c r="G19" i="33"/>
  <c r="F19" i="33"/>
  <c r="E19" i="33"/>
  <c r="D19" i="33"/>
  <c r="Q33" i="6"/>
  <c r="Q34" i="6"/>
  <c r="Q35" i="6"/>
  <c r="Q36" i="6"/>
  <c r="Q37" i="6"/>
  <c r="S33" i="6"/>
  <c r="T33" i="6"/>
  <c r="U33" i="6"/>
  <c r="V33" i="6"/>
  <c r="Z33" i="6"/>
  <c r="AB33" i="6"/>
  <c r="S34" i="6"/>
  <c r="T34" i="6"/>
  <c r="U34" i="6"/>
  <c r="V34" i="6"/>
  <c r="Z34" i="6"/>
  <c r="AB34" i="6"/>
  <c r="S35" i="6"/>
  <c r="T35" i="6"/>
  <c r="U35" i="6"/>
  <c r="V35" i="6"/>
  <c r="Z35" i="6"/>
  <c r="AB35" i="6"/>
  <c r="S36" i="6"/>
  <c r="T36" i="6"/>
  <c r="U36" i="6"/>
  <c r="V36" i="6"/>
  <c r="Z36" i="6"/>
  <c r="AB36" i="6"/>
  <c r="S37" i="6"/>
  <c r="T37" i="6"/>
  <c r="U37" i="6"/>
  <c r="V37" i="6"/>
  <c r="Z37" i="6"/>
  <c r="AB37" i="6"/>
  <c r="AB32" i="6"/>
  <c r="Z32" i="6"/>
  <c r="V32" i="6"/>
  <c r="U32" i="6"/>
  <c r="T32" i="6"/>
  <c r="S32" i="6"/>
  <c r="AK37" i="6"/>
  <c r="AK36" i="6"/>
  <c r="AK35" i="6"/>
  <c r="AK34" i="6"/>
  <c r="AK33" i="6"/>
  <c r="AK32" i="6"/>
  <c r="AJ30" i="6"/>
  <c r="AI30" i="6"/>
  <c r="AH30" i="6"/>
  <c r="AG30" i="6"/>
  <c r="AF30" i="6"/>
  <c r="AE30" i="6"/>
  <c r="F8" i="35"/>
  <c r="F9" i="35"/>
  <c r="F10" i="35"/>
  <c r="F11" i="35"/>
  <c r="F12" i="35"/>
  <c r="F13" i="35"/>
  <c r="Z19" i="25"/>
  <c r="F17" i="35"/>
  <c r="F18" i="35"/>
  <c r="F19" i="35"/>
  <c r="F20" i="35"/>
  <c r="F21" i="35"/>
  <c r="F22" i="35"/>
  <c r="F26" i="35"/>
  <c r="F27" i="35"/>
  <c r="F28" i="35"/>
  <c r="F29" i="35"/>
  <c r="F30" i="35"/>
  <c r="F31" i="35"/>
  <c r="F35" i="35"/>
  <c r="F36" i="35"/>
  <c r="F37" i="35"/>
  <c r="F38" i="35"/>
  <c r="F39" i="35"/>
  <c r="F40" i="35"/>
  <c r="C32" i="26"/>
  <c r="C32" i="27"/>
  <c r="C32" i="28"/>
  <c r="C32" i="29"/>
  <c r="C32" i="30"/>
  <c r="C32" i="31"/>
  <c r="D19" i="45"/>
  <c r="E19" i="45"/>
  <c r="F19" i="45"/>
  <c r="G19" i="45"/>
  <c r="H19" i="45"/>
  <c r="I19" i="45"/>
  <c r="C32" i="45"/>
  <c r="E30" i="48" a="1"/>
  <c r="E30" i="48"/>
  <c r="AA17" i="48"/>
  <c r="W17" i="48"/>
  <c r="E31" i="48" a="1"/>
  <c r="E31" i="48"/>
  <c r="AA18" i="48"/>
  <c r="W18" i="48"/>
  <c r="E32" i="48" a="1"/>
  <c r="E32" i="48"/>
  <c r="AA19" i="48"/>
  <c r="W19" i="48"/>
  <c r="Z25" i="48"/>
  <c r="Z24" i="48"/>
  <c r="Z23" i="48"/>
  <c r="Z22" i="48"/>
  <c r="Z21" i="48"/>
  <c r="Z20" i="48"/>
  <c r="Z19" i="48"/>
  <c r="Z18" i="48"/>
  <c r="Z17" i="48"/>
  <c r="AG25" i="48"/>
  <c r="AH25" i="48"/>
  <c r="AG24" i="48"/>
  <c r="AH24" i="48"/>
  <c r="AG23" i="48"/>
  <c r="AH23" i="48"/>
  <c r="AG22" i="48"/>
  <c r="AH22" i="48"/>
  <c r="AG21" i="48"/>
  <c r="AH21" i="48"/>
  <c r="AG20" i="48"/>
  <c r="AH20" i="48"/>
  <c r="AG19" i="48"/>
  <c r="AH19" i="48"/>
  <c r="AG18" i="48"/>
  <c r="AH18" i="48"/>
  <c r="AG17" i="48"/>
  <c r="AH17" i="48"/>
  <c r="X17" i="48"/>
  <c r="X18" i="48"/>
  <c r="X19" i="48"/>
  <c r="X20" i="48"/>
  <c r="X21" i="48"/>
  <c r="X22" i="48"/>
  <c r="X23" i="48"/>
  <c r="X24" i="48"/>
  <c r="X25" i="48"/>
  <c r="E4" i="48"/>
  <c r="D4" i="48"/>
  <c r="E5" i="48"/>
  <c r="D5" i="48"/>
  <c r="E6" i="48"/>
  <c r="D6" i="48"/>
  <c r="E7" i="48"/>
  <c r="D7" i="48"/>
  <c r="E8" i="48"/>
  <c r="D8" i="48"/>
  <c r="E9" i="48"/>
  <c r="D9" i="48"/>
  <c r="E10" i="48"/>
  <c r="D10" i="48"/>
  <c r="E11" i="48"/>
  <c r="D11" i="48"/>
  <c r="E12" i="48"/>
  <c r="D12" i="48"/>
  <c r="C4" i="48"/>
  <c r="C5" i="48"/>
  <c r="C6" i="48"/>
  <c r="C7" i="48"/>
  <c r="C8" i="48"/>
  <c r="C9" i="48"/>
  <c r="C10" i="48"/>
  <c r="C11" i="48"/>
  <c r="C12" i="48"/>
  <c r="Z25" i="27"/>
  <c r="Z24" i="27"/>
  <c r="Z23" i="27"/>
  <c r="Z22" i="27"/>
  <c r="Z21" i="27"/>
  <c r="Z20" i="27"/>
  <c r="Z19" i="27"/>
  <c r="Z18" i="27"/>
  <c r="Z17" i="27"/>
  <c r="W19" i="21"/>
  <c r="X19" i="21"/>
  <c r="Y19" i="21"/>
  <c r="Z19" i="21"/>
  <c r="AA19" i="21"/>
  <c r="AC19" i="21"/>
  <c r="AE19" i="21"/>
  <c r="W20" i="21"/>
  <c r="X20" i="21"/>
  <c r="Y20" i="21"/>
  <c r="Z20" i="21"/>
  <c r="AA20" i="21"/>
  <c r="AC20" i="21"/>
  <c r="AE20" i="21"/>
  <c r="W21" i="21"/>
  <c r="X21" i="21"/>
  <c r="Y21" i="21"/>
  <c r="Z21" i="21"/>
  <c r="AA21" i="21"/>
  <c r="AC21" i="21"/>
  <c r="AE21" i="21"/>
  <c r="U20" i="21"/>
  <c r="U21" i="21"/>
  <c r="V20" i="21"/>
  <c r="I38" i="21"/>
  <c r="V21" i="21"/>
  <c r="I39" i="21"/>
  <c r="V19" i="21"/>
  <c r="I37" i="21"/>
  <c r="AG25" i="27"/>
  <c r="AH25" i="27"/>
  <c r="AG24" i="27"/>
  <c r="AH24" i="27"/>
  <c r="AG23" i="27"/>
  <c r="AH23" i="27"/>
  <c r="AG22" i="27"/>
  <c r="AH22" i="27"/>
  <c r="AG21" i="27"/>
  <c r="AH21" i="27"/>
  <c r="AG20" i="27"/>
  <c r="AH20" i="27"/>
  <c r="AG19" i="27"/>
  <c r="AH19" i="27"/>
  <c r="AG18" i="27"/>
  <c r="AH18" i="27"/>
  <c r="AG17" i="27"/>
  <c r="AH17" i="27"/>
  <c r="Z25" i="28"/>
  <c r="Z24" i="28"/>
  <c r="Z23" i="28"/>
  <c r="Z22" i="28"/>
  <c r="Z21" i="28"/>
  <c r="Z20" i="28"/>
  <c r="Z19" i="28"/>
  <c r="Z18" i="28"/>
  <c r="Z17" i="28"/>
  <c r="W26" i="21"/>
  <c r="X26" i="21"/>
  <c r="Y26" i="21"/>
  <c r="Z26" i="21"/>
  <c r="AA26" i="21"/>
  <c r="AC26" i="21"/>
  <c r="AE26" i="21"/>
  <c r="W27" i="21"/>
  <c r="X27" i="21"/>
  <c r="Y27" i="21"/>
  <c r="Z27" i="21"/>
  <c r="AA27" i="21"/>
  <c r="AC27" i="21"/>
  <c r="AE27" i="21"/>
  <c r="U27" i="21"/>
  <c r="U28" i="21"/>
  <c r="W28" i="21"/>
  <c r="X28" i="21"/>
  <c r="Y28" i="21"/>
  <c r="Z28" i="21"/>
  <c r="AA28" i="21"/>
  <c r="AC28" i="21"/>
  <c r="AE28" i="21"/>
  <c r="V27" i="21"/>
  <c r="I41" i="21"/>
  <c r="V28" i="21"/>
  <c r="I42" i="21"/>
  <c r="V26" i="21"/>
  <c r="I40" i="21"/>
  <c r="AG25" i="28"/>
  <c r="AH25" i="28"/>
  <c r="AG24" i="28"/>
  <c r="AH24" i="28"/>
  <c r="AG23" i="28"/>
  <c r="AH23" i="28"/>
  <c r="AG22" i="28"/>
  <c r="AH22" i="28"/>
  <c r="AG21" i="28"/>
  <c r="AH21" i="28"/>
  <c r="AG20" i="28"/>
  <c r="AH20" i="28"/>
  <c r="AG19" i="28"/>
  <c r="AH19" i="28"/>
  <c r="AG18" i="28"/>
  <c r="AH18" i="28"/>
  <c r="AG17" i="28"/>
  <c r="AH17" i="28"/>
  <c r="C7" i="28"/>
  <c r="C8" i="28"/>
  <c r="C9" i="28"/>
  <c r="C10" i="28"/>
  <c r="C11" i="28"/>
  <c r="C12" i="28"/>
  <c r="Z25" i="29"/>
  <c r="Z24" i="29"/>
  <c r="Z23" i="29"/>
  <c r="Z22" i="29"/>
  <c r="Z21" i="29"/>
  <c r="Z20" i="29"/>
  <c r="Z19" i="29"/>
  <c r="Z18" i="29"/>
  <c r="Z17" i="29"/>
  <c r="W33" i="21"/>
  <c r="X33" i="21"/>
  <c r="Y33" i="21"/>
  <c r="Z33" i="21"/>
  <c r="AA33" i="21"/>
  <c r="AC33" i="21"/>
  <c r="AE33" i="21"/>
  <c r="W34" i="21"/>
  <c r="X34" i="21"/>
  <c r="Y34" i="21"/>
  <c r="Z34" i="21"/>
  <c r="AA34" i="21"/>
  <c r="AC34" i="21"/>
  <c r="AE34" i="21"/>
  <c r="U34" i="21"/>
  <c r="U35" i="21"/>
  <c r="W35" i="21"/>
  <c r="X35" i="21"/>
  <c r="Y35" i="21"/>
  <c r="Z35" i="21"/>
  <c r="AA35" i="21"/>
  <c r="AC35" i="21"/>
  <c r="AE35" i="21"/>
  <c r="AG25" i="29"/>
  <c r="AH25" i="29"/>
  <c r="AG24" i="29"/>
  <c r="AH24" i="29"/>
  <c r="AG23" i="29"/>
  <c r="AH23" i="29"/>
  <c r="AG22" i="29"/>
  <c r="AH22" i="29"/>
  <c r="AG21" i="29"/>
  <c r="AH21" i="29"/>
  <c r="AG20" i="29"/>
  <c r="AH20" i="29"/>
  <c r="AG19" i="29"/>
  <c r="AH19" i="29"/>
  <c r="AG18" i="29"/>
  <c r="AH18" i="29"/>
  <c r="AG17" i="29"/>
  <c r="AH17" i="29"/>
  <c r="C7" i="29"/>
  <c r="C8" i="29"/>
  <c r="C9" i="29"/>
  <c r="C10" i="29"/>
  <c r="C11" i="29"/>
  <c r="C12" i="29"/>
  <c r="Z25" i="30"/>
  <c r="Z24" i="30"/>
  <c r="Z23" i="30"/>
  <c r="Z22" i="30"/>
  <c r="Z21" i="30"/>
  <c r="Z20" i="30"/>
  <c r="Z19" i="30"/>
  <c r="Z18" i="30"/>
  <c r="Z17" i="30"/>
  <c r="W40" i="21"/>
  <c r="X40" i="21"/>
  <c r="Y40" i="21"/>
  <c r="Z40" i="21"/>
  <c r="AA40" i="21"/>
  <c r="AC40" i="21"/>
  <c r="AE40" i="21"/>
  <c r="W41" i="21"/>
  <c r="X41" i="21"/>
  <c r="Y41" i="21"/>
  <c r="Z41" i="21"/>
  <c r="AA41" i="21"/>
  <c r="AC41" i="21"/>
  <c r="AE41" i="21"/>
  <c r="U41" i="21"/>
  <c r="U42" i="21"/>
  <c r="W42" i="21"/>
  <c r="X42" i="21"/>
  <c r="Y42" i="21"/>
  <c r="Z42" i="21"/>
  <c r="AA42" i="21"/>
  <c r="AC42" i="21"/>
  <c r="AE42" i="21"/>
  <c r="V41" i="21"/>
  <c r="I47" i="21"/>
  <c r="V42" i="21"/>
  <c r="I48" i="21"/>
  <c r="V40" i="21"/>
  <c r="I46" i="21"/>
  <c r="AG25" i="30"/>
  <c r="AH25" i="30"/>
  <c r="AG24" i="30"/>
  <c r="AH24" i="30"/>
  <c r="AG23" i="30"/>
  <c r="AH23" i="30"/>
  <c r="AG22" i="30"/>
  <c r="AH22" i="30"/>
  <c r="AG21" i="30"/>
  <c r="AH21" i="30"/>
  <c r="AG20" i="30"/>
  <c r="AH20" i="30"/>
  <c r="AG19" i="30"/>
  <c r="AH19" i="30"/>
  <c r="AG18" i="30"/>
  <c r="AH18" i="30"/>
  <c r="AG17" i="30"/>
  <c r="AH17" i="30"/>
  <c r="C7" i="30"/>
  <c r="C8" i="30"/>
  <c r="C9" i="30"/>
  <c r="C10" i="30"/>
  <c r="C11" i="30"/>
  <c r="C12" i="30"/>
  <c r="E38" i="31" a="1"/>
  <c r="E38" i="31"/>
  <c r="AA25" i="31"/>
  <c r="W25" i="31"/>
  <c r="E30" i="31" a="1"/>
  <c r="E30" i="31"/>
  <c r="AA17" i="31"/>
  <c r="W17" i="31"/>
  <c r="E31" i="31" a="1"/>
  <c r="E31" i="31"/>
  <c r="AA18" i="31"/>
  <c r="W18" i="31"/>
  <c r="E32" i="31" a="1"/>
  <c r="E32" i="31"/>
  <c r="AA19" i="31"/>
  <c r="W19" i="31"/>
  <c r="E33" i="31" a="1"/>
  <c r="E33" i="31"/>
  <c r="AA20" i="31"/>
  <c r="W20" i="31"/>
  <c r="E34" i="31" a="1"/>
  <c r="E34" i="31"/>
  <c r="AA21" i="31"/>
  <c r="W21" i="31"/>
  <c r="E35" i="31" a="1"/>
  <c r="E35" i="31"/>
  <c r="AA22" i="31"/>
  <c r="W22" i="31"/>
  <c r="E36" i="31" a="1"/>
  <c r="E36" i="31"/>
  <c r="AA23" i="31"/>
  <c r="W23" i="31"/>
  <c r="E37" i="31" a="1"/>
  <c r="E37" i="31"/>
  <c r="AA24" i="31"/>
  <c r="W24" i="31"/>
  <c r="Z25" i="31"/>
  <c r="Z24" i="31"/>
  <c r="Z23" i="31"/>
  <c r="Z22" i="31"/>
  <c r="Z21" i="31"/>
  <c r="Z20" i="31"/>
  <c r="AG25" i="31"/>
  <c r="AH25" i="31"/>
  <c r="AG24" i="31"/>
  <c r="AH24" i="31"/>
  <c r="AG23" i="31"/>
  <c r="AH23" i="31"/>
  <c r="AG22" i="31"/>
  <c r="AH22" i="31"/>
  <c r="AG21" i="31"/>
  <c r="AH21" i="31"/>
  <c r="AG20" i="31"/>
  <c r="AH20" i="31"/>
  <c r="AG19" i="31"/>
  <c r="AH19" i="31"/>
  <c r="AG18" i="31"/>
  <c r="AH18" i="31"/>
  <c r="AG17" i="31"/>
  <c r="AH17" i="31"/>
  <c r="Z19" i="31"/>
  <c r="Z18" i="31"/>
  <c r="Z17" i="31"/>
  <c r="X17" i="31"/>
  <c r="X18" i="31"/>
  <c r="X19" i="31"/>
  <c r="X20" i="31"/>
  <c r="X21" i="31"/>
  <c r="X22" i="31"/>
  <c r="X23" i="31"/>
  <c r="X24" i="31"/>
  <c r="X25" i="31"/>
  <c r="E4" i="31"/>
  <c r="D4" i="31"/>
  <c r="E5" i="31"/>
  <c r="D5" i="31"/>
  <c r="E6" i="31"/>
  <c r="D6" i="31"/>
  <c r="E7" i="31"/>
  <c r="D7" i="31"/>
  <c r="E8" i="31"/>
  <c r="D8" i="31"/>
  <c r="E9" i="31"/>
  <c r="D9" i="31"/>
  <c r="E10" i="31"/>
  <c r="D10" i="31"/>
  <c r="E11" i="31"/>
  <c r="D11" i="31"/>
  <c r="E12" i="31"/>
  <c r="D12" i="31"/>
  <c r="C4" i="31"/>
  <c r="C5" i="31"/>
  <c r="C6" i="31"/>
  <c r="C7" i="31"/>
  <c r="C8" i="31"/>
  <c r="C9" i="31"/>
  <c r="C10" i="31"/>
  <c r="C11" i="31"/>
  <c r="C12" i="31"/>
  <c r="W20" i="39"/>
  <c r="X20" i="39"/>
  <c r="Y20" i="39"/>
  <c r="Z20" i="39"/>
  <c r="AA20" i="39"/>
  <c r="AC20" i="39"/>
  <c r="AE20" i="39"/>
  <c r="W21" i="39"/>
  <c r="X21" i="39"/>
  <c r="Y21" i="39"/>
  <c r="Z21" i="39"/>
  <c r="AA21" i="39"/>
  <c r="AC21" i="39"/>
  <c r="AE21" i="39"/>
  <c r="W22" i="39"/>
  <c r="X22" i="39"/>
  <c r="Y22" i="39"/>
  <c r="Z22" i="39"/>
  <c r="AA22" i="39"/>
  <c r="AC22" i="39"/>
  <c r="AE22" i="39"/>
  <c r="W23" i="39"/>
  <c r="X23" i="39"/>
  <c r="Y23" i="39"/>
  <c r="Z23" i="39"/>
  <c r="AA23" i="39"/>
  <c r="AC23" i="39"/>
  <c r="AE23" i="39"/>
  <c r="V22" i="39"/>
  <c r="I47" i="39"/>
  <c r="V21" i="39"/>
  <c r="I46" i="39"/>
  <c r="V20" i="39"/>
  <c r="I45" i="39"/>
  <c r="V23" i="39"/>
  <c r="I48" i="39"/>
  <c r="AG24" i="41"/>
  <c r="AH24" i="41"/>
  <c r="AG23" i="41"/>
  <c r="AH23" i="41"/>
  <c r="AG22" i="41"/>
  <c r="AH22" i="41"/>
  <c r="AG21" i="41"/>
  <c r="AH21" i="41"/>
  <c r="AG20" i="41"/>
  <c r="AH20" i="41"/>
  <c r="AG19" i="41"/>
  <c r="AH19" i="41"/>
  <c r="AG18" i="41"/>
  <c r="AH18" i="41"/>
  <c r="AG17" i="41"/>
  <c r="AH17" i="41"/>
  <c r="AG25" i="41"/>
  <c r="AH25" i="41"/>
  <c r="Z17" i="41"/>
  <c r="Z18" i="41"/>
  <c r="Z19" i="41"/>
  <c r="Z20" i="41"/>
  <c r="Z21" i="41"/>
  <c r="Z22" i="41"/>
  <c r="Z23" i="41"/>
  <c r="Z24" i="41"/>
  <c r="Z25" i="41"/>
  <c r="V31" i="39"/>
  <c r="I52" i="39"/>
  <c r="V30" i="39"/>
  <c r="I51" i="39"/>
  <c r="V29" i="39"/>
  <c r="I50" i="39"/>
  <c r="V28" i="39"/>
  <c r="I49" i="39"/>
  <c r="W28" i="39"/>
  <c r="X28" i="39"/>
  <c r="Y28" i="39"/>
  <c r="Z28" i="39"/>
  <c r="AA28" i="39"/>
  <c r="AC28" i="39"/>
  <c r="AE28" i="39"/>
  <c r="W29" i="39"/>
  <c r="X29" i="39"/>
  <c r="Y29" i="39"/>
  <c r="Z29" i="39"/>
  <c r="AA29" i="39"/>
  <c r="AC29" i="39"/>
  <c r="AE29" i="39"/>
  <c r="W30" i="39"/>
  <c r="X30" i="39"/>
  <c r="Y30" i="39"/>
  <c r="Z30" i="39"/>
  <c r="AA30" i="39"/>
  <c r="AC30" i="39"/>
  <c r="AE30" i="39"/>
  <c r="W31" i="39"/>
  <c r="X31" i="39"/>
  <c r="Y31" i="39"/>
  <c r="Z31" i="39"/>
  <c r="AA31" i="39"/>
  <c r="AC31" i="39"/>
  <c r="AE31" i="39"/>
  <c r="AG24" i="42"/>
  <c r="AH24" i="42"/>
  <c r="AG23" i="42"/>
  <c r="AH23" i="42"/>
  <c r="AG22" i="42"/>
  <c r="AH22" i="42"/>
  <c r="AG21" i="42"/>
  <c r="AH21" i="42"/>
  <c r="AG20" i="42"/>
  <c r="AH20" i="42"/>
  <c r="AG19" i="42"/>
  <c r="AH19" i="42"/>
  <c r="AG18" i="42"/>
  <c r="AH18" i="42"/>
  <c r="AG17" i="42"/>
  <c r="AH17" i="42"/>
  <c r="AG25" i="42"/>
  <c r="AH25" i="42"/>
  <c r="Z17" i="42"/>
  <c r="Z18" i="42"/>
  <c r="Z19" i="42"/>
  <c r="Z20" i="42"/>
  <c r="Z21" i="42"/>
  <c r="Z22" i="42"/>
  <c r="Z23" i="42"/>
  <c r="Z24" i="42"/>
  <c r="Z25" i="42"/>
  <c r="V39" i="39"/>
  <c r="I56" i="39"/>
  <c r="V38" i="39"/>
  <c r="I55" i="39"/>
  <c r="V37" i="39"/>
  <c r="I54" i="39"/>
  <c r="W36" i="39"/>
  <c r="X36" i="39"/>
  <c r="Y36" i="39"/>
  <c r="Z36" i="39"/>
  <c r="AA36" i="39"/>
  <c r="AC36" i="39"/>
  <c r="AE36" i="39"/>
  <c r="W37" i="39"/>
  <c r="X37" i="39"/>
  <c r="Y37" i="39"/>
  <c r="Z37" i="39"/>
  <c r="AA37" i="39"/>
  <c r="AC37" i="39"/>
  <c r="AE37" i="39"/>
  <c r="W38" i="39"/>
  <c r="X38" i="39"/>
  <c r="Y38" i="39"/>
  <c r="Z38" i="39"/>
  <c r="AA38" i="39"/>
  <c r="AC38" i="39"/>
  <c r="AE38" i="39"/>
  <c r="W39" i="39"/>
  <c r="X39" i="39"/>
  <c r="Y39" i="39"/>
  <c r="Z39" i="39"/>
  <c r="AA39" i="39"/>
  <c r="AC39" i="39"/>
  <c r="AE39" i="39"/>
  <c r="V36" i="39"/>
  <c r="I53" i="39"/>
  <c r="AG25" i="43"/>
  <c r="AH25" i="43"/>
  <c r="AG24" i="43"/>
  <c r="AH24" i="43"/>
  <c r="AG23" i="43"/>
  <c r="AH23" i="43"/>
  <c r="AG22" i="43"/>
  <c r="AH22" i="43"/>
  <c r="AG21" i="43"/>
  <c r="AH21" i="43"/>
  <c r="AG20" i="43"/>
  <c r="AH20" i="43"/>
  <c r="AG19" i="43"/>
  <c r="AH19" i="43"/>
  <c r="AG18" i="43"/>
  <c r="AH18" i="43"/>
  <c r="AG17" i="43"/>
  <c r="AH17" i="43"/>
  <c r="Z17" i="43"/>
  <c r="Z18" i="43"/>
  <c r="Z19" i="43"/>
  <c r="Z20" i="43"/>
  <c r="Z21" i="43"/>
  <c r="Z22" i="43"/>
  <c r="Z23" i="43"/>
  <c r="Z24" i="43"/>
  <c r="Z25" i="43"/>
  <c r="E37" i="44" a="1"/>
  <c r="E37" i="44"/>
  <c r="AA24" i="44"/>
  <c r="E30" i="44" a="1"/>
  <c r="E30" i="44"/>
  <c r="AA17" i="44"/>
  <c r="E31" i="44" a="1"/>
  <c r="E31" i="44"/>
  <c r="AA18" i="44"/>
  <c r="E32" i="44" a="1"/>
  <c r="E32" i="44"/>
  <c r="AA19" i="44"/>
  <c r="E33" i="44" a="1"/>
  <c r="E33" i="44"/>
  <c r="AA20" i="44"/>
  <c r="E34" i="44" a="1"/>
  <c r="E34" i="44"/>
  <c r="AA21" i="44"/>
  <c r="E35" i="44" a="1"/>
  <c r="E35" i="44"/>
  <c r="AA22" i="44"/>
  <c r="E36" i="44" a="1"/>
  <c r="E36" i="44"/>
  <c r="AA23" i="44"/>
  <c r="E38" i="44" a="1"/>
  <c r="E38" i="44"/>
  <c r="AA25" i="44"/>
  <c r="AG24" i="44"/>
  <c r="AH24" i="44"/>
  <c r="AG23" i="44"/>
  <c r="AH23" i="44"/>
  <c r="AG22" i="44"/>
  <c r="AH22" i="44"/>
  <c r="AG21" i="44"/>
  <c r="AH21" i="44"/>
  <c r="AG20" i="44"/>
  <c r="AH20" i="44"/>
  <c r="AG19" i="44"/>
  <c r="AH19" i="44"/>
  <c r="AG18" i="44"/>
  <c r="AH18" i="44"/>
  <c r="AG17" i="44"/>
  <c r="AH17" i="44"/>
  <c r="AG25" i="44"/>
  <c r="AH25" i="44"/>
  <c r="Z17" i="44"/>
  <c r="Z18" i="44"/>
  <c r="Z19" i="44"/>
  <c r="Z20" i="44"/>
  <c r="Z21" i="44"/>
  <c r="Z22" i="44"/>
  <c r="Z23" i="44"/>
  <c r="Z24" i="44"/>
  <c r="Z25" i="44"/>
  <c r="X17" i="44"/>
  <c r="X18" i="44"/>
  <c r="X19" i="44"/>
  <c r="X20" i="44"/>
  <c r="X21" i="44"/>
  <c r="X22" i="44"/>
  <c r="X23" i="44"/>
  <c r="X24" i="44"/>
  <c r="X25" i="44"/>
  <c r="E4" i="44"/>
  <c r="D4" i="44"/>
  <c r="E5" i="44"/>
  <c r="D5" i="44"/>
  <c r="E6" i="44"/>
  <c r="D6" i="44"/>
  <c r="E7" i="44"/>
  <c r="D7" i="44"/>
  <c r="E8" i="44"/>
  <c r="D8" i="44"/>
  <c r="E9" i="44"/>
  <c r="D9" i="44"/>
  <c r="E10" i="44"/>
  <c r="D10" i="44"/>
  <c r="E11" i="44"/>
  <c r="D11" i="44"/>
  <c r="E12" i="44"/>
  <c r="D12" i="44"/>
  <c r="C4" i="44"/>
  <c r="C5" i="44"/>
  <c r="C6" i="44"/>
  <c r="C7" i="44"/>
  <c r="C8" i="44"/>
  <c r="C9" i="44"/>
  <c r="C10" i="44"/>
  <c r="C11" i="44"/>
  <c r="C12" i="44"/>
  <c r="V34" i="21"/>
  <c r="I44" i="21"/>
  <c r="V35" i="21"/>
  <c r="I45" i="21"/>
  <c r="V33" i="21"/>
  <c r="I43" i="21"/>
</calcChain>
</file>

<file path=xl/sharedStrings.xml><?xml version="1.0" encoding="utf-8"?>
<sst xmlns="http://schemas.openxmlformats.org/spreadsheetml/2006/main" count="5113" uniqueCount="450">
  <si>
    <t>Nr.</t>
  </si>
  <si>
    <t>Spielpaarung</t>
  </si>
  <si>
    <t>Ergebnis</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</si>
  <si>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</si>
  <si>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</si>
  <si>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</si>
  <si>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</si>
  <si>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</si>
  <si>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</si>
  <si>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</si>
  <si>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</si>
  <si>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</si>
  <si>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</si>
  <si>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</si>
  <si>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</si>
  <si>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</si>
  <si>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</si>
  <si>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</si>
  <si>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</si>
  <si>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</si>
  <si>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</si>
  <si>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</si>
  <si>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</si>
  <si>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</si>
  <si>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</si>
  <si>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</si>
  <si>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</si>
  <si>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</si>
  <si>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</si>
  <si>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</si>
  <si>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</si>
  <si>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</si>
  <si>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</si>
  <si>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</si>
  <si>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</si>
  <si>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</si>
  <si>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</si>
  <si>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</si>
  <si>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</si>
  <si>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</si>
  <si>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</si>
  <si>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</si>
  <si>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</si>
  <si>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</si>
  <si>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</si>
  <si>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</si>
  <si>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</si>
  <si>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</si>
  <si>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</si>
  <si>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</si>
  <si>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</si>
  <si>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</si>
  <si>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</si>
  <si>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</si>
  <si>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</si>
  <si>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</si>
  <si>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</si>
  <si>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</si>
  <si>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</si>
  <si>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</si>
  <si>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</si>
  <si>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</si>
  <si>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</si>
  <si>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</si>
  <si>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</si>
  <si>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</si>
  <si>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</si>
  <si>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</si>
  <si>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</si>
  <si>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</si>
  <si>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</si>
  <si>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</si>
  <si>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</si>
  <si>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</si>
  <si>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</si>
  <si>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</si>
  <si>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</si>
  <si>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</si>
  <si>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</si>
  <si>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</si>
  <si>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</si>
  <si>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</si>
  <si>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</si>
  <si>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</si>
  <si>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</si>
  <si>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</si>
  <si>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</si>
  <si>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</si>
  <si>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</si>
  <si>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</si>
  <si>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</si>
  <si>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</si>
  <si>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</si>
  <si>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</si>
  <si>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</si>
  <si>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</si>
  <si>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</si>
  <si>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</si>
  <si>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</si>
  <si>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</si>
  <si>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</si>
  <si>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</si>
  <si>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</si>
  <si>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</si>
  <si>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</si>
  <si>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</si>
  <si>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</si>
  <si>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</si>
  <si>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</si>
  <si>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</si>
  <si>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</si>
  <si>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</si>
  <si>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</si>
  <si>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</si>
  <si>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</si>
  <si>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</si>
  <si>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</si>
  <si>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</si>
  <si>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</si>
  <si>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</si>
  <si>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</si>
  <si>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</si>
  <si>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</si>
  <si>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</si>
  <si>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</si>
  <si>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</si>
  <si>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</si>
  <si>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</si>
  <si>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</si>
  <si>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</si>
  <si>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</si>
  <si>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</si>
  <si>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</si>
  <si>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</si>
  <si>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</si>
  <si>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</si>
  <si>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</si>
  <si>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</si>
  <si>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</si>
  <si>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</si>
  <si>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</si>
  <si>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</si>
  <si>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</si>
  <si>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</si>
  <si>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</si>
  <si>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</si>
  <si>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</si>
  <si>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</si>
  <si>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</si>
  <si>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</si>
  <si>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</si>
  <si>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</si>
  <si>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</si>
  <si>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</si>
  <si>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</si>
  <si>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</si>
  <si>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</si>
  <si>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</si>
  <si>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</si>
  <si>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</si>
  <si>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</si>
  <si>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</si>
  <si>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</si>
  <si>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</si>
  <si>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</si>
  <si>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</si>
  <si>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</si>
  <si>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</si>
  <si>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</si>
  <si>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</si>
  <si>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</si>
  <si>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</si>
  <si>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</si>
  <si>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</si>
  <si>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</si>
  <si>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</si>
  <si>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</si>
  <si>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</si>
  <si>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</si>
  <si>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</si>
  <si>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</si>
  <si>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</si>
  <si>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</si>
  <si>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</si>
  <si>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</si>
  <si>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</si>
  <si>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</si>
  <si>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</si>
  <si>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</si>
  <si>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</si>
  <si>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</si>
  <si>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</si>
  <si>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</si>
  <si>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</si>
  <si>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</si>
  <si>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</si>
  <si>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</si>
  <si>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</si>
  <si>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</si>
  <si>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</si>
  <si>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</si>
  <si>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</si>
  <si>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</si>
  <si>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</si>
  <si>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</si>
  <si>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</si>
  <si>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</si>
  <si>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</si>
  <si>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</si>
  <si>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</si>
  <si>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</si>
  <si>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</si>
  <si>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</si>
  <si>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
  </si>
  <si>
    <t>Zusätzl. Pause (min)</t>
  </si>
  <si>
    <t>Addit. Pause (min)</t>
  </si>
  <si>
    <t>Turnierende:</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</si>
  <si>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</si>
  <si>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</si>
  <si>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</si>
  <si>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</si>
  <si>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</si>
  <si>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</si>
  <si>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</si>
  <si>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</si>
  <si>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</si>
  <si>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</si>
  <si>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</si>
  <si>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</si>
  <si>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</si>
  <si>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</si>
  <si>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</si>
  <si>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</si>
  <si>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</si>
  <si>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</si>
  <si>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</si>
  <si>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</si>
  <si>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</si>
  <si>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</si>
  <si>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</si>
  <si>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</si>
  <si>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</si>
  <si>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</si>
  <si>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</si>
  <si>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</si>
  <si>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</si>
  <si>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</si>
  <si>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</si>
  <si>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</si>
  <si>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</si>
  <si>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</si>
  <si>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</si>
  <si>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</si>
  <si>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</si>
  <si>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</si>
  <si>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</si>
  <si>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</si>
  <si>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</si>
  <si>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</si>
  <si>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</si>
  <si>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</si>
  <si>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</si>
  <si>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</si>
  <si>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</si>
  <si>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</si>
  <si>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</si>
  <si>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</si>
  <si>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</si>
  <si>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</si>
  <si>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</si>
  <si>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</si>
  <si>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</si>
  <si>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</si>
  <si>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</si>
  <si>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</si>
  <si>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</si>
  <si>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</si>
  <si>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</si>
  <si>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</si>
  <si>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</si>
  <si>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</si>
  <si>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</si>
  <si>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</si>
  <si>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</si>
  <si>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</si>
  <si>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</si>
  <si>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</si>
  <si>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</si>
  <si>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</si>
  <si>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</si>
  <si>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</si>
  <si>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</si>
  <si>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</si>
  <si>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</si>
  <si>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</si>
  <si>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</si>
  <si>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</si>
  <si>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</si>
  <si>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</si>
  <si>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</si>
  <si>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</si>
  <si>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</si>
  <si>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</si>
  <si>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</si>
  <si>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</si>
  <si>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</si>
  <si>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</si>
  <si>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</si>
  <si>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</si>
  <si>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</si>
  <si>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</si>
  <si>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</si>
  <si>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</si>
  <si>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</si>
  <si>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</si>
  <si>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</si>
  <si>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</si>
  <si>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</si>
  <si>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</si>
  <si>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</si>
  <si>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</si>
  <si>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</si>
  <si>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</si>
  <si>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Anzahl der Spielfelder:</t>
  </si>
  <si>
    <t>Number of fields:</t>
  </si>
  <si>
    <t>Feld</t>
  </si>
  <si>
    <t>2.1</t>
  </si>
  <si>
    <t>2.2</t>
  </si>
  <si>
    <t>2.3</t>
  </si>
  <si>
    <t>4.1</t>
  </si>
  <si>
    <t>4.2</t>
  </si>
  <si>
    <t>4.3</t>
  </si>
  <si>
    <t>5.1</t>
  </si>
  <si>
    <t>5.2</t>
  </si>
  <si>
    <t>5.3</t>
  </si>
  <si>
    <t>6.1</t>
  </si>
  <si>
    <t>6.2</t>
  </si>
  <si>
    <t>6.3</t>
  </si>
  <si>
    <t>1.1</t>
  </si>
  <si>
    <t>1.2</t>
  </si>
  <si>
    <t>1.3</t>
  </si>
  <si>
    <t>GDz</t>
  </si>
  <si>
    <t>Gruppenvierte</t>
  </si>
  <si>
    <t>Gruppenfünfte</t>
  </si>
  <si>
    <t>Gruppensechste</t>
  </si>
  <si>
    <t>End of tournament (final round 3):</t>
  </si>
  <si>
    <t>End of tournament (final round 4):</t>
  </si>
  <si>
    <t>Turnierende (Endrunde 3):</t>
  </si>
  <si>
    <t>Turnierende (Endrunde 4):</t>
  </si>
  <si>
    <t>Tie break prel. round</t>
  </si>
  <si>
    <t>sets</t>
  </si>
  <si>
    <t>Sätze</t>
  </si>
  <si>
    <t>PF</t>
  </si>
  <si>
    <t>erz. Pkte.</t>
  </si>
  <si>
    <t>Start:</t>
  </si>
  <si>
    <t>Beginn:</t>
  </si>
  <si>
    <t>Tie break</t>
  </si>
  <si>
    <t>Tie-Break</t>
  </si>
  <si>
    <t>Third-place</t>
  </si>
  <si>
    <t>Fourth-place</t>
  </si>
  <si>
    <t>Fifth place</t>
  </si>
  <si>
    <t>Sixth place</t>
  </si>
  <si>
    <t>3rd place match</t>
  </si>
  <si>
    <t>Spiel um den dritten Platz</t>
  </si>
  <si>
    <t xml:space="preserve">Final matches for places </t>
  </si>
  <si>
    <t xml:space="preserve">Finalspiele um die Plätze </t>
  </si>
  <si>
    <t xml:space="preserve"> to </t>
  </si>
  <si>
    <t xml:space="preserve"> bis </t>
  </si>
  <si>
    <t>Semi-final matches</t>
  </si>
  <si>
    <t>Halbfinalspiele</t>
  </si>
  <si>
    <t xml:space="preserve">SF </t>
  </si>
  <si>
    <t xml:space="preserve">HF </t>
  </si>
  <si>
    <t>1st set</t>
  </si>
  <si>
    <t>1. Satz</t>
  </si>
  <si>
    <t>2nd set</t>
  </si>
  <si>
    <t>2. Satz</t>
  </si>
  <si>
    <t>balls</t>
  </si>
  <si>
    <t>Bälle</t>
  </si>
  <si>
    <t>3rd set</t>
  </si>
  <si>
    <t>3. Satz</t>
  </si>
  <si>
    <t>Winner</t>
  </si>
  <si>
    <t>Sieger</t>
  </si>
  <si>
    <t>Tie break final round 4</t>
  </si>
  <si>
    <t>Tie Break Endrunde 4</t>
  </si>
  <si>
    <t>Red font means that the ranking is not clear even with the direct comparison. A playoff match or drawing of lots must decide here.</t>
  </si>
  <si>
    <t>Rote Schrift bedeutet, dass die Rangfolge auch mit dem direkten Vergleich nicht geklärt ist. Ein Entscheidungsspiel oder Los muss hier entscheiden.</t>
  </si>
  <si>
    <t>Entering a bonus point
as a tie breaker on the
'PrelimRound' sheet</t>
  </si>
  <si>
    <t>Eingabe eines Bonus-Punktes
als Tie Breaker auf dem
Tabellenblatt 'Vorrunde'</t>
  </si>
  <si>
    <t>TIME CONFLICT
Too many pitches!</t>
  </si>
  <si>
    <t>ZEITKONFLIKT
Zu viele Spielplätze!</t>
  </si>
  <si>
    <t>(Abbreviation for 'semi-finals')</t>
  </si>
  <si>
    <t>(Abkürzung für 'Halbfinale')</t>
  </si>
  <si>
    <t>invalid 1</t>
  </si>
  <si>
    <t>invalid 2</t>
  </si>
  <si>
    <t>invalid 3</t>
  </si>
  <si>
    <t>Sets won</t>
  </si>
  <si>
    <t>result</t>
  </si>
  <si>
    <t>W (sets)</t>
  </si>
  <si>
    <t>Pts+ GD</t>
  </si>
  <si>
    <t xml:space="preserve">  (First-placed)</t>
  </si>
  <si>
    <t xml:space="preserve">  (Gruppenerste)</t>
  </si>
  <si>
    <t xml:space="preserve">  (Second-placed)</t>
  </si>
  <si>
    <t xml:space="preserve">  (Gruppenzweite)</t>
  </si>
  <si>
    <t xml:space="preserve">  (Third-placed)</t>
  </si>
  <si>
    <t xml:space="preserve">  (Gruppendritte)</t>
  </si>
  <si>
    <t xml:space="preserve">  (Fourth-placed)</t>
  </si>
  <si>
    <t xml:space="preserve">  (Gruppenvierte)</t>
  </si>
  <si>
    <t xml:space="preserve">  (Fifth-placed)</t>
  </si>
  <si>
    <t xml:space="preserve">  (Gruppenfünfte)</t>
  </si>
  <si>
    <t xml:space="preserve">  (Sixth-placed)</t>
  </si>
  <si>
    <t xml:space="preserve">  (Gruppensechste)</t>
  </si>
  <si>
    <t>Tie break final round 1</t>
  </si>
  <si>
    <t>Tie Break Endrunde 1</t>
  </si>
  <si>
    <t>Results from the preliminary round</t>
  </si>
  <si>
    <t>Ergebnisse aus der Vorrunde</t>
  </si>
  <si>
    <t>Team-Kürzel</t>
  </si>
  <si>
    <t>Team IDs</t>
  </si>
  <si>
    <t>z.B.  A2 - A4</t>
  </si>
  <si>
    <t>e.g.  A2 - A4</t>
  </si>
  <si>
    <t>max quot.</t>
  </si>
  <si>
    <t>Ball difference or ball quotient</t>
  </si>
  <si>
    <t>Balldifferenz oder Ballquotient</t>
  </si>
  <si>
    <t>Ball difference</t>
  </si>
  <si>
    <t>Balldifferenz</t>
  </si>
  <si>
    <t>Ball quotient</t>
  </si>
  <si>
    <t>Ballquotient</t>
  </si>
  <si>
    <t>Quot.</t>
  </si>
  <si>
    <t>Diff./Quot.</t>
  </si>
  <si>
    <t>Nr of dec places</t>
  </si>
  <si>
    <t>Display in the crosstabs of the preliminary round:</t>
  </si>
  <si>
    <t>Anzeige in den Kreuztabellen der Vorrunde:</t>
  </si>
  <si>
    <t>Ball points</t>
  </si>
  <si>
    <t>Ballpunkte</t>
  </si>
  <si>
    <t>Set points</t>
  </si>
  <si>
    <t>Satzpunkte</t>
  </si>
  <si>
    <t>Ball/Set points</t>
  </si>
  <si>
    <t>winner</t>
  </si>
  <si>
    <t>looser</t>
  </si>
  <si>
    <t>3rd set?</t>
  </si>
  <si>
    <t>valid 1 + 2</t>
  </si>
  <si>
    <t>valid 3</t>
  </si>
  <si>
    <t>Diff/Quot</t>
  </si>
  <si>
    <t>Sets lost</t>
  </si>
  <si>
    <t>Schiedsrichter</t>
  </si>
  <si>
    <t>Referee</t>
  </si>
  <si>
    <t>Version  1.4
17.04.2025</t>
  </si>
  <si>
    <t>International tournament U10 on Apr. 17th, 2025</t>
  </si>
  <si>
    <t>Organizer:  1. FC Riedwald</t>
  </si>
  <si>
    <t>Sports hall Wiesengrund, Wendiger Str. 51, 65432 Riedwald</t>
  </si>
  <si>
    <t>Start:  9:00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</si>
</sst>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5"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b/>
      <sz val="10"/>
      <color rgb="FF0070C0"/>
      <name val="Calibri"/>
      <family val="2"/>
      <scheme val="minor"/>
    </font>
    <font>
      <b/>
      <sz val="10"/>
      <name val="Calibri"/>
      <family val="2"/>
      <scheme val="minor"/>
    </font>
    <font>
      <sz val="11"/>
      <color theme="8" tint="-0.249977111117893"/>
      <name val="Calibri"/>
      <family val="2"/>
      <scheme val="minor"/>
    </font>
    <font>
      <sz val="9"/>
      <color theme="5"/>
      <name val="Calibri"/>
      <family val="2"/>
      <scheme val="minor"/>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300">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thick">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thin">
        <color theme="2" tint="-0.24994659260841701"/>
      </bottom>
      <diagonal/>
    </border>
    <border>
      <left style="thick">
        <color theme="2" tint="-0.499984740745262"/>
      </left>
      <right style="thick">
        <color theme="2" tint="-0.499984740745262"/>
      </right>
      <top style="thin">
        <color theme="2" tint="-0.24994659260841701"/>
      </top>
      <bottom style="thick">
        <color theme="2" tint="-0.499984740745262"/>
      </bottom>
      <diagonal/>
    </border>
    <border>
      <left style="thick">
        <color theme="0" tint="-0.499984740745262"/>
      </left>
      <right style="thick">
        <color theme="0" tint="-0.499984740745262"/>
      </right>
      <top/>
      <bottom style="thick">
        <color rgb="FFFF0000"/>
      </bottom>
      <diagonal/>
    </border>
    <border>
      <left style="thick">
        <color theme="0" tint="-0.499984740745262"/>
      </left>
      <right/>
      <top/>
      <bottom style="thick">
        <color rgb="FFFF0000"/>
      </bottom>
      <diagonal/>
    </border>
    <border>
      <left/>
      <right/>
      <top/>
      <bottom style="thick">
        <color rgb="FFFF0000"/>
      </bottom>
      <diagonal/>
    </border>
    <border>
      <left/>
      <right style="thick">
        <color theme="2" tint="-0.499984740745262"/>
      </right>
      <top/>
      <bottom style="thick">
        <color rgb="FFFF0000"/>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diagonal/>
    </border>
    <border>
      <left style="thick">
        <color theme="2" tint="-0.499984740745262"/>
      </left>
      <right style="thick">
        <color theme="2" tint="-0.499984740745262"/>
      </right>
      <top/>
      <bottom style="thick">
        <color theme="2" tint="-0.499984740745262"/>
      </bottom>
      <diagonal/>
    </border>
    <border>
      <left style="thick">
        <color theme="2" tint="-0.499984740745262"/>
      </left>
      <right/>
      <top/>
      <bottom style="thick">
        <color rgb="FFFF0000"/>
      </bottom>
      <diagonal/>
    </border>
    <border>
      <left/>
      <right style="thick">
        <color theme="0" tint="-0.499984740745262"/>
      </right>
      <top/>
      <bottom style="thick">
        <color rgb="FFFF0000"/>
      </bottom>
      <diagonal/>
    </border>
    <border>
      <left style="thin">
        <color theme="2" tint="-0.499984740745262"/>
      </left>
      <right/>
      <top style="thick">
        <color theme="2" tint="-0.499984740745262"/>
      </top>
      <bottom/>
      <diagonal/>
    </border>
    <border>
      <left/>
      <right style="thin">
        <color rgb="FFA50021"/>
      </right>
      <top style="thick">
        <color theme="2" tint="-0.499984740745262"/>
      </top>
      <bottom/>
      <diagonal/>
    </border>
    <border>
      <left style="thin">
        <color rgb="FFA50021"/>
      </left>
      <right style="thin">
        <color rgb="FFA50021"/>
      </right>
      <top style="thick">
        <color theme="2" tint="-0.499984740745262"/>
      </top>
      <bottom/>
      <diagonal/>
    </border>
    <border>
      <left style="thin">
        <color rgb="FFA50021"/>
      </left>
      <right/>
      <top style="thick">
        <color theme="2" tint="-0.499984740745262"/>
      </top>
      <bottom/>
      <diagonal/>
    </border>
    <border>
      <left style="thin">
        <color theme="2" tint="-0.499984740745262"/>
      </left>
      <right style="thin">
        <color rgb="FFA50021"/>
      </right>
      <top style="thick">
        <color theme="2" tint="-0.499984740745262"/>
      </top>
      <bottom/>
      <diagonal/>
    </border>
    <border>
      <left style="thin">
        <color theme="2" tint="-0.499984740745262"/>
      </left>
      <right style="thin">
        <color theme="2" tint="-0.24994659260841701"/>
      </right>
      <top style="thick">
        <color theme="2" tint="-0.499984740745262"/>
      </top>
      <bottom style="thin">
        <color theme="2" tint="-0.499984740745262"/>
      </bottom>
      <diagonal/>
    </border>
    <border>
      <left style="thin">
        <color theme="2" tint="-0.24994659260841701"/>
      </left>
      <right/>
      <top style="thick">
        <color theme="2" tint="-0.499984740745262"/>
      </top>
      <bottom style="medium">
        <color theme="2" tint="-0.499984740745262"/>
      </bottom>
      <diagonal/>
    </border>
    <border>
      <left/>
      <right/>
      <top style="thick">
        <color theme="2" tint="-0.499984740745262"/>
      </top>
      <bottom style="medium">
        <color theme="2" tint="-0.499984740745262"/>
      </bottom>
      <diagonal/>
    </border>
    <border>
      <left/>
      <right style="thin">
        <color theme="2" tint="-0.24994659260841701"/>
      </right>
      <top style="thick">
        <color theme="2" tint="-0.499984740745262"/>
      </top>
      <bottom style="medium">
        <color theme="2" tint="-0.499984740745262"/>
      </bottom>
      <diagonal/>
    </border>
    <border>
      <left style="thick">
        <color theme="2" tint="-0.499984740745262"/>
      </left>
      <right style="medium">
        <color theme="2" tint="-0.499984740745262"/>
      </right>
      <top style="medium">
        <color theme="2" tint="-0.499984740745262"/>
      </top>
      <bottom style="thin">
        <color theme="2" tint="-0.499984740745262"/>
      </bottom>
      <diagonal/>
    </border>
    <border>
      <left style="thick">
        <color theme="2" tint="-0.499984740745262"/>
      </left>
      <right style="medium">
        <color theme="2" tint="-0.499984740745262"/>
      </right>
      <top/>
      <bottom style="thin">
        <color theme="2" tint="-0.24994659260841701"/>
      </bottom>
      <diagonal/>
    </border>
    <border>
      <left/>
      <right style="medium">
        <color theme="2" tint="-0.499984740745262"/>
      </right>
      <top style="thin">
        <color theme="2" tint="-0.24994659260841701"/>
      </top>
      <bottom/>
      <diagonal/>
    </border>
    <border>
      <left style="medium">
        <color theme="2" tint="-0.499984740745262"/>
      </left>
      <right style="medium">
        <color theme="2" tint="-0.499984740745262"/>
      </right>
      <top style="thin">
        <color theme="2" tint="-0.24994659260841701"/>
      </top>
      <bottom style="medium">
        <color theme="2" tint="-0.499984740745262"/>
      </bottom>
      <diagonal/>
    </border>
    <border>
      <left style="thick">
        <color theme="7"/>
      </left>
      <right/>
      <top/>
      <bottom/>
      <diagonal/>
    </border>
    <border>
      <left style="thick">
        <color theme="9" tint="0.39991454817346722"/>
      </left>
      <right/>
      <top/>
      <bottom/>
      <diagonal/>
    </border>
    <border>
      <left style="thick">
        <color theme="2" tint="-0.499984740745262"/>
      </left>
      <right style="medium">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medium">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medium">
        <color theme="2" tint="-0.499984740745262"/>
      </bottom>
      <diagonal/>
    </border>
  </borders>
  <cellStyleXfs count="5">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xf numFmtId="0" fontId="4" fillId="0" borderId="0"/>
  </cellStyleXfs>
  <cellXfs count="1032">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5" fillId="0" borderId="0" xfId="0" applyFont="1"/>
    <xf numFmtId="0" fontId="15" fillId="0" borderId="0" xfId="0" applyFont="1"/>
    <xf numFmtId="0" fontId="7" fillId="0" borderId="41" xfId="0" applyNumberFormat="1" applyFont="1" applyFill="1" applyBorder="1" applyAlignment="1" applyProtection="1">
      <alignment horizontal="right" vertical="center" indent="1"/>
      <protection hidden="1"/>
    </xf>
    <xf numFmtId="0" fontId="7" fillId="0" borderId="44" xfId="0" applyNumberFormat="1" applyFont="1" applyFill="1" applyBorder="1" applyAlignment="1" applyProtection="1">
      <alignment horizontal="right" vertical="center" indent="1"/>
      <protection hidden="1"/>
    </xf>
    <xf numFmtId="0" fontId="7" fillId="0" borderId="46" xfId="0" applyNumberFormat="1" applyFont="1" applyFill="1" applyBorder="1" applyAlignment="1" applyProtection="1">
      <alignment horizontal="right" vertical="center" indent="1"/>
      <protection hidden="1"/>
    </xf>
    <xf numFmtId="0" fontId="18" fillId="0" borderId="0" xfId="0" applyFont="1"/>
    <xf numFmtId="0" fontId="21" fillId="0" borderId="60" xfId="0" applyFont="1" applyBorder="1" applyAlignment="1">
      <alignment horizontal="center" vertical="center"/>
    </xf>
    <xf numFmtId="0" fontId="21" fillId="0" borderId="74" xfId="0" applyFont="1" applyBorder="1" applyAlignment="1">
      <alignment horizontal="left" vertical="center"/>
    </xf>
    <xf numFmtId="0" fontId="21" fillId="0" borderId="55"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80" xfId="0" applyNumberFormat="1" applyFont="1" applyFill="1" applyBorder="1" applyAlignment="1" applyProtection="1">
      <alignment vertical="center"/>
      <protection hidden="1"/>
    </xf>
    <xf numFmtId="0" fontId="7" fillId="0" borderId="81" xfId="0" applyNumberFormat="1" applyFont="1" applyFill="1" applyBorder="1" applyAlignment="1" applyProtection="1">
      <alignment vertical="center"/>
      <protection hidden="1"/>
    </xf>
    <xf numFmtId="0" fontId="7" fillId="0" borderId="82" xfId="0" applyNumberFormat="1" applyFont="1" applyFill="1" applyBorder="1" applyAlignment="1" applyProtection="1">
      <alignment vertical="center"/>
      <protection hidden="1"/>
    </xf>
    <xf numFmtId="0" fontId="7" fillId="0" borderId="83" xfId="0" applyNumberFormat="1" applyFont="1" applyFill="1" applyBorder="1" applyAlignment="1" applyProtection="1">
      <alignment vertical="center"/>
      <protection hidden="1"/>
    </xf>
    <xf numFmtId="0" fontId="7" fillId="0" borderId="43" xfId="0" applyNumberFormat="1" applyFont="1" applyFill="1" applyBorder="1" applyAlignment="1" applyProtection="1">
      <alignment horizontal="left" vertical="center"/>
      <protection hidden="1"/>
    </xf>
    <xf numFmtId="0" fontId="7" fillId="0" borderId="45" xfId="0" applyNumberFormat="1" applyFont="1" applyFill="1" applyBorder="1" applyAlignment="1" applyProtection="1">
      <alignment horizontal="left" vertical="center"/>
      <protection hidden="1"/>
    </xf>
    <xf numFmtId="0" fontId="7" fillId="0" borderId="47"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4" fillId="9" borderId="38" xfId="0" applyFont="1" applyFill="1" applyBorder="1" applyAlignment="1">
      <alignment horizontal="center" vertical="center"/>
    </xf>
    <xf numFmtId="0" fontId="18" fillId="0" borderId="0" xfId="0" applyNumberFormat="1" applyFont="1" applyAlignment="1">
      <alignment horizontal="center"/>
    </xf>
    <xf numFmtId="0" fontId="7" fillId="0" borderId="88" xfId="0" applyNumberFormat="1" applyFont="1" applyFill="1" applyBorder="1" applyAlignment="1" applyProtection="1">
      <alignment horizontal="right" vertical="center" indent="1"/>
      <protection hidden="1"/>
    </xf>
    <xf numFmtId="0" fontId="7" fillId="0" borderId="89" xfId="0" applyNumberFormat="1" applyFont="1" applyFill="1" applyBorder="1" applyAlignment="1" applyProtection="1">
      <alignment horizontal="right" vertical="center" indent="1"/>
      <protection hidden="1"/>
    </xf>
    <xf numFmtId="0" fontId="7" fillId="0" borderId="90"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103" xfId="0" applyFill="1" applyBorder="1" applyAlignment="1" applyProtection="1">
      <alignment horizontal="left" indent="1"/>
      <protection locked="0"/>
    </xf>
    <xf numFmtId="0" fontId="0" fillId="13" borderId="104" xfId="0" applyFill="1" applyBorder="1" applyAlignment="1" applyProtection="1">
      <alignment horizontal="left" indent="1"/>
      <protection locked="0"/>
    </xf>
    <xf numFmtId="0" fontId="0" fillId="14" borderId="105" xfId="0" applyFill="1" applyBorder="1" applyAlignment="1" applyProtection="1">
      <alignment horizontal="left" indent="1"/>
      <protection locked="0"/>
    </xf>
    <xf numFmtId="0" fontId="35" fillId="0" borderId="98" xfId="0" applyFont="1" applyFill="1" applyBorder="1" applyAlignment="1">
      <alignment horizontal="left" indent="1"/>
    </xf>
    <xf numFmtId="0" fontId="0" fillId="0" borderId="99" xfId="0" applyBorder="1" applyAlignment="1">
      <alignment horizontal="left" indent="1"/>
    </xf>
    <xf numFmtId="0" fontId="0" fillId="0" borderId="106" xfId="0" applyBorder="1" applyAlignment="1">
      <alignment horizontal="left" indent="1"/>
    </xf>
    <xf numFmtId="0" fontId="35" fillId="0" borderId="101" xfId="0" applyFont="1" applyFill="1" applyBorder="1" applyAlignment="1">
      <alignment horizontal="left" indent="1"/>
    </xf>
    <xf numFmtId="0" fontId="0" fillId="0" borderId="0" xfId="0" applyBorder="1" applyAlignment="1">
      <alignment horizontal="left" indent="1"/>
    </xf>
    <xf numFmtId="0" fontId="0" fillId="0" borderId="97"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105" xfId="0" applyFill="1" applyBorder="1" applyAlignment="1" applyProtection="1">
      <alignment horizontal="left" vertical="top" wrapText="1" indent="1"/>
      <protection locked="0"/>
    </xf>
    <xf numFmtId="0" fontId="0" fillId="12" borderId="103" xfId="0" applyFill="1" applyBorder="1" applyAlignment="1" applyProtection="1">
      <alignment horizontal="left" vertical="top" wrapText="1" indent="1"/>
      <protection locked="0"/>
    </xf>
    <xf numFmtId="0" fontId="0" fillId="13" borderId="104" xfId="0" applyFill="1" applyBorder="1" applyAlignment="1" applyProtection="1">
      <alignment horizontal="left" vertical="top" wrapText="1" indent="1"/>
      <protection locked="0"/>
    </xf>
    <xf numFmtId="0" fontId="0" fillId="13" borderId="10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indent="1"/>
      <protection locked="0"/>
    </xf>
    <xf numFmtId="0" fontId="4" fillId="12" borderId="103"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top" wrapText="1" indent="1"/>
      <protection locked="0"/>
    </xf>
    <xf numFmtId="0" fontId="4" fillId="12" borderId="103" xfId="0" applyFont="1" applyFill="1" applyBorder="1" applyAlignment="1" applyProtection="1">
      <alignment horizontal="left" indent="1"/>
      <protection locked="0"/>
    </xf>
    <xf numFmtId="0" fontId="4" fillId="14" borderId="105" xfId="0" applyFont="1" applyFill="1" applyBorder="1" applyAlignment="1" applyProtection="1">
      <alignment horizontal="left" indent="1"/>
      <protection locked="0"/>
    </xf>
    <xf numFmtId="0" fontId="4" fillId="14" borderId="105" xfId="0" applyFont="1" applyFill="1" applyBorder="1" applyAlignment="1">
      <alignment horizontal="left" indent="1"/>
    </xf>
    <xf numFmtId="0" fontId="4" fillId="13" borderId="104" xfId="0" applyFont="1" applyFill="1" applyBorder="1" applyAlignment="1" applyProtection="1">
      <alignment horizontal="left" indent="1"/>
      <protection locked="0"/>
    </xf>
    <xf numFmtId="0" fontId="4" fillId="12" borderId="107" xfId="0" applyFont="1" applyFill="1" applyBorder="1" applyAlignment="1" applyProtection="1">
      <alignment horizontal="left" vertical="top" indent="1"/>
      <protection locked="0"/>
    </xf>
    <xf numFmtId="0" fontId="4" fillId="14" borderId="105"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9" xfId="0" applyFont="1" applyFill="1" applyBorder="1" applyAlignment="1" applyProtection="1">
      <alignment horizontal="left" vertical="top" indent="1"/>
      <protection locked="0"/>
    </xf>
    <xf numFmtId="0" fontId="1" fillId="13" borderId="96" xfId="0" applyFont="1" applyFill="1" applyBorder="1" applyAlignment="1" applyProtection="1">
      <alignment horizontal="center" vertical="center"/>
      <protection locked="0"/>
    </xf>
    <xf numFmtId="0" fontId="4" fillId="14" borderId="101" xfId="0" applyFont="1" applyFill="1" applyBorder="1" applyAlignment="1" applyProtection="1">
      <alignment horizontal="left" vertical="top" indent="1"/>
      <protection locked="0"/>
    </xf>
    <xf numFmtId="0" fontId="7" fillId="0" borderId="35"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7" xfId="0" applyFont="1" applyBorder="1" applyAlignment="1">
      <alignment horizontal="center" vertical="center"/>
    </xf>
    <xf numFmtId="0" fontId="20" fillId="0" borderId="49" xfId="0" applyFont="1" applyBorder="1" applyAlignment="1">
      <alignment horizontal="center" vertical="center"/>
    </xf>
    <xf numFmtId="0" fontId="20" fillId="0" borderId="52" xfId="0" applyFont="1" applyBorder="1" applyAlignment="1">
      <alignment horizontal="center" vertical="center"/>
    </xf>
    <xf numFmtId="0" fontId="30" fillId="13" borderId="118" xfId="0" applyFont="1" applyFill="1" applyBorder="1" applyAlignment="1">
      <alignment horizontal="center" vertical="center"/>
    </xf>
    <xf numFmtId="164" fontId="20" fillId="0" borderId="39" xfId="0" applyNumberFormat="1" applyFont="1" applyBorder="1" applyAlignment="1">
      <alignment horizontal="center" vertical="center"/>
    </xf>
    <xf numFmtId="164" fontId="20" fillId="0" borderId="40" xfId="0" applyNumberFormat="1" applyFont="1" applyBorder="1" applyAlignment="1">
      <alignment horizontal="center" vertical="center"/>
    </xf>
    <xf numFmtId="0" fontId="18" fillId="13" borderId="38" xfId="0" applyFont="1" applyFill="1" applyBorder="1"/>
    <xf numFmtId="3" fontId="7" fillId="0" borderId="35"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9" xfId="0" applyFont="1" applyFill="1" applyBorder="1" applyAlignment="1">
      <alignment horizontal="center" vertical="center"/>
    </xf>
    <xf numFmtId="0" fontId="30" fillId="13" borderId="122" xfId="0" applyFont="1" applyFill="1" applyBorder="1" applyAlignment="1">
      <alignment horizontal="left" vertical="center" indent="1"/>
    </xf>
    <xf numFmtId="0" fontId="20" fillId="0" borderId="123" xfId="0" applyFont="1" applyBorder="1" applyAlignment="1">
      <alignment horizontal="left" vertical="center" indent="1"/>
    </xf>
    <xf numFmtId="0" fontId="20" fillId="0" borderId="124" xfId="0" applyFont="1" applyBorder="1" applyAlignment="1">
      <alignment horizontal="left" vertical="center" indent="1"/>
    </xf>
    <xf numFmtId="0" fontId="20" fillId="0" borderId="125" xfId="0" applyFont="1" applyBorder="1" applyAlignment="1">
      <alignment horizontal="left" vertical="center" indent="1"/>
    </xf>
    <xf numFmtId="0" fontId="30" fillId="13" borderId="120" xfId="0" applyFont="1" applyFill="1" applyBorder="1" applyAlignment="1">
      <alignment horizontal="center" vertical="center"/>
    </xf>
    <xf numFmtId="0" fontId="39" fillId="0" borderId="121" xfId="0" applyFont="1" applyBorder="1" applyAlignment="1">
      <alignment horizontal="center" vertical="center"/>
    </xf>
    <xf numFmtId="0" fontId="39" fillId="0" borderId="54" xfId="0" applyFont="1" applyBorder="1" applyAlignment="1">
      <alignment horizontal="center" vertical="center"/>
    </xf>
    <xf numFmtId="0" fontId="39" fillId="0" borderId="56" xfId="0" applyFont="1" applyBorder="1" applyAlignment="1">
      <alignment horizontal="center" vertical="center"/>
    </xf>
    <xf numFmtId="165" fontId="21" fillId="13" borderId="126" xfId="0" applyNumberFormat="1" applyFont="1" applyFill="1" applyBorder="1" applyAlignment="1">
      <alignment horizontal="center" vertical="center"/>
    </xf>
    <xf numFmtId="165" fontId="21" fillId="13" borderId="118"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8" xfId="0" applyFont="1" applyFill="1" applyBorder="1" applyAlignment="1">
      <alignment horizontal="center" vertical="center"/>
    </xf>
    <xf numFmtId="0" fontId="20" fillId="0" borderId="129" xfId="0" applyFont="1" applyBorder="1" applyAlignment="1">
      <alignment horizontal="center" vertical="center"/>
    </xf>
    <xf numFmtId="0" fontId="20" fillId="0" borderId="131" xfId="0" applyFont="1" applyBorder="1" applyAlignment="1">
      <alignment horizontal="center" vertical="center"/>
    </xf>
    <xf numFmtId="0" fontId="4" fillId="12" borderId="103" xfId="0" applyFont="1" applyFill="1" applyBorder="1" applyAlignment="1" applyProtection="1">
      <alignment horizontal="left" vertical="top" wrapText="1" indent="1"/>
      <protection locked="0"/>
    </xf>
    <xf numFmtId="0" fontId="7" fillId="0" borderId="4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45"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horizontal="center" vertical="center"/>
      <protection hidden="1"/>
    </xf>
    <xf numFmtId="0" fontId="7" fillId="0" borderId="47"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vertical="center"/>
      <protection hidden="1"/>
    </xf>
    <xf numFmtId="0" fontId="7" fillId="0" borderId="41" xfId="0" applyNumberFormat="1" applyFont="1" applyFill="1" applyBorder="1" applyAlignment="1" applyProtection="1">
      <alignment horizontal="center" vertical="center"/>
      <protection hidden="1"/>
    </xf>
    <xf numFmtId="0" fontId="7" fillId="0" borderId="44" xfId="0" applyNumberFormat="1" applyFont="1" applyFill="1" applyBorder="1" applyAlignment="1" applyProtection="1">
      <alignment horizontal="center" vertical="center"/>
      <protection hidden="1"/>
    </xf>
    <xf numFmtId="0" fontId="7" fillId="0" borderId="46" xfId="0" applyNumberFormat="1" applyFont="1" applyFill="1" applyBorder="1" applyAlignment="1" applyProtection="1">
      <alignment horizontal="center" vertical="center"/>
      <protection hidden="1"/>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30" fillId="13" borderId="137" xfId="0" applyFont="1" applyFill="1" applyBorder="1" applyAlignment="1">
      <alignment horizontal="center" vertical="center"/>
    </xf>
    <xf numFmtId="0" fontId="20" fillId="0" borderId="127" xfId="0" applyFont="1" applyBorder="1" applyAlignment="1">
      <alignment horizontal="center" vertical="center"/>
    </xf>
    <xf numFmtId="0" fontId="20" fillId="0" borderId="60" xfId="0" applyFont="1" applyBorder="1" applyAlignment="1">
      <alignment horizontal="center" vertical="center"/>
    </xf>
    <xf numFmtId="0" fontId="20" fillId="0" borderId="61" xfId="0" applyFont="1" applyBorder="1" applyAlignment="1">
      <alignment horizontal="center" vertical="center"/>
    </xf>
    <xf numFmtId="165" fontId="21" fillId="13" borderId="140" xfId="0" applyNumberFormat="1" applyFont="1" applyFill="1" applyBorder="1" applyAlignment="1">
      <alignment horizontal="center" vertical="center"/>
    </xf>
    <xf numFmtId="0" fontId="20" fillId="0" borderId="141" xfId="0" applyFont="1" applyBorder="1" applyAlignment="1">
      <alignment horizontal="center" vertical="center"/>
    </xf>
    <xf numFmtId="0" fontId="20" fillId="0" borderId="50" xfId="0" applyFont="1" applyBorder="1" applyAlignment="1">
      <alignment horizontal="center" vertical="center"/>
    </xf>
    <xf numFmtId="0" fontId="20" fillId="8" borderId="53"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0" fontId="4" fillId="12" borderId="109" xfId="0" applyFont="1" applyFill="1" applyBorder="1" applyAlignment="1" applyProtection="1">
      <alignment horizontal="left" vertical="top" wrapText="1" indent="1"/>
      <protection locked="0"/>
    </xf>
    <xf numFmtId="0" fontId="4" fillId="14" borderId="101"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9" xfId="0" applyNumberFormat="1" applyFont="1" applyBorder="1" applyAlignment="1">
      <alignment horizontal="center" vertical="center"/>
    </xf>
    <xf numFmtId="0" fontId="23" fillId="0" borderId="117" xfId="0" applyNumberFormat="1" applyFont="1" applyBorder="1" applyAlignment="1">
      <alignment horizontal="center" vertical="center"/>
    </xf>
    <xf numFmtId="0" fontId="23" fillId="0" borderId="49" xfId="0" applyNumberFormat="1" applyFont="1" applyBorder="1" applyAlignment="1">
      <alignment horizontal="center" vertical="center"/>
    </xf>
    <xf numFmtId="167" fontId="23" fillId="0" borderId="52" xfId="0" applyNumberFormat="1" applyFont="1" applyBorder="1" applyAlignment="1">
      <alignment horizontal="center" vertical="center"/>
    </xf>
    <xf numFmtId="0" fontId="23" fillId="0" borderId="52" xfId="0" applyNumberFormat="1" applyFont="1" applyBorder="1" applyAlignment="1">
      <alignment horizontal="center" vertical="center"/>
    </xf>
    <xf numFmtId="0" fontId="21" fillId="0" borderId="61" xfId="0" applyFont="1" applyBorder="1" applyAlignment="1">
      <alignment horizontal="center" vertical="center"/>
    </xf>
    <xf numFmtId="0" fontId="21" fillId="0" borderId="153" xfId="0" applyFont="1" applyBorder="1" applyAlignment="1">
      <alignment horizontal="right" vertical="center"/>
    </xf>
    <xf numFmtId="0" fontId="21" fillId="0" borderId="154" xfId="0" applyFont="1" applyBorder="1" applyAlignment="1">
      <alignment horizontal="center" vertical="center"/>
    </xf>
    <xf numFmtId="0" fontId="21" fillId="0" borderId="156" xfId="0" applyFont="1" applyBorder="1" applyAlignment="1">
      <alignment horizontal="left" vertical="center"/>
    </xf>
    <xf numFmtId="0" fontId="19" fillId="9" borderId="157" xfId="0" applyFont="1" applyFill="1" applyBorder="1" applyAlignment="1">
      <alignment horizontal="center"/>
    </xf>
    <xf numFmtId="0" fontId="19" fillId="9" borderId="120" xfId="0" applyFont="1" applyFill="1" applyBorder="1" applyAlignment="1">
      <alignment horizontal="center"/>
    </xf>
    <xf numFmtId="167" fontId="23" fillId="0" borderId="117" xfId="0" applyNumberFormat="1" applyFont="1" applyBorder="1" applyAlignment="1">
      <alignment horizontal="center" vertical="center"/>
    </xf>
    <xf numFmtId="0" fontId="14" fillId="9" borderId="84" xfId="0" applyFont="1" applyFill="1" applyBorder="1" applyAlignment="1">
      <alignment horizontal="center" vertical="center"/>
    </xf>
    <xf numFmtId="0" fontId="20" fillId="0" borderId="138" xfId="0" applyFont="1" applyBorder="1" applyAlignment="1">
      <alignment horizontal="left" vertical="center"/>
    </xf>
    <xf numFmtId="0" fontId="20" fillId="0" borderId="130" xfId="0" applyFont="1" applyBorder="1" applyAlignment="1">
      <alignment horizontal="left" vertical="center"/>
    </xf>
    <xf numFmtId="0" fontId="20" fillId="0" borderId="139" xfId="0" applyFont="1" applyBorder="1" applyAlignment="1">
      <alignment horizontal="left" vertical="center"/>
    </xf>
    <xf numFmtId="0" fontId="48" fillId="0" borderId="0" xfId="0" applyNumberFormat="1" applyFont="1" applyAlignment="1">
      <alignment horizontal="center" vertical="center"/>
    </xf>
    <xf numFmtId="0" fontId="0" fillId="0" borderId="161" xfId="0" applyBorder="1"/>
    <xf numFmtId="0" fontId="0" fillId="0" borderId="162" xfId="0" applyBorder="1" applyAlignment="1">
      <alignment horizontal="left" indent="1"/>
    </xf>
    <xf numFmtId="0" fontId="0" fillId="0" borderId="112" xfId="0" applyBorder="1"/>
    <xf numFmtId="0" fontId="0" fillId="0" borderId="113" xfId="0" applyBorder="1" applyAlignment="1">
      <alignment horizontal="left" indent="1"/>
    </xf>
    <xf numFmtId="0" fontId="0" fillId="0" borderId="114" xfId="0" applyBorder="1"/>
    <xf numFmtId="0" fontId="0" fillId="0" borderId="116" xfId="0" applyBorder="1" applyAlignment="1">
      <alignment horizontal="left" indent="1"/>
    </xf>
    <xf numFmtId="0" fontId="7" fillId="0" borderId="164" xfId="0" applyNumberFormat="1" applyFont="1" applyFill="1" applyBorder="1" applyAlignment="1" applyProtection="1">
      <alignment vertical="center"/>
      <protection hidden="1"/>
    </xf>
    <xf numFmtId="0" fontId="7" fillId="0" borderId="163" xfId="0" applyNumberFormat="1" applyFont="1" applyFill="1" applyBorder="1" applyAlignment="1" applyProtection="1">
      <alignment horizontal="center" vertical="center"/>
      <protection hidden="1"/>
    </xf>
    <xf numFmtId="0" fontId="6" fillId="0" borderId="49"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6" xfId="0" applyFont="1" applyFill="1" applyBorder="1" applyAlignment="1">
      <alignment horizontal="center" vertical="center" shrinkToFit="1"/>
    </xf>
    <xf numFmtId="0" fontId="14" fillId="9" borderId="75"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70" xfId="0" applyFont="1" applyFill="1" applyBorder="1" applyAlignment="1">
      <alignment horizontal="center" vertical="center" shrinkToFit="1"/>
    </xf>
    <xf numFmtId="165" fontId="14" fillId="9" borderId="66" xfId="0" applyNumberFormat="1" applyFont="1" applyFill="1" applyBorder="1" applyAlignment="1">
      <alignment vertical="center" shrinkToFit="1"/>
    </xf>
    <xf numFmtId="165" fontId="14" fillId="9" borderId="75" xfId="0" applyNumberFormat="1" applyFont="1" applyFill="1" applyBorder="1" applyAlignment="1">
      <alignment vertical="center" shrinkToFit="1"/>
    </xf>
    <xf numFmtId="0" fontId="6" fillId="0" borderId="142" xfId="0" applyFont="1" applyBorder="1" applyAlignment="1">
      <alignment horizontal="center" vertical="center" shrinkToFit="1"/>
    </xf>
    <xf numFmtId="0" fontId="6" fillId="0" borderId="143" xfId="0" applyFont="1" applyBorder="1" applyAlignment="1">
      <alignment horizontal="center" vertical="center" shrinkToFit="1"/>
    </xf>
    <xf numFmtId="0" fontId="6" fillId="0" borderId="144" xfId="0" applyFont="1" applyBorder="1" applyAlignment="1">
      <alignment horizontal="center" vertical="center" shrinkToFit="1"/>
    </xf>
    <xf numFmtId="0" fontId="6" fillId="0" borderId="144" xfId="0" applyFont="1" applyBorder="1" applyAlignment="1">
      <alignment horizontal="right" vertical="center" shrinkToFit="1"/>
    </xf>
    <xf numFmtId="0" fontId="6" fillId="0" borderId="145" xfId="0" applyFont="1" applyBorder="1" applyAlignment="1">
      <alignment horizontal="center" vertical="center" shrinkToFit="1"/>
    </xf>
    <xf numFmtId="0" fontId="6" fillId="0" borderId="142" xfId="0" applyFont="1" applyBorder="1" applyAlignment="1">
      <alignment horizontal="left" vertical="center" shrinkToFit="1"/>
    </xf>
    <xf numFmtId="0" fontId="16" fillId="0" borderId="146" xfId="0" applyFont="1" applyBorder="1" applyAlignment="1">
      <alignment horizontal="center" vertical="center" shrinkToFit="1"/>
    </xf>
    <xf numFmtId="0" fontId="6" fillId="8" borderId="147" xfId="0" applyFont="1" applyFill="1" applyBorder="1" applyAlignment="1">
      <alignment horizontal="center" vertical="center" shrinkToFit="1"/>
    </xf>
    <xf numFmtId="0" fontId="6" fillId="0" borderId="146" xfId="0" applyFont="1" applyBorder="1" applyAlignment="1">
      <alignment horizontal="center" vertical="center" shrinkToFit="1"/>
    </xf>
    <xf numFmtId="0" fontId="6" fillId="0" borderId="135" xfId="0" applyFont="1" applyBorder="1" applyAlignment="1">
      <alignment horizontal="left" vertical="center" shrinkToFit="1"/>
    </xf>
    <xf numFmtId="0" fontId="6" fillId="0" borderId="54"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55" xfId="0" applyFont="1" applyBorder="1" applyAlignment="1">
      <alignment horizontal="right" vertical="center" shrinkToFit="1"/>
    </xf>
    <xf numFmtId="0" fontId="6" fillId="0" borderId="60" xfId="0" applyFont="1" applyBorder="1" applyAlignment="1">
      <alignment horizontal="center" vertical="center" shrinkToFit="1"/>
    </xf>
    <xf numFmtId="0" fontId="6" fillId="0" borderId="54" xfId="0" applyFont="1" applyBorder="1" applyAlignment="1">
      <alignment horizontal="left" vertical="center" shrinkToFit="1"/>
    </xf>
    <xf numFmtId="0" fontId="16" fillId="0" borderId="50" xfId="0" applyFont="1" applyBorder="1" applyAlignment="1">
      <alignment horizontal="center" vertical="center" shrinkToFit="1"/>
    </xf>
    <xf numFmtId="0" fontId="6" fillId="0" borderId="48" xfId="0" applyFont="1" applyBorder="1" applyAlignment="1">
      <alignment horizontal="center" vertical="center" shrinkToFit="1"/>
    </xf>
    <xf numFmtId="0" fontId="6" fillId="8" borderId="49" xfId="0" applyFont="1" applyFill="1" applyBorder="1" applyAlignment="1">
      <alignment horizontal="center" vertical="center" shrinkToFit="1"/>
    </xf>
    <xf numFmtId="0" fontId="6" fillId="0" borderId="50" xfId="0" applyFont="1" applyBorder="1" applyAlignment="1">
      <alignment horizontal="center" vertical="center" shrinkToFit="1"/>
    </xf>
    <xf numFmtId="0" fontId="6" fillId="0" borderId="136" xfId="0" applyFont="1" applyBorder="1" applyAlignment="1">
      <alignment horizontal="left" vertical="center" shrinkToFit="1"/>
    </xf>
    <xf numFmtId="0" fontId="6" fillId="0" borderId="56"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57" xfId="0" applyFont="1" applyBorder="1" applyAlignment="1">
      <alignment horizontal="right" vertical="center" shrinkToFit="1"/>
    </xf>
    <xf numFmtId="0" fontId="6" fillId="0" borderId="61" xfId="0" applyFont="1" applyBorder="1" applyAlignment="1">
      <alignment horizontal="center" vertical="center" shrinkToFit="1"/>
    </xf>
    <xf numFmtId="0" fontId="6" fillId="0" borderId="56" xfId="0" applyFont="1" applyBorder="1" applyAlignment="1">
      <alignment horizontal="left" vertical="center" shrinkToFit="1"/>
    </xf>
    <xf numFmtId="0" fontId="16" fillId="0" borderId="53" xfId="0" applyFont="1" applyBorder="1" applyAlignment="1">
      <alignment horizontal="center" vertical="center" shrinkToFit="1"/>
    </xf>
    <xf numFmtId="0" fontId="6" fillId="0" borderId="51" xfId="0" applyFont="1" applyBorder="1" applyAlignment="1">
      <alignment horizontal="center" vertical="center" shrinkToFit="1"/>
    </xf>
    <xf numFmtId="0" fontId="6" fillId="8" borderId="53" xfId="0" applyFont="1" applyFill="1" applyBorder="1" applyAlignment="1">
      <alignment horizontal="center" vertical="center" shrinkToFit="1"/>
    </xf>
    <xf numFmtId="167" fontId="47" fillId="0" borderId="158" xfId="0" applyNumberFormat="1" applyFont="1" applyBorder="1" applyAlignment="1">
      <alignment horizontal="center" vertical="center" shrinkToFit="1"/>
    </xf>
    <xf numFmtId="0" fontId="47" fillId="0" borderId="158" xfId="0" applyFont="1" applyBorder="1" applyAlignment="1">
      <alignment horizontal="center" vertical="center" shrinkToFit="1"/>
    </xf>
    <xf numFmtId="0" fontId="6" fillId="0" borderId="29" xfId="0" applyFont="1" applyBorder="1" applyAlignment="1">
      <alignment vertical="center" shrinkToFit="1"/>
    </xf>
    <xf numFmtId="0" fontId="6" fillId="0" borderId="29" xfId="0" applyFont="1" applyBorder="1" applyAlignment="1">
      <alignment horizontal="center" vertical="center" shrinkToFit="1"/>
    </xf>
    <xf numFmtId="0" fontId="6" fillId="10" borderId="35" xfId="0" applyFont="1" applyFill="1" applyBorder="1" applyAlignment="1" applyProtection="1">
      <alignment horizontal="right" vertical="center" shrinkToFit="1"/>
      <protection locked="0"/>
    </xf>
    <xf numFmtId="0" fontId="6" fillId="10" borderId="29" xfId="0" applyFont="1" applyFill="1" applyBorder="1" applyAlignment="1">
      <alignment horizontal="center" vertical="center" shrinkToFit="1"/>
    </xf>
    <xf numFmtId="0" fontId="6" fillId="10" borderId="30" xfId="0" applyFont="1" applyFill="1" applyBorder="1" applyAlignment="1" applyProtection="1">
      <alignment horizontal="left" vertical="center" shrinkToFit="1"/>
      <protection locked="0"/>
    </xf>
    <xf numFmtId="167" fontId="47" fillId="0" borderId="85" xfId="0" applyNumberFormat="1" applyFont="1" applyBorder="1" applyAlignment="1">
      <alignment horizontal="center" vertical="center" shrinkToFit="1"/>
    </xf>
    <xf numFmtId="0" fontId="47" fillId="0" borderId="85" xfId="0" applyFont="1" applyBorder="1" applyAlignment="1">
      <alignment horizontal="center" vertical="center" shrinkToFit="1"/>
    </xf>
    <xf numFmtId="0" fontId="6" fillId="0" borderId="31" xfId="0" applyFont="1" applyBorder="1" applyAlignment="1">
      <alignment vertical="center" shrinkToFit="1"/>
    </xf>
    <xf numFmtId="0" fontId="6" fillId="0" borderId="31" xfId="0" applyFont="1" applyBorder="1" applyAlignment="1">
      <alignment horizontal="center" vertical="center" shrinkToFit="1"/>
    </xf>
    <xf numFmtId="0" fontId="6" fillId="10" borderId="36" xfId="0" applyFont="1" applyFill="1" applyBorder="1" applyAlignment="1" applyProtection="1">
      <alignment horizontal="right" vertical="center" shrinkToFit="1"/>
      <protection locked="0"/>
    </xf>
    <xf numFmtId="0" fontId="6" fillId="10" borderId="31" xfId="0" applyFont="1" applyFill="1" applyBorder="1" applyAlignment="1">
      <alignment horizontal="center" vertical="center" shrinkToFit="1"/>
    </xf>
    <xf numFmtId="0" fontId="6" fillId="10" borderId="32" xfId="0" applyFont="1" applyFill="1" applyBorder="1" applyAlignment="1" applyProtection="1">
      <alignment horizontal="left" vertical="center" shrinkToFit="1"/>
      <protection locked="0"/>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38" fillId="15" borderId="167" xfId="0" applyFont="1" applyFill="1" applyBorder="1" applyAlignment="1" applyProtection="1">
      <alignment horizontal="center"/>
      <protection locked="0"/>
    </xf>
    <xf numFmtId="0" fontId="21" fillId="0" borderId="168" xfId="0" applyFont="1" applyBorder="1" applyAlignment="1">
      <alignment horizontal="right" vertical="center"/>
    </xf>
    <xf numFmtId="0" fontId="21" fillId="0" borderId="47"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9" xfId="0" applyNumberFormat="1" applyFont="1" applyFill="1" applyBorder="1" applyAlignment="1" applyProtection="1">
      <alignment horizontal="center" vertical="center"/>
      <protection hidden="1"/>
    </xf>
    <xf numFmtId="0" fontId="51" fillId="0" borderId="169"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70" xfId="2" applyNumberFormat="1" applyBorder="1" applyAlignment="1" applyProtection="1">
      <alignment horizontal="center" vertical="center" readingOrder="1"/>
    </xf>
    <xf numFmtId="0" fontId="7" fillId="13" borderId="174" xfId="0" applyNumberFormat="1" applyFont="1" applyFill="1" applyBorder="1" applyAlignment="1" applyProtection="1">
      <alignment horizontal="center" vertical="center"/>
      <protection hidden="1"/>
    </xf>
    <xf numFmtId="0" fontId="4" fillId="14" borderId="175" xfId="0" applyFont="1" applyFill="1" applyBorder="1" applyAlignment="1" applyProtection="1">
      <alignment horizontal="left" vertical="top" wrapText="1" indent="1"/>
      <protection locked="0"/>
    </xf>
    <xf numFmtId="0" fontId="4" fillId="12" borderId="176" xfId="0" applyFont="1" applyFill="1" applyBorder="1" applyAlignment="1" applyProtection="1">
      <alignment horizontal="left" vertical="top" wrapText="1" indent="1"/>
      <protection locked="0"/>
    </xf>
    <xf numFmtId="0" fontId="4" fillId="14" borderId="177" xfId="0" applyFont="1" applyFill="1" applyBorder="1" applyAlignment="1" applyProtection="1">
      <alignment horizontal="left" vertical="top" wrapText="1" indent="1"/>
      <protection locked="0"/>
    </xf>
    <xf numFmtId="0" fontId="4" fillId="12" borderId="178" xfId="0" applyFont="1" applyFill="1" applyBorder="1" applyAlignment="1" applyProtection="1">
      <alignment horizontal="left" vertical="top" wrapText="1" indent="1"/>
      <protection locked="0"/>
    </xf>
    <xf numFmtId="0" fontId="0" fillId="13" borderId="179"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2" borderId="182" xfId="0" applyFill="1" applyBorder="1" applyAlignment="1" applyProtection="1">
      <alignment horizontal="left" vertical="top" indent="1"/>
      <protection locked="0"/>
    </xf>
    <xf numFmtId="0" fontId="0" fillId="13" borderId="183" xfId="0" applyFill="1" applyBorder="1" applyAlignment="1" applyProtection="1">
      <alignment horizontal="left" vertical="top" wrapText="1" indent="1"/>
      <protection locked="0"/>
    </xf>
    <xf numFmtId="0" fontId="0" fillId="14" borderId="184" xfId="0" applyFill="1" applyBorder="1" applyAlignment="1" applyProtection="1">
      <alignment horizontal="left" vertical="top" indent="1"/>
      <protection locked="0"/>
    </xf>
    <xf numFmtId="0" fontId="0" fillId="13" borderId="185"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wrapText="1" indent="1"/>
      <protection locked="0"/>
    </xf>
    <xf numFmtId="0" fontId="0" fillId="12" borderId="181" xfId="0" applyFill="1" applyBorder="1" applyAlignment="1" applyProtection="1">
      <alignment horizontal="left" vertical="top" wrapText="1" indent="1"/>
      <protection locked="0"/>
    </xf>
    <xf numFmtId="0" fontId="0" fillId="0" borderId="0" xfId="0" applyAlignment="1"/>
    <xf numFmtId="0" fontId="0" fillId="14" borderId="186" xfId="0" applyFill="1" applyBorder="1" applyAlignment="1" applyProtection="1">
      <alignment horizontal="left" vertical="top" wrapText="1" indent="1"/>
      <protection locked="0"/>
    </xf>
    <xf numFmtId="0" fontId="0" fillId="12" borderId="187" xfId="0" applyFill="1" applyBorder="1" applyAlignment="1" applyProtection="1">
      <alignment horizontal="left" vertical="top" wrapText="1" indent="1"/>
      <protection locked="0"/>
    </xf>
    <xf numFmtId="0" fontId="0" fillId="13" borderId="188" xfId="0" applyFill="1" applyBorder="1" applyAlignment="1" applyProtection="1">
      <alignment horizontal="left" vertical="top" wrapText="1" indent="1"/>
      <protection locked="0"/>
    </xf>
    <xf numFmtId="0" fontId="0" fillId="0" borderId="0" xfId="0" applyAlignment="1">
      <alignment horizontal="right"/>
    </xf>
    <xf numFmtId="0" fontId="52" fillId="15" borderId="167"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4" fillId="12" borderId="180" xfId="0" applyFont="1" applyFill="1" applyBorder="1" applyAlignment="1" applyProtection="1">
      <alignment horizontal="left" vertical="top" indent="1"/>
      <protection locked="0"/>
    </xf>
    <xf numFmtId="0" fontId="14" fillId="9" borderId="58" xfId="0" applyFont="1" applyFill="1" applyBorder="1" applyAlignment="1">
      <alignment horizontal="center" vertical="center" shrinkToFit="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3" fillId="0" borderId="132" xfId="0" applyFont="1" applyBorder="1" applyAlignment="1">
      <alignment horizontal="center" vertical="center" shrinkToFit="1"/>
    </xf>
    <xf numFmtId="0" fontId="53" fillId="0" borderId="133" xfId="0" applyFont="1" applyBorder="1" applyAlignment="1">
      <alignment horizontal="center" vertical="center" shrinkToFit="1"/>
    </xf>
    <xf numFmtId="0" fontId="53" fillId="0" borderId="134" xfId="0" applyFont="1" applyBorder="1" applyAlignment="1">
      <alignment horizontal="center" vertical="center" shrinkToFit="1"/>
    </xf>
    <xf numFmtId="0" fontId="40" fillId="0" borderId="0" xfId="0" applyNumberFormat="1" applyFont="1" applyBorder="1" applyAlignment="1">
      <alignment vertical="top"/>
    </xf>
    <xf numFmtId="0" fontId="7" fillId="0" borderId="189" xfId="0" applyNumberFormat="1" applyFont="1" applyFill="1" applyBorder="1" applyAlignment="1" applyProtection="1">
      <alignment horizontal="right" vertical="center" indent="1"/>
      <protection hidden="1"/>
    </xf>
    <xf numFmtId="0" fontId="7" fillId="0" borderId="190" xfId="0" applyNumberFormat="1" applyFont="1" applyFill="1" applyBorder="1" applyAlignment="1" applyProtection="1">
      <alignment horizontal="center" vertical="center"/>
      <protection hidden="1"/>
    </xf>
    <xf numFmtId="0" fontId="7" fillId="0" borderId="191" xfId="0" applyNumberFormat="1" applyFont="1" applyFill="1" applyBorder="1" applyAlignment="1" applyProtection="1">
      <alignment horizontal="center" vertical="center"/>
      <protection hidden="1"/>
    </xf>
    <xf numFmtId="0" fontId="7" fillId="0" borderId="192" xfId="0" applyNumberFormat="1" applyFont="1" applyFill="1" applyBorder="1" applyAlignment="1" applyProtection="1">
      <alignment horizontal="center" vertical="center"/>
      <protection hidden="1"/>
    </xf>
    <xf numFmtId="0" fontId="7" fillId="0" borderId="190" xfId="0" applyNumberFormat="1" applyFont="1" applyFill="1" applyBorder="1" applyAlignment="1" applyProtection="1">
      <alignment vertical="center"/>
      <protection hidden="1"/>
    </xf>
    <xf numFmtId="0" fontId="7" fillId="0" borderId="191" xfId="0" applyNumberFormat="1" applyFont="1" applyFill="1" applyBorder="1" applyAlignment="1" applyProtection="1">
      <alignment vertical="center"/>
      <protection hidden="1"/>
    </xf>
    <xf numFmtId="0" fontId="7" fillId="0" borderId="193" xfId="0" applyNumberFormat="1" applyFont="1" applyFill="1" applyBorder="1" applyAlignment="1" applyProtection="1">
      <alignment horizontal="center" vertical="center"/>
      <protection hidden="1"/>
    </xf>
    <xf numFmtId="0" fontId="7" fillId="0" borderId="194" xfId="0" applyNumberFormat="1" applyFont="1" applyFill="1" applyBorder="1" applyAlignment="1" applyProtection="1">
      <alignment horizontal="center" vertical="center"/>
      <protection hidden="1"/>
    </xf>
    <xf numFmtId="0" fontId="23" fillId="0" borderId="153" xfId="0" applyNumberFormat="1" applyFont="1" applyBorder="1" applyAlignment="1">
      <alignment horizontal="center" vertical="center"/>
    </xf>
    <xf numFmtId="0" fontId="23" fillId="0" borderId="55"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8"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95"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6" xfId="0" applyFont="1" applyBorder="1" applyAlignment="1" applyProtection="1"/>
    <xf numFmtId="0" fontId="54" fillId="0" borderId="0" xfId="0" applyFont="1" applyAlignment="1" applyProtection="1"/>
    <xf numFmtId="0" fontId="56" fillId="0" borderId="76" xfId="0" applyFont="1" applyFill="1" applyBorder="1" applyAlignment="1"/>
    <xf numFmtId="0" fontId="56"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165" fontId="28" fillId="0" borderId="76"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53" xfId="0" applyFont="1" applyFill="1" applyBorder="1" applyAlignment="1" applyProtection="1">
      <alignment horizontal="right" vertical="center"/>
    </xf>
    <xf numFmtId="0" fontId="22" fillId="17" borderId="154" xfId="0" applyFont="1" applyFill="1" applyBorder="1" applyAlignment="1" applyProtection="1">
      <alignment horizontal="center" vertical="center"/>
    </xf>
    <xf numFmtId="0" fontId="22" fillId="17" borderId="155" xfId="0" applyFont="1" applyFill="1" applyBorder="1" applyAlignment="1" applyProtection="1">
      <alignment horizontal="left" vertical="center"/>
    </xf>
    <xf numFmtId="0" fontId="22" fillId="17" borderId="55" xfId="0" applyFont="1" applyFill="1" applyBorder="1" applyAlignment="1" applyProtection="1">
      <alignment horizontal="right" vertical="center"/>
    </xf>
    <xf numFmtId="0" fontId="22" fillId="17" borderId="60" xfId="0" applyFont="1" applyFill="1" applyBorder="1" applyAlignment="1" applyProtection="1">
      <alignment horizontal="center" vertical="center"/>
    </xf>
    <xf numFmtId="0" fontId="22" fillId="17" borderId="54" xfId="0" applyFont="1" applyFill="1" applyBorder="1" applyAlignment="1" applyProtection="1">
      <alignment horizontal="left" vertical="center"/>
    </xf>
    <xf numFmtId="0" fontId="22" fillId="17" borderId="57" xfId="0" applyFont="1" applyFill="1" applyBorder="1" applyAlignment="1" applyProtection="1">
      <alignment horizontal="right" vertical="center"/>
    </xf>
    <xf numFmtId="0" fontId="22" fillId="17" borderId="61" xfId="0" applyFont="1" applyFill="1" applyBorder="1" applyAlignment="1" applyProtection="1">
      <alignment horizontal="center" vertical="center"/>
    </xf>
    <xf numFmtId="0" fontId="22" fillId="17" borderId="56" xfId="0" applyFont="1" applyFill="1" applyBorder="1" applyAlignment="1" applyProtection="1">
      <alignment horizontal="left" vertical="center"/>
    </xf>
    <xf numFmtId="0" fontId="18" fillId="0" borderId="0" xfId="0" applyFont="1" applyAlignment="1">
      <alignment vertical="center"/>
    </xf>
    <xf numFmtId="0" fontId="20" fillId="10" borderId="60" xfId="0" applyFont="1" applyFill="1" applyBorder="1" applyAlignment="1" applyProtection="1">
      <alignment horizontal="center" vertical="center"/>
      <protection locked="0"/>
    </xf>
    <xf numFmtId="0" fontId="20" fillId="10" borderId="74" xfId="0" applyFont="1" applyFill="1" applyBorder="1" applyAlignment="1" applyProtection="1">
      <alignment horizontal="center" vertical="center"/>
      <protection locked="0"/>
    </xf>
    <xf numFmtId="0" fontId="20" fillId="10" borderId="61" xfId="0" applyFont="1" applyFill="1" applyBorder="1" applyAlignment="1" applyProtection="1">
      <alignment horizontal="center" vertical="center"/>
      <protection locked="0"/>
    </xf>
    <xf numFmtId="0" fontId="20" fillId="10" borderId="201" xfId="0" applyFont="1" applyFill="1" applyBorder="1" applyAlignment="1" applyProtection="1">
      <alignment horizontal="center" vertical="center"/>
      <protection locked="0"/>
    </xf>
    <xf numFmtId="0" fontId="20" fillId="0" borderId="57" xfId="0" applyFont="1" applyBorder="1" applyAlignment="1">
      <alignment horizontal="left" vertical="center"/>
    </xf>
    <xf numFmtId="0" fontId="20" fillId="0" borderId="56" xfId="0" applyFont="1" applyBorder="1" applyAlignment="1">
      <alignment horizontal="left" vertical="center"/>
    </xf>
    <xf numFmtId="0" fontId="14" fillId="9" borderId="118" xfId="0" applyFont="1" applyFill="1" applyBorder="1" applyAlignment="1">
      <alignment horizontal="center" vertical="center"/>
    </xf>
    <xf numFmtId="0" fontId="20" fillId="10" borderId="55"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13" fillId="0" borderId="39" xfId="0" applyFont="1" applyBorder="1" applyAlignment="1">
      <alignment horizontal="center" vertical="center" shrinkToFit="1"/>
    </xf>
    <xf numFmtId="0" fontId="13" fillId="0" borderId="40" xfId="0" applyFont="1" applyBorder="1" applyAlignment="1">
      <alignment horizontal="center" vertical="center" shrinkToFit="1"/>
    </xf>
    <xf numFmtId="0" fontId="21" fillId="10" borderId="135" xfId="0" applyFont="1" applyFill="1" applyBorder="1" applyAlignment="1" applyProtection="1">
      <alignment horizontal="center" vertical="center"/>
      <protection locked="0"/>
    </xf>
    <xf numFmtId="0" fontId="14" fillId="9" borderId="120" xfId="0" applyFont="1" applyFill="1" applyBorder="1" applyAlignment="1">
      <alignment horizontal="center" vertical="center"/>
    </xf>
    <xf numFmtId="0" fontId="14" fillId="0" borderId="45"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95"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3" xfId="0" applyFont="1" applyBorder="1" applyAlignment="1">
      <alignment horizontal="center" vertical="center"/>
    </xf>
    <xf numFmtId="0" fontId="20" fillId="0" borderId="204" xfId="0" applyFont="1" applyBorder="1" applyAlignment="1">
      <alignment horizontal="left" vertical="center"/>
    </xf>
    <xf numFmtId="0" fontId="20" fillId="0" borderId="149" xfId="0" applyFont="1" applyBorder="1" applyAlignment="1">
      <alignment horizontal="center" vertical="center"/>
    </xf>
    <xf numFmtId="0" fontId="20" fillId="0" borderId="205" xfId="0" applyFont="1" applyBorder="1" applyAlignment="1">
      <alignment horizontal="left" vertical="center"/>
    </xf>
    <xf numFmtId="0" fontId="20" fillId="10" borderId="204" xfId="0" applyFont="1" applyFill="1" applyBorder="1" applyAlignment="1" applyProtection="1">
      <alignment horizontal="center" vertical="center"/>
      <protection locked="0"/>
    </xf>
    <xf numFmtId="0" fontId="20" fillId="10" borderId="149" xfId="0" applyFont="1" applyFill="1" applyBorder="1" applyAlignment="1">
      <alignment horizontal="center" vertical="center"/>
    </xf>
    <xf numFmtId="0" fontId="20" fillId="10" borderId="149" xfId="0" applyFont="1" applyFill="1" applyBorder="1" applyAlignment="1" applyProtection="1">
      <alignment horizontal="center" vertical="center"/>
      <protection locked="0"/>
    </xf>
    <xf numFmtId="0" fontId="20" fillId="10" borderId="150" xfId="0" applyFont="1" applyFill="1" applyBorder="1" applyAlignment="1" applyProtection="1">
      <alignment horizontal="center" vertical="center"/>
      <protection locked="0"/>
    </xf>
    <xf numFmtId="0" fontId="21" fillId="0" borderId="52" xfId="0" applyFont="1" applyBorder="1" applyAlignment="1">
      <alignment horizontal="center" vertical="center"/>
    </xf>
    <xf numFmtId="0" fontId="20" fillId="10" borderId="61" xfId="0" applyFont="1" applyFill="1" applyBorder="1" applyAlignment="1">
      <alignment horizontal="center" vertical="center"/>
    </xf>
    <xf numFmtId="0" fontId="21" fillId="10" borderId="195" xfId="0" applyFont="1" applyFill="1" applyBorder="1" applyAlignment="1" applyProtection="1">
      <alignment horizontal="center" vertical="center"/>
      <protection locked="0"/>
    </xf>
    <xf numFmtId="0" fontId="21" fillId="0" borderId="117" xfId="0" applyFont="1" applyBorder="1" applyAlignment="1">
      <alignment horizontal="center" vertical="center"/>
    </xf>
    <xf numFmtId="0" fontId="20" fillId="0" borderId="206" xfId="0" applyFont="1" applyBorder="1" applyAlignment="1">
      <alignment horizontal="left" vertical="center"/>
    </xf>
    <xf numFmtId="0" fontId="20" fillId="0" borderId="121" xfId="0" applyFont="1" applyBorder="1" applyAlignment="1">
      <alignment horizontal="left" vertical="center"/>
    </xf>
    <xf numFmtId="0" fontId="20" fillId="10" borderId="206" xfId="0" applyFont="1" applyFill="1" applyBorder="1" applyAlignment="1" applyProtection="1">
      <alignment horizontal="center" vertical="center"/>
      <protection locked="0"/>
    </xf>
    <xf numFmtId="0" fontId="20" fillId="10" borderId="127" xfId="0" applyFont="1" applyFill="1" applyBorder="1" applyAlignment="1">
      <alignment horizontal="center" vertical="center"/>
    </xf>
    <xf numFmtId="0" fontId="20" fillId="10" borderId="127" xfId="0" applyFont="1" applyFill="1" applyBorder="1" applyAlignment="1" applyProtection="1">
      <alignment horizontal="center" vertical="center"/>
      <protection locked="0"/>
    </xf>
    <xf numFmtId="0" fontId="20" fillId="10" borderId="207" xfId="0" applyFont="1" applyFill="1" applyBorder="1" applyAlignment="1" applyProtection="1">
      <alignment horizontal="center" vertical="center"/>
      <protection locked="0"/>
    </xf>
    <xf numFmtId="164" fontId="6" fillId="0" borderId="147" xfId="0" applyNumberFormat="1" applyFont="1" applyBorder="1" applyAlignment="1">
      <alignment vertical="center" shrinkToFit="1"/>
    </xf>
    <xf numFmtId="0" fontId="6" fillId="0" borderId="146" xfId="0" applyFont="1" applyBorder="1" applyAlignment="1">
      <alignment horizontal="left" vertical="center" shrinkToFit="1"/>
    </xf>
    <xf numFmtId="164" fontId="6" fillId="0" borderId="48" xfId="0" applyNumberFormat="1" applyFont="1" applyBorder="1" applyAlignment="1">
      <alignment vertical="center" shrinkToFit="1"/>
    </xf>
    <xf numFmtId="0" fontId="6" fillId="0" borderId="50" xfId="0" applyFont="1" applyBorder="1" applyAlignment="1">
      <alignment horizontal="left" vertical="center" shrinkToFit="1"/>
    </xf>
    <xf numFmtId="164" fontId="6" fillId="0" borderId="51" xfId="0" applyNumberFormat="1" applyFont="1" applyBorder="1" applyAlignment="1">
      <alignment vertical="center" shrinkToFit="1"/>
    </xf>
    <xf numFmtId="0" fontId="6" fillId="0" borderId="53" xfId="0" applyFont="1" applyBorder="1" applyAlignment="1">
      <alignment horizontal="left" vertical="center" shrinkToFit="1"/>
    </xf>
    <xf numFmtId="0" fontId="21" fillId="0" borderId="45"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08" xfId="0" applyNumberFormat="1" applyFont="1" applyBorder="1" applyAlignment="1">
      <alignment horizontal="center" vertical="center"/>
    </xf>
    <xf numFmtId="0" fontId="21" fillId="0" borderId="151" xfId="0" applyNumberFormat="1" applyFont="1" applyBorder="1" applyAlignment="1">
      <alignment horizontal="center" vertical="center"/>
    </xf>
    <xf numFmtId="0" fontId="21" fillId="0" borderId="200" xfId="0" applyNumberFormat="1" applyFont="1" applyBorder="1" applyAlignment="1">
      <alignment horizontal="center" vertical="center"/>
    </xf>
    <xf numFmtId="167" fontId="21" fillId="0" borderId="117" xfId="0" applyNumberFormat="1" applyFont="1" applyBorder="1" applyAlignment="1">
      <alignment horizontal="center" vertical="center"/>
    </xf>
    <xf numFmtId="167" fontId="21" fillId="0" borderId="49" xfId="0" applyNumberFormat="1" applyFont="1" applyBorder="1" applyAlignment="1">
      <alignment horizontal="center" vertical="center"/>
    </xf>
    <xf numFmtId="167" fontId="21" fillId="0" borderId="52" xfId="0" applyNumberFormat="1" applyFont="1" applyBorder="1" applyAlignment="1">
      <alignment horizontal="center" vertical="center"/>
    </xf>
    <xf numFmtId="0" fontId="21" fillId="0" borderId="148" xfId="0" applyNumberFormat="1" applyFont="1" applyBorder="1" applyAlignment="1">
      <alignment horizontal="center" vertical="center"/>
    </xf>
    <xf numFmtId="167" fontId="21" fillId="0" borderId="203" xfId="0" applyNumberFormat="1" applyFont="1" applyBorder="1" applyAlignment="1">
      <alignment horizontal="center" vertical="center"/>
    </xf>
    <xf numFmtId="0" fontId="14" fillId="9" borderId="157"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12"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8"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8" xfId="0" applyFont="1" applyFill="1" applyBorder="1" applyAlignment="1">
      <alignment horizontal="center" vertical="center" shrinkToFit="1"/>
    </xf>
    <xf numFmtId="0" fontId="6" fillId="0" borderId="49"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51"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8" xfId="0" applyFont="1" applyFill="1" applyBorder="1" applyAlignment="1">
      <alignment horizontal="center" vertical="center" shrinkToFit="1"/>
    </xf>
    <xf numFmtId="165" fontId="28" fillId="0" borderId="0" xfId="0" applyNumberFormat="1" applyFont="1" applyBorder="1" applyAlignment="1">
      <alignment wrapText="1"/>
    </xf>
    <xf numFmtId="0" fontId="64" fillId="0" borderId="0" xfId="0" applyFont="1" applyFill="1" applyBorder="1" applyAlignment="1">
      <alignment horizontal="center" vertical="center" shrinkToFit="1"/>
    </xf>
    <xf numFmtId="0" fontId="30" fillId="9" borderId="157" xfId="0" applyFont="1" applyFill="1" applyBorder="1" applyAlignment="1">
      <alignment horizontal="center" vertical="center"/>
    </xf>
    <xf numFmtId="0" fontId="30" fillId="9" borderId="120" xfId="0" applyFont="1" applyFill="1" applyBorder="1" applyAlignment="1">
      <alignment horizontal="center" vertical="center"/>
    </xf>
    <xf numFmtId="0" fontId="21" fillId="17" borderId="206" xfId="0" applyFont="1" applyFill="1" applyBorder="1" applyAlignment="1" applyProtection="1">
      <alignment horizontal="right" vertical="center"/>
    </xf>
    <xf numFmtId="0" fontId="21" fillId="17" borderId="127" xfId="0" applyFont="1" applyFill="1" applyBorder="1" applyAlignment="1" applyProtection="1">
      <alignment horizontal="center" vertical="center"/>
    </xf>
    <xf numFmtId="0" fontId="21" fillId="17" borderId="121" xfId="0" applyFont="1" applyFill="1" applyBorder="1" applyAlignment="1" applyProtection="1">
      <alignment horizontal="left" vertical="center"/>
    </xf>
    <xf numFmtId="0" fontId="21" fillId="17" borderId="55" xfId="0" applyFont="1" applyFill="1" applyBorder="1" applyAlignment="1" applyProtection="1">
      <alignment horizontal="right" vertical="center"/>
    </xf>
    <xf numFmtId="0" fontId="21" fillId="17" borderId="60" xfId="0" applyFont="1" applyFill="1" applyBorder="1" applyAlignment="1" applyProtection="1">
      <alignment horizontal="center" vertical="center"/>
    </xf>
    <xf numFmtId="0" fontId="21" fillId="17" borderId="54" xfId="0" applyFont="1" applyFill="1" applyBorder="1" applyAlignment="1" applyProtection="1">
      <alignment horizontal="left" vertical="center"/>
    </xf>
    <xf numFmtId="0" fontId="21" fillId="17" borderId="57" xfId="0" applyFont="1" applyFill="1" applyBorder="1" applyAlignment="1" applyProtection="1">
      <alignment horizontal="right"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left" vertical="center"/>
    </xf>
    <xf numFmtId="0" fontId="20" fillId="10" borderId="153" xfId="0" applyFont="1" applyFill="1" applyBorder="1" applyAlignment="1" applyProtection="1">
      <alignment horizontal="right" vertical="center"/>
      <protection locked="0"/>
    </xf>
    <xf numFmtId="0" fontId="20" fillId="10" borderId="156" xfId="0" applyFont="1" applyFill="1" applyBorder="1" applyAlignment="1" applyProtection="1">
      <alignment horizontal="left" vertical="center"/>
      <protection locked="0"/>
    </xf>
    <xf numFmtId="0" fontId="20" fillId="10" borderId="55" xfId="0" applyFont="1" applyFill="1" applyBorder="1" applyAlignment="1" applyProtection="1">
      <alignment horizontal="right" vertical="center"/>
      <protection locked="0"/>
    </xf>
    <xf numFmtId="0" fontId="20" fillId="10" borderId="60" xfId="0" applyFont="1" applyFill="1" applyBorder="1" applyAlignment="1">
      <alignment horizontal="center" vertical="center"/>
    </xf>
    <xf numFmtId="0" fontId="20" fillId="10" borderId="74" xfId="0" applyFont="1" applyFill="1" applyBorder="1" applyAlignment="1" applyProtection="1">
      <alignment horizontal="left" vertical="center"/>
      <protection locked="0"/>
    </xf>
    <xf numFmtId="0" fontId="20" fillId="10" borderId="57" xfId="0" applyFont="1" applyFill="1" applyBorder="1" applyAlignment="1" applyProtection="1">
      <alignment horizontal="right" vertical="center"/>
      <protection locked="0"/>
    </xf>
    <xf numFmtId="0" fontId="20" fillId="10" borderId="201" xfId="0" applyFont="1" applyFill="1" applyBorder="1" applyAlignment="1" applyProtection="1">
      <alignment horizontal="left" vertical="center"/>
      <protection locked="0"/>
    </xf>
    <xf numFmtId="0" fontId="6" fillId="0" borderId="14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57" xfId="0" applyFont="1" applyBorder="1" applyAlignment="1">
      <alignment horizontal="left" vertical="center" shrinkToFit="1"/>
    </xf>
    <xf numFmtId="0" fontId="6" fillId="0" borderId="147" xfId="0" applyFont="1" applyBorder="1" applyAlignment="1">
      <alignment horizontal="center" vertical="center" shrinkToFit="1"/>
    </xf>
    <xf numFmtId="167" fontId="21" fillId="15" borderId="61" xfId="0" applyNumberFormat="1" applyFont="1" applyFill="1" applyBorder="1" applyAlignment="1" applyProtection="1">
      <alignment horizontal="right" indent="1"/>
    </xf>
    <xf numFmtId="0" fontId="21" fillId="15" borderId="201" xfId="0" applyFont="1" applyFill="1" applyBorder="1" applyAlignment="1" applyProtection="1"/>
    <xf numFmtId="167" fontId="21" fillId="15" borderId="154" xfId="0" applyNumberFormat="1" applyFont="1" applyFill="1" applyBorder="1" applyAlignment="1" applyProtection="1">
      <alignment horizontal="right" indent="1"/>
    </xf>
    <xf numFmtId="0" fontId="21" fillId="15" borderId="156" xfId="0" applyFont="1" applyFill="1" applyBorder="1" applyAlignment="1" applyProtection="1"/>
    <xf numFmtId="0" fontId="21" fillId="15" borderId="234" xfId="0" applyFont="1" applyFill="1" applyBorder="1" applyAlignment="1" applyProtection="1">
      <alignment horizontal="left" indent="1" shrinkToFit="1"/>
    </xf>
    <xf numFmtId="0" fontId="21" fillId="15" borderId="200" xfId="0" applyFont="1" applyFill="1" applyBorder="1" applyAlignment="1" applyProtection="1">
      <alignment horizontal="left" indent="1" shrinkToFit="1"/>
    </xf>
    <xf numFmtId="0" fontId="14" fillId="9" borderId="157" xfId="0" applyFont="1" applyFill="1" applyBorder="1" applyAlignment="1">
      <alignment horizontal="center" vertical="center" shrinkToFit="1"/>
    </xf>
    <xf numFmtId="0" fontId="14" fillId="9" borderId="140" xfId="0" applyFont="1" applyFill="1" applyBorder="1" applyAlignment="1">
      <alignment horizontal="center" vertical="center" shrinkToFit="1"/>
    </xf>
    <xf numFmtId="164" fontId="15" fillId="0" borderId="62" xfId="0" applyNumberFormat="1" applyFont="1" applyBorder="1" applyAlignment="1">
      <alignment horizontal="center" vertical="center" shrinkToFit="1"/>
    </xf>
    <xf numFmtId="164" fontId="15" fillId="0" borderId="48" xfId="0" applyNumberFormat="1" applyFont="1" applyBorder="1" applyAlignment="1">
      <alignment horizontal="center" vertical="center" shrinkToFit="1"/>
    </xf>
    <xf numFmtId="164" fontId="15" fillId="0" borderId="51" xfId="0" applyNumberFormat="1" applyFont="1" applyBorder="1" applyAlignment="1">
      <alignment horizontal="center" vertical="center" shrinkToFit="1"/>
    </xf>
    <xf numFmtId="49" fontId="24" fillId="0" borderId="48" xfId="0" applyNumberFormat="1" applyFont="1" applyBorder="1" applyAlignment="1">
      <alignment horizontal="center" vertical="center"/>
    </xf>
    <xf numFmtId="0" fontId="19" fillId="9" borderId="157" xfId="0" applyFont="1" applyFill="1" applyBorder="1" applyAlignment="1">
      <alignment vertical="center"/>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06" xfId="0" applyFont="1" applyBorder="1" applyAlignment="1">
      <alignment horizontal="left" vertical="center" shrinkToFit="1"/>
    </xf>
    <xf numFmtId="0" fontId="20" fillId="0" borderId="127" xfId="0" applyFont="1" applyBorder="1" applyAlignment="1">
      <alignment horizontal="center" vertical="center" shrinkToFit="1"/>
    </xf>
    <xf numFmtId="0" fontId="20" fillId="0" borderId="127" xfId="0" applyFont="1" applyBorder="1" applyAlignment="1">
      <alignment horizontal="left" vertical="center" shrinkToFit="1"/>
    </xf>
    <xf numFmtId="0" fontId="20" fillId="0" borderId="223" xfId="0" applyFont="1" applyBorder="1" applyAlignment="1">
      <alignment horizontal="left" vertical="center" shrinkToFit="1"/>
    </xf>
    <xf numFmtId="0" fontId="20" fillId="0" borderId="31" xfId="0" applyFont="1" applyBorder="1" applyAlignment="1">
      <alignment horizontal="center" vertical="center" shrinkToFit="1"/>
    </xf>
    <xf numFmtId="0" fontId="20" fillId="0" borderId="31" xfId="0" applyFont="1" applyBorder="1" applyAlignment="1">
      <alignment horizontal="left"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63" xfId="0" applyFont="1" applyBorder="1" applyAlignment="1">
      <alignment horizontal="center" vertical="center" shrinkToFit="1"/>
    </xf>
    <xf numFmtId="0" fontId="6" fillId="0" borderId="73" xfId="0" applyFont="1" applyBorder="1" applyAlignment="1">
      <alignment horizontal="center" vertical="center" shrinkToFit="1"/>
    </xf>
    <xf numFmtId="0" fontId="6" fillId="20" borderId="55" xfId="0" applyFont="1" applyFill="1" applyBorder="1" applyAlignment="1">
      <alignment horizontal="left" vertical="center" shrinkToFit="1"/>
    </xf>
    <xf numFmtId="0" fontId="6" fillId="15" borderId="57"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6" fillId="0" borderId="209" xfId="0" applyFont="1" applyFill="1" applyBorder="1" applyAlignment="1">
      <alignment horizontal="center" vertical="center"/>
    </xf>
    <xf numFmtId="0" fontId="66" fillId="0" borderId="210" xfId="0" applyFont="1" applyFill="1" applyBorder="1" applyAlignment="1">
      <alignment horizontal="center" vertical="center"/>
    </xf>
    <xf numFmtId="0" fontId="66" fillId="0" borderId="216" xfId="0" applyFont="1" applyFill="1" applyBorder="1" applyAlignment="1">
      <alignment horizontal="center" vertical="center"/>
    </xf>
    <xf numFmtId="0" fontId="66" fillId="0" borderId="211" xfId="0" applyFont="1" applyFill="1" applyBorder="1" applyAlignment="1">
      <alignment horizontal="center" vertical="center"/>
    </xf>
    <xf numFmtId="0" fontId="66" fillId="0" borderId="49" xfId="0" applyFont="1" applyFill="1" applyBorder="1" applyAlignment="1">
      <alignment horizontal="center" vertical="center"/>
    </xf>
    <xf numFmtId="0" fontId="66" fillId="0" borderId="217" xfId="0" applyFont="1" applyFill="1" applyBorder="1" applyAlignment="1">
      <alignment horizontal="center" vertical="center"/>
    </xf>
    <xf numFmtId="0" fontId="66" fillId="0" borderId="219" xfId="0" applyFont="1" applyFill="1" applyBorder="1" applyAlignment="1">
      <alignment horizontal="center" vertical="center"/>
    </xf>
    <xf numFmtId="0" fontId="66" fillId="0" borderId="220" xfId="0" applyFont="1" applyFill="1" applyBorder="1" applyAlignment="1">
      <alignment horizontal="center" vertical="center"/>
    </xf>
    <xf numFmtId="0" fontId="66" fillId="0" borderId="221"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2" fillId="0" borderId="238" xfId="0" applyFont="1" applyBorder="1" applyAlignment="1">
      <alignment horizontal="center" vertical="center"/>
    </xf>
    <xf numFmtId="0" fontId="66" fillId="0" borderId="0" xfId="0" applyFont="1" applyFill="1" applyBorder="1" applyAlignment="1">
      <alignment horizontal="center" vertical="center"/>
    </xf>
    <xf numFmtId="0" fontId="68" fillId="0" borderId="0" xfId="0" applyFont="1" applyFill="1" applyBorder="1"/>
    <xf numFmtId="49" fontId="24" fillId="0" borderId="62" xfId="0" applyNumberFormat="1" applyFont="1" applyBorder="1" applyAlignment="1">
      <alignment horizontal="center" vertical="center"/>
    </xf>
    <xf numFmtId="0" fontId="23" fillId="0" borderId="62"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22" xfId="0" applyNumberFormat="1" applyFont="1" applyBorder="1" applyAlignment="1">
      <alignment horizontal="center" vertical="center"/>
    </xf>
    <xf numFmtId="0" fontId="20" fillId="0" borderId="0" xfId="0" applyNumberFormat="1" applyFont="1" applyBorder="1" applyAlignment="1">
      <alignment horizontal="left" vertical="center"/>
    </xf>
    <xf numFmtId="0" fontId="39" fillId="0" borderId="0" xfId="0" applyFont="1" applyFill="1" applyBorder="1" applyAlignment="1">
      <alignment vertical="center"/>
    </xf>
    <xf numFmtId="0" fontId="19" fillId="9" borderId="140" xfId="0" applyFont="1" applyFill="1" applyBorder="1" applyAlignment="1">
      <alignment vertical="center" shrinkToFit="1"/>
    </xf>
    <xf numFmtId="0" fontId="20" fillId="0" borderId="63" xfId="0" applyFont="1" applyFill="1" applyBorder="1" applyAlignment="1" applyProtection="1">
      <alignment vertical="center" shrinkToFit="1"/>
    </xf>
    <xf numFmtId="0" fontId="20" fillId="0" borderId="50" xfId="0" applyFont="1" applyFill="1" applyBorder="1" applyAlignment="1" applyProtection="1">
      <alignment vertical="center" shrinkToFit="1"/>
    </xf>
    <xf numFmtId="0" fontId="20" fillId="0" borderId="53" xfId="0" applyFont="1" applyFill="1" applyBorder="1" applyAlignment="1" applyProtection="1">
      <alignment vertical="center" shrinkToFit="1"/>
    </xf>
    <xf numFmtId="0" fontId="6" fillId="20" borderId="153" xfId="0" applyFont="1" applyFill="1" applyBorder="1" applyAlignment="1">
      <alignment horizontal="left" vertical="center" shrinkToFit="1"/>
    </xf>
    <xf numFmtId="0" fontId="6" fillId="0" borderId="62" xfId="0" applyFont="1" applyBorder="1" applyAlignment="1">
      <alignment horizontal="center" vertical="center" shrinkToFit="1"/>
    </xf>
    <xf numFmtId="0" fontId="6" fillId="0" borderId="237" xfId="0" applyFont="1" applyBorder="1" applyAlignment="1">
      <alignment horizontal="center" vertical="center" shrinkToFit="1"/>
    </xf>
    <xf numFmtId="0" fontId="6" fillId="0" borderId="153" xfId="0" applyFont="1" applyBorder="1" applyAlignment="1">
      <alignment horizontal="right" vertical="center" shrinkToFit="1"/>
    </xf>
    <xf numFmtId="0" fontId="6" fillId="0" borderId="154" xfId="0" applyFont="1" applyBorder="1" applyAlignment="1">
      <alignment horizontal="center" vertical="center" shrinkToFit="1"/>
    </xf>
    <xf numFmtId="0" fontId="6" fillId="0" borderId="155" xfId="0" applyFont="1" applyBorder="1" applyAlignment="1">
      <alignment horizontal="left" vertical="center" shrinkToFit="1"/>
    </xf>
    <xf numFmtId="0" fontId="14" fillId="9" borderId="118" xfId="0" applyFont="1" applyFill="1" applyBorder="1" applyAlignment="1">
      <alignment horizontal="center" vertical="center" shrinkToFit="1"/>
    </xf>
    <xf numFmtId="0" fontId="21" fillId="17" borderId="204" xfId="0" applyFont="1" applyFill="1" applyBorder="1" applyAlignment="1" applyProtection="1">
      <alignment horizontal="right" vertical="center"/>
    </xf>
    <xf numFmtId="0" fontId="21" fillId="17" borderId="149" xfId="0" applyFont="1" applyFill="1" applyBorder="1" applyAlignment="1" applyProtection="1">
      <alignment horizontal="center" vertical="center"/>
    </xf>
    <xf numFmtId="0" fontId="21" fillId="17" borderId="205" xfId="0" applyFont="1" applyFill="1" applyBorder="1" applyAlignment="1" applyProtection="1">
      <alignment horizontal="left" vertical="center"/>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42" xfId="0" applyNumberFormat="1" applyFont="1" applyFill="1" applyBorder="1" applyAlignment="1">
      <alignment vertical="center"/>
    </xf>
    <xf numFmtId="0" fontId="67" fillId="0" borderId="0" xfId="0" applyNumberFormat="1" applyFont="1" applyAlignment="1" applyProtection="1">
      <alignment vertical="center" wrapText="1"/>
    </xf>
    <xf numFmtId="0" fontId="20" fillId="0" borderId="240" xfId="0" applyFont="1" applyBorder="1" applyAlignment="1">
      <alignment horizontal="center" vertical="center"/>
    </xf>
    <xf numFmtId="0" fontId="20" fillId="0" borderId="241" xfId="0" applyFont="1" applyBorder="1" applyAlignment="1">
      <alignment horizontal="center" vertical="center"/>
    </xf>
    <xf numFmtId="0" fontId="20" fillId="0" borderId="242" xfId="0" applyFont="1" applyBorder="1" applyAlignment="1">
      <alignment horizontal="center" vertical="center"/>
    </xf>
    <xf numFmtId="0" fontId="69" fillId="0" borderId="243" xfId="0" applyNumberFormat="1" applyFont="1" applyBorder="1" applyAlignment="1">
      <alignment horizontal="center" vertical="center"/>
    </xf>
    <xf numFmtId="0" fontId="69" fillId="0" borderId="244" xfId="0" applyNumberFormat="1" applyFont="1" applyBorder="1" applyAlignment="1">
      <alignment horizontal="center" vertical="center"/>
    </xf>
    <xf numFmtId="0" fontId="69" fillId="0" borderId="245"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39" xfId="0" applyFont="1" applyFill="1" applyBorder="1" applyAlignment="1">
      <alignment vertical="center" shrinkToFit="1"/>
    </xf>
    <xf numFmtId="0" fontId="0" fillId="0" borderId="254" xfId="0" applyBorder="1"/>
    <xf numFmtId="0" fontId="0" fillId="0" borderId="254" xfId="0" applyBorder="1" applyAlignment="1">
      <alignment horizontal="center"/>
    </xf>
    <xf numFmtId="0" fontId="4" fillId="0" borderId="254" xfId="0" applyFont="1" applyBorder="1"/>
    <xf numFmtId="0" fontId="4" fillId="0" borderId="255" xfId="0" applyFont="1" applyBorder="1" applyAlignment="1">
      <alignment horizontal="center" vertical="center"/>
    </xf>
    <xf numFmtId="165" fontId="18" fillId="0" borderId="0" xfId="0" applyNumberFormat="1" applyFont="1" applyAlignment="1">
      <alignment horizontal="right" indent="1"/>
    </xf>
    <xf numFmtId="49" fontId="24" fillId="0" borderId="62" xfId="0" applyNumberFormat="1" applyFont="1" applyBorder="1" applyAlignment="1">
      <alignment horizontal="center" vertical="center"/>
    </xf>
    <xf numFmtId="0" fontId="14" fillId="9" borderId="118" xfId="0" applyFont="1" applyFill="1" applyBorder="1" applyAlignment="1">
      <alignment horizontal="center" vertical="center" shrinkToFit="1"/>
    </xf>
    <xf numFmtId="167" fontId="24" fillId="0" borderId="76" xfId="0" applyNumberFormat="1" applyFont="1" applyBorder="1" applyAlignment="1">
      <alignment horizontal="left" indent="1"/>
    </xf>
    <xf numFmtId="0" fontId="6" fillId="15" borderId="55" xfId="0" applyFont="1" applyFill="1" applyBorder="1" applyAlignment="1">
      <alignment horizontal="left" vertical="center" shrinkToFit="1"/>
    </xf>
    <xf numFmtId="49" fontId="21" fillId="17" borderId="57" xfId="0" applyNumberFormat="1" applyFont="1" applyFill="1" applyBorder="1" applyAlignment="1" applyProtection="1">
      <alignment horizontal="right" vertical="center"/>
    </xf>
    <xf numFmtId="49" fontId="21" fillId="17" borderId="61" xfId="0" applyNumberFormat="1" applyFont="1" applyFill="1" applyBorder="1" applyAlignment="1" applyProtection="1">
      <alignment horizontal="center" vertical="center"/>
    </xf>
    <xf numFmtId="49" fontId="21" fillId="17" borderId="56"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1"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0" fontId="0" fillId="0" borderId="0" xfId="0" applyNumberFormat="1" applyAlignment="1">
      <alignment horizontal="center"/>
    </xf>
    <xf numFmtId="0" fontId="0" fillId="0" borderId="0" xfId="0" applyNumberFormat="1" applyAlignment="1">
      <alignment horizontal="left" vertical="center" indent="1"/>
    </xf>
    <xf numFmtId="0" fontId="65" fillId="0" borderId="0" xfId="0" applyFont="1" applyBorder="1" applyAlignment="1">
      <alignment vertical="center" wrapText="1" shrinkToFit="1"/>
    </xf>
    <xf numFmtId="0" fontId="14" fillId="0" borderId="44"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49" fontId="21" fillId="17" borderId="206" xfId="0" applyNumberFormat="1" applyFont="1" applyFill="1" applyBorder="1" applyAlignment="1" applyProtection="1">
      <alignment horizontal="right" vertical="center"/>
    </xf>
    <xf numFmtId="49" fontId="21" fillId="17" borderId="127" xfId="0" applyNumberFormat="1" applyFont="1" applyFill="1" applyBorder="1" applyAlignment="1" applyProtection="1">
      <alignment horizontal="center" vertical="center"/>
    </xf>
    <xf numFmtId="49" fontId="21" fillId="17" borderId="121" xfId="0" applyNumberFormat="1" applyFont="1" applyFill="1" applyBorder="1" applyAlignment="1" applyProtection="1">
      <alignment horizontal="left" vertical="center"/>
    </xf>
    <xf numFmtId="49" fontId="24" fillId="0" borderId="62"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14" fillId="9" borderId="58" xfId="0" applyFont="1" applyFill="1" applyBorder="1" applyAlignment="1">
      <alignment horizontal="center" vertical="center" shrinkToFit="1"/>
    </xf>
    <xf numFmtId="0" fontId="30" fillId="9" borderId="120" xfId="0" applyFont="1" applyFill="1" applyBorder="1" applyAlignment="1">
      <alignment horizontal="center" vertical="center"/>
    </xf>
    <xf numFmtId="0" fontId="14" fillId="9" borderId="118" xfId="0" applyFont="1" applyFill="1" applyBorder="1" applyAlignment="1">
      <alignment horizontal="center" vertical="center" shrinkToFit="1"/>
    </xf>
    <xf numFmtId="49" fontId="21" fillId="17" borderId="55" xfId="0" applyNumberFormat="1" applyFont="1" applyFill="1" applyBorder="1" applyAlignment="1" applyProtection="1">
      <alignment horizontal="right" vertical="center"/>
    </xf>
    <xf numFmtId="49" fontId="21" fillId="17" borderId="60" xfId="0" applyNumberFormat="1" applyFont="1" applyFill="1" applyBorder="1" applyAlignment="1" applyProtection="1">
      <alignment horizontal="center" vertical="center"/>
    </xf>
    <xf numFmtId="49" fontId="21" fillId="17" borderId="54" xfId="0" applyNumberFormat="1" applyFont="1" applyFill="1" applyBorder="1" applyAlignment="1" applyProtection="1">
      <alignment horizontal="left" vertical="center"/>
    </xf>
    <xf numFmtId="164" fontId="6" fillId="0" borderId="42" xfId="0" applyNumberFormat="1" applyFont="1" applyBorder="1" applyAlignment="1">
      <alignment vertical="center" shrinkToFit="1"/>
    </xf>
    <xf numFmtId="0" fontId="6" fillId="0" borderId="42" xfId="0" applyFont="1" applyBorder="1" applyAlignment="1">
      <alignment horizontal="left" vertical="center" shrinkToFit="1"/>
    </xf>
    <xf numFmtId="0" fontId="6" fillId="0" borderId="42" xfId="0" applyFont="1" applyBorder="1" applyAlignment="1">
      <alignment horizontal="center" vertical="center" shrinkToFit="1"/>
    </xf>
    <xf numFmtId="0" fontId="6" fillId="0" borderId="42" xfId="0" applyFont="1" applyBorder="1" applyAlignment="1">
      <alignment horizontal="right" vertical="center" shrinkToFit="1"/>
    </xf>
    <xf numFmtId="0" fontId="16" fillId="0" borderId="42"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6" xfId="0" applyFont="1" applyBorder="1" applyAlignment="1">
      <alignment vertical="center" wrapText="1" shrinkToFit="1"/>
    </xf>
    <xf numFmtId="0" fontId="6" fillId="0" borderId="153"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57" xfId="0" applyFont="1" applyFill="1" applyBorder="1" applyAlignment="1">
      <alignment horizontal="left" vertical="center" shrinkToFit="1"/>
    </xf>
    <xf numFmtId="15" fontId="59" fillId="0" borderId="0" xfId="0" quotePrefix="1" applyNumberFormat="1" applyFont="1" applyAlignment="1">
      <alignment vertical="center"/>
    </xf>
    <xf numFmtId="0" fontId="13" fillId="0" borderId="0" xfId="0" applyFont="1" applyAlignment="1">
      <alignment horizontal="center" vertical="center"/>
    </xf>
    <xf numFmtId="0" fontId="21" fillId="15" borderId="151" xfId="0" applyFont="1" applyFill="1" applyBorder="1" applyAlignment="1" applyProtection="1">
      <alignment horizontal="left" indent="1" shrinkToFit="1"/>
    </xf>
    <xf numFmtId="167" fontId="21" fillId="15" borderId="60" xfId="0" applyNumberFormat="1" applyFont="1" applyFill="1" applyBorder="1" applyAlignment="1" applyProtection="1">
      <alignment horizontal="right" indent="1"/>
    </xf>
    <xf numFmtId="0" fontId="21" fillId="15" borderId="74" xfId="0" applyFont="1" applyFill="1" applyBorder="1" applyAlignment="1" applyProtection="1"/>
    <xf numFmtId="165" fontId="21" fillId="0" borderId="0" xfId="0" applyNumberFormat="1" applyFont="1" applyAlignment="1">
      <alignment horizontal="center" vertical="center"/>
    </xf>
    <xf numFmtId="165" fontId="14" fillId="9" borderId="264" xfId="0" applyNumberFormat="1" applyFont="1" applyFill="1" applyBorder="1" applyAlignment="1">
      <alignment vertical="center" shrinkToFit="1"/>
    </xf>
    <xf numFmtId="0" fontId="7" fillId="0" borderId="161" xfId="1" applyNumberFormat="1" applyFont="1" applyFill="1" applyBorder="1" applyAlignment="1" applyProtection="1">
      <alignment vertical="center"/>
      <protection hidden="1"/>
    </xf>
    <xf numFmtId="0" fontId="7" fillId="0" borderId="265" xfId="1" applyNumberFormat="1" applyFont="1" applyFill="1" applyBorder="1" applyAlignment="1" applyProtection="1">
      <alignment vertical="center"/>
      <protection hidden="1"/>
    </xf>
    <xf numFmtId="0" fontId="7" fillId="0" borderId="265"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62" xfId="1" applyNumberFormat="1" applyFont="1" applyFill="1" applyBorder="1" applyAlignment="1" applyProtection="1">
      <alignment horizontal="center" vertical="center"/>
      <protection hidden="1"/>
    </xf>
    <xf numFmtId="0" fontId="7" fillId="0" borderId="112"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13" xfId="1" applyNumberFormat="1" applyFont="1" applyFill="1" applyBorder="1" applyAlignment="1" applyProtection="1">
      <alignment horizontal="center" vertical="center"/>
      <protection hidden="1"/>
    </xf>
    <xf numFmtId="0" fontId="7" fillId="0" borderId="114"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horizontal="center" vertical="center"/>
      <protection hidden="1"/>
    </xf>
    <xf numFmtId="0" fontId="7" fillId="0" borderId="116" xfId="1" applyNumberFormat="1" applyFont="1" applyFill="1" applyBorder="1" applyAlignment="1" applyProtection="1">
      <alignment horizontal="center" vertical="center"/>
      <protection hidden="1"/>
    </xf>
    <xf numFmtId="166" fontId="7" fillId="0" borderId="115" xfId="1" applyNumberFormat="1" applyFont="1" applyFill="1" applyBorder="1" applyAlignment="1" applyProtection="1">
      <alignment horizontal="center" vertical="center"/>
      <protection hidden="1"/>
    </xf>
    <xf numFmtId="165" fontId="18" fillId="0" borderId="0" xfId="0" applyNumberFormat="1" applyFont="1" applyProtection="1"/>
    <xf numFmtId="0" fontId="6" fillId="10" borderId="29" xfId="0" applyFont="1" applyFill="1" applyBorder="1" applyAlignment="1" applyProtection="1">
      <alignment horizontal="left" vertical="center" shrinkToFit="1"/>
      <protection locked="0"/>
    </xf>
    <xf numFmtId="0" fontId="6" fillId="10" borderId="31" xfId="0" applyFont="1" applyFill="1" applyBorder="1" applyAlignment="1" applyProtection="1">
      <alignment horizontal="left" vertical="center" shrinkToFit="1"/>
      <protection locked="0"/>
    </xf>
    <xf numFmtId="0" fontId="6" fillId="10" borderId="35" xfId="0" applyFont="1" applyFill="1" applyBorder="1" applyAlignment="1" applyProtection="1">
      <alignment horizontal="left" vertical="center" shrinkToFit="1"/>
      <protection locked="0"/>
    </xf>
    <xf numFmtId="0" fontId="6" fillId="10" borderId="29" xfId="0" applyFont="1" applyFill="1" applyBorder="1" applyAlignment="1" applyProtection="1">
      <alignment horizontal="left" vertical="center" shrinkToFit="1"/>
    </xf>
    <xf numFmtId="0" fontId="6" fillId="10" borderId="36" xfId="0" applyFont="1" applyFill="1" applyBorder="1" applyAlignment="1" applyProtection="1">
      <alignment horizontal="left" vertical="center" shrinkToFit="1"/>
      <protection locked="0"/>
    </xf>
    <xf numFmtId="0" fontId="6" fillId="10" borderId="31" xfId="0" applyFont="1" applyFill="1" applyBorder="1" applyAlignment="1" applyProtection="1">
      <alignment horizontal="left" vertical="center" shrinkToFit="1"/>
    </xf>
    <xf numFmtId="0" fontId="65" fillId="0" borderId="0" xfId="0" applyFont="1" applyAlignment="1">
      <alignment wrapText="1"/>
    </xf>
    <xf numFmtId="0" fontId="54" fillId="0" borderId="0" xfId="0" applyFont="1" applyBorder="1" applyAlignment="1">
      <alignment horizontal="center"/>
    </xf>
    <xf numFmtId="0" fontId="15" fillId="0" borderId="0" xfId="0" applyFont="1" applyAlignment="1">
      <alignment horizontal="center"/>
    </xf>
    <xf numFmtId="0" fontId="14" fillId="0" borderId="0" xfId="0" applyFont="1" applyFill="1" applyBorder="1" applyAlignment="1">
      <alignment vertical="center" shrinkToFit="1"/>
    </xf>
    <xf numFmtId="0" fontId="54" fillId="0" borderId="0" xfId="0" applyFont="1" applyFill="1" applyBorder="1" applyAlignment="1">
      <alignment horizontal="center"/>
    </xf>
    <xf numFmtId="0" fontId="14" fillId="9" borderId="140" xfId="0" applyFont="1" applyFill="1" applyBorder="1" applyAlignment="1">
      <alignment vertical="center" shrinkToFit="1"/>
    </xf>
    <xf numFmtId="0" fontId="6" fillId="0" borderId="63" xfId="0" applyFont="1" applyBorder="1" applyAlignment="1">
      <alignment horizontal="left" vertical="center" shrinkToFit="1"/>
    </xf>
    <xf numFmtId="0" fontId="14" fillId="0" borderId="0" xfId="0" applyFont="1" applyFill="1" applyBorder="1" applyAlignment="1" applyProtection="1">
      <alignment horizontal="center" vertical="center" shrinkToFit="1"/>
    </xf>
    <xf numFmtId="0" fontId="5" fillId="0" borderId="0" xfId="0" applyFont="1" applyFill="1" applyBorder="1" applyProtection="1"/>
    <xf numFmtId="0" fontId="6" fillId="0" borderId="266" xfId="0" applyFont="1" applyFill="1" applyBorder="1" applyAlignment="1" applyProtection="1">
      <alignment horizontal="center" vertical="center"/>
    </xf>
    <xf numFmtId="0" fontId="6" fillId="0" borderId="267" xfId="0" applyFont="1" applyFill="1" applyBorder="1" applyAlignment="1" applyProtection="1">
      <alignment horizontal="center" vertical="center"/>
    </xf>
    <xf numFmtId="0" fontId="6" fillId="0" borderId="268" xfId="0" applyFont="1" applyFill="1" applyBorder="1" applyAlignment="1" applyProtection="1">
      <alignment horizontal="center" vertical="center"/>
    </xf>
    <xf numFmtId="0" fontId="18" fillId="0" borderId="0" xfId="4" applyFont="1"/>
    <xf numFmtId="0" fontId="18" fillId="0" borderId="0" xfId="4" applyFont="1" applyFill="1"/>
    <xf numFmtId="165" fontId="28" fillId="0" borderId="76" xfId="4" applyNumberFormat="1" applyFont="1" applyBorder="1" applyAlignment="1">
      <alignment wrapText="1"/>
    </xf>
    <xf numFmtId="165" fontId="28" fillId="0" borderId="0" xfId="4" applyNumberFormat="1" applyFont="1" applyBorder="1" applyAlignment="1">
      <alignment wrapText="1"/>
    </xf>
    <xf numFmtId="0" fontId="18" fillId="0" borderId="0" xfId="4" applyFont="1" applyAlignment="1">
      <alignment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6" fillId="0" borderId="0" xfId="4" applyFont="1" applyFill="1" applyBorder="1" applyAlignment="1">
      <alignment vertical="center" shrinkToFit="1"/>
    </xf>
    <xf numFmtId="0" fontId="30" fillId="9" borderId="157" xfId="4" applyFont="1" applyFill="1" applyBorder="1" applyAlignment="1">
      <alignment horizontal="center" vertical="center"/>
    </xf>
    <xf numFmtId="0" fontId="30" fillId="9" borderId="120" xfId="4" applyFont="1" applyFill="1" applyBorder="1" applyAlignment="1">
      <alignment horizontal="center" vertical="center"/>
    </xf>
    <xf numFmtId="0" fontId="30" fillId="9" borderId="269" xfId="4" applyFont="1" applyFill="1" applyBorder="1" applyAlignment="1">
      <alignment horizontal="center" vertical="center"/>
    </xf>
    <xf numFmtId="0" fontId="71" fillId="0" borderId="0" xfId="4" applyFont="1" applyAlignment="1">
      <alignment horizontal="center"/>
    </xf>
    <xf numFmtId="0" fontId="69" fillId="0" borderId="45" xfId="4" applyNumberFormat="1" applyFont="1" applyBorder="1" applyAlignment="1">
      <alignment horizontal="center" vertical="center"/>
    </xf>
    <xf numFmtId="0" fontId="23" fillId="0" borderId="222" xfId="4" applyNumberFormat="1" applyFont="1" applyBorder="1" applyAlignment="1">
      <alignment horizontal="center" vertical="center"/>
    </xf>
    <xf numFmtId="20" fontId="20" fillId="10" borderId="153" xfId="4" applyNumberFormat="1" applyFont="1" applyFill="1" applyBorder="1" applyAlignment="1" applyProtection="1">
      <alignment horizontal="center" vertical="center"/>
      <protection locked="0"/>
    </xf>
    <xf numFmtId="0" fontId="20" fillId="10" borderId="153" xfId="4" applyFont="1" applyFill="1" applyBorder="1" applyAlignment="1" applyProtection="1">
      <alignment horizontal="center" vertical="center"/>
      <protection locked="0"/>
    </xf>
    <xf numFmtId="0" fontId="20" fillId="10" borderId="55" xfId="4" applyFont="1" applyFill="1" applyBorder="1" applyAlignment="1" applyProtection="1">
      <alignment horizontal="right" vertical="center"/>
      <protection locked="0"/>
    </xf>
    <xf numFmtId="0" fontId="20" fillId="10" borderId="60" xfId="4" applyFont="1" applyFill="1" applyBorder="1" applyAlignment="1" applyProtection="1">
      <alignment horizontal="center" vertical="center"/>
    </xf>
    <xf numFmtId="0" fontId="20" fillId="10" borderId="54" xfId="4" applyFont="1" applyFill="1" applyBorder="1" applyAlignment="1" applyProtection="1">
      <alignment horizontal="left" vertical="center"/>
      <protection locked="0"/>
    </xf>
    <xf numFmtId="0" fontId="20" fillId="0" borderId="206" xfId="4" applyFont="1" applyBorder="1" applyAlignment="1">
      <alignment horizontal="left" vertical="center" shrinkToFit="1"/>
    </xf>
    <xf numFmtId="0" fontId="20" fillId="0" borderId="127" xfId="4" applyFont="1" applyBorder="1" applyAlignment="1">
      <alignment horizontal="center" vertical="center" shrinkToFit="1"/>
    </xf>
    <xf numFmtId="0" fontId="20" fillId="0" borderId="121" xfId="4" applyFont="1" applyBorder="1" applyAlignment="1">
      <alignment horizontal="left" vertical="center" shrinkToFit="1"/>
    </xf>
    <xf numFmtId="0" fontId="20" fillId="10" borderId="153" xfId="4" applyFont="1" applyFill="1" applyBorder="1" applyAlignment="1" applyProtection="1">
      <alignment horizontal="right" vertical="center"/>
      <protection locked="0"/>
    </xf>
    <xf numFmtId="0" fontId="20" fillId="10" borderId="127" xfId="4" applyFont="1" applyFill="1" applyBorder="1" applyAlignment="1">
      <alignment horizontal="center" vertical="center"/>
    </xf>
    <xf numFmtId="0" fontId="20" fillId="10" borderId="155" xfId="4" applyFont="1" applyFill="1" applyBorder="1" applyAlignment="1" applyProtection="1">
      <alignment horizontal="left" vertical="center"/>
      <protection locked="0"/>
    </xf>
    <xf numFmtId="0" fontId="20" fillId="10" borderId="206" xfId="4" applyFont="1" applyFill="1" applyBorder="1" applyAlignment="1" applyProtection="1">
      <alignment horizontal="right" vertical="center"/>
      <protection locked="0"/>
    </xf>
    <xf numFmtId="0" fontId="20" fillId="10" borderId="207" xfId="4" applyFont="1" applyFill="1" applyBorder="1" applyAlignment="1" applyProtection="1">
      <alignment horizontal="left" vertical="center"/>
      <protection locked="0"/>
    </xf>
    <xf numFmtId="0" fontId="20" fillId="0" borderId="270" xfId="4" applyFont="1" applyBorder="1" applyAlignment="1">
      <alignment horizontal="center" vertical="center" shrinkToFit="1"/>
    </xf>
    <xf numFmtId="0" fontId="51" fillId="0" borderId="0" xfId="4" applyFont="1" applyAlignment="1">
      <alignment horizontal="left" vertical="center"/>
    </xf>
    <xf numFmtId="0" fontId="18" fillId="0" borderId="0" xfId="4" applyFont="1" applyAlignment="1">
      <alignment horizontal="center" vertical="center"/>
    </xf>
    <xf numFmtId="0" fontId="72" fillId="0" borderId="0" xfId="4" applyFont="1" applyAlignment="1">
      <alignment horizontal="center" vertical="center"/>
    </xf>
    <xf numFmtId="0" fontId="23" fillId="0" borderId="48" xfId="4" applyNumberFormat="1" applyFont="1" applyBorder="1" applyAlignment="1">
      <alignment horizontal="center" vertical="center"/>
    </xf>
    <xf numFmtId="0" fontId="20" fillId="10" borderId="55" xfId="4" applyFont="1" applyFill="1" applyBorder="1" applyAlignment="1" applyProtection="1">
      <alignment horizontal="center" vertical="center"/>
      <protection locked="0"/>
    </xf>
    <xf numFmtId="0" fontId="20" fillId="0" borderId="55" xfId="4" applyFont="1" applyBorder="1" applyAlignment="1">
      <alignment horizontal="left" vertical="center" shrinkToFit="1"/>
    </xf>
    <xf numFmtId="0" fontId="20" fillId="0" borderId="60" xfId="4" applyFont="1" applyBorder="1" applyAlignment="1">
      <alignment horizontal="center" vertical="center" shrinkToFit="1"/>
    </xf>
    <xf numFmtId="0" fontId="20" fillId="0" borderId="54" xfId="4" applyFont="1" applyBorder="1" applyAlignment="1">
      <alignment horizontal="left" vertical="center" shrinkToFit="1"/>
    </xf>
    <xf numFmtId="0" fontId="20" fillId="10" borderId="60" xfId="4" applyFont="1" applyFill="1" applyBorder="1" applyAlignment="1">
      <alignment horizontal="center" vertical="center"/>
    </xf>
    <xf numFmtId="0" fontId="20" fillId="10" borderId="74" xfId="4" applyFont="1" applyFill="1" applyBorder="1" applyAlignment="1" applyProtection="1">
      <alignment horizontal="left" vertical="center"/>
      <protection locked="0"/>
    </xf>
    <xf numFmtId="0" fontId="20" fillId="0" borderId="271" xfId="4" applyFont="1" applyBorder="1" applyAlignment="1">
      <alignment horizontal="center" vertical="center" shrinkToFit="1"/>
    </xf>
    <xf numFmtId="0" fontId="23" fillId="0" borderId="51" xfId="4" applyNumberFormat="1" applyFont="1" applyBorder="1" applyAlignment="1">
      <alignment horizontal="center" vertical="center"/>
    </xf>
    <xf numFmtId="0" fontId="20" fillId="10" borderId="57" xfId="4" applyFont="1" applyFill="1" applyBorder="1" applyAlignment="1" applyProtection="1">
      <alignment horizontal="center" vertical="center"/>
      <protection locked="0"/>
    </xf>
    <xf numFmtId="0" fontId="20" fillId="10" borderId="57" xfId="4" applyFont="1" applyFill="1" applyBorder="1" applyAlignment="1" applyProtection="1">
      <alignment horizontal="right" vertical="center"/>
      <protection locked="0"/>
    </xf>
    <xf numFmtId="0" fontId="20" fillId="10" borderId="61" xfId="4" applyFont="1" applyFill="1" applyBorder="1" applyAlignment="1" applyProtection="1">
      <alignment horizontal="center" vertical="center"/>
    </xf>
    <xf numFmtId="0" fontId="20" fillId="10" borderId="56" xfId="4" applyFont="1" applyFill="1" applyBorder="1" applyAlignment="1" applyProtection="1">
      <alignment horizontal="left" vertical="center"/>
      <protection locked="0"/>
    </xf>
    <xf numFmtId="0" fontId="20" fillId="0" borderId="57" xfId="4" applyFont="1" applyBorder="1" applyAlignment="1">
      <alignment horizontal="left" vertical="center" shrinkToFit="1"/>
    </xf>
    <xf numFmtId="0" fontId="20" fillId="0" borderId="61" xfId="4" applyFont="1" applyBorder="1" applyAlignment="1">
      <alignment horizontal="center" vertical="center" shrinkToFit="1"/>
    </xf>
    <xf numFmtId="0" fontId="20" fillId="0" borderId="56" xfId="4" applyFont="1" applyBorder="1" applyAlignment="1">
      <alignment horizontal="left" vertical="center" shrinkToFit="1"/>
    </xf>
    <xf numFmtId="0" fontId="20" fillId="10" borderId="61" xfId="4" applyFont="1" applyFill="1" applyBorder="1" applyAlignment="1">
      <alignment horizontal="center" vertical="center"/>
    </xf>
    <xf numFmtId="0" fontId="20" fillId="10" borderId="201" xfId="4" applyFont="1" applyFill="1" applyBorder="1" applyAlignment="1" applyProtection="1">
      <alignment horizontal="left" vertical="center"/>
      <protection locked="0"/>
    </xf>
    <xf numFmtId="0" fontId="20" fillId="0" borderId="272" xfId="4" applyFont="1" applyBorder="1" applyAlignment="1">
      <alignment horizontal="center" vertical="center" shrinkToFit="1"/>
    </xf>
    <xf numFmtId="0" fontId="18" fillId="0" borderId="0" xfId="4" applyFont="1" applyAlignment="1">
      <alignment horizontal="center"/>
    </xf>
    <xf numFmtId="164" fontId="23" fillId="0" borderId="0" xfId="4" applyNumberFormat="1" applyFont="1" applyFill="1" applyBorder="1" applyAlignment="1" applyProtection="1">
      <alignment horizontal="center" vertical="center"/>
    </xf>
    <xf numFmtId="167" fontId="23" fillId="0" borderId="0" xfId="4" applyNumberFormat="1" applyFont="1" applyFill="1" applyBorder="1" applyAlignment="1" applyProtection="1">
      <alignment horizontal="center" vertical="center"/>
    </xf>
    <xf numFmtId="0" fontId="23" fillId="0" borderId="0" xfId="4" applyNumberFormat="1" applyFont="1" applyFill="1" applyBorder="1" applyAlignment="1" applyProtection="1">
      <alignment horizontal="center" vertical="center"/>
    </xf>
    <xf numFmtId="0" fontId="21" fillId="0" borderId="0" xfId="4" applyFont="1" applyFill="1" applyBorder="1" applyAlignment="1" applyProtection="1">
      <alignment horizontal="right" vertical="center"/>
    </xf>
    <xf numFmtId="0" fontId="21" fillId="0" borderId="0" xfId="4" applyFont="1" applyFill="1" applyBorder="1" applyAlignment="1" applyProtection="1">
      <alignment horizontal="center" vertical="center"/>
    </xf>
    <xf numFmtId="0" fontId="21" fillId="0" borderId="0" xfId="4" applyFont="1" applyFill="1" applyBorder="1" applyAlignment="1" applyProtection="1">
      <alignment horizontal="left" vertical="center"/>
    </xf>
    <xf numFmtId="165" fontId="20" fillId="0" borderId="0" xfId="4" applyNumberFormat="1" applyFont="1" applyFill="1" applyBorder="1" applyAlignment="1" applyProtection="1">
      <alignment horizontal="left" vertical="center" shrinkToFit="1"/>
    </xf>
    <xf numFmtId="0" fontId="20" fillId="0" borderId="0" xfId="4" applyFont="1" applyFill="1" applyBorder="1" applyAlignment="1" applyProtection="1">
      <alignment horizontal="center" vertical="center" shrinkToFit="1"/>
    </xf>
    <xf numFmtId="0" fontId="20" fillId="0" borderId="0" xfId="4" applyFont="1" applyFill="1" applyBorder="1" applyAlignment="1" applyProtection="1">
      <alignment horizontal="righ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0" fontId="21" fillId="0" borderId="0" xfId="4" applyFont="1" applyFill="1" applyBorder="1" applyAlignment="1" applyProtection="1">
      <alignment horizontal="center"/>
    </xf>
    <xf numFmtId="0" fontId="7" fillId="0" borderId="273" xfId="0" applyNumberFormat="1" applyFont="1" applyFill="1" applyBorder="1" applyAlignment="1" applyProtection="1">
      <alignment horizontal="right" vertical="center" indent="1"/>
      <protection hidden="1"/>
    </xf>
    <xf numFmtId="0" fontId="7" fillId="0" borderId="274" xfId="0" applyNumberFormat="1" applyFont="1" applyFill="1" applyBorder="1" applyAlignment="1" applyProtection="1">
      <alignment vertical="center"/>
      <protection hidden="1"/>
    </xf>
    <xf numFmtId="0" fontId="7" fillId="0" borderId="275" xfId="0" applyNumberFormat="1" applyFont="1" applyFill="1" applyBorder="1" applyAlignment="1" applyProtection="1">
      <alignment horizontal="center" vertical="center"/>
      <protection hidden="1"/>
    </xf>
    <xf numFmtId="0" fontId="7" fillId="0" borderId="275" xfId="0" applyNumberFormat="1" applyFont="1" applyFill="1" applyBorder="1" applyAlignment="1" applyProtection="1">
      <alignment vertical="center"/>
      <protection hidden="1"/>
    </xf>
    <xf numFmtId="0" fontId="7" fillId="0" borderId="276" xfId="0" applyNumberFormat="1" applyFont="1" applyFill="1" applyBorder="1" applyAlignment="1" applyProtection="1">
      <alignment horizontal="center" vertical="center"/>
      <protection hidden="1"/>
    </xf>
    <xf numFmtId="0" fontId="7" fillId="0" borderId="277" xfId="0" applyNumberFormat="1" applyFont="1" applyFill="1" applyBorder="1" applyAlignment="1" applyProtection="1">
      <alignment vertical="center"/>
      <protection hidden="1"/>
    </xf>
    <xf numFmtId="0" fontId="7" fillId="0" borderId="278" xfId="0" applyNumberFormat="1" applyFont="1" applyFill="1" applyBorder="1" applyAlignment="1" applyProtection="1">
      <alignment horizontal="center" vertical="center"/>
      <protection hidden="1"/>
    </xf>
    <xf numFmtId="0" fontId="7" fillId="0" borderId="278" xfId="0" applyNumberFormat="1" applyFont="1" applyFill="1" applyBorder="1" applyAlignment="1" applyProtection="1">
      <alignment vertical="center"/>
      <protection hidden="1"/>
    </xf>
    <xf numFmtId="0" fontId="7" fillId="0" borderId="279" xfId="0" applyNumberFormat="1" applyFont="1" applyFill="1" applyBorder="1" applyAlignment="1" applyProtection="1">
      <alignment vertical="center"/>
      <protection hidden="1"/>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49" fontId="24" fillId="0" borderId="62" xfId="0" applyNumberFormat="1" applyFont="1" applyBorder="1" applyAlignment="1">
      <alignment horizontal="center" vertical="center"/>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30" fillId="9" borderId="120" xfId="4" applyFont="1" applyFill="1" applyBorder="1" applyAlignment="1">
      <alignment horizontal="center" vertical="center"/>
    </xf>
    <xf numFmtId="167" fontId="21" fillId="0" borderId="0" xfId="0" applyNumberFormat="1" applyFont="1" applyFill="1" applyBorder="1" applyAlignment="1">
      <alignment vertical="center"/>
    </xf>
    <xf numFmtId="0" fontId="20" fillId="10" borderId="154" xfId="0" applyFont="1" applyFill="1" applyBorder="1" applyAlignment="1" applyProtection="1">
      <alignment horizontal="center" vertical="center"/>
    </xf>
    <xf numFmtId="0" fontId="20" fillId="10" borderId="60" xfId="0" applyFont="1" applyFill="1" applyBorder="1" applyAlignment="1" applyProtection="1">
      <alignment horizontal="center" vertical="center"/>
    </xf>
    <xf numFmtId="0" fontId="20" fillId="10" borderId="61" xfId="0" applyFont="1" applyFill="1" applyBorder="1" applyAlignment="1" applyProtection="1">
      <alignment horizontal="center" vertical="center"/>
    </xf>
    <xf numFmtId="0" fontId="7" fillId="0" borderId="277" xfId="0" applyNumberFormat="1" applyFont="1" applyFill="1" applyBorder="1" applyAlignment="1" applyProtection="1">
      <alignment horizontal="center" vertical="center"/>
      <protection hidden="1"/>
    </xf>
    <xf numFmtId="0" fontId="7" fillId="0" borderId="279" xfId="0" applyNumberFormat="1" applyFont="1" applyFill="1" applyBorder="1" applyAlignment="1" applyProtection="1">
      <alignment horizontal="center" vertical="center"/>
      <protection hidden="1"/>
    </xf>
    <xf numFmtId="0" fontId="7" fillId="0" borderId="280" xfId="0" applyNumberFormat="1" applyFont="1" applyBorder="1"/>
    <xf numFmtId="0" fontId="7" fillId="0" borderId="275" xfId="0" applyNumberFormat="1" applyFont="1" applyBorder="1"/>
    <xf numFmtId="0" fontId="7" fillId="0" borderId="41" xfId="0" applyNumberFormat="1" applyFont="1" applyFill="1" applyBorder="1" applyAlignment="1" applyProtection="1">
      <alignment vertical="center"/>
      <protection hidden="1"/>
    </xf>
    <xf numFmtId="0" fontId="7" fillId="0" borderId="42" xfId="0" applyNumberFormat="1" applyFont="1" applyFill="1" applyBorder="1" applyAlignment="1" applyProtection="1">
      <alignment vertical="center"/>
      <protection hidden="1"/>
    </xf>
    <xf numFmtId="0" fontId="7" fillId="0" borderId="44" xfId="0" applyNumberFormat="1" applyFont="1" applyBorder="1"/>
    <xf numFmtId="0" fontId="7" fillId="0" borderId="0" xfId="0" applyNumberFormat="1" applyFont="1" applyBorder="1"/>
    <xf numFmtId="0" fontId="7" fillId="0" borderId="45" xfId="0" applyNumberFormat="1" applyFont="1" applyBorder="1" applyAlignment="1">
      <alignment horizontal="center"/>
    </xf>
    <xf numFmtId="0" fontId="7" fillId="0" borderId="276" xfId="0" applyNumberFormat="1" applyFont="1" applyBorder="1" applyAlignment="1">
      <alignment horizontal="center"/>
    </xf>
    <xf numFmtId="0" fontId="7" fillId="0" borderId="45" xfId="0" applyNumberFormat="1" applyFont="1" applyBorder="1"/>
    <xf numFmtId="0" fontId="7" fillId="0" borderId="46" xfId="0" applyNumberFormat="1" applyFont="1" applyBorder="1"/>
    <xf numFmtId="0" fontId="7" fillId="0" borderId="76" xfId="0" applyNumberFormat="1" applyFont="1" applyBorder="1"/>
    <xf numFmtId="0" fontId="7" fillId="0" borderId="47" xfId="0" applyNumberFormat="1" applyFont="1" applyBorder="1"/>
    <xf numFmtId="0" fontId="7" fillId="0" borderId="44" xfId="0" applyNumberFormat="1" applyFont="1" applyFill="1" applyBorder="1" applyAlignment="1" applyProtection="1">
      <alignment vertical="center"/>
      <protection hidden="1"/>
    </xf>
    <xf numFmtId="0" fontId="7" fillId="0" borderId="45" xfId="0" applyNumberFormat="1" applyFont="1" applyFill="1" applyBorder="1" applyAlignment="1" applyProtection="1">
      <alignment vertical="center"/>
      <protection hidden="1"/>
    </xf>
    <xf numFmtId="0" fontId="7" fillId="0" borderId="46" xfId="0" applyNumberFormat="1" applyFont="1" applyFill="1" applyBorder="1" applyAlignment="1" applyProtection="1">
      <alignment vertical="center"/>
      <protection hidden="1"/>
    </xf>
    <xf numFmtId="0" fontId="7" fillId="0" borderId="47" xfId="0" applyNumberFormat="1" applyFont="1" applyFill="1" applyBorder="1" applyAlignment="1" applyProtection="1">
      <alignment vertical="center"/>
      <protection hidden="1"/>
    </xf>
    <xf numFmtId="0" fontId="8" fillId="0" borderId="42" xfId="0" applyNumberFormat="1" applyFont="1" applyFill="1" applyBorder="1" applyAlignment="1" applyProtection="1">
      <alignment horizontal="center" vertical="center"/>
      <protection hidden="1"/>
    </xf>
    <xf numFmtId="0" fontId="7" fillId="0" borderId="280" xfId="0" applyNumberFormat="1" applyFont="1" applyFill="1" applyBorder="1" applyAlignment="1" applyProtection="1">
      <alignment horizontal="center" vertical="center"/>
      <protection hidden="1"/>
    </xf>
    <xf numFmtId="0" fontId="24" fillId="0" borderId="0" xfId="0" applyFont="1" applyBorder="1" applyAlignment="1"/>
    <xf numFmtId="0" fontId="24" fillId="0" borderId="0" xfId="0" applyFont="1" applyBorder="1" applyAlignment="1">
      <alignment horizontal="center"/>
    </xf>
    <xf numFmtId="0" fontId="14" fillId="0" borderId="0"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21" fillId="17" borderId="61" xfId="0" applyFont="1" applyFill="1" applyBorder="1" applyAlignment="1" applyProtection="1">
      <alignment horizontal="center" vertical="center"/>
    </xf>
    <xf numFmtId="0" fontId="20" fillId="10" borderId="154" xfId="0" applyFont="1" applyFill="1" applyBorder="1" applyAlignment="1" applyProtection="1">
      <alignment horizontal="center" vertical="center"/>
      <protection locked="0"/>
    </xf>
    <xf numFmtId="0" fontId="20" fillId="10" borderId="121" xfId="0" applyFont="1" applyFill="1" applyBorder="1" applyAlignment="1" applyProtection="1">
      <alignment horizontal="left" vertical="center"/>
      <protection locked="0"/>
    </xf>
    <xf numFmtId="0" fontId="20" fillId="10" borderId="206" xfId="0" applyFont="1" applyFill="1" applyBorder="1" applyAlignment="1" applyProtection="1">
      <alignment horizontal="right" vertical="center"/>
      <protection locked="0"/>
    </xf>
    <xf numFmtId="0" fontId="20" fillId="10" borderId="54" xfId="0" applyFont="1" applyFill="1" applyBorder="1" applyAlignment="1" applyProtection="1">
      <alignment horizontal="left" vertical="center"/>
      <protection locked="0"/>
    </xf>
    <xf numFmtId="0" fontId="20" fillId="10" borderId="56" xfId="0" applyFont="1" applyFill="1" applyBorder="1" applyAlignment="1" applyProtection="1">
      <alignment horizontal="left" vertical="center"/>
      <protection locked="0"/>
    </xf>
    <xf numFmtId="0" fontId="21" fillId="10" borderId="138" xfId="0" applyFont="1" applyFill="1" applyBorder="1" applyAlignment="1" applyProtection="1">
      <alignment horizontal="center"/>
      <protection locked="0"/>
    </xf>
    <xf numFmtId="0" fontId="21" fillId="10" borderId="130" xfId="0" applyFont="1" applyFill="1" applyBorder="1" applyAlignment="1" applyProtection="1">
      <alignment horizontal="center"/>
      <protection locked="0"/>
    </xf>
    <xf numFmtId="0" fontId="21" fillId="10" borderId="139" xfId="0" applyFont="1" applyFill="1" applyBorder="1" applyAlignment="1" applyProtection="1">
      <alignment horizontal="center"/>
      <protection locked="0"/>
    </xf>
    <xf numFmtId="0" fontId="21" fillId="0" borderId="0" xfId="0" applyFont="1" applyFill="1" applyBorder="1" applyAlignment="1" applyProtection="1">
      <alignment horizontal="center"/>
    </xf>
    <xf numFmtId="0" fontId="7" fillId="0" borderId="274" xfId="0" applyNumberFormat="1" applyFont="1" applyFill="1" applyBorder="1" applyAlignment="1" applyProtection="1">
      <alignment horizontal="center" vertical="center"/>
      <protection hidden="1"/>
    </xf>
    <xf numFmtId="0" fontId="7" fillId="0" borderId="281" xfId="0" applyNumberFormat="1" applyFont="1" applyFill="1" applyBorder="1" applyAlignment="1" applyProtection="1">
      <alignment horizontal="center" vertical="center"/>
      <protection hidden="1"/>
    </xf>
    <xf numFmtId="0" fontId="7" fillId="9" borderId="0" xfId="0" applyNumberFormat="1" applyFont="1" applyFill="1" applyBorder="1" applyAlignment="1" applyProtection="1">
      <alignment horizontal="center" vertical="center"/>
      <protection hidden="1"/>
    </xf>
    <xf numFmtId="0" fontId="21" fillId="10" borderId="138" xfId="0" applyFont="1" applyFill="1" applyBorder="1" applyAlignment="1" applyProtection="1">
      <alignment horizontal="center" vertical="center"/>
      <protection locked="0"/>
    </xf>
    <xf numFmtId="0" fontId="21" fillId="10" borderId="130" xfId="0" applyFont="1" applyFill="1" applyBorder="1" applyAlignment="1" applyProtection="1">
      <alignment horizontal="center" vertical="center"/>
      <protection locked="0"/>
    </xf>
    <xf numFmtId="0" fontId="21" fillId="10" borderId="139" xfId="0" applyFont="1" applyFill="1" applyBorder="1" applyAlignment="1" applyProtection="1">
      <alignment horizontal="center" vertical="center"/>
      <protection locked="0"/>
    </xf>
    <xf numFmtId="0" fontId="20" fillId="10" borderId="156" xfId="0" applyFont="1" applyFill="1" applyBorder="1" applyAlignment="1" applyProtection="1">
      <alignment horizontal="center" vertical="center"/>
      <protection locked="0"/>
    </xf>
    <xf numFmtId="0" fontId="14" fillId="9" borderId="66" xfId="0" applyFont="1" applyFill="1" applyBorder="1" applyAlignment="1">
      <alignment horizontal="center" vertical="center"/>
    </xf>
    <xf numFmtId="0" fontId="14" fillId="9" borderId="59" xfId="0" applyFont="1" applyFill="1" applyBorder="1" applyAlignment="1">
      <alignment horizontal="center" vertical="center"/>
    </xf>
    <xf numFmtId="0" fontId="14" fillId="9" borderId="75" xfId="0" applyFont="1" applyFill="1" applyBorder="1" applyAlignment="1">
      <alignment horizontal="center" vertical="center"/>
    </xf>
    <xf numFmtId="0" fontId="21" fillId="0" borderId="49" xfId="0" applyFont="1" applyBorder="1" applyAlignment="1">
      <alignment horizontal="center" vertical="center"/>
    </xf>
    <xf numFmtId="0" fontId="20" fillId="0" borderId="55" xfId="0" applyFont="1" applyBorder="1" applyAlignment="1">
      <alignment horizontal="left" vertical="center"/>
    </xf>
    <xf numFmtId="0" fontId="20" fillId="0" borderId="54" xfId="0" applyFont="1" applyBorder="1" applyAlignment="1">
      <alignment horizontal="left" vertical="center"/>
    </xf>
    <xf numFmtId="0" fontId="20" fillId="10" borderId="121" xfId="0" applyFont="1" applyFill="1" applyBorder="1" applyAlignment="1" applyProtection="1">
      <alignment horizontal="center" vertical="center"/>
      <protection locked="0"/>
    </xf>
    <xf numFmtId="0" fontId="20" fillId="10" borderId="54" xfId="0" applyFont="1" applyFill="1" applyBorder="1" applyAlignment="1" applyProtection="1">
      <alignment horizontal="center" vertical="center"/>
      <protection locked="0"/>
    </xf>
    <xf numFmtId="0" fontId="20" fillId="10" borderId="56" xfId="0" applyFont="1" applyFill="1" applyBorder="1" applyAlignment="1" applyProtection="1">
      <alignment horizontal="center" vertical="center"/>
      <protection locked="0"/>
    </xf>
    <xf numFmtId="0" fontId="20" fillId="10" borderId="205" xfId="0" applyFont="1" applyFill="1" applyBorder="1" applyAlignment="1" applyProtection="1">
      <alignment horizontal="center" vertical="center"/>
      <protection locked="0"/>
    </xf>
    <xf numFmtId="0" fontId="0" fillId="0" borderId="0" xfId="0" applyNumberFormat="1"/>
    <xf numFmtId="0" fontId="0" fillId="0" borderId="0" xfId="0" applyNumberFormat="1" applyAlignment="1">
      <alignment horizontal="center" vertical="center"/>
    </xf>
    <xf numFmtId="0" fontId="19" fillId="9" borderId="224" xfId="0" applyFont="1" applyFill="1" applyBorder="1" applyAlignment="1">
      <alignment vertical="center" shrinkToFit="1"/>
    </xf>
    <xf numFmtId="0" fontId="20" fillId="0" borderId="153" xfId="0" applyFont="1" applyFill="1" applyBorder="1" applyAlignment="1" applyProtection="1">
      <alignment vertical="center" shrinkToFit="1"/>
    </xf>
    <xf numFmtId="0" fontId="20" fillId="0" borderId="168" xfId="0" applyFont="1" applyFill="1" applyBorder="1" applyAlignment="1" applyProtection="1">
      <alignment vertical="center" shrinkToFit="1"/>
    </xf>
    <xf numFmtId="165" fontId="6" fillId="0" borderId="44" xfId="0" applyNumberFormat="1" applyFont="1" applyFill="1" applyBorder="1" applyAlignment="1" applyProtection="1">
      <alignment horizontal="center" vertical="center"/>
    </xf>
    <xf numFmtId="165" fontId="14" fillId="0" borderId="44" xfId="0" applyNumberFormat="1" applyFont="1" applyFill="1" applyBorder="1" applyAlignment="1">
      <alignment horizontal="center" vertical="center" shrinkToFit="1"/>
    </xf>
    <xf numFmtId="0" fontId="0" fillId="0" borderId="0" xfId="0" applyAlignment="1">
      <alignment horizontal="center" vertical="center"/>
    </xf>
    <xf numFmtId="0" fontId="12" fillId="0" borderId="0" xfId="0" applyNumberFormat="1" applyFont="1" applyFill="1" applyBorder="1" applyAlignment="1" applyProtection="1">
      <alignment horizontal="center" vertical="center"/>
      <protection hidden="1"/>
    </xf>
    <xf numFmtId="0" fontId="48" fillId="0" borderId="0" xfId="0" applyFont="1" applyAlignment="1">
      <alignment horizontal="center"/>
    </xf>
    <xf numFmtId="0" fontId="0" fillId="0" borderId="0" xfId="0" applyAlignment="1">
      <alignment horizontal="center" vertical="center"/>
    </xf>
    <xf numFmtId="0" fontId="14" fillId="9" borderId="118" xfId="0" applyFont="1" applyFill="1" applyBorder="1" applyAlignment="1">
      <alignment horizontal="center" vertical="center" shrinkToFit="1"/>
    </xf>
    <xf numFmtId="0" fontId="12" fillId="0" borderId="0" xfId="0" applyNumberFormat="1" applyFont="1" applyFill="1" applyBorder="1" applyAlignment="1" applyProtection="1">
      <alignment horizontal="center" vertical="center"/>
      <protection hidden="1"/>
    </xf>
    <xf numFmtId="0" fontId="0" fillId="0" borderId="0" xfId="0" applyAlignment="1">
      <alignment horizontal="center" vertical="center"/>
    </xf>
    <xf numFmtId="0" fontId="74" fillId="0" borderId="0" xfId="0" applyFont="1"/>
    <xf numFmtId="0" fontId="74" fillId="0" borderId="0" xfId="0" applyFont="1" applyAlignment="1">
      <alignment horizontal="center"/>
    </xf>
    <xf numFmtId="0" fontId="18" fillId="0" borderId="0" xfId="0" applyFont="1" applyAlignment="1">
      <alignment horizontal="center" vertical="center"/>
    </xf>
    <xf numFmtId="0" fontId="25" fillId="0" borderId="0" xfId="0" applyFont="1" applyAlignment="1">
      <alignment horizontal="center"/>
    </xf>
    <xf numFmtId="0" fontId="14" fillId="9" borderId="291" xfId="0" applyFont="1" applyFill="1" applyBorder="1" applyAlignment="1">
      <alignment horizontal="center" vertical="center"/>
    </xf>
    <xf numFmtId="0" fontId="21" fillId="10" borderId="293" xfId="0" applyFont="1" applyFill="1" applyBorder="1" applyAlignment="1" applyProtection="1">
      <alignment horizontal="center"/>
      <protection locked="0"/>
    </xf>
    <xf numFmtId="0" fontId="19" fillId="9" borderId="291" xfId="0" applyFont="1" applyFill="1" applyBorder="1" applyAlignment="1">
      <alignment horizontal="center"/>
    </xf>
    <xf numFmtId="0" fontId="21" fillId="10" borderId="294" xfId="0" applyFont="1" applyFill="1" applyBorder="1" applyAlignment="1" applyProtection="1">
      <alignment horizontal="center"/>
      <protection locked="0"/>
    </xf>
    <xf numFmtId="0" fontId="21" fillId="10" borderId="292" xfId="0" applyFont="1" applyFill="1" applyBorder="1" applyAlignment="1" applyProtection="1">
      <alignment horizontal="center" vertical="center"/>
      <protection locked="0"/>
    </xf>
    <xf numFmtId="0" fontId="21" fillId="10" borderId="136" xfId="0" applyFont="1" applyFill="1" applyBorder="1" applyAlignment="1" applyProtection="1">
      <alignment horizontal="center" vertical="center"/>
      <protection locked="0"/>
    </xf>
    <xf numFmtId="0" fontId="13" fillId="0" borderId="292" xfId="0" applyFont="1" applyFill="1" applyBorder="1" applyAlignment="1" applyProtection="1">
      <alignment horizontal="center" vertical="center" shrinkToFit="1"/>
    </xf>
    <xf numFmtId="0" fontId="13" fillId="0" borderId="136" xfId="0" applyFont="1" applyFill="1" applyBorder="1" applyAlignment="1" applyProtection="1">
      <alignment horizontal="center" vertical="center" shrinkToFit="1"/>
    </xf>
    <xf numFmtId="0" fontId="13" fillId="0" borderId="195" xfId="0" applyFont="1" applyFill="1" applyBorder="1" applyAlignment="1" applyProtection="1">
      <alignment horizontal="center" vertical="center" shrinkToFit="1"/>
    </xf>
    <xf numFmtId="0" fontId="17" fillId="0" borderId="295" xfId="0" applyFont="1" applyFill="1" applyBorder="1" applyAlignment="1" applyProtection="1">
      <alignment vertical="top"/>
    </xf>
    <xf numFmtId="0" fontId="17" fillId="0" borderId="0" xfId="0" applyFont="1" applyFill="1" applyBorder="1" applyAlignment="1" applyProtection="1">
      <alignment vertical="top"/>
    </xf>
    <xf numFmtId="14" fontId="26" fillId="0" borderId="295" xfId="0" applyNumberFormat="1" applyFont="1" applyFill="1" applyBorder="1" applyAlignment="1" applyProtection="1">
      <alignment vertical="center"/>
    </xf>
    <xf numFmtId="14" fontId="26" fillId="0" borderId="0" xfId="0" applyNumberFormat="1" applyFont="1" applyFill="1" applyBorder="1" applyAlignment="1" applyProtection="1">
      <alignment vertical="center"/>
    </xf>
    <xf numFmtId="0" fontId="26" fillId="0" borderId="295" xfId="0" applyFont="1" applyFill="1" applyBorder="1" applyAlignment="1" applyProtection="1">
      <alignment vertical="center"/>
    </xf>
    <xf numFmtId="0" fontId="26" fillId="0" borderId="0" xfId="0" applyFont="1" applyFill="1" applyBorder="1" applyAlignment="1" applyProtection="1">
      <alignment vertical="center"/>
    </xf>
    <xf numFmtId="0" fontId="55" fillId="0" borderId="296" xfId="0" applyFont="1" applyFill="1" applyBorder="1" applyAlignment="1" applyProtection="1"/>
    <xf numFmtId="0" fontId="55" fillId="0" borderId="0" xfId="0" applyFont="1" applyFill="1" applyBorder="1" applyAlignment="1" applyProtection="1"/>
    <xf numFmtId="0" fontId="21" fillId="0" borderId="139" xfId="0" applyFont="1" applyFill="1" applyBorder="1" applyAlignment="1" applyProtection="1">
      <alignment horizontal="center"/>
    </xf>
    <xf numFmtId="0" fontId="18" fillId="0" borderId="139" xfId="0" applyFont="1" applyBorder="1" applyAlignment="1">
      <alignment vertical="center"/>
    </xf>
    <xf numFmtId="0" fontId="21" fillId="10" borderId="297"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xf>
    <xf numFmtId="0" fontId="21" fillId="10" borderId="298" xfId="0" applyFont="1" applyFill="1" applyBorder="1" applyAlignment="1" applyProtection="1">
      <alignment horizontal="center" vertical="center"/>
      <protection locked="0"/>
    </xf>
    <xf numFmtId="0" fontId="21" fillId="10" borderId="299" xfId="0" applyFont="1" applyFill="1" applyBorder="1" applyAlignment="1" applyProtection="1">
      <alignment horizontal="center" vertical="center"/>
      <protection locked="0"/>
    </xf>
    <xf numFmtId="0" fontId="67" fillId="0" borderId="0" xfId="0" applyNumberFormat="1" applyFont="1" applyAlignment="1" applyProtection="1">
      <alignment horizontal="center" vertical="center" wrapText="1"/>
    </xf>
    <xf numFmtId="49" fontId="24" fillId="0" borderId="64"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20" fillId="10" borderId="68" xfId="0" applyFont="1" applyFill="1" applyBorder="1" applyAlignment="1" applyProtection="1">
      <alignment horizontal="left" vertical="center" shrinkToFit="1"/>
      <protection locked="0"/>
    </xf>
    <xf numFmtId="0" fontId="20" fillId="10" borderId="63" xfId="0" applyFont="1" applyFill="1" applyBorder="1" applyAlignment="1" applyProtection="1">
      <alignment horizontal="left" vertical="center" shrinkToFit="1"/>
      <protection locked="0"/>
    </xf>
    <xf numFmtId="49" fontId="24" fillId="0" borderId="72" xfId="0" applyNumberFormat="1" applyFont="1" applyBorder="1" applyAlignment="1">
      <alignment horizontal="center" vertical="center"/>
    </xf>
    <xf numFmtId="0" fontId="20" fillId="10" borderId="73" xfId="0" applyFont="1" applyFill="1" applyBorder="1" applyAlignment="1" applyProtection="1">
      <alignment horizontal="left" vertical="center" shrinkToFit="1"/>
      <protection locked="0"/>
    </xf>
    <xf numFmtId="164" fontId="24" fillId="0" borderId="0" xfId="0" applyNumberFormat="1" applyFont="1" applyFill="1" applyBorder="1" applyAlignment="1">
      <alignment horizontal="center" vertical="center"/>
    </xf>
    <xf numFmtId="164" fontId="24" fillId="0" borderId="76"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6" xfId="0" applyFont="1" applyBorder="1" applyAlignment="1">
      <alignment horizontal="left" vertical="center" shrinkToFit="1"/>
    </xf>
    <xf numFmtId="0" fontId="19" fillId="9" borderId="66" xfId="0" applyFont="1" applyFill="1" applyBorder="1" applyAlignment="1">
      <alignment horizontal="center" vertical="center"/>
    </xf>
    <xf numFmtId="0" fontId="19" fillId="9" borderId="67" xfId="0" applyFont="1" applyFill="1" applyBorder="1" applyAlignment="1">
      <alignment horizontal="center" vertical="center"/>
    </xf>
    <xf numFmtId="0" fontId="19" fillId="9" borderId="70" xfId="0" applyFont="1" applyFill="1" applyBorder="1" applyAlignment="1">
      <alignment horizontal="left" vertical="center" shrinkToFit="1"/>
    </xf>
    <xf numFmtId="0" fontId="19" fillId="9" borderId="71" xfId="0" applyFont="1" applyFill="1" applyBorder="1" applyAlignment="1">
      <alignment horizontal="left" vertical="center" shrinkToFit="1"/>
    </xf>
    <xf numFmtId="49" fontId="24" fillId="0" borderId="65"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0" fontId="25" fillId="0" borderId="0" xfId="0" applyFont="1" applyAlignment="1">
      <alignment horizontal="center"/>
    </xf>
    <xf numFmtId="0" fontId="15" fillId="0" borderId="76" xfId="0" applyFont="1" applyBorder="1" applyAlignment="1">
      <alignment horizontal="left" vertical="center"/>
    </xf>
    <xf numFmtId="0" fontId="18" fillId="0" borderId="0" xfId="0" applyFont="1" applyAlignment="1">
      <alignment horizontal="center" wrapText="1"/>
    </xf>
    <xf numFmtId="0" fontId="18" fillId="0" borderId="115" xfId="0" applyFont="1" applyBorder="1" applyAlignment="1">
      <alignment horizontal="center" wrapText="1"/>
    </xf>
    <xf numFmtId="0" fontId="19" fillId="9" borderId="118" xfId="0" applyFont="1" applyFill="1" applyBorder="1" applyAlignment="1">
      <alignment horizontal="center"/>
    </xf>
    <xf numFmtId="0" fontId="19" fillId="9" borderId="140" xfId="0" applyFont="1" applyFill="1" applyBorder="1" applyAlignment="1">
      <alignment horizontal="center"/>
    </xf>
    <xf numFmtId="0" fontId="21" fillId="0" borderId="148" xfId="0" applyFont="1" applyBorder="1" applyAlignment="1">
      <alignment horizontal="left" vertical="center" indent="1"/>
    </xf>
    <xf numFmtId="0" fontId="21" fillId="0" borderId="151" xfId="0" applyFont="1" applyBorder="1" applyAlignment="1">
      <alignment horizontal="left" vertical="center" indent="1"/>
    </xf>
    <xf numFmtId="167" fontId="20" fillId="10" borderId="149" xfId="0" applyNumberFormat="1" applyFont="1" applyFill="1" applyBorder="1" applyAlignment="1" applyProtection="1">
      <alignment horizontal="right" vertical="center" indent="1"/>
      <protection locked="0"/>
    </xf>
    <xf numFmtId="167" fontId="20" fillId="10" borderId="60" xfId="0" applyNumberFormat="1" applyFont="1" applyFill="1" applyBorder="1" applyAlignment="1" applyProtection="1">
      <alignment horizontal="right" vertical="center" indent="1"/>
      <protection locked="0"/>
    </xf>
    <xf numFmtId="0" fontId="20" fillId="0" borderId="150" xfId="0" applyFont="1" applyBorder="1" applyAlignment="1">
      <alignment horizontal="left" vertical="center"/>
    </xf>
    <xf numFmtId="0" fontId="20" fillId="0" borderId="74" xfId="0" applyFont="1" applyBorder="1" applyAlignment="1">
      <alignment horizontal="left" vertical="center"/>
    </xf>
    <xf numFmtId="0" fontId="20" fillId="10" borderId="60" xfId="0" applyFont="1" applyFill="1" applyBorder="1" applyAlignment="1" applyProtection="1">
      <alignment horizontal="right" vertical="center" indent="1"/>
      <protection locked="0"/>
    </xf>
    <xf numFmtId="165" fontId="63" fillId="0" borderId="0" xfId="0" applyNumberFormat="1" applyFont="1" applyAlignment="1" applyProtection="1">
      <alignment horizontal="left" vertical="top" wrapText="1" indent="1"/>
    </xf>
    <xf numFmtId="0" fontId="21" fillId="0" borderId="152" xfId="0" applyFont="1" applyBorder="1" applyAlignment="1">
      <alignment horizontal="left" vertical="center" indent="1"/>
    </xf>
    <xf numFmtId="0" fontId="20" fillId="10" borderId="86" xfId="0" applyFont="1" applyFill="1" applyBorder="1" applyAlignment="1" applyProtection="1">
      <alignment horizontal="right" vertical="center" indent="1"/>
      <protection locked="0"/>
    </xf>
    <xf numFmtId="0" fontId="62" fillId="0" borderId="74" xfId="0" applyFont="1" applyBorder="1" applyAlignment="1">
      <alignment horizontal="left" vertical="center"/>
    </xf>
    <xf numFmtId="0" fontId="62" fillId="0" borderId="87" xfId="0" applyFont="1" applyBorder="1" applyAlignment="1">
      <alignment horizontal="left" vertical="center"/>
    </xf>
    <xf numFmtId="0" fontId="21" fillId="15" borderId="232" xfId="0" applyFont="1" applyFill="1" applyBorder="1" applyAlignment="1">
      <alignment horizontal="left" vertical="center" indent="1"/>
    </xf>
    <xf numFmtId="0" fontId="21" fillId="15" borderId="235" xfId="0" applyFont="1" applyFill="1" applyBorder="1" applyAlignment="1">
      <alignment horizontal="left" vertical="center" indent="1"/>
    </xf>
    <xf numFmtId="167" fontId="20" fillId="15" borderId="265" xfId="0" applyNumberFormat="1" applyFont="1" applyFill="1" applyBorder="1" applyAlignment="1">
      <alignment horizontal="right" vertical="center" indent="1"/>
    </xf>
    <xf numFmtId="167" fontId="20" fillId="15" borderId="115" xfId="0" applyNumberFormat="1" applyFont="1" applyFill="1" applyBorder="1" applyAlignment="1">
      <alignment horizontal="right" vertical="center" indent="1"/>
    </xf>
    <xf numFmtId="0" fontId="20" fillId="15" borderId="233" xfId="0" applyFont="1" applyFill="1" applyBorder="1" applyAlignment="1">
      <alignment horizontal="center" vertical="center"/>
    </xf>
    <xf numFmtId="0" fontId="20" fillId="15" borderId="236" xfId="0" applyFont="1" applyFill="1" applyBorder="1" applyAlignment="1">
      <alignment horizontal="center" vertical="center"/>
    </xf>
    <xf numFmtId="0" fontId="0" fillId="0" borderId="0" xfId="0" applyAlignment="1">
      <alignment horizontal="center" vertical="center"/>
    </xf>
    <xf numFmtId="0" fontId="49" fillId="0" borderId="0" xfId="0" applyFont="1" applyAlignment="1">
      <alignment horizontal="center" vertical="top" textRotation="90"/>
    </xf>
    <xf numFmtId="0" fontId="54" fillId="0" borderId="76" xfId="0" applyFont="1" applyBorder="1" applyAlignment="1">
      <alignment horizontal="center"/>
    </xf>
    <xf numFmtId="0" fontId="14" fillId="9" borderId="34"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28" xfId="0" applyFont="1" applyFill="1" applyBorder="1" applyAlignment="1">
      <alignment horizontal="center" vertical="center"/>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13" fillId="9" borderId="41" xfId="0" applyFont="1" applyFill="1" applyBorder="1" applyAlignment="1">
      <alignment horizontal="center" vertical="center" shrinkToFit="1"/>
    </xf>
    <xf numFmtId="0" fontId="13" fillId="9" borderId="43"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42" xfId="0" applyFont="1" applyFill="1" applyBorder="1" applyAlignment="1">
      <alignment horizontal="center" vertical="center" shrinkToFit="1"/>
    </xf>
    <xf numFmtId="0" fontId="14" fillId="9" borderId="59" xfId="0" applyFont="1" applyFill="1" applyBorder="1" applyAlignment="1">
      <alignment horizontal="center" vertical="center" shrinkToFit="1"/>
    </xf>
    <xf numFmtId="0" fontId="14" fillId="9" borderId="288" xfId="0" applyFont="1" applyFill="1" applyBorder="1" applyAlignment="1">
      <alignment horizontal="center" vertical="center" shrinkToFit="1"/>
    </xf>
    <xf numFmtId="0" fontId="14" fillId="9" borderId="289" xfId="0" applyFont="1" applyFill="1" applyBorder="1" applyAlignment="1">
      <alignment horizontal="center" vertical="center" shrinkToFit="1"/>
    </xf>
    <xf numFmtId="0" fontId="14" fillId="9" borderId="290" xfId="0" applyFont="1" applyFill="1" applyBorder="1" applyAlignment="1">
      <alignment horizontal="center" vertical="center" shrinkToFit="1"/>
    </xf>
    <xf numFmtId="0" fontId="57" fillId="0" borderId="0" xfId="0" applyFont="1" applyAlignment="1" applyProtection="1">
      <alignment horizontal="center" vertical="top" wrapText="1"/>
    </xf>
    <xf numFmtId="0" fontId="17" fillId="10" borderId="246" xfId="0" applyFont="1" applyFill="1" applyBorder="1" applyAlignment="1" applyProtection="1">
      <alignment horizontal="center" vertical="top"/>
      <protection locked="0"/>
    </xf>
    <xf numFmtId="0" fontId="17" fillId="10" borderId="247" xfId="0" applyFont="1" applyFill="1" applyBorder="1" applyAlignment="1" applyProtection="1">
      <alignment horizontal="center" vertical="top"/>
      <protection locked="0"/>
    </xf>
    <xf numFmtId="0" fontId="17" fillId="10" borderId="248" xfId="0" applyFont="1" applyFill="1" applyBorder="1" applyAlignment="1" applyProtection="1">
      <alignment horizontal="center" vertical="top"/>
      <protection locked="0"/>
    </xf>
    <xf numFmtId="0" fontId="37" fillId="0" borderId="0" xfId="0" applyFont="1" applyAlignment="1">
      <alignment horizontal="center"/>
    </xf>
    <xf numFmtId="0" fontId="14" fillId="9" borderId="37" xfId="0" applyFont="1" applyFill="1" applyBorder="1" applyAlignment="1">
      <alignment horizontal="center" vertical="center"/>
    </xf>
    <xf numFmtId="0" fontId="14" fillId="9" borderId="33" xfId="0" applyFont="1" applyFill="1" applyBorder="1" applyAlignment="1">
      <alignment horizontal="center" vertical="center"/>
    </xf>
    <xf numFmtId="14" fontId="26" fillId="10" borderId="249" xfId="0" applyNumberFormat="1" applyFont="1" applyFill="1" applyBorder="1" applyAlignment="1" applyProtection="1">
      <alignment horizontal="center" vertical="center"/>
      <protection locked="0"/>
    </xf>
    <xf numFmtId="14" fontId="26" fillId="10" borderId="202" xfId="0" applyNumberFormat="1" applyFont="1" applyFill="1" applyBorder="1" applyAlignment="1" applyProtection="1">
      <alignment horizontal="center" vertical="center"/>
      <protection locked="0"/>
    </xf>
    <xf numFmtId="14" fontId="26" fillId="10" borderId="250" xfId="0" applyNumberFormat="1" applyFont="1" applyFill="1" applyBorder="1" applyAlignment="1" applyProtection="1">
      <alignment horizontal="center" vertical="center"/>
      <protection locked="0"/>
    </xf>
    <xf numFmtId="0" fontId="26" fillId="10" borderId="249" xfId="0" applyFont="1" applyFill="1" applyBorder="1" applyAlignment="1" applyProtection="1">
      <alignment horizontal="center" vertical="center"/>
      <protection locked="0"/>
    </xf>
    <xf numFmtId="0" fontId="26" fillId="10" borderId="202" xfId="0" applyFont="1" applyFill="1" applyBorder="1" applyAlignment="1" applyProtection="1">
      <alignment horizontal="center" vertical="center"/>
      <protection locked="0"/>
    </xf>
    <xf numFmtId="0" fontId="26" fillId="10" borderId="250" xfId="0" applyFont="1" applyFill="1" applyBorder="1" applyAlignment="1" applyProtection="1">
      <alignment horizontal="center" vertical="center"/>
      <protection locked="0"/>
    </xf>
    <xf numFmtId="0" fontId="26" fillId="10" borderId="251" xfId="0" applyFont="1" applyFill="1" applyBorder="1" applyAlignment="1" applyProtection="1">
      <alignment horizontal="center" vertical="center"/>
      <protection locked="0"/>
    </xf>
    <xf numFmtId="0" fontId="26" fillId="10" borderId="252" xfId="0" applyFont="1" applyFill="1" applyBorder="1" applyAlignment="1" applyProtection="1">
      <alignment horizontal="center" vertical="center"/>
      <protection locked="0"/>
    </xf>
    <xf numFmtId="0" fontId="26" fillId="10" borderId="253" xfId="0" applyFont="1" applyFill="1" applyBorder="1" applyAlignment="1" applyProtection="1">
      <alignment horizontal="center" vertical="center"/>
      <protection locked="0"/>
    </xf>
    <xf numFmtId="0" fontId="55" fillId="16" borderId="196" xfId="0" applyFont="1" applyFill="1" applyBorder="1" applyAlignment="1" applyProtection="1">
      <alignment horizontal="center"/>
    </xf>
    <xf numFmtId="0" fontId="55" fillId="16" borderId="197" xfId="0" applyFont="1" applyFill="1" applyBorder="1" applyAlignment="1" applyProtection="1">
      <alignment horizontal="center"/>
    </xf>
    <xf numFmtId="0" fontId="55" fillId="16" borderId="198" xfId="0" applyFont="1" applyFill="1" applyBorder="1" applyAlignment="1" applyProtection="1">
      <alignment horizontal="center"/>
    </xf>
    <xf numFmtId="0" fontId="55" fillId="16" borderId="199" xfId="0" applyFont="1" applyFill="1" applyBorder="1" applyAlignment="1" applyProtection="1">
      <alignment horizontal="center"/>
    </xf>
    <xf numFmtId="0" fontId="30" fillId="9" borderId="224" xfId="4" applyFont="1" applyFill="1" applyBorder="1" applyAlignment="1">
      <alignment horizontal="center" vertical="center"/>
    </xf>
    <xf numFmtId="0" fontId="30" fillId="9" borderId="137" xfId="4" applyFont="1" applyFill="1" applyBorder="1" applyAlignment="1">
      <alignment horizontal="center" vertical="center"/>
    </xf>
    <xf numFmtId="0" fontId="30" fillId="9" borderId="120" xfId="4" applyFont="1" applyFill="1" applyBorder="1" applyAlignment="1">
      <alignment horizontal="center" vertical="center"/>
    </xf>
    <xf numFmtId="0" fontId="14" fillId="9" borderId="224" xfId="4" applyFont="1" applyFill="1" applyBorder="1" applyAlignment="1">
      <alignment horizontal="center" vertical="center"/>
    </xf>
    <xf numFmtId="0" fontId="14" fillId="9" borderId="137" xfId="4" applyFont="1" applyFill="1" applyBorder="1" applyAlignment="1">
      <alignment horizontal="center" vertical="center"/>
    </xf>
    <xf numFmtId="0" fontId="14" fillId="9" borderId="120" xfId="4" applyFont="1" applyFill="1" applyBorder="1" applyAlignment="1">
      <alignment horizontal="center" vertical="center"/>
    </xf>
    <xf numFmtId="0" fontId="14" fillId="9" borderId="225" xfId="4" applyFont="1" applyFill="1" applyBorder="1" applyAlignment="1">
      <alignment horizontal="center" vertical="center"/>
    </xf>
    <xf numFmtId="0" fontId="15" fillId="0" borderId="76" xfId="4" applyFont="1" applyBorder="1" applyAlignment="1">
      <alignment horizontal="left" vertical="center"/>
    </xf>
    <xf numFmtId="0" fontId="58" fillId="0" borderId="246" xfId="4" applyFont="1" applyBorder="1" applyAlignment="1">
      <alignment horizontal="center" vertical="center"/>
    </xf>
    <xf numFmtId="0" fontId="58" fillId="0" borderId="247" xfId="4" applyFont="1" applyBorder="1" applyAlignment="1">
      <alignment horizontal="center" vertical="center"/>
    </xf>
    <xf numFmtId="0" fontId="58" fillId="0" borderId="248" xfId="4" applyFont="1" applyBorder="1" applyAlignment="1">
      <alignment horizontal="center" vertical="center"/>
    </xf>
    <xf numFmtId="14" fontId="59" fillId="0" borderId="249" xfId="4" applyNumberFormat="1" applyFont="1" applyBorder="1" applyAlignment="1">
      <alignment horizontal="center" vertical="center"/>
    </xf>
    <xf numFmtId="14" fontId="59" fillId="0" borderId="202" xfId="4" applyNumberFormat="1" applyFont="1" applyBorder="1" applyAlignment="1">
      <alignment horizontal="center" vertical="center"/>
    </xf>
    <xf numFmtId="14" fontId="59" fillId="0" borderId="250" xfId="4" applyNumberFormat="1" applyFont="1" applyBorder="1" applyAlignment="1">
      <alignment horizontal="center" vertical="center"/>
    </xf>
    <xf numFmtId="0" fontId="59" fillId="0" borderId="249" xfId="4" applyFont="1" applyBorder="1" applyAlignment="1">
      <alignment horizontal="center" vertical="center"/>
    </xf>
    <xf numFmtId="0" fontId="59" fillId="0" borderId="202" xfId="4" applyFont="1" applyBorder="1" applyAlignment="1">
      <alignment horizontal="center" vertical="center"/>
    </xf>
    <xf numFmtId="0" fontId="59" fillId="0" borderId="250" xfId="4" applyFont="1" applyBorder="1" applyAlignment="1">
      <alignment horizontal="center" vertical="center"/>
    </xf>
    <xf numFmtId="0" fontId="59" fillId="0" borderId="251" xfId="4" applyFont="1" applyBorder="1" applyAlignment="1">
      <alignment horizontal="center" vertical="center"/>
    </xf>
    <xf numFmtId="0" fontId="59" fillId="0" borderId="252" xfId="4" applyFont="1" applyBorder="1" applyAlignment="1">
      <alignment horizontal="center" vertical="center"/>
    </xf>
    <xf numFmtId="0" fontId="59" fillId="0" borderId="253" xfId="4" applyFont="1" applyBorder="1" applyAlignment="1">
      <alignment horizontal="center" vertical="center"/>
    </xf>
    <xf numFmtId="0" fontId="60" fillId="16" borderId="0" xfId="4" applyFont="1" applyFill="1" applyBorder="1" applyAlignment="1">
      <alignment horizontal="center" vertical="center"/>
    </xf>
    <xf numFmtId="0" fontId="73" fillId="0" borderId="76" xfId="4" applyNumberFormat="1" applyFont="1" applyBorder="1" applyAlignment="1">
      <alignment horizontal="center" wrapText="1"/>
    </xf>
    <xf numFmtId="0" fontId="14" fillId="9" borderId="118" xfId="0" applyFont="1" applyFill="1" applyBorder="1" applyAlignment="1">
      <alignment horizontal="center" vertical="center"/>
    </xf>
    <xf numFmtId="0" fontId="14" fillId="9" borderId="140" xfId="0" applyFont="1" applyFill="1" applyBorder="1" applyAlignment="1">
      <alignment horizontal="center" vertical="center"/>
    </xf>
    <xf numFmtId="0" fontId="24" fillId="0" borderId="76" xfId="0" applyFont="1" applyBorder="1" applyAlignment="1">
      <alignment horizontal="left"/>
    </xf>
    <xf numFmtId="0" fontId="54" fillId="0" borderId="76" xfId="0" applyFont="1" applyBorder="1" applyAlignment="1">
      <alignment horizontal="left"/>
    </xf>
    <xf numFmtId="164" fontId="20" fillId="0" borderId="151" xfId="0" applyNumberFormat="1" applyFont="1" applyBorder="1" applyAlignment="1">
      <alignment horizontal="center" vertical="center"/>
    </xf>
    <xf numFmtId="164" fontId="20" fillId="0" borderId="60" xfId="0" applyNumberFormat="1" applyFont="1" applyBorder="1" applyAlignment="1">
      <alignment horizontal="center" vertical="center"/>
    </xf>
    <xf numFmtId="164" fontId="20" fillId="0" borderId="200" xfId="0" applyNumberFormat="1" applyFont="1" applyBorder="1" applyAlignment="1">
      <alignment horizontal="center" vertical="center"/>
    </xf>
    <xf numFmtId="164" fontId="20" fillId="0" borderId="61"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60" xfId="0" applyFont="1" applyBorder="1" applyAlignment="1">
      <alignment horizontal="left" vertical="center" indent="1"/>
    </xf>
    <xf numFmtId="0" fontId="39" fillId="0" borderId="74" xfId="0" applyFont="1" applyBorder="1" applyAlignment="1">
      <alignment horizontal="left" vertical="center" indent="1"/>
    </xf>
    <xf numFmtId="0" fontId="39" fillId="0" borderId="61" xfId="0" applyFont="1" applyBorder="1" applyAlignment="1">
      <alignment horizontal="left" vertical="center" indent="1"/>
    </xf>
    <xf numFmtId="0" fontId="39" fillId="0" borderId="201" xfId="0" applyFont="1" applyBorder="1" applyAlignment="1">
      <alignment horizontal="left" vertical="center" indent="1"/>
    </xf>
    <xf numFmtId="0" fontId="21" fillId="0" borderId="132" xfId="0" applyFont="1" applyBorder="1" applyAlignment="1">
      <alignment horizontal="center" vertical="center"/>
    </xf>
    <xf numFmtId="0" fontId="21" fillId="0" borderId="133" xfId="0" applyFont="1" applyBorder="1" applyAlignment="1">
      <alignment horizontal="center" vertical="center"/>
    </xf>
    <xf numFmtId="164" fontId="20" fillId="18" borderId="148" xfId="0" applyNumberFormat="1" applyFont="1" applyFill="1" applyBorder="1" applyAlignment="1">
      <alignment horizontal="center" vertical="center"/>
    </xf>
    <xf numFmtId="164" fontId="20" fillId="18" borderId="149" xfId="0" applyNumberFormat="1" applyFont="1" applyFill="1" applyBorder="1" applyAlignment="1">
      <alignment horizontal="center" vertical="center"/>
    </xf>
    <xf numFmtId="164" fontId="20" fillId="19" borderId="151" xfId="0" applyNumberFormat="1" applyFont="1" applyFill="1" applyBorder="1" applyAlignment="1">
      <alignment horizontal="center" vertical="center"/>
    </xf>
    <xf numFmtId="164" fontId="20" fillId="19" borderId="60" xfId="0" applyNumberFormat="1" applyFont="1" applyFill="1" applyBorder="1" applyAlignment="1">
      <alignment horizontal="center" vertical="center"/>
    </xf>
    <xf numFmtId="164" fontId="20" fillId="11" borderId="151" xfId="0" applyNumberFormat="1" applyFont="1" applyFill="1" applyBorder="1" applyAlignment="1">
      <alignment horizontal="center" vertical="center"/>
    </xf>
    <xf numFmtId="164" fontId="20" fillId="11" borderId="60" xfId="0" applyNumberFormat="1" applyFont="1" applyFill="1" applyBorder="1" applyAlignment="1">
      <alignment horizontal="center" vertical="center"/>
    </xf>
    <xf numFmtId="0" fontId="21" fillId="0" borderId="133" xfId="0" applyFont="1" applyBorder="1" applyAlignment="1">
      <alignment horizontal="left" vertical="center" indent="1"/>
    </xf>
    <xf numFmtId="0" fontId="21" fillId="0" borderId="134" xfId="0" applyFont="1" applyBorder="1" applyAlignment="1">
      <alignment horizontal="left" vertical="center" indent="1"/>
    </xf>
    <xf numFmtId="0" fontId="39" fillId="18" borderId="149" xfId="0" applyFont="1" applyFill="1" applyBorder="1" applyAlignment="1">
      <alignment horizontal="left" vertical="center" indent="1"/>
    </xf>
    <xf numFmtId="0" fontId="39" fillId="18" borderId="150" xfId="0" applyFont="1" applyFill="1" applyBorder="1" applyAlignment="1">
      <alignment horizontal="left" vertical="center" indent="1"/>
    </xf>
    <xf numFmtId="0" fontId="39" fillId="19" borderId="60" xfId="0" applyFont="1" applyFill="1" applyBorder="1" applyAlignment="1">
      <alignment horizontal="left" vertical="center" indent="1"/>
    </xf>
    <xf numFmtId="0" fontId="39" fillId="19" borderId="74" xfId="0" applyFont="1" applyFill="1" applyBorder="1" applyAlignment="1">
      <alignment horizontal="left" vertical="center" indent="1"/>
    </xf>
    <xf numFmtId="0" fontId="39" fillId="11" borderId="60" xfId="0" applyFont="1" applyFill="1" applyBorder="1" applyAlignment="1">
      <alignment horizontal="left" vertical="center" indent="1"/>
    </xf>
    <xf numFmtId="0" fontId="39" fillId="11" borderId="74" xfId="0" applyFont="1" applyFill="1" applyBorder="1" applyAlignment="1">
      <alignment horizontal="left" vertical="center" indent="1"/>
    </xf>
    <xf numFmtId="0" fontId="18" fillId="0" borderId="0" xfId="0" applyFont="1" applyAlignment="1">
      <alignment horizontal="center" vertical="center" wrapText="1"/>
    </xf>
    <xf numFmtId="0" fontId="18" fillId="0" borderId="115" xfId="0" applyFont="1" applyBorder="1" applyAlignment="1">
      <alignment horizontal="center" vertical="center" wrapText="1"/>
    </xf>
    <xf numFmtId="0" fontId="30" fillId="9" borderId="224" xfId="0" applyFont="1" applyFill="1" applyBorder="1" applyAlignment="1">
      <alignment horizontal="center" vertical="center"/>
    </xf>
    <xf numFmtId="0" fontId="30" fillId="9" borderId="137" xfId="0" applyFont="1" applyFill="1" applyBorder="1" applyAlignment="1">
      <alignment horizontal="center" vertical="center"/>
    </xf>
    <xf numFmtId="0" fontId="30" fillId="9" borderId="120" xfId="0" applyFont="1" applyFill="1" applyBorder="1" applyAlignment="1">
      <alignment horizontal="center" vertical="center"/>
    </xf>
    <xf numFmtId="0" fontId="60" fillId="16" borderId="226" xfId="0" applyFont="1" applyFill="1" applyBorder="1" applyAlignment="1">
      <alignment horizontal="center" vertical="center"/>
    </xf>
    <xf numFmtId="0" fontId="60" fillId="16" borderId="227" xfId="0" applyFont="1" applyFill="1" applyBorder="1" applyAlignment="1">
      <alignment horizontal="center" vertical="center"/>
    </xf>
    <xf numFmtId="0" fontId="60" fillId="16" borderId="228" xfId="0" applyFont="1" applyFill="1" applyBorder="1" applyAlignment="1">
      <alignment horizontal="center" vertical="center"/>
    </xf>
    <xf numFmtId="0" fontId="60" fillId="16" borderId="229" xfId="0" applyFont="1" applyFill="1" applyBorder="1" applyAlignment="1">
      <alignment horizontal="center" vertical="center"/>
    </xf>
    <xf numFmtId="0" fontId="60" fillId="16" borderId="230" xfId="0" applyFont="1" applyFill="1" applyBorder="1" applyAlignment="1">
      <alignment horizontal="center" vertical="center"/>
    </xf>
    <xf numFmtId="0" fontId="60" fillId="16" borderId="231" xfId="0" applyFont="1" applyFill="1" applyBorder="1" applyAlignment="1">
      <alignment horizontal="center" vertical="center"/>
    </xf>
    <xf numFmtId="0" fontId="58" fillId="0" borderId="246" xfId="0" applyFont="1" applyBorder="1" applyAlignment="1">
      <alignment horizontal="center" vertical="center"/>
    </xf>
    <xf numFmtId="0" fontId="58" fillId="0" borderId="247" xfId="0" applyFont="1" applyBorder="1" applyAlignment="1">
      <alignment horizontal="center" vertical="center"/>
    </xf>
    <xf numFmtId="0" fontId="58" fillId="0" borderId="248" xfId="0" applyFont="1" applyBorder="1" applyAlignment="1">
      <alignment horizontal="center" vertical="center"/>
    </xf>
    <xf numFmtId="14" fontId="59" fillId="0" borderId="249" xfId="0" applyNumberFormat="1" applyFont="1" applyBorder="1" applyAlignment="1">
      <alignment horizontal="center" vertical="center"/>
    </xf>
    <xf numFmtId="14" fontId="59" fillId="0" borderId="202" xfId="0" applyNumberFormat="1" applyFont="1" applyBorder="1" applyAlignment="1">
      <alignment horizontal="center" vertical="center"/>
    </xf>
    <xf numFmtId="14" fontId="59" fillId="0" borderId="250" xfId="0" applyNumberFormat="1" applyFont="1" applyBorder="1" applyAlignment="1">
      <alignment horizontal="center" vertical="center"/>
    </xf>
    <xf numFmtId="0" fontId="59" fillId="0" borderId="249" xfId="0" applyFont="1" applyBorder="1" applyAlignment="1">
      <alignment horizontal="center" vertical="center"/>
    </xf>
    <xf numFmtId="0" fontId="59" fillId="0" borderId="202" xfId="0" applyFont="1" applyBorder="1" applyAlignment="1">
      <alignment horizontal="center" vertical="center"/>
    </xf>
    <xf numFmtId="0" fontId="59" fillId="0" borderId="250" xfId="0" applyFont="1" applyBorder="1" applyAlignment="1">
      <alignment horizontal="center" vertical="center"/>
    </xf>
    <xf numFmtId="0" fontId="59" fillId="0" borderId="251" xfId="0" applyFont="1" applyBorder="1" applyAlignment="1">
      <alignment horizontal="center" vertical="center"/>
    </xf>
    <xf numFmtId="0" fontId="59" fillId="0" borderId="252" xfId="0" applyFont="1" applyBorder="1" applyAlignment="1">
      <alignment horizontal="center" vertical="center"/>
    </xf>
    <xf numFmtId="0" fontId="59" fillId="0" borderId="253" xfId="0" applyFont="1" applyBorder="1" applyAlignment="1">
      <alignment horizontal="center" vertical="center"/>
    </xf>
    <xf numFmtId="0" fontId="60" fillId="16" borderId="226" xfId="0" applyFont="1" applyFill="1" applyBorder="1" applyAlignment="1">
      <alignment horizontal="center"/>
    </xf>
    <xf numFmtId="0" fontId="60" fillId="16" borderId="227" xfId="0" applyFont="1" applyFill="1" applyBorder="1" applyAlignment="1">
      <alignment horizontal="center"/>
    </xf>
    <xf numFmtId="0" fontId="60" fillId="16" borderId="228" xfId="0" applyFont="1" applyFill="1" applyBorder="1" applyAlignment="1">
      <alignment horizontal="center"/>
    </xf>
    <xf numFmtId="0" fontId="60" fillId="16" borderId="229" xfId="0" applyFont="1" applyFill="1" applyBorder="1" applyAlignment="1">
      <alignment horizontal="center"/>
    </xf>
    <xf numFmtId="0" fontId="60" fillId="16" borderId="230" xfId="0" applyFont="1" applyFill="1" applyBorder="1" applyAlignment="1">
      <alignment horizontal="center"/>
    </xf>
    <xf numFmtId="0" fontId="60" fillId="16" borderId="231" xfId="0" applyFont="1" applyFill="1" applyBorder="1" applyAlignment="1">
      <alignment horizontal="center"/>
    </xf>
    <xf numFmtId="0" fontId="14" fillId="9" borderId="286" xfId="0" applyFont="1" applyFill="1" applyBorder="1" applyAlignment="1">
      <alignment horizontal="center" vertical="center"/>
    </xf>
    <xf numFmtId="0" fontId="14" fillId="9" borderId="284" xfId="0" applyFont="1" applyFill="1" applyBorder="1" applyAlignment="1">
      <alignment horizontal="center" vertical="center"/>
    </xf>
    <xf numFmtId="0" fontId="14" fillId="9" borderId="285" xfId="0" applyFont="1" applyFill="1" applyBorder="1" applyAlignment="1">
      <alignment horizontal="center" vertical="center"/>
    </xf>
    <xf numFmtId="0" fontId="21" fillId="0" borderId="133" xfId="0" applyFont="1" applyBorder="1" applyAlignment="1">
      <alignment horizontal="left" vertical="center"/>
    </xf>
    <xf numFmtId="0" fontId="21" fillId="0" borderId="134" xfId="0" applyFont="1" applyBorder="1" applyAlignment="1">
      <alignment horizontal="left" vertical="center"/>
    </xf>
    <xf numFmtId="0" fontId="14" fillId="9" borderId="283" xfId="0" applyFont="1" applyFill="1" applyBorder="1" applyAlignment="1">
      <alignment horizontal="center" vertical="center"/>
    </xf>
    <xf numFmtId="0" fontId="21" fillId="17" borderId="204" xfId="0" applyFont="1" applyFill="1" applyBorder="1" applyAlignment="1" applyProtection="1">
      <alignment horizontal="center" vertical="center"/>
    </xf>
    <xf numFmtId="0" fontId="21" fillId="17" borderId="149" xfId="0" applyFont="1" applyFill="1" applyBorder="1" applyAlignment="1" applyProtection="1">
      <alignment horizontal="center" vertical="center"/>
    </xf>
    <xf numFmtId="0" fontId="21" fillId="17" borderId="205"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center" vertical="center"/>
    </xf>
    <xf numFmtId="167" fontId="24" fillId="0" borderId="257" xfId="0" applyNumberFormat="1" applyFont="1" applyBorder="1" applyAlignment="1">
      <alignment horizontal="left"/>
    </xf>
    <xf numFmtId="0" fontId="74" fillId="0" borderId="0" xfId="0" applyFont="1" applyAlignment="1">
      <alignment horizontal="center"/>
    </xf>
    <xf numFmtId="167" fontId="24" fillId="0" borderId="76" xfId="0" applyNumberFormat="1" applyFont="1" applyBorder="1" applyAlignment="1">
      <alignment horizontal="left"/>
    </xf>
    <xf numFmtId="0" fontId="30" fillId="9" borderId="58" xfId="0" applyFont="1" applyFill="1" applyBorder="1" applyAlignment="1">
      <alignment horizontal="center" vertical="center"/>
    </xf>
    <xf numFmtId="0" fontId="30" fillId="9" borderId="42" xfId="0" applyFont="1" applyFill="1" applyBorder="1" applyAlignment="1">
      <alignment horizontal="center" vertical="center"/>
    </xf>
    <xf numFmtId="0" fontId="30" fillId="9" borderId="59" xfId="0" applyFont="1" applyFill="1" applyBorder="1" applyAlignment="1">
      <alignment horizontal="center" vertical="center"/>
    </xf>
    <xf numFmtId="0" fontId="14" fillId="9" borderId="282" xfId="0" applyFont="1" applyFill="1" applyBorder="1" applyAlignment="1">
      <alignment horizontal="center" vertical="center"/>
    </xf>
    <xf numFmtId="0" fontId="14" fillId="9" borderId="42" xfId="0" applyFont="1" applyFill="1" applyBorder="1" applyAlignment="1">
      <alignment horizontal="center" vertical="center"/>
    </xf>
    <xf numFmtId="0" fontId="14" fillId="9" borderId="43" xfId="0" applyFont="1" applyFill="1" applyBorder="1" applyAlignment="1">
      <alignment horizontal="center" vertical="center"/>
    </xf>
    <xf numFmtId="0" fontId="14" fillId="9" borderId="118" xfId="0" applyFont="1" applyFill="1" applyBorder="1" applyAlignment="1">
      <alignment horizontal="center" vertical="center" shrinkToFit="1"/>
    </xf>
    <xf numFmtId="0" fontId="25" fillId="0" borderId="0" xfId="0" applyFont="1" applyAlignment="1">
      <alignment horizontal="center" vertical="center"/>
    </xf>
    <xf numFmtId="0" fontId="61" fillId="0" borderId="0" xfId="0" applyFont="1" applyAlignment="1">
      <alignment horizontal="center" vertical="top"/>
    </xf>
    <xf numFmtId="0" fontId="44" fillId="0" borderId="0" xfId="0" applyFont="1" applyAlignment="1">
      <alignment horizontal="left" vertical="center"/>
    </xf>
    <xf numFmtId="0" fontId="60" fillId="16" borderId="256" xfId="0" applyFont="1" applyFill="1" applyBorder="1" applyAlignment="1">
      <alignment horizontal="center"/>
    </xf>
    <xf numFmtId="0" fontId="60" fillId="16" borderId="0" xfId="0" applyFont="1" applyFill="1" applyBorder="1" applyAlignment="1">
      <alignment horizontal="center"/>
    </xf>
    <xf numFmtId="0" fontId="14" fillId="9" borderId="287" xfId="0" applyFont="1" applyFill="1" applyBorder="1" applyAlignment="1">
      <alignment horizontal="center" vertical="center"/>
    </xf>
    <xf numFmtId="0" fontId="21" fillId="0" borderId="258" xfId="0" applyFont="1" applyBorder="1" applyAlignment="1">
      <alignment horizontal="center" vertical="center"/>
    </xf>
    <xf numFmtId="0" fontId="21" fillId="0" borderId="259" xfId="0" applyFont="1" applyBorder="1" applyAlignment="1">
      <alignment horizontal="center" vertical="center"/>
    </xf>
    <xf numFmtId="0" fontId="21" fillId="0" borderId="260" xfId="0" applyFont="1" applyBorder="1" applyAlignment="1">
      <alignment horizontal="center" vertical="center"/>
    </xf>
    <xf numFmtId="0" fontId="21" fillId="0" borderId="261" xfId="0" applyFont="1" applyBorder="1" applyAlignment="1">
      <alignment horizontal="left" vertical="center" indent="1"/>
    </xf>
    <xf numFmtId="0" fontId="21" fillId="0" borderId="259" xfId="0" applyFont="1" applyBorder="1" applyAlignment="1">
      <alignment horizontal="left" vertical="center" indent="1"/>
    </xf>
    <xf numFmtId="0" fontId="21" fillId="0" borderId="262" xfId="0" applyFont="1" applyBorder="1" applyAlignment="1">
      <alignment horizontal="left" vertical="center" indent="1"/>
    </xf>
    <xf numFmtId="0" fontId="24" fillId="0" borderId="0" xfId="0" applyFont="1" applyBorder="1" applyAlignment="1">
      <alignment horizontal="left" vertical="center" shrinkToFit="1"/>
    </xf>
    <xf numFmtId="0" fontId="21" fillId="15" borderId="0" xfId="0" applyFont="1" applyFill="1" applyAlignment="1">
      <alignment horizontal="right" vertical="center"/>
    </xf>
    <xf numFmtId="167" fontId="21" fillId="15" borderId="0" xfId="0" applyNumberFormat="1" applyFont="1" applyFill="1" applyAlignment="1">
      <alignment horizontal="left" vertical="center"/>
    </xf>
    <xf numFmtId="0" fontId="15" fillId="0" borderId="76" xfId="0" applyFont="1" applyBorder="1" applyAlignment="1">
      <alignment horizontal="left"/>
    </xf>
    <xf numFmtId="0" fontId="70" fillId="0" borderId="163" xfId="0" applyFont="1" applyBorder="1" applyAlignment="1">
      <alignment horizontal="center" vertical="center"/>
    </xf>
    <xf numFmtId="0" fontId="70" fillId="0" borderId="263" xfId="0" applyFont="1" applyBorder="1" applyAlignment="1">
      <alignment horizontal="center" vertical="center"/>
    </xf>
    <xf numFmtId="0" fontId="70" fillId="0" borderId="164" xfId="0" applyFont="1" applyBorder="1" applyAlignment="1">
      <alignment horizontal="center" vertical="center"/>
    </xf>
    <xf numFmtId="0" fontId="21" fillId="0" borderId="0" xfId="0" applyFont="1" applyAlignment="1">
      <alignment horizontal="left" vertical="center"/>
    </xf>
    <xf numFmtId="0" fontId="34" fillId="13" borderId="100" xfId="0" applyFont="1" applyFill="1" applyBorder="1" applyAlignment="1">
      <alignment horizontal="center" vertical="center" wrapText="1"/>
    </xf>
    <xf numFmtId="0" fontId="34" fillId="13" borderId="102" xfId="0" applyFont="1" applyFill="1" applyBorder="1" applyAlignment="1">
      <alignment horizontal="center" vertical="center"/>
    </xf>
    <xf numFmtId="0" fontId="33" fillId="0" borderId="95"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7" xfId="0" applyBorder="1" applyAlignment="1" applyProtection="1">
      <alignment horizontal="center"/>
      <protection locked="0"/>
    </xf>
    <xf numFmtId="0" fontId="38" fillId="14" borderId="98" xfId="0" applyFont="1" applyFill="1" applyBorder="1" applyAlignment="1">
      <alignment horizontal="center" vertical="center" wrapText="1"/>
    </xf>
    <xf numFmtId="0" fontId="38" fillId="14" borderId="101" xfId="0" applyFont="1" applyFill="1" applyBorder="1" applyAlignment="1">
      <alignment horizontal="center" vertical="center"/>
    </xf>
    <xf numFmtId="0" fontId="38" fillId="12" borderId="165" xfId="0" applyFont="1" applyFill="1" applyBorder="1" applyAlignment="1">
      <alignment horizontal="center" vertical="center" wrapText="1"/>
    </xf>
    <xf numFmtId="0" fontId="38" fillId="12" borderId="166" xfId="0" applyFont="1" applyFill="1" applyBorder="1" applyAlignment="1">
      <alignment horizontal="center" vertical="center"/>
    </xf>
    <xf numFmtId="0" fontId="50" fillId="0" borderId="0" xfId="0" applyFont="1" applyAlignment="1">
      <alignment horizontal="center"/>
    </xf>
    <xf numFmtId="0" fontId="18" fillId="11" borderId="91" xfId="0" applyFont="1" applyFill="1" applyBorder="1" applyAlignment="1" applyProtection="1">
      <alignment horizontal="center"/>
    </xf>
    <xf numFmtId="0" fontId="18" fillId="11" borderId="92" xfId="0" applyFont="1" applyFill="1" applyBorder="1" applyAlignment="1" applyProtection="1">
      <alignment horizontal="center"/>
    </xf>
    <xf numFmtId="0" fontId="18" fillId="11" borderId="159" xfId="0" applyFont="1" applyFill="1" applyBorder="1" applyAlignment="1" applyProtection="1">
      <alignment horizontal="center"/>
    </xf>
    <xf numFmtId="0" fontId="18" fillId="11" borderId="93"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94" xfId="0" applyFont="1" applyFill="1" applyBorder="1" applyAlignment="1" applyProtection="1">
      <alignment horizontal="center" vertical="center"/>
    </xf>
    <xf numFmtId="0" fontId="29" fillId="11" borderId="93"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94" xfId="3" applyFill="1" applyBorder="1" applyAlignment="1" applyProtection="1">
      <alignment horizontal="center" vertical="center"/>
      <protection locked="0"/>
    </xf>
    <xf numFmtId="0" fontId="18" fillId="11" borderId="110" xfId="0" applyFont="1" applyFill="1" applyBorder="1" applyAlignment="1" applyProtection="1">
      <alignment horizontal="center"/>
    </xf>
    <xf numFmtId="0" fontId="18" fillId="11" borderId="111" xfId="0" applyFont="1" applyFill="1" applyBorder="1" applyAlignment="1" applyProtection="1">
      <alignment horizontal="center"/>
    </xf>
    <xf numFmtId="0" fontId="18" fillId="11" borderId="160" xfId="0" applyFont="1" applyFill="1" applyBorder="1" applyAlignment="1" applyProtection="1">
      <alignment horizont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3" fontId="7" fillId="0" borderId="119" xfId="0" applyNumberFormat="1" applyFont="1" applyFill="1" applyBorder="1" applyAlignment="1" applyProtection="1">
      <alignment horizontal="center" vertical="center"/>
      <protection hidden="1"/>
    </xf>
    <xf numFmtId="0" fontId="7" fillId="0" borderId="119" xfId="0" applyNumberFormat="1" applyFont="1" applyFill="1" applyBorder="1" applyAlignment="1" applyProtection="1">
      <alignment horizontal="center" vertical="center"/>
      <protection hidden="1"/>
    </xf>
    <xf numFmtId="0" fontId="48" fillId="0" borderId="171" xfId="0" applyNumberFormat="1" applyFont="1" applyBorder="1" applyAlignment="1">
      <alignment horizontal="center" vertical="center"/>
    </xf>
    <xf numFmtId="0" fontId="48" fillId="0" borderId="172" xfId="0" applyNumberFormat="1" applyFont="1" applyBorder="1" applyAlignment="1">
      <alignment horizontal="center" vertical="center"/>
    </xf>
    <xf numFmtId="0" fontId="48" fillId="0" borderId="173" xfId="0" applyNumberFormat="1" applyFont="1" applyBorder="1" applyAlignment="1">
      <alignment horizontal="center" vertical="center"/>
    </xf>
    <xf numFmtId="0" fontId="12" fillId="0" borderId="0" xfId="0" applyNumberFormat="1" applyFont="1" applyFill="1" applyBorder="1" applyAlignment="1" applyProtection="1">
      <alignment horizontal="center" vertical="center"/>
      <protection hidden="1"/>
    </xf>
    <xf numFmtId="0" fontId="12" fillId="0" borderId="25" xfId="0" applyNumberFormat="1" applyFont="1" applyFill="1" applyBorder="1" applyAlignment="1" applyProtection="1">
      <alignment horizontal="center" vertical="center"/>
      <protection hidden="1"/>
    </xf>
  </cellXfs>
  <cellStyles count="5">
    <cellStyle name="Berechnung" xfId="2" builtinId="22"/>
    <cellStyle name="Link" xfId="3" builtinId="8"/>
    <cellStyle name="Standard" xfId="0" builtinId="0"/>
    <cellStyle name="Standard 2" xfId="1" xr:uid="{00000000-0005-0000-0000-000001000000}"/>
    <cellStyle name="Standard 3" xfId="4" xr:uid="{BB217341-EE98-45D0-88C5-15A72DABEDC0}"/>
  </cellStyles>
  <dxfs count="43">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FF0000"/>
      </font>
    </dxf>
    <dxf>
      <font>
        <color rgb="FFDA0000"/>
      </font>
    </dxf>
    <dxf>
      <numFmt numFmtId="165" formatCode=";;;"/>
    </dxf>
    <dxf>
      <numFmt numFmtId="165" formatCode=";;;"/>
    </dxf>
    <dxf>
      <font>
        <color theme="2" tint="-9.9948118533890809E-2"/>
      </font>
    </dxf>
    <dxf>
      <font>
        <color rgb="FFFF0000"/>
      </font>
    </dxf>
    <dxf>
      <font>
        <color theme="2" tint="-0.24994659260841701"/>
      </font>
    </dxf>
    <dxf>
      <font>
        <color rgb="FFFF0000"/>
      </font>
    </dxf>
    <dxf>
      <font>
        <color rgb="FFDA0000"/>
      </font>
    </dxf>
    <dxf>
      <font>
        <color rgb="FFDA0000"/>
      </font>
    </dxf>
    <dxf>
      <font>
        <color rgb="FFDA0000"/>
      </font>
    </dxf>
    <dxf>
      <font>
        <color theme="2" tint="-0.24994659260841701"/>
      </font>
    </dxf>
    <dxf>
      <font>
        <color rgb="FFFF0000"/>
      </font>
    </dxf>
    <dxf>
      <font>
        <color rgb="FFFF0000"/>
      </font>
    </dxf>
    <dxf>
      <font>
        <color theme="2" tint="-9.9948118533890809E-2"/>
      </font>
    </dxf>
    <dxf>
      <numFmt numFmtId="165" formatCode=";;;"/>
    </dxf>
    <dxf>
      <font>
        <color rgb="FFFF0000"/>
      </font>
    </dxf>
    <dxf>
      <font>
        <color rgb="FFDA0000"/>
      </font>
    </dxf>
    <dxf>
      <numFmt numFmtId="165" formatCode=";;;"/>
    </dxf>
    <dxf>
      <font>
        <color theme="2" tint="-9.9948118533890809E-2"/>
      </font>
    </dxf>
    <dxf>
      <font>
        <color theme="2" tint="-9.9948118533890809E-2"/>
      </font>
    </dxf>
    <dxf>
      <font>
        <color theme="2" tint="-9.9948118533890809E-2"/>
      </font>
    </dxf>
    <dxf>
      <font>
        <color theme="2" tint="-9.9948118533890809E-2"/>
      </font>
    </dxf>
    <dxf>
      <font>
        <color rgb="FFFF0000"/>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FFFFCC"/>
      <color rgb="FFDA0000"/>
      <color rgb="FFFDECE3"/>
      <color rgb="FFFFB4B4"/>
      <color rgb="FFFFA3A3"/>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1</xdr:row>
      <xdr:rowOff>171450</xdr:rowOff>
    </xdr:from>
    <xdr:to>
      <xdr:col>5</xdr:col>
      <xdr:colOff>695325</xdr:colOff>
      <xdr:row>6</xdr:row>
      <xdr:rowOff>38100</xdr:rowOff>
    </xdr:to>
    <xdr:pic>
      <xdr:nvPicPr>
        <xdr:cNvPr id="4" name="Grafik 3">
          <a:extLst>
            <a:ext uri="{FF2B5EF4-FFF2-40B4-BE49-F238E27FC236}">
              <a16:creationId xmlns:a16="http://schemas.microsoft.com/office/drawing/2014/main" id="{5278B72F-6E46-4FEA-A86C-B70AC4AE0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5" y="342900"/>
          <a:ext cx="1581150" cy="1581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xdr:row>
      <xdr:rowOff>180975</xdr:rowOff>
    </xdr:from>
    <xdr:to>
      <xdr:col>3</xdr:col>
      <xdr:colOff>685800</xdr:colOff>
      <xdr:row>5</xdr:row>
      <xdr:rowOff>161925</xdr:rowOff>
    </xdr:to>
    <xdr:pic>
      <xdr:nvPicPr>
        <xdr:cNvPr id="3" name="Grafik 2">
          <a:extLst>
            <a:ext uri="{FF2B5EF4-FFF2-40B4-BE49-F238E27FC236}">
              <a16:creationId xmlns:a16="http://schemas.microsoft.com/office/drawing/2014/main" id="{DA107BD8-F545-4E46-A655-4CE2FA343A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52425"/>
          <a:ext cx="1581150" cy="1581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xdr:row>
      <xdr:rowOff>142875</xdr:rowOff>
    </xdr:from>
    <xdr:to>
      <xdr:col>5</xdr:col>
      <xdr:colOff>38100</xdr:colOff>
      <xdr:row>5</xdr:row>
      <xdr:rowOff>123825</xdr:rowOff>
    </xdr:to>
    <xdr:pic>
      <xdr:nvPicPr>
        <xdr:cNvPr id="3" name="Grafik 2">
          <a:extLst>
            <a:ext uri="{FF2B5EF4-FFF2-40B4-BE49-F238E27FC236}">
              <a16:creationId xmlns:a16="http://schemas.microsoft.com/office/drawing/2014/main" id="{16C7A7F4-8569-4B9C-B243-99DBB200E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314325"/>
          <a:ext cx="1581150" cy="1581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276225</xdr:colOff>
      <xdr:row>1</xdr:row>
      <xdr:rowOff>219075</xdr:rowOff>
    </xdr:from>
    <xdr:to>
      <xdr:col>4</xdr:col>
      <xdr:colOff>342900</xdr:colOff>
      <xdr:row>5</xdr:row>
      <xdr:rowOff>190500</xdr:rowOff>
    </xdr:to>
    <xdr:pic>
      <xdr:nvPicPr>
        <xdr:cNvPr id="3" name="Grafik 2">
          <a:extLst>
            <a:ext uri="{FF2B5EF4-FFF2-40B4-BE49-F238E27FC236}">
              <a16:creationId xmlns:a16="http://schemas.microsoft.com/office/drawing/2014/main" id="{DAA9783B-13A4-4997-85C2-F0371F755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90525"/>
          <a:ext cx="1581150" cy="1581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xdr:colOff>
      <xdr:row>1</xdr:row>
      <xdr:rowOff>171450</xdr:rowOff>
    </xdr:from>
    <xdr:to>
      <xdr:col>4</xdr:col>
      <xdr:colOff>523875</xdr:colOff>
      <xdr:row>5</xdr:row>
      <xdr:rowOff>142875</xdr:rowOff>
    </xdr:to>
    <xdr:pic>
      <xdr:nvPicPr>
        <xdr:cNvPr id="3" name="Grafik 2">
          <a:extLst>
            <a:ext uri="{FF2B5EF4-FFF2-40B4-BE49-F238E27FC236}">
              <a16:creationId xmlns:a16="http://schemas.microsoft.com/office/drawing/2014/main" id="{F0D028D1-1772-4516-B4B7-548BE9BDE7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342900"/>
          <a:ext cx="1581150" cy="1581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xdr:colOff>
      <xdr:row>1</xdr:row>
      <xdr:rowOff>133350</xdr:rowOff>
    </xdr:from>
    <xdr:to>
      <xdr:col>5</xdr:col>
      <xdr:colOff>104775</xdr:colOff>
      <xdr:row>5</xdr:row>
      <xdr:rowOff>114300</xdr:rowOff>
    </xdr:to>
    <xdr:pic>
      <xdr:nvPicPr>
        <xdr:cNvPr id="3" name="Grafik 2">
          <a:extLst>
            <a:ext uri="{FF2B5EF4-FFF2-40B4-BE49-F238E27FC236}">
              <a16:creationId xmlns:a16="http://schemas.microsoft.com/office/drawing/2014/main" id="{4A9FF8B3-631F-4EAE-9600-960384729C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304800"/>
          <a:ext cx="1581150" cy="1581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a:t>
          </a:r>
          <a:r>
            <a:rPr lang="de-DE" sz="1400" b="0" baseline="0">
              <a:solidFill>
                <a:schemeClr val="dk1"/>
              </a:solidFill>
              <a:effectLst/>
              <a:latin typeface="+mn-lt"/>
              <a:ea typeface="+mn-ea"/>
              <a:cs typeface="+mn-cs"/>
            </a:rPr>
            <a:t>"</a:t>
          </a:r>
          <a:r>
            <a:rPr lang="de-DE" sz="1400" b="1" baseline="0">
              <a:solidFill>
                <a:schemeClr val="dk1"/>
              </a:solidFill>
              <a:effectLst/>
              <a:latin typeface="+mn-lt"/>
              <a:ea typeface="+mn-ea"/>
              <a:cs typeface="+mn-cs"/>
            </a:rPr>
            <a:t>Endrunde 2</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3</a:t>
          </a:r>
          <a:r>
            <a:rPr lang="de-DE" sz="1400" b="0" baseline="0">
              <a:solidFill>
                <a:schemeClr val="dk1"/>
              </a:solidFill>
              <a:effectLst/>
              <a:latin typeface="+mn-lt"/>
              <a:ea typeface="+mn-ea"/>
              <a:cs typeface="+mn-cs"/>
            </a:rPr>
            <a:t>"</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b="0" baseline="0">
              <a:solidFill>
                <a:schemeClr val="dk1"/>
              </a:solidFill>
              <a:effectLst/>
              <a:latin typeface="+mn-lt"/>
              <a:ea typeface="+mn-ea"/>
              <a:cs typeface="+mn-cs"/>
            </a:rPr>
            <a:t>Die Rangreihenfolge der Teams innerhalb einer Gruppe wird nach folgenden Kriterien bestimmt:</a:t>
          </a:r>
        </a:p>
        <a:p>
          <a:endParaRPr lang="de-DE" sz="800">
            <a:effectLst/>
          </a:endParaRPr>
        </a:p>
        <a:p>
          <a:r>
            <a:rPr lang="de-DE" sz="1200" b="1" baseline="0">
              <a:solidFill>
                <a:schemeClr val="dk1"/>
              </a:solidFill>
              <a:effectLst/>
              <a:latin typeface="+mn-lt"/>
              <a:ea typeface="+mn-ea"/>
              <a:cs typeface="+mn-cs"/>
            </a:rPr>
            <a:t>Kriterien:</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gewonnenen</a:t>
          </a:r>
          <a:r>
            <a:rPr lang="de-DE" sz="1100" baseline="0">
              <a:solidFill>
                <a:schemeClr val="dk1"/>
              </a:solidFill>
              <a:effectLst/>
              <a:latin typeface="+mn-lt"/>
              <a:ea typeface="+mn-ea"/>
              <a:cs typeface="+mn-cs"/>
            </a:rPr>
            <a:t> Sätze (Satzpunkte)</a:t>
          </a:r>
          <a:r>
            <a:rPr lang="de-DE" sz="1100">
              <a:solidFill>
                <a:schemeClr val="dk1"/>
              </a:solidFill>
              <a:effectLst/>
              <a:latin typeface="+mn-lt"/>
              <a:ea typeface="+mn-ea"/>
              <a:cs typeface="+mn-cs"/>
            </a:rPr>
            <a:t> aus allen Gruppenspielen</a:t>
          </a:r>
          <a:endParaRPr lang="de-DE" sz="1100">
            <a:effectLst/>
          </a:endParaRPr>
        </a:p>
        <a:p>
          <a:r>
            <a:rPr lang="de-DE" sz="1100" baseline="0">
              <a:solidFill>
                <a:schemeClr val="dk1"/>
              </a:solidFill>
              <a:effectLst/>
              <a:latin typeface="+mn-lt"/>
              <a:ea typeface="+mn-ea"/>
              <a:cs typeface="+mn-cs"/>
            </a:rPr>
            <a:t>2.   D</a:t>
          </a:r>
          <a:r>
            <a:rPr lang="de-DE" sz="1100">
              <a:solidFill>
                <a:schemeClr val="dk1"/>
              </a:solidFill>
              <a:effectLst/>
              <a:latin typeface="+mn-lt"/>
              <a:ea typeface="+mn-ea"/>
              <a:cs typeface="+mn-cs"/>
            </a:rPr>
            <a:t>ifferenz oder Quotient der Ballpunkte aus allen Gruppenspielen</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Anzahl der gewonnenen</a:t>
          </a:r>
          <a:r>
            <a:rPr lang="de-DE" sz="1100" baseline="0">
              <a:solidFill>
                <a:schemeClr val="dk1"/>
              </a:solidFill>
              <a:effectLst/>
              <a:latin typeface="+mn-lt"/>
              <a:ea typeface="+mn-ea"/>
              <a:cs typeface="+mn-cs"/>
            </a:rPr>
            <a:t> Sätze</a:t>
          </a:r>
          <a:r>
            <a:rPr lang="de-DE" sz="1100">
              <a:solidFill>
                <a:schemeClr val="dk1"/>
              </a:solidFill>
              <a:effectLst/>
              <a:latin typeface="+mn-lt"/>
              <a:ea typeface="+mn-ea"/>
              <a:cs typeface="+mn-cs"/>
            </a:rPr>
            <a:t> (Satzpunkte) aus dem direkten Vergleich</a:t>
          </a:r>
          <a:endParaRPr lang="de-DE" sz="1100">
            <a:effectLst/>
          </a:endParaRPr>
        </a:p>
        <a:p>
          <a:r>
            <a:rPr lang="de-DE" sz="1100" baseline="0">
              <a:solidFill>
                <a:schemeClr val="dk1"/>
              </a:solidFill>
              <a:effectLst/>
              <a:latin typeface="+mn-lt"/>
              <a:ea typeface="+mn-ea"/>
              <a:cs typeface="+mn-cs"/>
            </a:rPr>
            <a:t>4.   D</a:t>
          </a:r>
          <a:r>
            <a:rPr lang="de-DE" sz="1100">
              <a:solidFill>
                <a:schemeClr val="dk1"/>
              </a:solidFill>
              <a:effectLst/>
              <a:latin typeface="+mn-lt"/>
              <a:ea typeface="+mn-ea"/>
              <a:cs typeface="+mn-cs"/>
            </a:rPr>
            <a:t>ifferenz der Ballpunkte aus dem direkten Vergleich</a:t>
          </a:r>
          <a:endParaRPr lang="de-DE" sz="11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Entscheidungsspiel oder Losentscheid</a:t>
          </a:r>
        </a:p>
        <a:p>
          <a:endParaRPr lang="de-DE" sz="8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400">
              <a:solidFill>
                <a:schemeClr val="dk1"/>
              </a:solidFill>
              <a:effectLst/>
              <a:latin typeface="+mn-lt"/>
              <a:ea typeface="+mn-ea"/>
              <a:cs typeface="+mn-cs"/>
            </a:rPr>
            <a:t>Auf dem Tabellenblatt </a:t>
          </a:r>
          <a:r>
            <a:rPr lang="de-DE" sz="1400" b="1">
              <a:solidFill>
                <a:schemeClr val="dk1"/>
              </a:solidFill>
              <a:effectLst/>
              <a:latin typeface="+mn-lt"/>
              <a:ea typeface="+mn-ea"/>
              <a:cs typeface="+mn-cs"/>
            </a:rPr>
            <a:t>Einstellungen</a:t>
          </a:r>
          <a:r>
            <a:rPr lang="de-DE" sz="1400">
              <a:solidFill>
                <a:schemeClr val="dk1"/>
              </a:solidFill>
              <a:effectLst/>
              <a:latin typeface="+mn-lt"/>
              <a:ea typeface="+mn-ea"/>
              <a:cs typeface="+mn-cs"/>
            </a:rPr>
            <a:t> kann zwischen Balldifferenz und Ballquotient gewählt werden.</a:t>
          </a:r>
          <a:endParaRPr lang="de-DE" sz="1400">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b="0" baseline="0">
              <a:solidFill>
                <a:schemeClr val="dk1"/>
              </a:solidFill>
              <a:effectLst/>
              <a:latin typeface="+mn-lt"/>
              <a:ea typeface="+mn-ea"/>
              <a:cs typeface="+mn-cs"/>
            </a:rPr>
            <a:t>Im Fall eines direkten Vergleichs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in den Kriterien 1 und 2 anzuschauen.</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b="0" baseline="0">
              <a:solidFill>
                <a:schemeClr val="dk1"/>
              </a:solidFill>
              <a:effectLst/>
              <a:latin typeface="+mn-lt"/>
              <a:ea typeface="+mn-ea"/>
              <a:cs typeface="+mn-cs"/>
            </a:rPr>
            <a:t>Im seltenen Fall eines Gleichstands der Kriterien 1 bis 4 kann man das Tabellenblatt </a:t>
          </a:r>
          <a:r>
            <a:rPr lang="de-DE" sz="1400" b="1" baseline="0">
              <a:solidFill>
                <a:schemeClr val="dk1"/>
              </a:solidFill>
              <a:effectLst/>
              <a:latin typeface="+mn-lt"/>
              <a:ea typeface="+mn-ea"/>
              <a:cs typeface="+mn-cs"/>
            </a:rPr>
            <a:t>TieBreak </a:t>
          </a:r>
          <a:r>
            <a:rPr lang="de-DE" sz="1400" b="0" baseline="0">
              <a:solidFill>
                <a:schemeClr val="dk1"/>
              </a:solidFill>
              <a:effectLst/>
              <a:latin typeface="+mn-lt"/>
              <a:ea typeface="+mn-ea"/>
              <a:cs typeface="+mn-cs"/>
            </a:rPr>
            <a:t>einblenden, um Entscheidungsspiele einzutragen.</a:t>
          </a:r>
          <a:endParaRPr lang="de-DE" sz="1400">
            <a:effectLst/>
          </a:endParaRPr>
        </a:p>
        <a:p>
          <a:r>
            <a:rPr lang="de-DE" sz="1400" b="0" baseline="0">
              <a:solidFill>
                <a:schemeClr val="dk1"/>
              </a:solidFill>
              <a:effectLst/>
              <a:latin typeface="+mn-lt"/>
              <a:ea typeface="+mn-ea"/>
              <a:cs typeface="+mn-cs"/>
            </a:rPr>
            <a:t>Die Ergebnisse der Entscheidungsspiele werden automatisch in die Gruppentabelle übernommen.</a:t>
          </a: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endParaRPr lang="de-DE" sz="1400">
            <a:effectLst/>
          </a:endParaRP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a:t>
          </a:r>
          <a:r>
            <a:rPr lang="de-DE" sz="1400" b="1"/>
            <a:t>Finals 1</a:t>
          </a:r>
          <a:r>
            <a:rPr lang="de-DE" sz="1400"/>
            <a:t>”, </a:t>
          </a:r>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2</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Finals 3</a:t>
          </a:r>
          <a:r>
            <a:rPr lang="de-DE" sz="1400">
              <a:solidFill>
                <a:schemeClr val="dk1"/>
              </a:solidFill>
              <a:effectLst/>
              <a:latin typeface="+mn-lt"/>
              <a:ea typeface="+mn-ea"/>
              <a:cs typeface="+mn-cs"/>
            </a:rPr>
            <a:t>”</a:t>
          </a:r>
          <a:r>
            <a:rPr lang="de-DE" sz="1400"/>
            <a:t> spreadsheet or “</a:t>
          </a:r>
          <a:r>
            <a:rPr lang="de-DE" sz="1400" b="1"/>
            <a:t>Finals 4</a:t>
          </a:r>
          <a:r>
            <a:rPr lang="de-DE" sz="1400"/>
            <a:t>” spreadsheet)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a:solidFill>
                <a:schemeClr val="dk1"/>
              </a:solidFill>
              <a:effectLst/>
              <a:latin typeface="+mn-lt"/>
              <a:ea typeface="+mn-ea"/>
              <a:cs typeface="+mn-cs"/>
            </a:rPr>
            <a:t>The ranking of the teams within a group is determined according to the following criteria</a:t>
          </a:r>
          <a:r>
            <a:rPr lang="de-DE" sz="1400" b="0" baseline="0">
              <a:solidFill>
                <a:schemeClr val="dk1"/>
              </a:solidFill>
              <a:effectLst/>
              <a:latin typeface="+mn-lt"/>
              <a:ea typeface="+mn-ea"/>
              <a:cs typeface="+mn-cs"/>
            </a:rPr>
            <a:t>:</a:t>
          </a:r>
        </a:p>
        <a:p>
          <a:endParaRPr lang="de-DE" sz="800">
            <a:effectLst/>
          </a:endParaRPr>
        </a:p>
        <a:p>
          <a:r>
            <a:rPr lang="de-DE" sz="1200" b="1" baseline="0">
              <a:solidFill>
                <a:schemeClr val="dk1"/>
              </a:solidFill>
              <a:effectLst/>
              <a:latin typeface="+mn-lt"/>
              <a:ea typeface="+mn-ea"/>
              <a:cs typeface="+mn-cs"/>
            </a:rPr>
            <a:t>Criteria:</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sets won (set points) from all group matches</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Difference or quotient of ball points from all group matches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sets won (set points) from the direct comparison</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Difference in ball points from the direct comparison</a:t>
          </a:r>
          <a:endParaRPr lang="de-DE" sz="1100">
            <a:effectLst/>
          </a:endParaRPr>
        </a:p>
        <a:p>
          <a:r>
            <a:rPr lang="de-DE" sz="1100" baseline="0">
              <a:solidFill>
                <a:schemeClr val="dk1"/>
              </a:solidFill>
              <a:effectLst/>
              <a:latin typeface="+mn-lt"/>
              <a:ea typeface="+mn-ea"/>
              <a:cs typeface="+mn-cs"/>
            </a:rPr>
            <a:t>5.   P</a:t>
          </a:r>
          <a:r>
            <a:rPr lang="de-DE" sz="1100">
              <a:solidFill>
                <a:schemeClr val="dk1"/>
              </a:solidFill>
              <a:effectLst/>
              <a:latin typeface="+mn-lt"/>
              <a:ea typeface="+mn-ea"/>
              <a:cs typeface="+mn-cs"/>
            </a:rPr>
            <a:t>layoff or drawing of lots</a:t>
          </a:r>
        </a:p>
        <a:p>
          <a:endParaRPr lang="de-DE" sz="8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e-DE" sz="1400">
              <a:solidFill>
                <a:schemeClr val="dk1"/>
              </a:solidFill>
              <a:effectLst/>
              <a:latin typeface="+mn-lt"/>
              <a:ea typeface="+mn-ea"/>
              <a:cs typeface="+mn-cs"/>
            </a:rPr>
            <a:t>On the </a:t>
          </a:r>
          <a:r>
            <a:rPr lang="de-DE" sz="1400" b="1">
              <a:solidFill>
                <a:schemeClr val="dk1"/>
              </a:solidFill>
              <a:effectLst/>
              <a:latin typeface="+mn-lt"/>
              <a:ea typeface="+mn-ea"/>
              <a:cs typeface="+mn-cs"/>
            </a:rPr>
            <a:t>Settings</a:t>
          </a:r>
          <a:r>
            <a:rPr lang="de-DE" sz="1400">
              <a:solidFill>
                <a:schemeClr val="dk1"/>
              </a:solidFill>
              <a:effectLst/>
              <a:latin typeface="+mn-lt"/>
              <a:ea typeface="+mn-ea"/>
              <a:cs typeface="+mn-cs"/>
            </a:rPr>
            <a:t> worksheet you can choose between ball difference and ball quotient.</a:t>
          </a:r>
          <a:endParaRPr lang="de-DE" sz="1400">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a:solidFill>
                <a:schemeClr val="dk1"/>
              </a:solidFill>
              <a:effectLst/>
              <a:latin typeface="+mn-lt"/>
              <a:ea typeface="+mn-ea"/>
              <a:cs typeface="+mn-cs"/>
            </a:rPr>
            <a:t>In the case of a direct comparison, it may be interesting to display the worksheets </a:t>
          </a:r>
          <a:r>
            <a:rPr lang="de-DE" sz="1400" b="1">
              <a:solidFill>
                <a:schemeClr val="dk1"/>
              </a:solidFill>
              <a:effectLst/>
              <a:latin typeface="+mn-lt"/>
              <a:ea typeface="+mn-ea"/>
              <a:cs typeface="+mn-cs"/>
            </a:rPr>
            <a:t>DirComp_A</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DirComp_B </a:t>
          </a:r>
          <a:r>
            <a:rPr lang="de-DE" sz="1400">
              <a:solidFill>
                <a:schemeClr val="dk1"/>
              </a:solidFill>
              <a:effectLst/>
              <a:latin typeface="+mn-lt"/>
              <a:ea typeface="+mn-ea"/>
              <a:cs typeface="+mn-cs"/>
            </a:rPr>
            <a:t>and </a:t>
          </a:r>
          <a:r>
            <a:rPr lang="de-DE" sz="1400" b="1">
              <a:solidFill>
                <a:schemeClr val="dk1"/>
              </a:solidFill>
              <a:effectLst/>
              <a:latin typeface="+mn-lt"/>
              <a:ea typeface="+mn-ea"/>
              <a:cs typeface="+mn-cs"/>
            </a:rPr>
            <a:t>DirComp_C </a:t>
          </a:r>
          <a:r>
            <a:rPr lang="de-DE" sz="1400">
              <a:solidFill>
                <a:schemeClr val="dk1"/>
              </a:solidFill>
              <a:effectLst/>
              <a:latin typeface="+mn-lt"/>
              <a:ea typeface="+mn-ea"/>
              <a:cs typeface="+mn-cs"/>
            </a:rPr>
            <a:t>in order to view the tables for the direct encounters in the event of a tie in criteria 1 and 2.</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a:solidFill>
                <a:schemeClr val="dk1"/>
              </a:solidFill>
              <a:effectLst/>
              <a:latin typeface="+mn-lt"/>
              <a:ea typeface="+mn-ea"/>
              <a:cs typeface="+mn-cs"/>
            </a:rPr>
            <a:t>In the rare case of a tie in criteria 1 to 4, the </a:t>
          </a:r>
          <a:r>
            <a:rPr lang="de-DE" sz="1400" b="1">
              <a:solidFill>
                <a:schemeClr val="dk1"/>
              </a:solidFill>
              <a:effectLst/>
              <a:latin typeface="+mn-lt"/>
              <a:ea typeface="+mn-ea"/>
              <a:cs typeface="+mn-cs"/>
            </a:rPr>
            <a:t>TieBreak </a:t>
          </a:r>
          <a:r>
            <a:rPr lang="de-DE" sz="1400">
              <a:solidFill>
                <a:schemeClr val="dk1"/>
              </a:solidFill>
              <a:effectLst/>
              <a:latin typeface="+mn-lt"/>
              <a:ea typeface="+mn-ea"/>
              <a:cs typeface="+mn-cs"/>
            </a:rPr>
            <a:t>worksheet can be displayed to enter playoff matches.</a:t>
          </a:r>
          <a:endParaRPr lang="de-DE" sz="1400">
            <a:effectLst/>
          </a:endParaRPr>
        </a:p>
        <a:p>
          <a:r>
            <a:rPr lang="de-DE" sz="1400">
              <a:solidFill>
                <a:schemeClr val="dk1"/>
              </a:solidFill>
              <a:effectLst/>
              <a:latin typeface="+mn-lt"/>
              <a:ea typeface="+mn-ea"/>
              <a:cs typeface="+mn-cs"/>
            </a:rPr>
            <a:t>The results of the playoff matches are automatically transferred to the group table.</a:t>
          </a: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a:solidFill>
                <a:schemeClr val="dk1"/>
              </a:solidFill>
              <a:effectLst/>
              <a:latin typeface="+mn-lt"/>
              <a:ea typeface="+mn-ea"/>
              <a:cs typeface="+mn-cs"/>
            </a:rPr>
            <a:t>If you want to change the game pairings, you can display the </a:t>
          </a:r>
          <a:r>
            <a:rPr lang="de-DE" sz="1400" b="1">
              <a:solidFill>
                <a:schemeClr val="dk1"/>
              </a:solidFill>
              <a:effectLst/>
              <a:latin typeface="+mn-lt"/>
              <a:ea typeface="+mn-ea"/>
              <a:cs typeface="+mn-cs"/>
            </a:rPr>
            <a:t>Pairings</a:t>
          </a:r>
          <a:r>
            <a:rPr lang="de-DE" sz="1400">
              <a:solidFill>
                <a:schemeClr val="dk1"/>
              </a:solidFill>
              <a:effectLst/>
              <a:latin typeface="+mn-lt"/>
              <a:ea typeface="+mn-ea"/>
              <a:cs typeface="+mn-cs"/>
            </a:rPr>
            <a:t> sheet and make the desired changes there.</a:t>
          </a:r>
          <a:endParaRPr lang="de-DE" sz="1400">
            <a:effectLst/>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G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7" customWidth="1"/>
    <col min="2" max="2" width="6.7109375" style="47" customWidth="1"/>
    <col min="3" max="3" width="29.85546875" style="47" customWidth="1"/>
    <col min="4" max="4" width="11.42578125" style="47" customWidth="1"/>
    <col min="5" max="6" width="9.85546875" style="47" customWidth="1"/>
    <col min="7" max="7" width="7.28515625" style="47" customWidth="1"/>
    <col min="8" max="8" width="4.5703125" style="47" customWidth="1"/>
    <col min="9" max="9" width="4.7109375" style="47" customWidth="1"/>
    <col min="10" max="10" width="3" style="47" customWidth="1"/>
    <col min="11" max="11" width="4.7109375" style="47" customWidth="1"/>
    <col min="12" max="12" width="24.7109375" style="47" customWidth="1"/>
    <col min="13" max="13" width="3.85546875" style="47" customWidth="1"/>
    <col min="14" max="14" width="24.7109375" style="47" customWidth="1"/>
    <col min="15" max="15" width="15.7109375" style="47" customWidth="1"/>
    <col min="16" max="16" width="9" style="47" customWidth="1"/>
    <col min="17" max="17" width="8.42578125" style="171" customWidth="1"/>
    <col min="18" max="18" width="29.7109375" style="172" customWidth="1"/>
    <col min="19" max="19" width="12.42578125" style="172" customWidth="1"/>
    <col min="20" max="20" width="11.42578125" style="172" customWidth="1"/>
    <col min="21" max="21" width="10.7109375" style="172" customWidth="1"/>
    <col min="22" max="22" width="11.42578125" hidden="1" customWidth="1"/>
    <col min="23" max="59" width="4.7109375" hidden="1" customWidth="1"/>
    <col min="60" max="16384" width="11.42578125" hidden="1"/>
  </cols>
  <sheetData>
    <row r="1" spans="1:59" ht="9.75" customHeight="1" x14ac:dyDescent="0.25">
      <c r="A1" s="162"/>
      <c r="Q1" s="47"/>
      <c r="R1" s="168"/>
      <c r="S1" s="168"/>
      <c r="T1" s="168"/>
      <c r="U1" s="168"/>
    </row>
    <row r="2" spans="1:59" ht="33.75" x14ac:dyDescent="0.5">
      <c r="A2" s="161"/>
      <c r="B2" s="252"/>
      <c r="C2" s="252"/>
      <c r="D2" s="252"/>
      <c r="E2" s="813" t="str">
        <f>Language!$E$30</f>
        <v>Participants and schedule</v>
      </c>
      <c r="F2" s="813"/>
      <c r="G2" s="813"/>
      <c r="H2" s="813"/>
      <c r="I2" s="813"/>
      <c r="J2" s="813"/>
      <c r="K2" s="813"/>
      <c r="L2" s="813"/>
      <c r="M2" s="813"/>
      <c r="N2" s="813"/>
      <c r="O2" s="772"/>
      <c r="P2" s="252"/>
      <c r="Q2" s="252"/>
      <c r="R2" s="252"/>
      <c r="S2" s="252"/>
      <c r="T2" s="252"/>
      <c r="U2" s="168"/>
    </row>
    <row r="3" spans="1:59" x14ac:dyDescent="0.25">
      <c r="Q3" s="47"/>
      <c r="R3" s="168"/>
      <c r="S3" s="168"/>
      <c r="T3" s="168"/>
      <c r="U3" s="168"/>
    </row>
    <row r="4" spans="1:59" ht="29.25" customHeight="1" thickBot="1" x14ac:dyDescent="0.3">
      <c r="C4" s="299" t="str">
        <f>Language!$E$16&amp;" A"</f>
        <v>Group A</v>
      </c>
      <c r="D4" s="170"/>
      <c r="E4" s="814" t="str">
        <f>Language!$E$32</f>
        <v>Schedule</v>
      </c>
      <c r="F4" s="814"/>
      <c r="G4" s="328"/>
      <c r="H4" s="328"/>
      <c r="I4" s="328"/>
      <c r="J4" s="328"/>
      <c r="K4" s="328"/>
      <c r="L4" s="328"/>
      <c r="M4" s="328"/>
      <c r="N4" s="328"/>
      <c r="O4" s="420"/>
      <c r="P4" s="815" t="str">
        <f>Language!$E$20</f>
        <v>Addit. Pause (min)</v>
      </c>
      <c r="Q4" s="47"/>
      <c r="R4" s="363" t="str">
        <f>Language!$E$41</f>
        <v>Playing times</v>
      </c>
      <c r="S4" s="168"/>
      <c r="T4" s="168"/>
      <c r="U4" s="168"/>
      <c r="X4" s="167">
        <v>1</v>
      </c>
      <c r="Y4" s="167"/>
      <c r="Z4" s="167"/>
      <c r="AA4" s="167"/>
      <c r="AB4" s="167"/>
      <c r="AC4" s="167"/>
      <c r="AD4" s="167">
        <v>2</v>
      </c>
      <c r="AE4" s="167"/>
      <c r="AF4" s="167"/>
      <c r="AG4" s="167"/>
      <c r="AH4" s="167"/>
      <c r="AI4" s="167"/>
      <c r="AJ4" s="167">
        <v>3</v>
      </c>
      <c r="AK4" s="167"/>
      <c r="AL4" s="167"/>
      <c r="AM4" s="167"/>
      <c r="AN4" s="167"/>
      <c r="AO4" s="167"/>
      <c r="AP4" s="167">
        <v>4</v>
      </c>
      <c r="AQ4" s="167"/>
      <c r="AR4" s="167"/>
      <c r="AS4" s="167"/>
      <c r="AT4" s="167"/>
      <c r="AU4" s="167"/>
      <c r="AV4" s="167">
        <v>5</v>
      </c>
      <c r="AW4" s="167"/>
      <c r="AX4" s="167"/>
      <c r="AY4" s="167"/>
      <c r="AZ4" s="167"/>
      <c r="BA4" s="167"/>
      <c r="BB4" s="167">
        <v>6</v>
      </c>
    </row>
    <row r="5" spans="1:59" ht="15.95" customHeight="1" thickTop="1" thickBot="1" x14ac:dyDescent="0.3">
      <c r="A5" s="68"/>
      <c r="B5" s="807"/>
      <c r="C5" s="809" t="str">
        <f>Language!$E$10</f>
        <v>Participant or team</v>
      </c>
      <c r="D5" s="64"/>
      <c r="E5" s="184" t="str">
        <f>Language!$E$33</f>
        <v>Game no.</v>
      </c>
      <c r="F5" s="185" t="str">
        <f>Language!$E$39</f>
        <v>Start:</v>
      </c>
      <c r="G5" s="185" t="str">
        <f>Language!$E$48</f>
        <v>Field</v>
      </c>
      <c r="H5" s="185" t="str">
        <f>Language!$E$17</f>
        <v>Grp</v>
      </c>
      <c r="I5" s="817" t="str">
        <f>Language!$E$34</f>
        <v>Pairings</v>
      </c>
      <c r="J5" s="817"/>
      <c r="K5" s="817"/>
      <c r="L5" s="817" t="str">
        <f>Language!$E$31</f>
        <v>Participants</v>
      </c>
      <c r="M5" s="817"/>
      <c r="N5" s="818"/>
      <c r="O5" s="775" t="str">
        <f>Language!$E$125</f>
        <v>Referee</v>
      </c>
      <c r="P5" s="816"/>
      <c r="Q5" s="47"/>
      <c r="R5" s="819" t="str">
        <f>Language!$E$39</f>
        <v>Start:</v>
      </c>
      <c r="S5" s="821">
        <v>0.375</v>
      </c>
      <c r="T5" s="823" t="str">
        <f>Language!$E$45</f>
        <v xml:space="preserve"> </v>
      </c>
      <c r="U5" s="169"/>
      <c r="W5" s="402"/>
      <c r="X5" s="403">
        <v>1</v>
      </c>
      <c r="Y5" s="403">
        <v>2</v>
      </c>
      <c r="Z5" s="403">
        <v>3</v>
      </c>
      <c r="AA5" s="403">
        <v>4</v>
      </c>
      <c r="AB5" s="403">
        <v>5</v>
      </c>
      <c r="AC5" s="404">
        <v>6</v>
      </c>
      <c r="AD5" s="403">
        <v>1</v>
      </c>
      <c r="AE5" s="403">
        <v>2</v>
      </c>
      <c r="AF5" s="403">
        <v>3</v>
      </c>
      <c r="AG5" s="403">
        <v>4</v>
      </c>
      <c r="AH5" s="403">
        <v>5</v>
      </c>
      <c r="AI5" s="404">
        <v>6</v>
      </c>
      <c r="AJ5" s="403">
        <v>1</v>
      </c>
      <c r="AK5" s="403">
        <v>2</v>
      </c>
      <c r="AL5" s="403">
        <v>3</v>
      </c>
      <c r="AM5" s="403">
        <v>4</v>
      </c>
      <c r="AN5" s="403">
        <v>5</v>
      </c>
      <c r="AO5" s="404">
        <v>6</v>
      </c>
      <c r="AP5" s="403">
        <v>1</v>
      </c>
      <c r="AQ5" s="403">
        <v>2</v>
      </c>
      <c r="AR5" s="403">
        <v>3</v>
      </c>
      <c r="AS5" s="403">
        <v>4</v>
      </c>
      <c r="AT5" s="403">
        <v>5</v>
      </c>
      <c r="AU5" s="404">
        <v>6</v>
      </c>
      <c r="AV5" s="403">
        <v>1</v>
      </c>
      <c r="AW5" s="403">
        <v>2</v>
      </c>
      <c r="AX5" s="403">
        <v>3</v>
      </c>
      <c r="AY5" s="403">
        <v>4</v>
      </c>
      <c r="AZ5" s="403">
        <v>5</v>
      </c>
      <c r="BA5" s="404">
        <v>6</v>
      </c>
      <c r="BB5" s="403">
        <v>1</v>
      </c>
      <c r="BC5" s="403">
        <v>2</v>
      </c>
      <c r="BD5" s="403">
        <v>3</v>
      </c>
      <c r="BE5" s="403">
        <v>4</v>
      </c>
      <c r="BF5" s="403">
        <v>5</v>
      </c>
      <c r="BG5" s="404">
        <v>6</v>
      </c>
    </row>
    <row r="6" spans="1:59" ht="15.95" customHeight="1" x14ac:dyDescent="0.25">
      <c r="A6" s="68"/>
      <c r="B6" s="808"/>
      <c r="C6" s="810"/>
      <c r="D6" s="536">
        <v>1</v>
      </c>
      <c r="E6" s="495">
        <f>IF($D6&gt;Calc1!$B$14,"",1)</f>
        <v>1</v>
      </c>
      <c r="F6" s="186">
        <f>IF(OR($V$15,$D6&gt;Calc1!$B$14),"",$S$5)</f>
        <v>0.375</v>
      </c>
      <c r="G6" s="176" t="str">
        <f>IF(OR($V$15,$D6&gt;Calc1!$B$14),"","1")</f>
        <v>1</v>
      </c>
      <c r="H6" s="312" t="str">
        <f ca="1">IF($I6="","",IF(LEFT($I6,1)&lt;&gt;LEFT($K6,1),"??",LEFT($I6,1)))</f>
        <v>A</v>
      </c>
      <c r="I6" s="331" t="str">
        <f t="array" aca="1" ref="I6:I50" ca="1">IF(Calc1!$F$14&lt;3,"",IF(OFFSET(Pairings!$A$1,0,(Calc1!$F$14-2)*4-1,45,1)="","",OFFSET(Pairings!$A$1,0,(Calc1!$F$14-2)*4-1,45,1)))</f>
        <v>A5</v>
      </c>
      <c r="J6" s="332" t="s">
        <v>4</v>
      </c>
      <c r="K6" s="333" t="str">
        <f t="array" aca="1" ref="K6:K50" ca="1">IF(Calc1!$F$14&lt;3,"",IF(OFFSET(Pairings!$A$1,0,(Calc1!$F$14-2)*4,45,1)="","",OFFSET(Pairings!$A$1,0,(Calc1!$F$14-2)*4,45,1)))</f>
        <v>A2</v>
      </c>
      <c r="L6" s="181" t="str">
        <f ca="1">IF($I6="","",IF(VLOOKUP($I6,$B$7:$C$52,2,0)="","",VLOOKUP($I6,$B$7:$C$52,2,0)))</f>
        <v>VFB Essenheim</v>
      </c>
      <c r="M6" s="182" t="s">
        <v>4</v>
      </c>
      <c r="N6" s="183" t="str">
        <f ca="1">IF($K6="","",IF(VLOOKUP($K6,$B$7:$C$52,2,0)="","",VLOOKUP($K6,$B$7:$C$52,2,0)))</f>
        <v>FC Barcelona</v>
      </c>
      <c r="O6" s="777"/>
      <c r="P6" s="734"/>
      <c r="Q6" s="329"/>
      <c r="R6" s="820"/>
      <c r="S6" s="822"/>
      <c r="T6" s="824"/>
      <c r="U6" s="169"/>
      <c r="W6" s="405">
        <v>1</v>
      </c>
      <c r="X6" s="480">
        <v>6</v>
      </c>
      <c r="Y6" s="481">
        <v>6</v>
      </c>
      <c r="Z6" s="481">
        <v>6</v>
      </c>
      <c r="AA6" s="481">
        <v>6</v>
      </c>
      <c r="AB6" s="481">
        <v>6</v>
      </c>
      <c r="AC6" s="482">
        <v>6</v>
      </c>
      <c r="AD6" s="480">
        <v>6</v>
      </c>
      <c r="AE6" s="481">
        <v>6</v>
      </c>
      <c r="AF6" s="481">
        <v>6</v>
      </c>
      <c r="AG6" s="481">
        <v>6</v>
      </c>
      <c r="AH6" s="481">
        <v>6</v>
      </c>
      <c r="AI6" s="482">
        <v>6</v>
      </c>
      <c r="AJ6" s="480">
        <v>6</v>
      </c>
      <c r="AK6" s="481">
        <v>6</v>
      </c>
      <c r="AL6" s="481">
        <v>6</v>
      </c>
      <c r="AM6" s="481">
        <v>6</v>
      </c>
      <c r="AN6" s="481">
        <v>6</v>
      </c>
      <c r="AO6" s="482">
        <v>6</v>
      </c>
      <c r="AP6" s="480">
        <v>6</v>
      </c>
      <c r="AQ6" s="481">
        <v>6</v>
      </c>
      <c r="AR6" s="481">
        <v>6</v>
      </c>
      <c r="AS6" s="481">
        <v>6</v>
      </c>
      <c r="AT6" s="481">
        <v>6</v>
      </c>
      <c r="AU6" s="482">
        <v>6</v>
      </c>
      <c r="AV6" s="480">
        <v>6</v>
      </c>
      <c r="AW6" s="481">
        <v>6</v>
      </c>
      <c r="AX6" s="481">
        <v>6</v>
      </c>
      <c r="AY6" s="481">
        <v>6</v>
      </c>
      <c r="AZ6" s="481">
        <v>6</v>
      </c>
      <c r="BA6" s="482">
        <v>6</v>
      </c>
      <c r="BB6" s="480">
        <v>6</v>
      </c>
      <c r="BC6" s="481">
        <v>6</v>
      </c>
      <c r="BD6" s="481">
        <v>6</v>
      </c>
      <c r="BE6" s="481">
        <v>6</v>
      </c>
      <c r="BF6" s="481">
        <v>6</v>
      </c>
      <c r="BG6" s="482">
        <v>6</v>
      </c>
    </row>
    <row r="7" spans="1:59" ht="15.95" customHeight="1" x14ac:dyDescent="0.25">
      <c r="A7" s="68"/>
      <c r="B7" s="811" t="s">
        <v>196</v>
      </c>
      <c r="C7" s="812" t="s">
        <v>240</v>
      </c>
      <c r="D7" s="536">
        <v>2</v>
      </c>
      <c r="E7" s="496">
        <f t="array" aca="1" ref="E7" ca="1">IF($D7&gt;Calc1!$B$14,"",ROW(2:2)-SUM((($L$6:$L6="")+($N$6:$N6="")&gt;0)*1))</f>
        <v>2</v>
      </c>
      <c r="F7" s="175">
        <f ca="1">IF(OR($V$15,$D7&gt;Calc1!$B$14),"",$S$5+QUOTIENT(($E7-1),$V$11)*($S$7+$S$9)/1440+SUM($P$6:$P6)/1440)</f>
        <v>0.375</v>
      </c>
      <c r="G7" s="177">
        <f ca="1">IF(OR($V$15,$D7&gt;Calc1!$B$14),"",MOD($E7-1,$V$11)+1)</f>
        <v>2</v>
      </c>
      <c r="H7" s="312" t="str">
        <f t="shared" ref="H7:H50" ca="1" si="0">IF($I7="","",IF(LEFT($I7,1)&lt;&gt;LEFT($K7,1),"??",LEFT($I7,1)))</f>
        <v>B</v>
      </c>
      <c r="I7" s="334" t="str">
        <f ca="1"/>
        <v>B5</v>
      </c>
      <c r="J7" s="335" t="s">
        <v>4</v>
      </c>
      <c r="K7" s="336" t="str">
        <f ca="1"/>
        <v>B2</v>
      </c>
      <c r="L7" s="181" t="str">
        <f t="shared" ref="L7:L49" ca="1" si="1">IF($I7="","",IF(VLOOKUP($I7,$B$7:$C$52,2,0)="","",VLOOKUP($I7,$B$7:$C$52,2,0)))</f>
        <v>FC Grönlingen</v>
      </c>
      <c r="M7" s="182" t="s">
        <v>4</v>
      </c>
      <c r="N7" s="183" t="str">
        <f t="shared" ref="N7:N49" ca="1" si="2">IF($K7="","",IF(VLOOKUP($K7,$B$7:$C$52,2,0)="","",VLOOKUP($K7,$B$7:$C$52,2,0)))</f>
        <v>Inter Mailand</v>
      </c>
      <c r="O7" s="778"/>
      <c r="P7" s="735"/>
      <c r="Q7" s="329"/>
      <c r="R7" s="820" t="str">
        <f>Language!$E$42</f>
        <v>Playing time per match:</v>
      </c>
      <c r="S7" s="825">
        <v>30</v>
      </c>
      <c r="T7" s="824" t="s">
        <v>159</v>
      </c>
      <c r="U7" s="122"/>
      <c r="V7" t="s">
        <v>253</v>
      </c>
      <c r="W7" s="405">
        <v>2</v>
      </c>
      <c r="X7" s="483">
        <v>6</v>
      </c>
      <c r="Y7" s="484">
        <v>6</v>
      </c>
      <c r="Z7" s="484">
        <v>6</v>
      </c>
      <c r="AA7" s="484">
        <v>6</v>
      </c>
      <c r="AB7" s="484">
        <v>6</v>
      </c>
      <c r="AC7" s="485">
        <v>6</v>
      </c>
      <c r="AD7" s="483">
        <v>6</v>
      </c>
      <c r="AE7" s="484">
        <v>6</v>
      </c>
      <c r="AF7" s="484">
        <v>6</v>
      </c>
      <c r="AG7" s="484">
        <v>6</v>
      </c>
      <c r="AH7" s="484">
        <v>6</v>
      </c>
      <c r="AI7" s="485">
        <v>6</v>
      </c>
      <c r="AJ7" s="483">
        <v>6</v>
      </c>
      <c r="AK7" s="484">
        <v>6</v>
      </c>
      <c r="AL7" s="484">
        <v>6</v>
      </c>
      <c r="AM7" s="484">
        <v>6</v>
      </c>
      <c r="AN7" s="484">
        <v>6</v>
      </c>
      <c r="AO7" s="485">
        <v>6</v>
      </c>
      <c r="AP7" s="483">
        <v>6</v>
      </c>
      <c r="AQ7" s="484">
        <v>6</v>
      </c>
      <c r="AR7" s="484">
        <v>6</v>
      </c>
      <c r="AS7" s="484">
        <v>6</v>
      </c>
      <c r="AT7" s="484">
        <v>6</v>
      </c>
      <c r="AU7" s="485">
        <v>6</v>
      </c>
      <c r="AV7" s="483">
        <v>6</v>
      </c>
      <c r="AW7" s="484">
        <v>6</v>
      </c>
      <c r="AX7" s="484">
        <v>6</v>
      </c>
      <c r="AY7" s="484">
        <v>6</v>
      </c>
      <c r="AZ7" s="484">
        <v>6</v>
      </c>
      <c r="BA7" s="485">
        <v>6</v>
      </c>
      <c r="BB7" s="483">
        <v>6</v>
      </c>
      <c r="BC7" s="484">
        <v>6</v>
      </c>
      <c r="BD7" s="484">
        <v>6</v>
      </c>
      <c r="BE7" s="484">
        <v>6</v>
      </c>
      <c r="BF7" s="484">
        <v>6</v>
      </c>
      <c r="BG7" s="485">
        <v>6</v>
      </c>
    </row>
    <row r="8" spans="1:59" ht="15.95" customHeight="1" x14ac:dyDescent="0.25">
      <c r="A8" s="68"/>
      <c r="B8" s="798"/>
      <c r="C8" s="800"/>
      <c r="D8" s="536">
        <v>3</v>
      </c>
      <c r="E8" s="496">
        <f t="array" aca="1" ref="E8" ca="1">IF($D8&gt;Calc1!$B$14,"",ROW(3:3)-SUM((($L$6:$L7="")+($N$6:$N7="")&gt;0)*1))</f>
        <v>3</v>
      </c>
      <c r="F8" s="175">
        <f ca="1">IF(OR($V$15,$D8&gt;Calc1!$B$14),"",$S$5+QUOTIENT(($E8-1),$V$11)*($S$7+$S$9)/1440+SUM($P$6:$P7)/1440)</f>
        <v>0.375</v>
      </c>
      <c r="G8" s="177">
        <f ca="1">IF(OR($V$15,$D8&gt;Calc1!$B$14),"",MOD($E8-1,$V$11)+1)</f>
        <v>3</v>
      </c>
      <c r="H8" s="312" t="str">
        <f t="shared" ca="1" si="0"/>
        <v>C</v>
      </c>
      <c r="I8" s="334" t="str">
        <f ca="1"/>
        <v>C5</v>
      </c>
      <c r="J8" s="335" t="s">
        <v>4</v>
      </c>
      <c r="K8" s="336" t="str">
        <f ca="1"/>
        <v>C2</v>
      </c>
      <c r="L8" s="181" t="str">
        <f t="shared" ca="1" si="1"/>
        <v>1. FC Nürnberg</v>
      </c>
      <c r="M8" s="182" t="s">
        <v>4</v>
      </c>
      <c r="N8" s="183" t="str">
        <f t="shared" ca="1" si="2"/>
        <v>Real Madrid</v>
      </c>
      <c r="O8" s="778"/>
      <c r="P8" s="735"/>
      <c r="Q8" s="329"/>
      <c r="R8" s="820"/>
      <c r="S8" s="825"/>
      <c r="T8" s="824"/>
      <c r="U8" s="169"/>
      <c r="V8" t="s">
        <v>252</v>
      </c>
      <c r="W8" s="405">
        <v>3</v>
      </c>
      <c r="X8" s="483">
        <v>6</v>
      </c>
      <c r="Y8" s="484">
        <v>6</v>
      </c>
      <c r="Z8" s="484">
        <v>6</v>
      </c>
      <c r="AA8" s="484">
        <v>6</v>
      </c>
      <c r="AB8" s="484">
        <v>6</v>
      </c>
      <c r="AC8" s="485">
        <v>6</v>
      </c>
      <c r="AD8" s="483">
        <v>6</v>
      </c>
      <c r="AE8" s="484">
        <v>6</v>
      </c>
      <c r="AF8" s="484">
        <v>6</v>
      </c>
      <c r="AG8" s="484">
        <v>6</v>
      </c>
      <c r="AH8" s="484">
        <v>6</v>
      </c>
      <c r="AI8" s="485">
        <v>6</v>
      </c>
      <c r="AJ8" s="483">
        <v>6</v>
      </c>
      <c r="AK8" s="484">
        <v>6</v>
      </c>
      <c r="AL8" s="484">
        <v>6</v>
      </c>
      <c r="AM8" s="484">
        <v>6</v>
      </c>
      <c r="AN8" s="484">
        <v>6</v>
      </c>
      <c r="AO8" s="485">
        <v>6</v>
      </c>
      <c r="AP8" s="483">
        <v>6</v>
      </c>
      <c r="AQ8" s="484">
        <v>6</v>
      </c>
      <c r="AR8" s="484">
        <v>6</v>
      </c>
      <c r="AS8" s="484">
        <v>6</v>
      </c>
      <c r="AT8" s="484">
        <v>6</v>
      </c>
      <c r="AU8" s="485">
        <v>6</v>
      </c>
      <c r="AV8" s="483">
        <v>6</v>
      </c>
      <c r="AW8" s="484">
        <v>6</v>
      </c>
      <c r="AX8" s="484">
        <v>6</v>
      </c>
      <c r="AY8" s="484">
        <v>6</v>
      </c>
      <c r="AZ8" s="484">
        <v>6</v>
      </c>
      <c r="BA8" s="485">
        <v>6</v>
      </c>
      <c r="BB8" s="483">
        <v>6</v>
      </c>
      <c r="BC8" s="484">
        <v>6</v>
      </c>
      <c r="BD8" s="484">
        <v>6</v>
      </c>
      <c r="BE8" s="484">
        <v>6</v>
      </c>
      <c r="BF8" s="484">
        <v>6</v>
      </c>
      <c r="BG8" s="485">
        <v>6</v>
      </c>
    </row>
    <row r="9" spans="1:59" ht="15.95" customHeight="1" x14ac:dyDescent="0.25">
      <c r="A9" s="68"/>
      <c r="B9" s="797" t="s">
        <v>198</v>
      </c>
      <c r="C9" s="799" t="s">
        <v>241</v>
      </c>
      <c r="D9" s="536">
        <v>4</v>
      </c>
      <c r="E9" s="496">
        <f t="array" aca="1" ref="E9" ca="1">IF($D9&gt;Calc1!$B$14,"",ROW(4:4)-SUM((($L$6:$L8="")+($N$6:$N8="")&gt;0)*1))</f>
        <v>4</v>
      </c>
      <c r="F9" s="175">
        <f ca="1">IF(OR($V$15,$D9&gt;Calc1!$B$14),"",$S$5+QUOTIENT(($E9-1),$V$11)*($S$7+$S$9)/1440+SUM($P$6:$P8)/1440)</f>
        <v>0.39930555555555558</v>
      </c>
      <c r="G9" s="177">
        <f ca="1">IF(OR($V$15,$D9&gt;Calc1!$B$14),"",MOD($E9-1,$V$11)+1)</f>
        <v>1</v>
      </c>
      <c r="H9" s="312" t="str">
        <f t="shared" ca="1" si="0"/>
        <v>A</v>
      </c>
      <c r="I9" s="334" t="str">
        <f ca="1"/>
        <v>A3</v>
      </c>
      <c r="J9" s="335" t="s">
        <v>4</v>
      </c>
      <c r="K9" s="336" t="str">
        <f ca="1"/>
        <v>A4</v>
      </c>
      <c r="L9" s="181" t="str">
        <f t="shared" ca="1" si="1"/>
        <v>Eintracht Frankfurt</v>
      </c>
      <c r="M9" s="182" t="s">
        <v>4</v>
      </c>
      <c r="N9" s="183" t="str">
        <f t="shared" ca="1" si="2"/>
        <v>Maibach 1822 eV</v>
      </c>
      <c r="O9" s="778"/>
      <c r="P9" s="735"/>
      <c r="Q9" s="329"/>
      <c r="R9" s="820" t="str">
        <f>Language!$E$43</f>
        <v>Change time:</v>
      </c>
      <c r="S9" s="825">
        <v>5</v>
      </c>
      <c r="T9" s="824" t="s">
        <v>159</v>
      </c>
      <c r="U9" s="169"/>
      <c r="V9" t="s">
        <v>251</v>
      </c>
      <c r="W9" s="405">
        <v>4</v>
      </c>
      <c r="X9" s="483">
        <v>6</v>
      </c>
      <c r="Y9" s="484">
        <v>6</v>
      </c>
      <c r="Z9" s="484">
        <v>6</v>
      </c>
      <c r="AA9" s="484">
        <v>6</v>
      </c>
      <c r="AB9" s="484">
        <v>6</v>
      </c>
      <c r="AC9" s="485">
        <v>6</v>
      </c>
      <c r="AD9" s="483">
        <v>6</v>
      </c>
      <c r="AE9" s="484">
        <v>6</v>
      </c>
      <c r="AF9" s="484">
        <v>6</v>
      </c>
      <c r="AG9" s="484">
        <v>6</v>
      </c>
      <c r="AH9" s="484">
        <v>6</v>
      </c>
      <c r="AI9" s="485">
        <v>6</v>
      </c>
      <c r="AJ9" s="483">
        <v>6</v>
      </c>
      <c r="AK9" s="484">
        <v>6</v>
      </c>
      <c r="AL9" s="484">
        <v>6</v>
      </c>
      <c r="AM9" s="484">
        <v>6</v>
      </c>
      <c r="AN9" s="484">
        <v>6</v>
      </c>
      <c r="AO9" s="485">
        <v>6</v>
      </c>
      <c r="AP9" s="483">
        <v>6</v>
      </c>
      <c r="AQ9" s="484">
        <v>6</v>
      </c>
      <c r="AR9" s="484">
        <v>6</v>
      </c>
      <c r="AS9" s="484">
        <v>6</v>
      </c>
      <c r="AT9" s="484">
        <v>6</v>
      </c>
      <c r="AU9" s="485">
        <v>6</v>
      </c>
      <c r="AV9" s="483">
        <v>6</v>
      </c>
      <c r="AW9" s="484">
        <v>6</v>
      </c>
      <c r="AX9" s="484">
        <v>6</v>
      </c>
      <c r="AY9" s="484">
        <v>6</v>
      </c>
      <c r="AZ9" s="484">
        <v>6</v>
      </c>
      <c r="BA9" s="485">
        <v>6</v>
      </c>
      <c r="BB9" s="483">
        <v>6</v>
      </c>
      <c r="BC9" s="484">
        <v>6</v>
      </c>
      <c r="BD9" s="484">
        <v>6</v>
      </c>
      <c r="BE9" s="484">
        <v>6</v>
      </c>
      <c r="BF9" s="484">
        <v>6</v>
      </c>
      <c r="BG9" s="485">
        <v>6</v>
      </c>
    </row>
    <row r="10" spans="1:59" ht="15.95" customHeight="1" x14ac:dyDescent="0.25">
      <c r="A10" s="68"/>
      <c r="B10" s="798"/>
      <c r="C10" s="800"/>
      <c r="D10" s="536">
        <v>5</v>
      </c>
      <c r="E10" s="496">
        <f t="array" aca="1" ref="E10" ca="1">IF($D10&gt;Calc1!$B$14,"",ROW(5:5)-SUM((($L$6:$L9="")+($N$6:$N9="")&gt;0)*1))</f>
        <v>5</v>
      </c>
      <c r="F10" s="175">
        <f ca="1">IF(OR($V$15,$D10&gt;Calc1!$B$14),"",$S$5+QUOTIENT(($E10-1),$V$11)*($S$7+$S$9)/1440+SUM($P$6:$P9)/1440)</f>
        <v>0.39930555555555558</v>
      </c>
      <c r="G10" s="177">
        <f ca="1">IF(OR($V$15,$D10&gt;Calc1!$B$14),"",MOD($E10-1,$V$11)+1)</f>
        <v>2</v>
      </c>
      <c r="H10" s="312" t="str">
        <f t="shared" ca="1" si="0"/>
        <v>B</v>
      </c>
      <c r="I10" s="334" t="str">
        <f ca="1"/>
        <v>B3</v>
      </c>
      <c r="J10" s="335" t="s">
        <v>4</v>
      </c>
      <c r="K10" s="336" t="str">
        <f ca="1"/>
        <v>B4</v>
      </c>
      <c r="L10" s="181" t="str">
        <f t="shared" ca="1" si="1"/>
        <v>SSV Wildbach</v>
      </c>
      <c r="M10" s="182" t="s">
        <v>4</v>
      </c>
      <c r="N10" s="183" t="str">
        <f t="shared" ca="1" si="2"/>
        <v>Manchester City</v>
      </c>
      <c r="O10" s="778"/>
      <c r="P10" s="735"/>
      <c r="Q10" s="329"/>
      <c r="R10" s="820"/>
      <c r="S10" s="825"/>
      <c r="T10" s="824"/>
      <c r="U10" s="169"/>
      <c r="V10" s="407">
        <f ca="1">IF(OR(Calc1!$F$13&lt;1,Calc2!$F$13&lt;1,Calc3!$F$13&lt;1),6,INDEX(OFFSET($X$6:$AC$11,,(Calc3!$F$13-1)*6),Calc1!$F$13,Calc2!$F$13))</f>
        <v>6</v>
      </c>
      <c r="W10" s="405">
        <v>5</v>
      </c>
      <c r="X10" s="483">
        <v>6</v>
      </c>
      <c r="Y10" s="484">
        <v>6</v>
      </c>
      <c r="Z10" s="484">
        <v>6</v>
      </c>
      <c r="AA10" s="484">
        <v>6</v>
      </c>
      <c r="AB10" s="484">
        <v>6</v>
      </c>
      <c r="AC10" s="485">
        <v>6</v>
      </c>
      <c r="AD10" s="483">
        <v>6</v>
      </c>
      <c r="AE10" s="484">
        <v>6</v>
      </c>
      <c r="AF10" s="484">
        <v>6</v>
      </c>
      <c r="AG10" s="484">
        <v>6</v>
      </c>
      <c r="AH10" s="484">
        <v>6</v>
      </c>
      <c r="AI10" s="485">
        <v>6</v>
      </c>
      <c r="AJ10" s="483">
        <v>6</v>
      </c>
      <c r="AK10" s="484">
        <v>6</v>
      </c>
      <c r="AL10" s="484">
        <v>6</v>
      </c>
      <c r="AM10" s="484">
        <v>6</v>
      </c>
      <c r="AN10" s="484">
        <v>6</v>
      </c>
      <c r="AO10" s="485">
        <v>6</v>
      </c>
      <c r="AP10" s="483">
        <v>6</v>
      </c>
      <c r="AQ10" s="484">
        <v>6</v>
      </c>
      <c r="AR10" s="484">
        <v>6</v>
      </c>
      <c r="AS10" s="484">
        <v>6</v>
      </c>
      <c r="AT10" s="484">
        <v>6</v>
      </c>
      <c r="AU10" s="485">
        <v>6</v>
      </c>
      <c r="AV10" s="483">
        <v>6</v>
      </c>
      <c r="AW10" s="484">
        <v>6</v>
      </c>
      <c r="AX10" s="484">
        <v>6</v>
      </c>
      <c r="AY10" s="484">
        <v>6</v>
      </c>
      <c r="AZ10" s="484">
        <v>6</v>
      </c>
      <c r="BA10" s="485">
        <v>6</v>
      </c>
      <c r="BB10" s="483">
        <v>6</v>
      </c>
      <c r="BC10" s="484">
        <v>6</v>
      </c>
      <c r="BD10" s="484">
        <v>6</v>
      </c>
      <c r="BE10" s="484">
        <v>6</v>
      </c>
      <c r="BF10" s="484">
        <v>6</v>
      </c>
      <c r="BG10" s="485">
        <v>6</v>
      </c>
    </row>
    <row r="11" spans="1:59" ht="15.95" customHeight="1" thickBot="1" x14ac:dyDescent="0.3">
      <c r="A11" s="68"/>
      <c r="B11" s="797" t="s">
        <v>194</v>
      </c>
      <c r="C11" s="799" t="s">
        <v>242</v>
      </c>
      <c r="D11" s="536">
        <v>6</v>
      </c>
      <c r="E11" s="496">
        <f t="array" aca="1" ref="E11" ca="1">IF($D11&gt;Calc1!$B$14,"",ROW(6:6)-SUM((($L$6:$L10="")+($N$6:$N10="")&gt;0)*1))</f>
        <v>6</v>
      </c>
      <c r="F11" s="175">
        <f ca="1">IF(OR($V$15,$D11&gt;Calc1!$B$14),"",$S$5+QUOTIENT(($E11-1),$V$11)*($S$7+$S$9)/1440+SUM($P$6:$P10)/1440)</f>
        <v>0.39930555555555558</v>
      </c>
      <c r="G11" s="177">
        <f ca="1">IF(OR($V$15,$D11&gt;Calc1!$B$14),"",MOD($E11-1,$V$11)+1)</f>
        <v>3</v>
      </c>
      <c r="H11" s="312" t="str">
        <f t="shared" ca="1" si="0"/>
        <v>C</v>
      </c>
      <c r="I11" s="334" t="str">
        <f ca="1"/>
        <v>C3</v>
      </c>
      <c r="J11" s="335" t="s">
        <v>4</v>
      </c>
      <c r="K11" s="336" t="str">
        <f ca="1"/>
        <v>C4</v>
      </c>
      <c r="L11" s="181" t="str">
        <f t="shared" ca="1" si="1"/>
        <v>Borussia Dortmund</v>
      </c>
      <c r="M11" s="182" t="s">
        <v>4</v>
      </c>
      <c r="N11" s="183" t="str">
        <f t="shared" ca="1" si="2"/>
        <v>FSV Rauen</v>
      </c>
      <c r="O11" s="778"/>
      <c r="P11" s="735"/>
      <c r="Q11" s="329"/>
      <c r="R11" s="820" t="str">
        <f>Language!$E$44</f>
        <v>Number of fields:</v>
      </c>
      <c r="S11" s="825">
        <v>3</v>
      </c>
      <c r="T11" s="829" t="str">
        <f ca="1">"(max. "&amp;$V$10&amp;")"</f>
        <v>(max. 6)</v>
      </c>
      <c r="U11" s="168"/>
      <c r="V11" s="407">
        <f ca="1">MIN($S$11,$V$10)</f>
        <v>3</v>
      </c>
      <c r="W11" s="406">
        <v>6</v>
      </c>
      <c r="X11" s="486">
        <v>6</v>
      </c>
      <c r="Y11" s="487">
        <v>6</v>
      </c>
      <c r="Z11" s="487">
        <v>6</v>
      </c>
      <c r="AA11" s="487">
        <v>6</v>
      </c>
      <c r="AB11" s="487">
        <v>6</v>
      </c>
      <c r="AC11" s="488">
        <v>6</v>
      </c>
      <c r="AD11" s="486">
        <v>6</v>
      </c>
      <c r="AE11" s="487">
        <v>6</v>
      </c>
      <c r="AF11" s="487">
        <v>6</v>
      </c>
      <c r="AG11" s="487">
        <v>6</v>
      </c>
      <c r="AH11" s="487">
        <v>6</v>
      </c>
      <c r="AI11" s="488">
        <v>6</v>
      </c>
      <c r="AJ11" s="486">
        <v>6</v>
      </c>
      <c r="AK11" s="487">
        <v>6</v>
      </c>
      <c r="AL11" s="487">
        <v>6</v>
      </c>
      <c r="AM11" s="487">
        <v>6</v>
      </c>
      <c r="AN11" s="487">
        <v>6</v>
      </c>
      <c r="AO11" s="488">
        <v>6</v>
      </c>
      <c r="AP11" s="486">
        <v>6</v>
      </c>
      <c r="AQ11" s="487">
        <v>6</v>
      </c>
      <c r="AR11" s="487">
        <v>6</v>
      </c>
      <c r="AS11" s="487">
        <v>6</v>
      </c>
      <c r="AT11" s="487">
        <v>6</v>
      </c>
      <c r="AU11" s="488">
        <v>6</v>
      </c>
      <c r="AV11" s="486">
        <v>6</v>
      </c>
      <c r="AW11" s="487">
        <v>6</v>
      </c>
      <c r="AX11" s="487">
        <v>6</v>
      </c>
      <c r="AY11" s="487">
        <v>6</v>
      </c>
      <c r="AZ11" s="487">
        <v>6</v>
      </c>
      <c r="BA11" s="488">
        <v>6</v>
      </c>
      <c r="BB11" s="486">
        <v>6</v>
      </c>
      <c r="BC11" s="487">
        <v>6</v>
      </c>
      <c r="BD11" s="487">
        <v>6</v>
      </c>
      <c r="BE11" s="487">
        <v>6</v>
      </c>
      <c r="BF11" s="487">
        <v>6</v>
      </c>
      <c r="BG11" s="488">
        <v>6</v>
      </c>
    </row>
    <row r="12" spans="1:59" ht="15.95" customHeight="1" thickTop="1" thickBot="1" x14ac:dyDescent="0.3">
      <c r="A12" s="68"/>
      <c r="B12" s="798"/>
      <c r="C12" s="800"/>
      <c r="D12" s="536">
        <v>7</v>
      </c>
      <c r="E12" s="496">
        <f t="array" aca="1" ref="E12" ca="1">IF($D12&gt;Calc1!$B$14,"",ROW(7:7)-SUM((($L$6:$L11="")+($N$6:$N11="")&gt;0)*1))</f>
        <v>7</v>
      </c>
      <c r="F12" s="175">
        <f ca="1">IF(OR($V$15,$D12&gt;Calc1!$B$14),"",$S$5+QUOTIENT(($E12-1),$V$11)*($S$7+$S$9)/1440+SUM($P$6:$P11)/1440)</f>
        <v>0.4236111111111111</v>
      </c>
      <c r="G12" s="177">
        <f ca="1">IF(OR($V$15,$D12&gt;Calc1!$B$14),"",MOD($E12-1,$V$11)+1)</f>
        <v>1</v>
      </c>
      <c r="H12" s="312" t="str">
        <f t="shared" ca="1" si="0"/>
        <v>A</v>
      </c>
      <c r="I12" s="334" t="str">
        <f ca="1"/>
        <v>A5</v>
      </c>
      <c r="J12" s="335" t="s">
        <v>4</v>
      </c>
      <c r="K12" s="336" t="str">
        <f ca="1"/>
        <v>A1</v>
      </c>
      <c r="L12" s="181" t="str">
        <f t="shared" ca="1" si="1"/>
        <v>VFB Essenheim</v>
      </c>
      <c r="M12" s="182" t="s">
        <v>4</v>
      </c>
      <c r="N12" s="183" t="str">
        <f t="shared" ca="1" si="2"/>
        <v>1. FC Riedwald</v>
      </c>
      <c r="O12" s="778"/>
      <c r="P12" s="735"/>
      <c r="Q12" s="329"/>
      <c r="R12" s="827"/>
      <c r="S12" s="828"/>
      <c r="T12" s="830"/>
      <c r="U12" s="122"/>
      <c r="V12" s="414" t="s">
        <v>291</v>
      </c>
    </row>
    <row r="13" spans="1:59" ht="15.95" customHeight="1" x14ac:dyDescent="0.25">
      <c r="A13" s="68"/>
      <c r="B13" s="797" t="s">
        <v>200</v>
      </c>
      <c r="C13" s="799" t="s">
        <v>243</v>
      </c>
      <c r="D13" s="536">
        <v>8</v>
      </c>
      <c r="E13" s="496">
        <f t="array" aca="1" ref="E13" ca="1">IF($D13&gt;Calc1!$B$14,"",ROW(8:8)-SUM((($L$6:$L12="")+($N$6:$N12="")&gt;0)*1))</f>
        <v>8</v>
      </c>
      <c r="F13" s="175">
        <f ca="1">IF(OR($V$15,$D13&gt;Calc1!$B$14),"",$S$5+QUOTIENT(($E13-1),$V$11)*($S$7+$S$9)/1440+SUM($P$6:$P12)/1440)</f>
        <v>0.4236111111111111</v>
      </c>
      <c r="G13" s="177">
        <f ca="1">IF(OR($V$15,$D13&gt;Calc1!$B$14),"",MOD($E13-1,$V$11)+1)</f>
        <v>2</v>
      </c>
      <c r="H13" s="312" t="str">
        <f t="shared" ca="1" si="0"/>
        <v>B</v>
      </c>
      <c r="I13" s="334" t="str">
        <f ca="1"/>
        <v>B5</v>
      </c>
      <c r="J13" s="335" t="s">
        <v>4</v>
      </c>
      <c r="K13" s="336" t="str">
        <f ca="1"/>
        <v>B1</v>
      </c>
      <c r="L13" s="181" t="str">
        <f t="shared" ca="1" si="1"/>
        <v>FC Grönlingen</v>
      </c>
      <c r="M13" s="182" t="s">
        <v>4</v>
      </c>
      <c r="N13" s="183" t="str">
        <f t="shared" ca="1" si="2"/>
        <v>Mainz 05</v>
      </c>
      <c r="O13" s="778"/>
      <c r="P13" s="735"/>
      <c r="Q13" s="329"/>
      <c r="R13" s="831" t="str">
        <f>Language!$E$40</f>
        <v>End of preliminary round:</v>
      </c>
      <c r="S13" s="833">
        <f t="array" aca="1" ref="S13" ca="1">IF($V$15,"",$S$5+(ROUNDUP((Calc1!$B$14-SUM(((OFFSET($L$6,,,Calc1!$B$14,1)="")+(OFFSET($N$6,,,Calc1!$B$14,1)="")&gt;0)*1))/$V11,0)*($S$7+$S$9)-$S$9)/1440+SUM(OFFSET($P$6,,,Calc1!$B$14-1,1))/1440)</f>
        <v>0.61458333333333337</v>
      </c>
      <c r="T13" s="835"/>
      <c r="U13" s="169"/>
      <c r="V13" s="408" t="s">
        <v>254</v>
      </c>
    </row>
    <row r="14" spans="1:59" ht="15.95" customHeight="1" thickBot="1" x14ac:dyDescent="0.3">
      <c r="A14" s="68"/>
      <c r="B14" s="798"/>
      <c r="C14" s="800"/>
      <c r="D14" s="536">
        <v>9</v>
      </c>
      <c r="E14" s="496">
        <f t="array" aca="1" ref="E14" ca="1">IF($D14&gt;Calc1!$B$14,"",ROW(9:9)-SUM((($L$6:$L13="")+($N$6:$N13="")&gt;0)*1))</f>
        <v>9</v>
      </c>
      <c r="F14" s="175">
        <f ca="1">IF(OR($V$15,$D14&gt;Calc1!$B$14),"",$S$5+QUOTIENT(($E14-1),$V$11)*($S$7+$S$9)/1440+SUM($P$6:$P13)/1440)</f>
        <v>0.4236111111111111</v>
      </c>
      <c r="G14" s="177">
        <f ca="1">IF(OR($V$15,$D14&gt;Calc1!$B$14),"",MOD($E14-1,$V$11)+1)</f>
        <v>3</v>
      </c>
      <c r="H14" s="312" t="str">
        <f t="shared" ca="1" si="0"/>
        <v>C</v>
      </c>
      <c r="I14" s="334" t="str">
        <f ca="1"/>
        <v>C5</v>
      </c>
      <c r="J14" s="335" t="s">
        <v>4</v>
      </c>
      <c r="K14" s="336" t="str">
        <f ca="1"/>
        <v>C1</v>
      </c>
      <c r="L14" s="181" t="str">
        <f t="shared" ca="1" si="1"/>
        <v>1. FC Nürnberg</v>
      </c>
      <c r="M14" s="182" t="s">
        <v>4</v>
      </c>
      <c r="N14" s="183" t="str">
        <f t="shared" ca="1" si="2"/>
        <v>Kickers Rodendorf</v>
      </c>
      <c r="O14" s="778"/>
      <c r="P14" s="735"/>
      <c r="Q14" s="329"/>
      <c r="R14" s="832"/>
      <c r="S14" s="834"/>
      <c r="T14" s="836"/>
      <c r="U14" s="169"/>
      <c r="V14" s="408" t="s">
        <v>255</v>
      </c>
    </row>
    <row r="15" spans="1:59" ht="15.95" customHeight="1" x14ac:dyDescent="0.25">
      <c r="A15" s="68"/>
      <c r="B15" s="797" t="s">
        <v>202</v>
      </c>
      <c r="C15" s="799" t="s">
        <v>244</v>
      </c>
      <c r="D15" s="536">
        <v>10</v>
      </c>
      <c r="E15" s="496">
        <f t="array" aca="1" ref="E15" ca="1">IF($D15&gt;Calc1!$B$14,"",ROW(10:10)-SUM((($L$6:$L14="")+($N$6:$N14="")&gt;0)*1))</f>
        <v>10</v>
      </c>
      <c r="F15" s="175">
        <f ca="1">IF(OR($V$15,$D15&gt;Calc1!$B$14),"",$S$5+QUOTIENT(($E15-1),$V$11)*($S$7+$S$9)/1440+SUM($P$6:$P14)/1440)</f>
        <v>0.44791666666666669</v>
      </c>
      <c r="G15" s="177">
        <f ca="1">IF(OR($V$15,$D15&gt;Calc1!$B$14),"",MOD($E15-1,$V$11)+1)</f>
        <v>1</v>
      </c>
      <c r="H15" s="312" t="str">
        <f t="shared" ca="1" si="0"/>
        <v>A</v>
      </c>
      <c r="I15" s="334" t="str">
        <f ca="1"/>
        <v>A2</v>
      </c>
      <c r="J15" s="335" t="s">
        <v>4</v>
      </c>
      <c r="K15" s="336" t="str">
        <f ca="1"/>
        <v>A3</v>
      </c>
      <c r="L15" s="181" t="str">
        <f t="shared" ca="1" si="1"/>
        <v>FC Barcelona</v>
      </c>
      <c r="M15" s="182" t="s">
        <v>4</v>
      </c>
      <c r="N15" s="183" t="str">
        <f t="shared" ca="1" si="2"/>
        <v>Eintracht Frankfurt</v>
      </c>
      <c r="O15" s="778"/>
      <c r="P15" s="735"/>
      <c r="Q15" s="329"/>
      <c r="R15" s="448" t="str">
        <f>Language!$E$109</f>
        <v>End of tournament (final round 1):</v>
      </c>
      <c r="S15" s="446">
        <f ca="1">'Finals 1'!$J$31</f>
        <v>0.73611111111111116</v>
      </c>
      <c r="T15" s="447"/>
      <c r="U15" s="169"/>
      <c r="V15" s="409" t="b">
        <f>OR($S$5="",$S$7="",$S$9="",$S$11="",Calc1!$F$14&lt;3)</f>
        <v>0</v>
      </c>
    </row>
    <row r="16" spans="1:59" ht="15.95" customHeight="1" x14ac:dyDescent="0.25">
      <c r="A16" s="68"/>
      <c r="B16" s="798"/>
      <c r="C16" s="800"/>
      <c r="D16" s="536">
        <v>11</v>
      </c>
      <c r="E16" s="496">
        <f t="array" aca="1" ref="E16" ca="1">IF($D16&gt;Calc1!$B$14,"",ROW(11:11)-SUM((($L$6:$L15="")+($N$6:$N15="")&gt;0)*1))</f>
        <v>11</v>
      </c>
      <c r="F16" s="175">
        <f ca="1">IF(OR($V$15,$D16&gt;Calc1!$B$14),"",$S$5+QUOTIENT(($E16-1),$V$11)*($S$7+$S$9)/1440+SUM($P$6:$P15)/1440)</f>
        <v>0.44791666666666669</v>
      </c>
      <c r="G16" s="177">
        <f ca="1">IF(OR($V$15,$D16&gt;Calc1!$B$14),"",MOD($E16-1,$V$11)+1)</f>
        <v>2</v>
      </c>
      <c r="H16" s="312" t="str">
        <f t="shared" ca="1" si="0"/>
        <v>B</v>
      </c>
      <c r="I16" s="334" t="str">
        <f ca="1"/>
        <v>B2</v>
      </c>
      <c r="J16" s="335" t="s">
        <v>4</v>
      </c>
      <c r="K16" s="336" t="str">
        <f ca="1"/>
        <v>B3</v>
      </c>
      <c r="L16" s="181" t="str">
        <f t="shared" ca="1" si="1"/>
        <v>Inter Mailand</v>
      </c>
      <c r="M16" s="182" t="s">
        <v>4</v>
      </c>
      <c r="N16" s="183" t="str">
        <f t="shared" ca="1" si="2"/>
        <v>SSV Wildbach</v>
      </c>
      <c r="O16" s="778"/>
      <c r="P16" s="735"/>
      <c r="Q16" s="329"/>
      <c r="R16" s="583" t="str">
        <f>Language!$E$110</f>
        <v>End of tournament (final round 2):</v>
      </c>
      <c r="S16" s="584">
        <f ca="1">'Finals 2'!$K$23</f>
        <v>0.73611111111111127</v>
      </c>
      <c r="T16" s="585"/>
      <c r="U16" s="169"/>
    </row>
    <row r="17" spans="1:59" ht="15.95" customHeight="1" x14ac:dyDescent="0.3">
      <c r="A17" s="68"/>
      <c r="B17" s="797" t="s">
        <v>204</v>
      </c>
      <c r="C17" s="799"/>
      <c r="D17" s="536">
        <v>12</v>
      </c>
      <c r="E17" s="496">
        <f t="array" aca="1" ref="E17" ca="1">IF($D17&gt;Calc1!$B$14,"",ROW(12:12)-SUM((($L$6:$L16="")+($N$6:$N16="")&gt;0)*1))</f>
        <v>12</v>
      </c>
      <c r="F17" s="175">
        <f ca="1">IF(OR($V$15,$D17&gt;Calc1!$B$14),"",$S$5+QUOTIENT(($E17-1),$V$11)*($S$7+$S$9)/1440+SUM($P$6:$P16)/1440)</f>
        <v>0.44791666666666669</v>
      </c>
      <c r="G17" s="177">
        <f ca="1">IF(OR($V$15,$D17&gt;Calc1!$B$14),"",MOD($E17-1,$V$11)+1)</f>
        <v>3</v>
      </c>
      <c r="H17" s="312" t="str">
        <f t="shared" ca="1" si="0"/>
        <v>C</v>
      </c>
      <c r="I17" s="334" t="str">
        <f ca="1"/>
        <v>C2</v>
      </c>
      <c r="J17" s="335" t="s">
        <v>4</v>
      </c>
      <c r="K17" s="336" t="str">
        <f ca="1"/>
        <v>C3</v>
      </c>
      <c r="L17" s="181" t="str">
        <f t="shared" ca="1" si="1"/>
        <v>Real Madrid</v>
      </c>
      <c r="M17" s="182" t="s">
        <v>4</v>
      </c>
      <c r="N17" s="183" t="str">
        <f t="shared" ca="1" si="2"/>
        <v>Borussia Dortmund</v>
      </c>
      <c r="O17" s="778"/>
      <c r="P17" s="735"/>
      <c r="Q17" s="529"/>
      <c r="R17" s="583" t="str">
        <f>Language!$E$111</f>
        <v>End of tournament (final round 3):</v>
      </c>
      <c r="S17" s="584">
        <f ca="1">'Finals 3'!$K$19</f>
        <v>0.68750000000000011</v>
      </c>
      <c r="T17" s="585"/>
      <c r="U17" s="530"/>
      <c r="V17" s="476"/>
      <c r="W17" s="167">
        <f>Calc1!$F$13</f>
        <v>5</v>
      </c>
      <c r="X17" s="167">
        <f>Calc2!$F$13</f>
        <v>5</v>
      </c>
      <c r="Y17" s="167">
        <f>Calc3!$F$13</f>
        <v>5</v>
      </c>
      <c r="AI17" s="167"/>
    </row>
    <row r="18" spans="1:59" ht="15.95" customHeight="1" thickBot="1" x14ac:dyDescent="0.3">
      <c r="A18" s="68"/>
      <c r="B18" s="801"/>
      <c r="C18" s="802"/>
      <c r="D18" s="536">
        <v>13</v>
      </c>
      <c r="E18" s="496">
        <f t="array" aca="1" ref="E18" ca="1">IF($D18&gt;Calc1!$B$14,"",ROW(13:13)-SUM((($L$6:$L17="")+($N$6:$N17="")&gt;0)*1))</f>
        <v>13</v>
      </c>
      <c r="F18" s="175">
        <f ca="1">IF(OR($V$15,$D18&gt;Calc1!$B$14),"",$S$5+QUOTIENT(($E18-1),$V$11)*($S$7+$S$9)/1440+SUM($P$6:$P17)/1440)</f>
        <v>0.47222222222222221</v>
      </c>
      <c r="G18" s="177">
        <f ca="1">IF(OR($V$15,$D18&gt;Calc1!$B$14),"",MOD($E18-1,$V$11)+1)</f>
        <v>1</v>
      </c>
      <c r="H18" s="312" t="str">
        <f t="shared" ca="1" si="0"/>
        <v>A</v>
      </c>
      <c r="I18" s="334" t="str">
        <f ca="1"/>
        <v>A1</v>
      </c>
      <c r="J18" s="335" t="s">
        <v>4</v>
      </c>
      <c r="K18" s="336" t="str">
        <f ca="1"/>
        <v>A4</v>
      </c>
      <c r="L18" s="181" t="str">
        <f t="shared" ca="1" si="1"/>
        <v>1. FC Riedwald</v>
      </c>
      <c r="M18" s="182" t="s">
        <v>4</v>
      </c>
      <c r="N18" s="183" t="str">
        <f t="shared" ca="1" si="2"/>
        <v>Maibach 1822 eV</v>
      </c>
      <c r="O18" s="778"/>
      <c r="P18" s="735"/>
      <c r="Q18" s="529"/>
      <c r="R18" s="449" t="str">
        <f>Language!$E$112</f>
        <v>End of tournament (final round 4):</v>
      </c>
      <c r="S18" s="444">
        <f ca="1">'Finals 4'!$J$38</f>
        <v>0.78472222222222232</v>
      </c>
      <c r="T18" s="445"/>
      <c r="U18" s="530"/>
    </row>
    <row r="19" spans="1:59" ht="15.95" customHeight="1" thickTop="1" x14ac:dyDescent="0.25">
      <c r="A19" s="68"/>
      <c r="B19" s="298"/>
      <c r="C19" s="466"/>
      <c r="D19" s="536">
        <v>14</v>
      </c>
      <c r="E19" s="496">
        <f t="array" aca="1" ref="E19" ca="1">IF($D19&gt;Calc1!$B$14,"",ROW(14:14)-SUM((($L$6:$L18="")+($N$6:$N18="")&gt;0)*1))</f>
        <v>14</v>
      </c>
      <c r="F19" s="175">
        <f ca="1">IF(OR($V$15,$D19&gt;Calc1!$B$14),"",$S$5+QUOTIENT(($E19-1),$V$11)*($S$7+$S$9)/1440+SUM($P$6:$P18)/1440)</f>
        <v>0.47222222222222221</v>
      </c>
      <c r="G19" s="177">
        <f ca="1">IF(OR($V$15,$D19&gt;Calc1!$B$14),"",MOD($E19-1,$V$11)+1)</f>
        <v>2</v>
      </c>
      <c r="H19" s="312" t="str">
        <f t="shared" ca="1" si="0"/>
        <v>B</v>
      </c>
      <c r="I19" s="334" t="str">
        <f ca="1"/>
        <v>B1</v>
      </c>
      <c r="J19" s="335" t="s">
        <v>4</v>
      </c>
      <c r="K19" s="336" t="str">
        <f ca="1"/>
        <v>B4</v>
      </c>
      <c r="L19" s="181" t="str">
        <f t="shared" ca="1" si="1"/>
        <v>Mainz 05</v>
      </c>
      <c r="M19" s="182" t="s">
        <v>4</v>
      </c>
      <c r="N19" s="183" t="str">
        <f t="shared" ca="1" si="2"/>
        <v>Manchester City</v>
      </c>
      <c r="O19" s="778"/>
      <c r="P19" s="735"/>
      <c r="Q19" s="529"/>
      <c r="U19" s="530"/>
      <c r="W19" s="400"/>
      <c r="X19" s="489"/>
      <c r="Y19" s="489"/>
      <c r="Z19" s="489"/>
      <c r="AA19" s="489"/>
      <c r="AB19" s="489"/>
      <c r="AC19" s="489"/>
      <c r="AD19" s="489"/>
      <c r="AE19" s="489"/>
      <c r="AF19" s="489"/>
      <c r="AG19" s="489"/>
      <c r="AH19" s="489"/>
      <c r="AI19" s="489"/>
      <c r="AJ19" s="489"/>
      <c r="AK19" s="489"/>
      <c r="AL19" s="489"/>
      <c r="AM19" s="489"/>
      <c r="AN19" s="489"/>
      <c r="AO19" s="489"/>
      <c r="AP19" s="489"/>
      <c r="AQ19" s="489"/>
      <c r="AR19" s="489"/>
      <c r="AS19" s="489"/>
      <c r="AT19" s="489"/>
      <c r="AU19" s="489"/>
      <c r="AV19" s="489"/>
      <c r="AW19" s="489"/>
      <c r="AX19" s="489"/>
      <c r="AY19" s="489"/>
      <c r="AZ19" s="489"/>
      <c r="BA19" s="489"/>
      <c r="BB19" s="489"/>
      <c r="BC19" s="400"/>
      <c r="BD19" s="400"/>
      <c r="BE19" s="400"/>
      <c r="BF19" s="400"/>
      <c r="BG19" s="400"/>
    </row>
    <row r="20" spans="1:59" ht="15.95" customHeight="1" x14ac:dyDescent="0.25">
      <c r="A20" s="68"/>
      <c r="B20" s="803"/>
      <c r="C20" s="805" t="str">
        <f>Language!$E$16&amp;" B"</f>
        <v>Group B</v>
      </c>
      <c r="D20" s="536">
        <v>15</v>
      </c>
      <c r="E20" s="496">
        <f t="array" aca="1" ref="E20" ca="1">IF($D20&gt;Calc1!$B$14,"",ROW(15:15)-SUM((($L$6:$L19="")+($N$6:$N19="")&gt;0)*1))</f>
        <v>15</v>
      </c>
      <c r="F20" s="175">
        <f ca="1">IF(OR($V$15,$D20&gt;Calc1!$B$14),"",$S$5+QUOTIENT(($E20-1),$V$11)*($S$7+$S$9)/1440+SUM($P$6:$P19)/1440)</f>
        <v>0.47222222222222221</v>
      </c>
      <c r="G20" s="177">
        <f ca="1">IF(OR($V$15,$D20&gt;Calc1!$B$14),"",MOD($E20-1,$V$11)+1)</f>
        <v>3</v>
      </c>
      <c r="H20" s="312" t="str">
        <f t="shared" ca="1" si="0"/>
        <v>C</v>
      </c>
      <c r="I20" s="334" t="str">
        <f ca="1"/>
        <v>C1</v>
      </c>
      <c r="J20" s="335" t="s">
        <v>4</v>
      </c>
      <c r="K20" s="336" t="str">
        <f ca="1"/>
        <v>C4</v>
      </c>
      <c r="L20" s="181" t="str">
        <f t="shared" ca="1" si="1"/>
        <v>Kickers Rodendorf</v>
      </c>
      <c r="M20" s="182" t="s">
        <v>4</v>
      </c>
      <c r="N20" s="183" t="str">
        <f t="shared" ca="1" si="2"/>
        <v>FSV Rauen</v>
      </c>
      <c r="O20" s="778"/>
      <c r="P20" s="735"/>
      <c r="Q20" s="529"/>
      <c r="U20" s="53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490"/>
      <c r="BE20" s="490"/>
      <c r="BF20" s="490"/>
      <c r="BG20" s="490"/>
    </row>
    <row r="21" spans="1:59" ht="15.95" customHeight="1" thickBot="1" x14ac:dyDescent="0.3">
      <c r="A21" s="68"/>
      <c r="B21" s="804"/>
      <c r="C21" s="806"/>
      <c r="D21" s="536">
        <v>16</v>
      </c>
      <c r="E21" s="496">
        <f t="array" aca="1" ref="E21" ca="1">IF($D21&gt;Calc1!$B$14,"",ROW(16:16)-SUM((($L$6:$L20="")+($N$6:$N20="")&gt;0)*1))</f>
        <v>16</v>
      </c>
      <c r="F21" s="175">
        <f ca="1">IF(OR($V$15,$D21&gt;Calc1!$B$14),"",$S$5+QUOTIENT(($E21-1),$V$11)*($S$7+$S$9)/1440+SUM($P$6:$P20)/1440)</f>
        <v>0.49652777777777779</v>
      </c>
      <c r="G21" s="177">
        <f ca="1">IF(OR($V$15,$D21&gt;Calc1!$B$14),"",MOD($E21-1,$V$11)+1)</f>
        <v>1</v>
      </c>
      <c r="H21" s="312" t="str">
        <f t="shared" ca="1" si="0"/>
        <v>A</v>
      </c>
      <c r="I21" s="334" t="str">
        <f ca="1"/>
        <v>A3</v>
      </c>
      <c r="J21" s="335" t="s">
        <v>4</v>
      </c>
      <c r="K21" s="336" t="str">
        <f ca="1"/>
        <v>A5</v>
      </c>
      <c r="L21" s="181" t="str">
        <f t="shared" ca="1" si="1"/>
        <v>Eintracht Frankfurt</v>
      </c>
      <c r="M21" s="182" t="s">
        <v>4</v>
      </c>
      <c r="N21" s="183" t="str">
        <f t="shared" ca="1" si="2"/>
        <v>VFB Essenheim</v>
      </c>
      <c r="O21" s="778"/>
      <c r="P21" s="735"/>
      <c r="Q21" s="529"/>
      <c r="U21" s="530"/>
      <c r="X21" s="167">
        <v>1</v>
      </c>
      <c r="Y21" s="167"/>
      <c r="Z21" s="167"/>
      <c r="AA21" s="167"/>
      <c r="AB21" s="167"/>
      <c r="AC21" s="167"/>
      <c r="AD21" s="167">
        <v>2</v>
      </c>
      <c r="AE21" s="167"/>
      <c r="AF21" s="167"/>
      <c r="AG21" s="167"/>
      <c r="AH21" s="167"/>
      <c r="AI21" s="167"/>
      <c r="AJ21" s="167">
        <v>3</v>
      </c>
      <c r="AK21" s="167"/>
      <c r="AL21" s="167"/>
      <c r="AM21" s="167"/>
      <c r="AN21" s="167"/>
      <c r="AO21" s="167"/>
      <c r="AP21" s="167">
        <v>4</v>
      </c>
      <c r="AQ21" s="167"/>
      <c r="AR21" s="167"/>
      <c r="AS21" s="167"/>
      <c r="AT21" s="167"/>
      <c r="AU21" s="167"/>
      <c r="AV21" s="167">
        <v>5</v>
      </c>
      <c r="AW21" s="167"/>
      <c r="AX21" s="167"/>
      <c r="AY21" s="167"/>
      <c r="AZ21" s="167"/>
      <c r="BA21" s="167"/>
      <c r="BB21" s="167">
        <v>6</v>
      </c>
    </row>
    <row r="22" spans="1:59" ht="15.95" customHeight="1" thickTop="1" thickBot="1" x14ac:dyDescent="0.3">
      <c r="A22" s="68"/>
      <c r="B22" s="807"/>
      <c r="C22" s="809" t="str">
        <f>Language!$E$10</f>
        <v>Participant or team</v>
      </c>
      <c r="D22" s="536">
        <v>17</v>
      </c>
      <c r="E22" s="496">
        <f t="array" aca="1" ref="E22" ca="1">IF($D22&gt;Calc1!$B$14,"",ROW(17:17)-SUM((($L$6:$L21="")+($N$6:$N21="")&gt;0)*1))</f>
        <v>17</v>
      </c>
      <c r="F22" s="175">
        <f ca="1">IF(OR($V$15,$D22&gt;Calc1!$B$14),"",$S$5+QUOTIENT(($E22-1),$V$11)*($S$7+$S$9)/1440+SUM($P$6:$P21)/1440)</f>
        <v>0.49652777777777779</v>
      </c>
      <c r="G22" s="177">
        <f ca="1">IF(OR($V$15,$D22&gt;Calc1!$B$14),"",MOD($E22-1,$V$11)+1)</f>
        <v>2</v>
      </c>
      <c r="H22" s="312" t="str">
        <f t="shared" ca="1" si="0"/>
        <v>B</v>
      </c>
      <c r="I22" s="334" t="str">
        <f ca="1"/>
        <v>B3</v>
      </c>
      <c r="J22" s="335" t="s">
        <v>4</v>
      </c>
      <c r="K22" s="336" t="str">
        <f ca="1"/>
        <v>B5</v>
      </c>
      <c r="L22" s="181" t="str">
        <f t="shared" ca="1" si="1"/>
        <v>SSV Wildbach</v>
      </c>
      <c r="M22" s="182" t="s">
        <v>4</v>
      </c>
      <c r="N22" s="183" t="str">
        <f t="shared" ca="1" si="2"/>
        <v>FC Grönlingen</v>
      </c>
      <c r="O22" s="778"/>
      <c r="P22" s="735"/>
      <c r="Q22" s="529"/>
      <c r="R22" s="522"/>
      <c r="S22" s="522"/>
      <c r="T22" s="522"/>
      <c r="U22" s="530"/>
      <c r="W22" s="402"/>
      <c r="X22" s="403">
        <v>1</v>
      </c>
      <c r="Y22" s="403">
        <v>2</v>
      </c>
      <c r="Z22" s="403">
        <v>3</v>
      </c>
      <c r="AA22" s="403">
        <v>4</v>
      </c>
      <c r="AB22" s="403">
        <v>5</v>
      </c>
      <c r="AC22" s="404">
        <v>6</v>
      </c>
      <c r="AD22" s="403">
        <v>1</v>
      </c>
      <c r="AE22" s="403">
        <v>2</v>
      </c>
      <c r="AF22" s="403">
        <v>3</v>
      </c>
      <c r="AG22" s="403">
        <v>4</v>
      </c>
      <c r="AH22" s="403">
        <v>5</v>
      </c>
      <c r="AI22" s="404">
        <v>6</v>
      </c>
      <c r="AJ22" s="403">
        <v>1</v>
      </c>
      <c r="AK22" s="403">
        <v>2</v>
      </c>
      <c r="AL22" s="403">
        <v>3</v>
      </c>
      <c r="AM22" s="403">
        <v>4</v>
      </c>
      <c r="AN22" s="403">
        <v>5</v>
      </c>
      <c r="AO22" s="404">
        <v>6</v>
      </c>
      <c r="AP22" s="403">
        <v>1</v>
      </c>
      <c r="AQ22" s="403">
        <v>2</v>
      </c>
      <c r="AR22" s="403">
        <v>3</v>
      </c>
      <c r="AS22" s="403">
        <v>4</v>
      </c>
      <c r="AT22" s="403">
        <v>5</v>
      </c>
      <c r="AU22" s="404">
        <v>6</v>
      </c>
      <c r="AV22" s="403">
        <v>1</v>
      </c>
      <c r="AW22" s="403">
        <v>2</v>
      </c>
      <c r="AX22" s="403">
        <v>3</v>
      </c>
      <c r="AY22" s="403">
        <v>4</v>
      </c>
      <c r="AZ22" s="403">
        <v>5</v>
      </c>
      <c r="BA22" s="404">
        <v>6</v>
      </c>
      <c r="BB22" s="403">
        <v>1</v>
      </c>
      <c r="BC22" s="403">
        <v>2</v>
      </c>
      <c r="BD22" s="403">
        <v>3</v>
      </c>
      <c r="BE22" s="403">
        <v>4</v>
      </c>
      <c r="BF22" s="403">
        <v>5</v>
      </c>
      <c r="BG22" s="404">
        <v>6</v>
      </c>
    </row>
    <row r="23" spans="1:59" ht="15.95" customHeight="1" x14ac:dyDescent="0.25">
      <c r="A23" s="68"/>
      <c r="B23" s="808"/>
      <c r="C23" s="810"/>
      <c r="D23" s="536">
        <v>18</v>
      </c>
      <c r="E23" s="496">
        <f t="array" aca="1" ref="E23" ca="1">IF($D23&gt;Calc1!$B$14,"",ROW(18:18)-SUM((($L$6:$L22="")+($N$6:$N22="")&gt;0)*1))</f>
        <v>18</v>
      </c>
      <c r="F23" s="175">
        <f ca="1">IF(OR($V$15,$D23&gt;Calc1!$B$14),"",$S$5+QUOTIENT(($E23-1),$V$11)*($S$7+$S$9)/1440+SUM($P$6:$P22)/1440)</f>
        <v>0.49652777777777779</v>
      </c>
      <c r="G23" s="177">
        <f ca="1">IF(OR($V$15,$D23&gt;Calc1!$B$14),"",MOD($E23-1,$V$11)+1)</f>
        <v>3</v>
      </c>
      <c r="H23" s="312" t="str">
        <f t="shared" ca="1" si="0"/>
        <v>C</v>
      </c>
      <c r="I23" s="334" t="str">
        <f ca="1"/>
        <v>C3</v>
      </c>
      <c r="J23" s="335" t="s">
        <v>4</v>
      </c>
      <c r="K23" s="336" t="str">
        <f ca="1"/>
        <v>C5</v>
      </c>
      <c r="L23" s="181" t="str">
        <f t="shared" ca="1" si="1"/>
        <v>Borussia Dortmund</v>
      </c>
      <c r="M23" s="182" t="s">
        <v>4</v>
      </c>
      <c r="N23" s="183" t="str">
        <f t="shared" ca="1" si="2"/>
        <v>1. FC Nürnberg</v>
      </c>
      <c r="O23" s="778"/>
      <c r="P23" s="735"/>
      <c r="Q23" s="529"/>
      <c r="R23" s="826" t="str">
        <f ca="1">Language!$E$107&amp;$V$10&amp;Language!$E$108</f>
        <v>Due to time conflicts, you can only play on a maximum of 6 pitches at the same time.</v>
      </c>
      <c r="S23" s="826"/>
      <c r="T23" s="826"/>
      <c r="U23" s="530"/>
      <c r="W23" s="405">
        <v>1</v>
      </c>
      <c r="X23" s="480">
        <v>6</v>
      </c>
      <c r="Y23" s="481">
        <v>6</v>
      </c>
      <c r="Z23" s="481">
        <v>1</v>
      </c>
      <c r="AA23" s="481">
        <v>2</v>
      </c>
      <c r="AB23" s="481">
        <v>2</v>
      </c>
      <c r="AC23" s="482">
        <v>3</v>
      </c>
      <c r="AD23" s="480">
        <v>6</v>
      </c>
      <c r="AE23" s="481">
        <v>6</v>
      </c>
      <c r="AF23" s="481">
        <v>1</v>
      </c>
      <c r="AG23" s="481">
        <v>2</v>
      </c>
      <c r="AH23" s="481">
        <v>2</v>
      </c>
      <c r="AI23" s="482">
        <v>3</v>
      </c>
      <c r="AJ23" s="480">
        <v>1</v>
      </c>
      <c r="AK23" s="481">
        <v>1</v>
      </c>
      <c r="AL23" s="481">
        <v>2</v>
      </c>
      <c r="AM23" s="481">
        <v>3</v>
      </c>
      <c r="AN23" s="481">
        <v>2</v>
      </c>
      <c r="AO23" s="482">
        <v>2</v>
      </c>
      <c r="AP23" s="480">
        <v>2</v>
      </c>
      <c r="AQ23" s="481">
        <v>2</v>
      </c>
      <c r="AR23" s="481">
        <v>3</v>
      </c>
      <c r="AS23" s="481">
        <v>4</v>
      </c>
      <c r="AT23" s="481">
        <v>3</v>
      </c>
      <c r="AU23" s="482">
        <v>3</v>
      </c>
      <c r="AV23" s="480">
        <v>2</v>
      </c>
      <c r="AW23" s="481">
        <v>2</v>
      </c>
      <c r="AX23" s="481">
        <v>2</v>
      </c>
      <c r="AY23" s="481">
        <v>3</v>
      </c>
      <c r="AZ23" s="481">
        <v>4</v>
      </c>
      <c r="BA23" s="482">
        <v>5</v>
      </c>
      <c r="BB23" s="480">
        <v>3</v>
      </c>
      <c r="BC23" s="481">
        <v>3</v>
      </c>
      <c r="BD23" s="481">
        <v>2</v>
      </c>
      <c r="BE23" s="481">
        <v>2</v>
      </c>
      <c r="BF23" s="481">
        <v>3</v>
      </c>
      <c r="BG23" s="482">
        <v>4</v>
      </c>
    </row>
    <row r="24" spans="1:59" ht="15.95" customHeight="1" x14ac:dyDescent="0.25">
      <c r="A24" s="68"/>
      <c r="B24" s="811" t="s">
        <v>197</v>
      </c>
      <c r="C24" s="812" t="s">
        <v>245</v>
      </c>
      <c r="D24" s="536">
        <v>19</v>
      </c>
      <c r="E24" s="496">
        <f t="array" aca="1" ref="E24" ca="1">IF($D24&gt;Calc1!$B$14,"",ROW(19:19)-SUM((($L$6:$L23="")+($N$6:$N23="")&gt;0)*1))</f>
        <v>19</v>
      </c>
      <c r="F24" s="175">
        <f ca="1">IF(OR($V$15,$D24&gt;Calc1!$B$14),"",$S$5+QUOTIENT(($E24-1),$V$11)*($S$7+$S$9)/1440+SUM($P$6:$P23)/1440)</f>
        <v>0.52083333333333337</v>
      </c>
      <c r="G24" s="177">
        <f ca="1">IF(OR($V$15,$D24&gt;Calc1!$B$14),"",MOD($E24-1,$V$11)+1)</f>
        <v>1</v>
      </c>
      <c r="H24" s="312" t="str">
        <f t="shared" ca="1" si="0"/>
        <v>A</v>
      </c>
      <c r="I24" s="334" t="str">
        <f ca="1"/>
        <v>A2</v>
      </c>
      <c r="J24" s="335" t="s">
        <v>4</v>
      </c>
      <c r="K24" s="336" t="str">
        <f ca="1"/>
        <v>A4</v>
      </c>
      <c r="L24" s="181" t="str">
        <f t="shared" ca="1" si="1"/>
        <v>FC Barcelona</v>
      </c>
      <c r="M24" s="182" t="s">
        <v>4</v>
      </c>
      <c r="N24" s="183" t="str">
        <f t="shared" ca="1" si="2"/>
        <v>Maibach 1822 eV</v>
      </c>
      <c r="O24" s="778"/>
      <c r="P24" s="735"/>
      <c r="Q24" s="529"/>
      <c r="R24" s="826"/>
      <c r="S24" s="826"/>
      <c r="T24" s="826"/>
      <c r="U24" s="530"/>
      <c r="W24" s="405">
        <v>2</v>
      </c>
      <c r="X24" s="483">
        <v>6</v>
      </c>
      <c r="Y24" s="484">
        <v>6</v>
      </c>
      <c r="Z24" s="484">
        <v>1</v>
      </c>
      <c r="AA24" s="484">
        <v>2</v>
      </c>
      <c r="AB24" s="484">
        <v>2</v>
      </c>
      <c r="AC24" s="485">
        <v>3</v>
      </c>
      <c r="AD24" s="483">
        <v>6</v>
      </c>
      <c r="AE24" s="484">
        <v>6</v>
      </c>
      <c r="AF24" s="484">
        <v>1</v>
      </c>
      <c r="AG24" s="484">
        <v>2</v>
      </c>
      <c r="AH24" s="484">
        <v>2</v>
      </c>
      <c r="AI24" s="485">
        <v>3</v>
      </c>
      <c r="AJ24" s="483">
        <v>1</v>
      </c>
      <c r="AK24" s="484">
        <v>1</v>
      </c>
      <c r="AL24" s="484">
        <v>2</v>
      </c>
      <c r="AM24" s="484">
        <v>3</v>
      </c>
      <c r="AN24" s="484">
        <v>2</v>
      </c>
      <c r="AO24" s="485">
        <v>3</v>
      </c>
      <c r="AP24" s="483">
        <v>2</v>
      </c>
      <c r="AQ24" s="484">
        <v>2</v>
      </c>
      <c r="AR24" s="484">
        <v>3</v>
      </c>
      <c r="AS24" s="484">
        <v>4</v>
      </c>
      <c r="AT24" s="484">
        <v>3</v>
      </c>
      <c r="AU24" s="485">
        <v>4</v>
      </c>
      <c r="AV24" s="483">
        <v>2</v>
      </c>
      <c r="AW24" s="484">
        <v>2</v>
      </c>
      <c r="AX24" s="484">
        <v>2</v>
      </c>
      <c r="AY24" s="484">
        <v>3</v>
      </c>
      <c r="AZ24" s="484">
        <v>4</v>
      </c>
      <c r="BA24" s="485">
        <v>5</v>
      </c>
      <c r="BB24" s="483">
        <v>3</v>
      </c>
      <c r="BC24" s="484">
        <v>3</v>
      </c>
      <c r="BD24" s="484">
        <v>2</v>
      </c>
      <c r="BE24" s="484">
        <v>2</v>
      </c>
      <c r="BF24" s="484">
        <v>3</v>
      </c>
      <c r="BG24" s="485">
        <v>4</v>
      </c>
    </row>
    <row r="25" spans="1:59" ht="15.95" customHeight="1" x14ac:dyDescent="0.25">
      <c r="B25" s="798"/>
      <c r="C25" s="800"/>
      <c r="D25" s="536">
        <v>20</v>
      </c>
      <c r="E25" s="496">
        <f t="array" aca="1" ref="E25" ca="1">IF($D25&gt;Calc1!$B$14,"",ROW(20:20)-SUM((($L$6:$L24="")+($N$6:$N24="")&gt;0)*1))</f>
        <v>20</v>
      </c>
      <c r="F25" s="175">
        <f ca="1">IF(OR($V$15,$D25&gt;Calc1!$B$14),"",$S$5+QUOTIENT(($E25-1),$V$11)*($S$7+$S$9)/1440+SUM($P$6:$P24)/1440)</f>
        <v>0.52083333333333337</v>
      </c>
      <c r="G25" s="177">
        <f ca="1">IF(OR($V$15,$D25&gt;Calc1!$B$14),"",MOD($E25-1,$V$11)+1)</f>
        <v>2</v>
      </c>
      <c r="H25" s="312" t="str">
        <f t="shared" ca="1" si="0"/>
        <v>B</v>
      </c>
      <c r="I25" s="334" t="str">
        <f ca="1"/>
        <v>B2</v>
      </c>
      <c r="J25" s="335" t="s">
        <v>4</v>
      </c>
      <c r="K25" s="336" t="str">
        <f ca="1"/>
        <v>B4</v>
      </c>
      <c r="L25" s="181" t="str">
        <f t="shared" ca="1" si="1"/>
        <v>Inter Mailand</v>
      </c>
      <c r="M25" s="182" t="s">
        <v>4</v>
      </c>
      <c r="N25" s="183" t="str">
        <f t="shared" ca="1" si="2"/>
        <v>Manchester City</v>
      </c>
      <c r="O25" s="778"/>
      <c r="P25" s="735"/>
      <c r="Q25" s="529"/>
      <c r="R25" s="410"/>
      <c r="S25" s="501" t="str">
        <f t="array" aca="1" ref="S25" ca="1">IFERROR(proof!$E$3-SUM(((OFFSET($L$6,0,0,proof!$E$3,1)="")+(OFFSET($N$6,0,0,proof!$E$3,1)="")&gt;0)*1),"")</f>
        <v/>
      </c>
      <c r="T25" s="501" t="str">
        <f t="array" aca="1" ref="T25" ca="1">IFERROR(proof!$E$4-SUM(((OFFSET($L$6,0,0,proof!$E$4,1)="")+(OFFSET($N$6,0,0,proof!$E$4,1)="")&gt;0)*1),"")</f>
        <v/>
      </c>
      <c r="U25" s="530"/>
      <c r="W25" s="405">
        <v>3</v>
      </c>
      <c r="X25" s="483">
        <v>1</v>
      </c>
      <c r="Y25" s="484">
        <v>1</v>
      </c>
      <c r="Z25" s="484">
        <v>2</v>
      </c>
      <c r="AA25" s="484">
        <v>3</v>
      </c>
      <c r="AB25" s="484">
        <v>2</v>
      </c>
      <c r="AC25" s="485">
        <v>2</v>
      </c>
      <c r="AD25" s="483">
        <v>1</v>
      </c>
      <c r="AE25" s="484">
        <v>1</v>
      </c>
      <c r="AF25" s="484">
        <v>2</v>
      </c>
      <c r="AG25" s="484">
        <v>3</v>
      </c>
      <c r="AH25" s="484">
        <v>2</v>
      </c>
      <c r="AI25" s="485">
        <v>2</v>
      </c>
      <c r="AJ25" s="483">
        <v>2</v>
      </c>
      <c r="AK25" s="484">
        <v>2</v>
      </c>
      <c r="AL25" s="484">
        <v>3</v>
      </c>
      <c r="AM25" s="484">
        <v>4</v>
      </c>
      <c r="AN25" s="484">
        <v>2</v>
      </c>
      <c r="AO25" s="485">
        <v>3</v>
      </c>
      <c r="AP25" s="483">
        <v>3</v>
      </c>
      <c r="AQ25" s="484">
        <v>3</v>
      </c>
      <c r="AR25" s="484">
        <v>4</v>
      </c>
      <c r="AS25" s="484">
        <v>3</v>
      </c>
      <c r="AT25" s="484">
        <v>3</v>
      </c>
      <c r="AU25" s="485">
        <v>4</v>
      </c>
      <c r="AV25" s="483">
        <v>2</v>
      </c>
      <c r="AW25" s="484">
        <v>2</v>
      </c>
      <c r="AX25" s="484">
        <v>2</v>
      </c>
      <c r="AY25" s="484">
        <v>3</v>
      </c>
      <c r="AZ25" s="484">
        <v>4</v>
      </c>
      <c r="BA25" s="485">
        <v>4</v>
      </c>
      <c r="BB25" s="483">
        <v>2</v>
      </c>
      <c r="BC25" s="484">
        <v>2</v>
      </c>
      <c r="BD25" s="484">
        <v>3</v>
      </c>
      <c r="BE25" s="484">
        <v>2</v>
      </c>
      <c r="BF25" s="484">
        <v>3</v>
      </c>
      <c r="BG25" s="485">
        <v>4</v>
      </c>
    </row>
    <row r="26" spans="1:59" ht="15.95" customHeight="1" x14ac:dyDescent="0.25">
      <c r="B26" s="797" t="s">
        <v>199</v>
      </c>
      <c r="C26" s="799" t="s">
        <v>246</v>
      </c>
      <c r="D26" s="536">
        <v>21</v>
      </c>
      <c r="E26" s="496">
        <f t="array" aca="1" ref="E26" ca="1">IF($D26&gt;Calc1!$B$14,"",ROW(21:21)-SUM((($L$6:$L25="")+($N$6:$N25="")&gt;0)*1))</f>
        <v>21</v>
      </c>
      <c r="F26" s="175">
        <f ca="1">IF(OR($V$15,$D26&gt;Calc1!$B$14),"",$S$5+QUOTIENT(($E26-1),$V$11)*($S$7+$S$9)/1440+SUM($P$6:$P25)/1440)</f>
        <v>0.52083333333333337</v>
      </c>
      <c r="G26" s="177">
        <f ca="1">IF(OR($V$15,$D26&gt;Calc1!$B$14),"",MOD($E26-1,$V$11)+1)</f>
        <v>3</v>
      </c>
      <c r="H26" s="312" t="str">
        <f t="shared" ca="1" si="0"/>
        <v>C</v>
      </c>
      <c r="I26" s="334" t="str">
        <f ca="1"/>
        <v>C2</v>
      </c>
      <c r="J26" s="335" t="s">
        <v>4</v>
      </c>
      <c r="K26" s="336" t="str">
        <f ca="1"/>
        <v>C4</v>
      </c>
      <c r="L26" s="181" t="str">
        <f t="shared" ca="1" si="1"/>
        <v>Real Madrid</v>
      </c>
      <c r="M26" s="182" t="s">
        <v>4</v>
      </c>
      <c r="N26" s="183" t="str">
        <f t="shared" ca="1" si="2"/>
        <v>FSV Rauen</v>
      </c>
      <c r="O26" s="778"/>
      <c r="P26" s="735"/>
      <c r="Q26" s="529"/>
      <c r="R26" s="796" t="str">
        <f ca="1">IF($V$15,"",IF(proof!$G$2="FEHLER",Language!$E$115&amp;proof!$E$6,""))</f>
        <v/>
      </c>
      <c r="S26" s="796"/>
      <c r="T26" s="796"/>
      <c r="U26" s="530"/>
      <c r="W26" s="405">
        <v>4</v>
      </c>
      <c r="X26" s="483">
        <v>2</v>
      </c>
      <c r="Y26" s="484">
        <v>2</v>
      </c>
      <c r="Z26" s="484">
        <v>3</v>
      </c>
      <c r="AA26" s="484">
        <v>4</v>
      </c>
      <c r="AB26" s="484">
        <v>3</v>
      </c>
      <c r="AC26" s="485">
        <v>2</v>
      </c>
      <c r="AD26" s="483">
        <v>2</v>
      </c>
      <c r="AE26" s="484">
        <v>2</v>
      </c>
      <c r="AF26" s="484">
        <v>3</v>
      </c>
      <c r="AG26" s="484">
        <v>2</v>
      </c>
      <c r="AH26" s="484">
        <v>3</v>
      </c>
      <c r="AI26" s="485">
        <v>2</v>
      </c>
      <c r="AJ26" s="483">
        <v>3</v>
      </c>
      <c r="AK26" s="484">
        <v>3</v>
      </c>
      <c r="AL26" s="484">
        <v>2</v>
      </c>
      <c r="AM26" s="484">
        <v>5</v>
      </c>
      <c r="AN26" s="484">
        <v>3</v>
      </c>
      <c r="AO26" s="485">
        <v>2</v>
      </c>
      <c r="AP26" s="483">
        <v>4</v>
      </c>
      <c r="AQ26" s="484">
        <v>2</v>
      </c>
      <c r="AR26" s="484">
        <v>5</v>
      </c>
      <c r="AS26" s="484">
        <v>3</v>
      </c>
      <c r="AT26" s="484">
        <v>4</v>
      </c>
      <c r="AU26" s="485">
        <v>4</v>
      </c>
      <c r="AV26" s="483">
        <v>3</v>
      </c>
      <c r="AW26" s="484">
        <v>3</v>
      </c>
      <c r="AX26" s="484">
        <v>3</v>
      </c>
      <c r="AY26" s="484">
        <v>4</v>
      </c>
      <c r="AZ26" s="484">
        <v>5</v>
      </c>
      <c r="BA26" s="485">
        <v>4</v>
      </c>
      <c r="BB26" s="483">
        <v>2</v>
      </c>
      <c r="BC26" s="484">
        <v>4</v>
      </c>
      <c r="BD26" s="484">
        <v>2</v>
      </c>
      <c r="BE26" s="484">
        <v>3</v>
      </c>
      <c r="BF26" s="484">
        <v>4</v>
      </c>
      <c r="BG26" s="485">
        <v>4</v>
      </c>
    </row>
    <row r="27" spans="1:59" ht="15.95" customHeight="1" x14ac:dyDescent="0.25">
      <c r="B27" s="798"/>
      <c r="C27" s="800"/>
      <c r="D27" s="536">
        <v>22</v>
      </c>
      <c r="E27" s="496">
        <f t="array" aca="1" ref="E27" ca="1">IF($D27&gt;Calc1!$B$14,"",ROW(22:22)-SUM((($L$6:$L26="")+($N$6:$N26="")&gt;0)*1))</f>
        <v>22</v>
      </c>
      <c r="F27" s="175">
        <f ca="1">IF(OR($V$15,$D27&gt;Calc1!$B$14),"",$S$5+QUOTIENT(($E27-1),$V$11)*($S$7+$S$9)/1440+SUM($P$6:$P26)/1440)</f>
        <v>0.54513888888888884</v>
      </c>
      <c r="G27" s="177">
        <f ca="1">IF(OR($V$15,$D27&gt;Calc1!$B$14),"",MOD($E27-1,$V$11)+1)</f>
        <v>1</v>
      </c>
      <c r="H27" s="312" t="str">
        <f t="shared" ca="1" si="0"/>
        <v>A</v>
      </c>
      <c r="I27" s="334" t="str">
        <f ca="1"/>
        <v>A3</v>
      </c>
      <c r="J27" s="335" t="s">
        <v>4</v>
      </c>
      <c r="K27" s="336" t="str">
        <f ca="1"/>
        <v>A1</v>
      </c>
      <c r="L27" s="181" t="str">
        <f t="shared" ca="1" si="1"/>
        <v>Eintracht Frankfurt</v>
      </c>
      <c r="M27" s="182" t="s">
        <v>4</v>
      </c>
      <c r="N27" s="183" t="str">
        <f t="shared" ca="1" si="2"/>
        <v>1. FC Riedwald</v>
      </c>
      <c r="O27" s="778"/>
      <c r="P27" s="735"/>
      <c r="Q27" s="529"/>
      <c r="R27" s="796" t="str">
        <f ca="1">IF($V$15,"",IF(proof!$G$2="FEHLER",Language!$E$116&amp;$S$25&amp;Language!$E$117&amp;$T$25,""))</f>
        <v/>
      </c>
      <c r="S27" s="796"/>
      <c r="T27" s="796"/>
      <c r="U27" s="530"/>
      <c r="W27" s="405">
        <v>5</v>
      </c>
      <c r="X27" s="483">
        <v>2</v>
      </c>
      <c r="Y27" s="484">
        <v>2</v>
      </c>
      <c r="Z27" s="484">
        <v>2</v>
      </c>
      <c r="AA27" s="484">
        <v>3</v>
      </c>
      <c r="AB27" s="484">
        <v>4</v>
      </c>
      <c r="AC27" s="485">
        <v>3</v>
      </c>
      <c r="AD27" s="483">
        <v>2</v>
      </c>
      <c r="AE27" s="484">
        <v>2</v>
      </c>
      <c r="AF27" s="484">
        <v>2</v>
      </c>
      <c r="AG27" s="484">
        <v>3</v>
      </c>
      <c r="AH27" s="484">
        <v>4</v>
      </c>
      <c r="AI27" s="485">
        <v>3</v>
      </c>
      <c r="AJ27" s="483">
        <v>2</v>
      </c>
      <c r="AK27" s="484">
        <v>2</v>
      </c>
      <c r="AL27" s="484">
        <v>2</v>
      </c>
      <c r="AM27" s="484">
        <v>3</v>
      </c>
      <c r="AN27" s="484">
        <v>4</v>
      </c>
      <c r="AO27" s="485">
        <v>3</v>
      </c>
      <c r="AP27" s="483">
        <v>3</v>
      </c>
      <c r="AQ27" s="484">
        <v>3</v>
      </c>
      <c r="AR27" s="484">
        <v>3</v>
      </c>
      <c r="AS27" s="484">
        <v>4</v>
      </c>
      <c r="AT27" s="484">
        <v>5</v>
      </c>
      <c r="AU27" s="485">
        <v>3</v>
      </c>
      <c r="AV27" s="483">
        <v>4</v>
      </c>
      <c r="AW27" s="484">
        <v>4</v>
      </c>
      <c r="AX27" s="484">
        <v>4</v>
      </c>
      <c r="AY27" s="484">
        <v>5</v>
      </c>
      <c r="AZ27" s="484">
        <v>6</v>
      </c>
      <c r="BA27" s="485">
        <v>4</v>
      </c>
      <c r="BB27" s="483">
        <v>5</v>
      </c>
      <c r="BC27" s="484">
        <v>5</v>
      </c>
      <c r="BD27" s="484">
        <v>3</v>
      </c>
      <c r="BE27" s="484">
        <v>4</v>
      </c>
      <c r="BF27" s="484">
        <v>4</v>
      </c>
      <c r="BG27" s="485">
        <v>4</v>
      </c>
    </row>
    <row r="28" spans="1:59" ht="15.95" customHeight="1" thickBot="1" x14ac:dyDescent="0.3">
      <c r="B28" s="797" t="s">
        <v>195</v>
      </c>
      <c r="C28" s="799" t="s">
        <v>248</v>
      </c>
      <c r="D28" s="536">
        <v>23</v>
      </c>
      <c r="E28" s="496">
        <f t="array" aca="1" ref="E28" ca="1">IF($D28&gt;Calc1!$B$14,"",ROW(23:23)-SUM((($L$6:$L27="")+($N$6:$N27="")&gt;0)*1))</f>
        <v>23</v>
      </c>
      <c r="F28" s="175">
        <f ca="1">IF(OR($V$15,$D28&gt;Calc1!$B$14),"",$S$5+QUOTIENT(($E28-1),$V$11)*($S$7+$S$9)/1440+SUM($P$6:$P27)/1440)</f>
        <v>0.54513888888888884</v>
      </c>
      <c r="G28" s="177">
        <f ca="1">IF(OR($V$15,$D28&gt;Calc1!$B$14),"",MOD($E28-1,$V$11)+1)</f>
        <v>2</v>
      </c>
      <c r="H28" s="312" t="str">
        <f t="shared" ca="1" si="0"/>
        <v>B</v>
      </c>
      <c r="I28" s="334" t="str">
        <f ca="1"/>
        <v>B3</v>
      </c>
      <c r="J28" s="335" t="s">
        <v>4</v>
      </c>
      <c r="K28" s="336" t="str">
        <f ca="1"/>
        <v>B1</v>
      </c>
      <c r="L28" s="181" t="str">
        <f t="shared" ca="1" si="1"/>
        <v>SSV Wildbach</v>
      </c>
      <c r="M28" s="182" t="s">
        <v>4</v>
      </c>
      <c r="N28" s="183" t="str">
        <f t="shared" ca="1" si="2"/>
        <v>Mainz 05</v>
      </c>
      <c r="O28" s="778"/>
      <c r="P28" s="735"/>
      <c r="Q28" s="529"/>
      <c r="R28" s="466"/>
      <c r="U28" s="530"/>
      <c r="W28" s="406">
        <v>6</v>
      </c>
      <c r="X28" s="486">
        <v>3</v>
      </c>
      <c r="Y28" s="487">
        <v>3</v>
      </c>
      <c r="Z28" s="487">
        <v>2</v>
      </c>
      <c r="AA28" s="487">
        <v>3</v>
      </c>
      <c r="AB28" s="487">
        <v>3</v>
      </c>
      <c r="AC28" s="488">
        <v>4</v>
      </c>
      <c r="AD28" s="486">
        <v>3</v>
      </c>
      <c r="AE28" s="487">
        <v>3</v>
      </c>
      <c r="AF28" s="487">
        <v>2</v>
      </c>
      <c r="AG28" s="487">
        <v>4</v>
      </c>
      <c r="AH28" s="487">
        <v>5</v>
      </c>
      <c r="AI28" s="488">
        <v>4</v>
      </c>
      <c r="AJ28" s="486">
        <v>2</v>
      </c>
      <c r="AK28" s="487">
        <v>2</v>
      </c>
      <c r="AL28" s="487">
        <v>2</v>
      </c>
      <c r="AM28" s="487">
        <v>3</v>
      </c>
      <c r="AN28" s="487">
        <v>3</v>
      </c>
      <c r="AO28" s="488">
        <v>4</v>
      </c>
      <c r="AP28" s="486">
        <v>3</v>
      </c>
      <c r="AQ28" s="487">
        <v>4</v>
      </c>
      <c r="AR28" s="487">
        <v>3</v>
      </c>
      <c r="AS28" s="487">
        <v>3</v>
      </c>
      <c r="AT28" s="487">
        <v>3</v>
      </c>
      <c r="AU28" s="488">
        <v>5</v>
      </c>
      <c r="AV28" s="486">
        <v>3</v>
      </c>
      <c r="AW28" s="487">
        <v>3</v>
      </c>
      <c r="AX28" s="487">
        <v>4</v>
      </c>
      <c r="AY28" s="487">
        <v>4</v>
      </c>
      <c r="AZ28" s="487">
        <v>4</v>
      </c>
      <c r="BA28" s="488">
        <v>5</v>
      </c>
      <c r="BB28" s="486">
        <v>4</v>
      </c>
      <c r="BC28" s="487">
        <v>4</v>
      </c>
      <c r="BD28" s="487">
        <v>4</v>
      </c>
      <c r="BE28" s="487">
        <v>5</v>
      </c>
      <c r="BF28" s="487">
        <v>4</v>
      </c>
      <c r="BG28" s="488">
        <v>6</v>
      </c>
    </row>
    <row r="29" spans="1:59" ht="15.95" customHeight="1" thickTop="1" x14ac:dyDescent="0.25">
      <c r="B29" s="798"/>
      <c r="C29" s="800"/>
      <c r="D29" s="536">
        <v>24</v>
      </c>
      <c r="E29" s="496">
        <f t="array" aca="1" ref="E29" ca="1">IF($D29&gt;Calc1!$B$14,"",ROW(24:24)-SUM((($L$6:$L28="")+($N$6:$N28="")&gt;0)*1))</f>
        <v>24</v>
      </c>
      <c r="F29" s="175">
        <f ca="1">IF(OR($V$15,$D29&gt;Calc1!$B$14),"",$S$5+QUOTIENT(($E29-1),$V$11)*($S$7+$S$9)/1440+SUM($P$6:$P28)/1440)</f>
        <v>0.54513888888888884</v>
      </c>
      <c r="G29" s="177">
        <f ca="1">IF(OR($V$15,$D29&gt;Calc1!$B$14),"",MOD($E29-1,$V$11)+1)</f>
        <v>3</v>
      </c>
      <c r="H29" s="312" t="str">
        <f t="shared" ca="1" si="0"/>
        <v>C</v>
      </c>
      <c r="I29" s="334" t="str">
        <f ca="1"/>
        <v>C3</v>
      </c>
      <c r="J29" s="335" t="s">
        <v>4</v>
      </c>
      <c r="K29" s="336" t="str">
        <f ca="1"/>
        <v>C1</v>
      </c>
      <c r="L29" s="181" t="str">
        <f t="shared" ca="1" si="1"/>
        <v>Borussia Dortmund</v>
      </c>
      <c r="M29" s="182" t="s">
        <v>4</v>
      </c>
      <c r="N29" s="183" t="str">
        <f t="shared" ca="1" si="2"/>
        <v>Kickers Rodendorf</v>
      </c>
      <c r="O29" s="778"/>
      <c r="P29" s="735"/>
      <c r="Q29" s="529"/>
      <c r="R29" s="466"/>
      <c r="U29" s="53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row>
    <row r="30" spans="1:59" ht="15.95" customHeight="1" x14ac:dyDescent="0.25">
      <c r="B30" s="797" t="s">
        <v>201</v>
      </c>
      <c r="C30" s="799" t="s">
        <v>247</v>
      </c>
      <c r="D30" s="536">
        <v>25</v>
      </c>
      <c r="E30" s="496">
        <f t="array" aca="1" ref="E30" ca="1">IF($D30&gt;Calc1!$B$14,"",ROW(25:25)-SUM((($L$6:$L29="")+($N$6:$N29="")&gt;0)*1))</f>
        <v>25</v>
      </c>
      <c r="F30" s="175">
        <f ca="1">IF(OR($V$15,$D30&gt;Calc1!$B$14),"",$S$5+QUOTIENT(($E30-1),$V$11)*($S$7+$S$9)/1440+SUM($P$6:$P29)/1440)</f>
        <v>0.56944444444444442</v>
      </c>
      <c r="G30" s="177">
        <f ca="1">IF(OR($V$15,$D30&gt;Calc1!$B$14),"",MOD($E30-1,$V$11)+1)</f>
        <v>1</v>
      </c>
      <c r="H30" s="312" t="str">
        <f t="shared" ca="1" si="0"/>
        <v>A</v>
      </c>
      <c r="I30" s="334" t="str">
        <f ca="1"/>
        <v>A4</v>
      </c>
      <c r="J30" s="335" t="s">
        <v>4</v>
      </c>
      <c r="K30" s="336" t="str">
        <f ca="1"/>
        <v>A5</v>
      </c>
      <c r="L30" s="181" t="str">
        <f t="shared" ca="1" si="1"/>
        <v>Maibach 1822 eV</v>
      </c>
      <c r="M30" s="182" t="s">
        <v>4</v>
      </c>
      <c r="N30" s="183" t="str">
        <f t="shared" ca="1" si="2"/>
        <v>VFB Essenheim</v>
      </c>
      <c r="O30" s="778"/>
      <c r="P30" s="735"/>
      <c r="Q30" s="529"/>
      <c r="R30" s="466"/>
      <c r="U30" s="53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row>
    <row r="31" spans="1:59" ht="15.95" customHeight="1" x14ac:dyDescent="0.25">
      <c r="B31" s="798"/>
      <c r="C31" s="800"/>
      <c r="D31" s="536">
        <v>26</v>
      </c>
      <c r="E31" s="496">
        <f t="array" aca="1" ref="E31" ca="1">IF($D31&gt;Calc1!$B$14,"",ROW(26:26)-SUM((($L$6:$L30="")+($N$6:$N30="")&gt;0)*1))</f>
        <v>26</v>
      </c>
      <c r="F31" s="175">
        <f ca="1">IF(OR($V$15,$D31&gt;Calc1!$B$14),"",$S$5+QUOTIENT(($E31-1),$V$11)*($S$7+$S$9)/1440+SUM($P$6:$P30)/1440)</f>
        <v>0.56944444444444442</v>
      </c>
      <c r="G31" s="177">
        <f ca="1">IF(OR($V$15,$D31&gt;Calc1!$B$14),"",MOD($E31-1,$V$11)+1)</f>
        <v>2</v>
      </c>
      <c r="H31" s="312" t="str">
        <f t="shared" ca="1" si="0"/>
        <v>B</v>
      </c>
      <c r="I31" s="334" t="str">
        <f ca="1"/>
        <v>B4</v>
      </c>
      <c r="J31" s="335" t="s">
        <v>4</v>
      </c>
      <c r="K31" s="336" t="str">
        <f ca="1"/>
        <v>B5</v>
      </c>
      <c r="L31" s="181" t="str">
        <f t="shared" ca="1" si="1"/>
        <v>Manchester City</v>
      </c>
      <c r="M31" s="182" t="s">
        <v>4</v>
      </c>
      <c r="N31" s="183" t="str">
        <f t="shared" ca="1" si="2"/>
        <v>FC Grönlingen</v>
      </c>
      <c r="O31" s="778"/>
      <c r="P31" s="735"/>
      <c r="Q31" s="529"/>
      <c r="R31" s="466"/>
      <c r="U31" s="53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0"/>
      <c r="BD31" s="400"/>
      <c r="BE31" s="400"/>
      <c r="BF31" s="400"/>
      <c r="BG31" s="400"/>
    </row>
    <row r="32" spans="1:59" ht="15.95" customHeight="1" x14ac:dyDescent="0.25">
      <c r="B32" s="797" t="s">
        <v>203</v>
      </c>
      <c r="C32" s="799" t="s">
        <v>249</v>
      </c>
      <c r="D32" s="536">
        <v>27</v>
      </c>
      <c r="E32" s="496">
        <f t="array" aca="1" ref="E32" ca="1">IF($D32&gt;Calc1!$B$14,"",ROW(27:27)-SUM((($L$6:$L31="")+($N$6:$N31="")&gt;0)*1))</f>
        <v>27</v>
      </c>
      <c r="F32" s="175">
        <f ca="1">IF(OR($V$15,$D32&gt;Calc1!$B$14),"",$S$5+QUOTIENT(($E32-1),$V$11)*($S$7+$S$9)/1440+SUM($P$6:$P31)/1440)</f>
        <v>0.56944444444444442</v>
      </c>
      <c r="G32" s="177">
        <f ca="1">IF(OR($V$15,$D32&gt;Calc1!$B$14),"",MOD($E32-1,$V$11)+1)</f>
        <v>3</v>
      </c>
      <c r="H32" s="312" t="str">
        <f t="shared" ca="1" si="0"/>
        <v>C</v>
      </c>
      <c r="I32" s="334" t="str">
        <f ca="1"/>
        <v>C4</v>
      </c>
      <c r="J32" s="335" t="s">
        <v>4</v>
      </c>
      <c r="K32" s="336" t="str">
        <f ca="1"/>
        <v>C5</v>
      </c>
      <c r="L32" s="181" t="str">
        <f t="shared" ca="1" si="1"/>
        <v>FSV Rauen</v>
      </c>
      <c r="M32" s="182" t="s">
        <v>4</v>
      </c>
      <c r="N32" s="183" t="str">
        <f t="shared" ca="1" si="2"/>
        <v>1. FC Nürnberg</v>
      </c>
      <c r="O32" s="778"/>
      <c r="P32" s="735"/>
      <c r="Q32" s="529"/>
      <c r="R32" s="474"/>
      <c r="U32" s="53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row>
    <row r="33" spans="2:59" ht="15.95" customHeight="1" x14ac:dyDescent="0.25">
      <c r="B33" s="798"/>
      <c r="C33" s="800"/>
      <c r="D33" s="536">
        <v>28</v>
      </c>
      <c r="E33" s="496">
        <f t="array" aca="1" ref="E33" ca="1">IF($D33&gt;Calc1!$B$14,"",ROW(28:28)-SUM((($L$6:$L32="")+($N$6:$N32="")&gt;0)*1))</f>
        <v>28</v>
      </c>
      <c r="F33" s="175">
        <f ca="1">IF(OR($V$15,$D33&gt;Calc1!$B$14),"",$S$5+QUOTIENT(($E33-1),$V$11)*($S$7+$S$9)/1440+SUM($P$6:$P32)/1440)</f>
        <v>0.59375</v>
      </c>
      <c r="G33" s="177">
        <f ca="1">IF(OR($V$15,$D33&gt;Calc1!$B$14),"",MOD($E33-1,$V$11)+1)</f>
        <v>1</v>
      </c>
      <c r="H33" s="312" t="str">
        <f t="shared" ca="1" si="0"/>
        <v>A</v>
      </c>
      <c r="I33" s="334" t="str">
        <f ca="1"/>
        <v>A1</v>
      </c>
      <c r="J33" s="335" t="s">
        <v>4</v>
      </c>
      <c r="K33" s="336" t="str">
        <f ca="1"/>
        <v>A2</v>
      </c>
      <c r="L33" s="181" t="str">
        <f t="shared" ca="1" si="1"/>
        <v>1. FC Riedwald</v>
      </c>
      <c r="M33" s="182" t="s">
        <v>4</v>
      </c>
      <c r="N33" s="183" t="str">
        <f t="shared" ca="1" si="2"/>
        <v>FC Barcelona</v>
      </c>
      <c r="O33" s="778"/>
      <c r="P33" s="735"/>
      <c r="Q33" s="529"/>
      <c r="R33" s="466"/>
      <c r="U33" s="530"/>
      <c r="W33" s="490"/>
      <c r="X33" s="490"/>
      <c r="Y33" s="490"/>
      <c r="Z33" s="490"/>
      <c r="AA33" s="490"/>
      <c r="AB33" s="490"/>
      <c r="AC33" s="490"/>
      <c r="AD33" s="400"/>
      <c r="AE33" s="400"/>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0"/>
      <c r="BD33" s="400"/>
      <c r="BE33" s="400"/>
      <c r="BF33" s="400"/>
      <c r="BG33" s="400"/>
    </row>
    <row r="34" spans="2:59" ht="15.95" customHeight="1" x14ac:dyDescent="0.25">
      <c r="B34" s="797" t="s">
        <v>205</v>
      </c>
      <c r="C34" s="799"/>
      <c r="D34" s="536">
        <v>29</v>
      </c>
      <c r="E34" s="496">
        <f t="array" aca="1" ref="E34" ca="1">IF($D34&gt;Calc1!$B$14,"",ROW(29:29)-SUM((($L$6:$L33="")+($N$6:$N33="")&gt;0)*1))</f>
        <v>29</v>
      </c>
      <c r="F34" s="175">
        <f ca="1">IF(OR($V$15,$D34&gt;Calc1!$B$14),"",$S$5+QUOTIENT(($E34-1),$V$11)*($S$7+$S$9)/1440+SUM($P$6:$P33)/1440)</f>
        <v>0.59375</v>
      </c>
      <c r="G34" s="177">
        <f ca="1">IF(OR($V$15,$D34&gt;Calc1!$B$14),"",MOD($E34-1,$V$11)+1)</f>
        <v>2</v>
      </c>
      <c r="H34" s="312" t="str">
        <f t="shared" ca="1" si="0"/>
        <v>B</v>
      </c>
      <c r="I34" s="334" t="str">
        <f ca="1"/>
        <v>B1</v>
      </c>
      <c r="J34" s="335" t="s">
        <v>4</v>
      </c>
      <c r="K34" s="336" t="str">
        <f ca="1"/>
        <v>B2</v>
      </c>
      <c r="L34" s="181" t="str">
        <f t="shared" ca="1" si="1"/>
        <v>Mainz 05</v>
      </c>
      <c r="M34" s="182" t="s">
        <v>4</v>
      </c>
      <c r="N34" s="183" t="str">
        <f t="shared" ca="1" si="2"/>
        <v>Inter Mailand</v>
      </c>
      <c r="O34" s="778"/>
      <c r="P34" s="774"/>
      <c r="Q34" s="529"/>
      <c r="R34" s="466"/>
      <c r="U34" s="530"/>
      <c r="W34" s="490"/>
      <c r="X34" s="490"/>
      <c r="Y34" s="490"/>
      <c r="Z34" s="490"/>
      <c r="AA34" s="490"/>
      <c r="AB34" s="490"/>
      <c r="AC34" s="490"/>
      <c r="AD34" s="400"/>
      <c r="AE34" s="400"/>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0"/>
      <c r="BD34" s="400"/>
      <c r="BE34" s="400"/>
      <c r="BF34" s="400"/>
      <c r="BG34" s="400"/>
    </row>
    <row r="35" spans="2:59" ht="15.95" customHeight="1" thickBot="1" x14ac:dyDescent="0.3">
      <c r="B35" s="801"/>
      <c r="C35" s="802"/>
      <c r="D35" s="536">
        <v>30</v>
      </c>
      <c r="E35" s="496">
        <f t="array" aca="1" ref="E35" ca="1">IF($D35&gt;Calc1!$B$14,"",ROW(30:30)-SUM((($L$6:$L34="")+($N$6:$N34="")&gt;0)*1))</f>
        <v>30</v>
      </c>
      <c r="F35" s="175">
        <f ca="1">IF(OR($V$15,$D35&gt;Calc1!$B$14),"",$S$5+QUOTIENT(($E35-1),$V$11)*($S$7+$S$9)/1440+SUM($P$6:$P34)/1440)</f>
        <v>0.59375</v>
      </c>
      <c r="G35" s="177">
        <f ca="1">IF(OR($V$15,$D35&gt;Calc1!$B$14),"",MOD($E35-1,$V$11)+1)</f>
        <v>3</v>
      </c>
      <c r="H35" s="312" t="str">
        <f t="shared" ca="1" si="0"/>
        <v>C</v>
      </c>
      <c r="I35" s="334" t="str">
        <f ca="1"/>
        <v>C1</v>
      </c>
      <c r="J35" s="335" t="s">
        <v>4</v>
      </c>
      <c r="K35" s="336" t="str">
        <f ca="1"/>
        <v>C2</v>
      </c>
      <c r="L35" s="181" t="str">
        <f t="shared" ca="1" si="1"/>
        <v>Kickers Rodendorf</v>
      </c>
      <c r="M35" s="182" t="s">
        <v>4</v>
      </c>
      <c r="N35" s="183" t="str">
        <f t="shared" ca="1" si="2"/>
        <v>Real Madrid</v>
      </c>
      <c r="O35" s="778"/>
      <c r="P35" s="774"/>
      <c r="Q35" s="529"/>
      <c r="R35" s="466"/>
      <c r="U35" s="530"/>
      <c r="W35" s="490"/>
      <c r="X35" s="490"/>
      <c r="Y35" s="490"/>
      <c r="Z35" s="490"/>
      <c r="AA35" s="490"/>
      <c r="AB35" s="490"/>
      <c r="AC35" s="490"/>
      <c r="AD35" s="400"/>
      <c r="AE35" s="400"/>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0"/>
      <c r="BD35" s="400"/>
      <c r="BE35" s="400"/>
      <c r="BF35" s="400"/>
      <c r="BG35" s="400"/>
    </row>
    <row r="36" spans="2:59" ht="18" customHeight="1" thickTop="1" x14ac:dyDescent="0.25">
      <c r="C36" s="467"/>
      <c r="D36" s="536">
        <v>31</v>
      </c>
      <c r="E36" s="496" t="str">
        <f t="array" ref="E36">IF($D36&gt;Calc1!$B$14,"",ROW(31:31)-SUM((($L$6:$L35="")+($N$6:$N35="")&gt;0)*1))</f>
        <v/>
      </c>
      <c r="F36" s="175" t="str">
        <f>IF(OR($V$15,$D36&gt;Calc1!$B$14),"",$S$5+QUOTIENT(($E36-1),$V$11)*($S$7+$S$9)/1440+SUM($P$6:$P35)/1440)</f>
        <v/>
      </c>
      <c r="G36" s="177" t="str">
        <f>IF(OR($V$15,$D36&gt;Calc1!$B$14),"",MOD($E36-1,$V$11)+1)</f>
        <v/>
      </c>
      <c r="H36" s="312" t="str">
        <f t="shared" ca="1" si="0"/>
        <v/>
      </c>
      <c r="I36" s="334" t="str">
        <f ca="1"/>
        <v/>
      </c>
      <c r="J36" s="335" t="s">
        <v>4</v>
      </c>
      <c r="K36" s="336" t="str">
        <f ca="1"/>
        <v/>
      </c>
      <c r="L36" s="181" t="str">
        <f t="shared" ca="1" si="1"/>
        <v/>
      </c>
      <c r="M36" s="182" t="s">
        <v>4</v>
      </c>
      <c r="N36" s="183" t="str">
        <f t="shared" ca="1" si="2"/>
        <v/>
      </c>
      <c r="O36" s="778"/>
      <c r="P36" s="774"/>
      <c r="R36" s="466"/>
      <c r="U36" s="330"/>
      <c r="W36" s="490"/>
      <c r="X36" s="490"/>
      <c r="Y36" s="490"/>
      <c r="Z36" s="490"/>
      <c r="AA36" s="490"/>
      <c r="AB36" s="490"/>
      <c r="AC36" s="49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400"/>
      <c r="BE36" s="400"/>
      <c r="BF36" s="400"/>
      <c r="BG36" s="400"/>
    </row>
    <row r="37" spans="2:59" ht="17.25" customHeight="1" x14ac:dyDescent="0.25">
      <c r="B37" s="803"/>
      <c r="C37" s="805" t="str">
        <f>Language!$E$16&amp;" C"</f>
        <v>Group C</v>
      </c>
      <c r="D37" s="536">
        <v>32</v>
      </c>
      <c r="E37" s="496" t="str">
        <f t="array" ref="E37">IF($D37&gt;Calc1!$B$14,"",ROW(32:32)-SUM((($L$6:$L36="")+($N$6:$N36="")&gt;0)*1))</f>
        <v/>
      </c>
      <c r="F37" s="175" t="str">
        <f>IF(OR($V$15,$D37&gt;Calc1!$B$14),"",$S$5+QUOTIENT(($E37-1),$V$11)*($S$7+$S$9)/1440+SUM($P$6:$P36)/1440)</f>
        <v/>
      </c>
      <c r="G37" s="177" t="str">
        <f>IF(OR($V$15,$D37&gt;Calc1!$B$14),"",MOD($E37-1,$V$11)+1)</f>
        <v/>
      </c>
      <c r="H37" s="312" t="str">
        <f t="shared" ca="1" si="0"/>
        <v/>
      </c>
      <c r="I37" s="334" t="str">
        <f ca="1"/>
        <v/>
      </c>
      <c r="J37" s="335" t="s">
        <v>4</v>
      </c>
      <c r="K37" s="336" t="str">
        <f ca="1"/>
        <v/>
      </c>
      <c r="L37" s="181" t="str">
        <f t="shared" ca="1" si="1"/>
        <v/>
      </c>
      <c r="M37" s="182" t="s">
        <v>4</v>
      </c>
      <c r="N37" s="183" t="str">
        <f t="shared" ca="1" si="2"/>
        <v/>
      </c>
      <c r="O37" s="778"/>
      <c r="P37" s="774"/>
      <c r="R37" s="466"/>
      <c r="U37" s="330"/>
      <c r="W37" s="490"/>
      <c r="X37" s="490"/>
      <c r="Y37" s="490"/>
      <c r="Z37" s="490"/>
      <c r="AA37" s="490"/>
      <c r="AB37" s="490"/>
      <c r="AC37" s="49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400"/>
      <c r="BE37" s="400"/>
      <c r="BF37" s="400"/>
      <c r="BG37" s="400"/>
    </row>
    <row r="38" spans="2:59" ht="18" customHeight="1" thickBot="1" x14ac:dyDescent="0.3">
      <c r="B38" s="804"/>
      <c r="C38" s="806"/>
      <c r="D38" s="536">
        <v>33</v>
      </c>
      <c r="E38" s="496" t="str">
        <f t="array" ref="E38">IF($D38&gt;Calc1!$B$14,"",ROW(33:33)-SUM((($L$6:$L37="")+($N$6:$N37="")&gt;0)*1))</f>
        <v/>
      </c>
      <c r="F38" s="175" t="str">
        <f>IF(OR($V$15,$D38&gt;Calc1!$B$14),"",$S$5+QUOTIENT(($E38-1),$V$11)*($S$7+$S$9)/1440+SUM($P$6:$P37)/1440)</f>
        <v/>
      </c>
      <c r="G38" s="177" t="str">
        <f>IF(OR($V$15,$D38&gt;Calc1!$B$14),"",MOD($E38-1,$V$11)+1)</f>
        <v/>
      </c>
      <c r="H38" s="312" t="str">
        <f t="shared" ca="1" si="0"/>
        <v/>
      </c>
      <c r="I38" s="334" t="str">
        <f ca="1"/>
        <v/>
      </c>
      <c r="J38" s="335" t="s">
        <v>4</v>
      </c>
      <c r="K38" s="336" t="str">
        <f ca="1"/>
        <v/>
      </c>
      <c r="L38" s="181" t="str">
        <f t="shared" ca="1" si="1"/>
        <v/>
      </c>
      <c r="M38" s="182" t="s">
        <v>4</v>
      </c>
      <c r="N38" s="183" t="str">
        <f t="shared" ca="1" si="2"/>
        <v/>
      </c>
      <c r="O38" s="778"/>
      <c r="P38" s="774"/>
      <c r="R38" s="466"/>
      <c r="W38" s="490"/>
      <c r="X38" s="490"/>
      <c r="Y38" s="490"/>
      <c r="Z38" s="490"/>
      <c r="AA38" s="490"/>
      <c r="AB38" s="490"/>
      <c r="AC38" s="490"/>
      <c r="AD38" s="400"/>
      <c r="AE38" s="400"/>
      <c r="AF38" s="400"/>
      <c r="AG38" s="400"/>
      <c r="AH38" s="400"/>
      <c r="AI38" s="400"/>
      <c r="AJ38" s="400"/>
      <c r="AK38" s="400"/>
      <c r="AL38" s="400"/>
      <c r="AM38" s="400"/>
      <c r="AN38" s="400"/>
      <c r="AO38" s="400"/>
      <c r="AP38" s="400"/>
      <c r="AQ38" s="400"/>
      <c r="AR38" s="400"/>
      <c r="AS38" s="400"/>
      <c r="AT38" s="400"/>
      <c r="AU38" s="400"/>
      <c r="AV38" s="400"/>
      <c r="AW38" s="400"/>
      <c r="AX38" s="400"/>
      <c r="AY38" s="400"/>
      <c r="AZ38" s="400"/>
      <c r="BA38" s="400"/>
      <c r="BB38" s="400"/>
      <c r="BC38" s="400"/>
      <c r="BD38" s="400"/>
      <c r="BE38" s="400"/>
      <c r="BF38" s="400"/>
      <c r="BG38" s="400"/>
    </row>
    <row r="39" spans="2:59" ht="18" customHeight="1" thickTop="1" x14ac:dyDescent="0.25">
      <c r="B39" s="807"/>
      <c r="C39" s="809" t="str">
        <f>Language!$E$10</f>
        <v>Participant or team</v>
      </c>
      <c r="D39" s="536">
        <v>34</v>
      </c>
      <c r="E39" s="496" t="str">
        <f t="array" ref="E39">IF($D39&gt;Calc1!$B$14,"",ROW(34:34)-SUM((($L$6:$L38="")+($N$6:$N38="")&gt;0)*1))</f>
        <v/>
      </c>
      <c r="F39" s="175" t="str">
        <f>IF(OR($V$15,$D39&gt;Calc1!$B$14),"",$S$5+QUOTIENT(($E39-1),$V$11)*($S$7+$S$9)/1440+SUM($P$6:$P38)/1440)</f>
        <v/>
      </c>
      <c r="G39" s="177" t="str">
        <f>IF(OR($V$15,$D39&gt;Calc1!$B$14),"",MOD($E39-1,$V$11)+1)</f>
        <v/>
      </c>
      <c r="H39" s="312" t="str">
        <f t="shared" ca="1" si="0"/>
        <v/>
      </c>
      <c r="I39" s="334" t="str">
        <f ca="1"/>
        <v/>
      </c>
      <c r="J39" s="335" t="s">
        <v>4</v>
      </c>
      <c r="K39" s="336" t="str">
        <f ca="1"/>
        <v/>
      </c>
      <c r="L39" s="181" t="str">
        <f t="shared" ca="1" si="1"/>
        <v/>
      </c>
      <c r="M39" s="182" t="s">
        <v>4</v>
      </c>
      <c r="N39" s="183" t="str">
        <f t="shared" ca="1" si="2"/>
        <v/>
      </c>
      <c r="O39" s="778"/>
      <c r="P39" s="774"/>
      <c r="R39" s="466"/>
      <c r="W39" s="490"/>
      <c r="X39" s="490"/>
      <c r="Y39" s="490"/>
      <c r="Z39" s="490"/>
      <c r="AA39" s="490"/>
      <c r="AB39" s="490"/>
      <c r="AC39" s="490"/>
      <c r="AD39" s="400"/>
      <c r="AE39" s="400"/>
      <c r="AF39" s="400"/>
      <c r="AG39" s="400"/>
      <c r="AH39" s="400"/>
      <c r="AI39" s="400"/>
      <c r="AJ39" s="400"/>
      <c r="AK39" s="400"/>
      <c r="AL39" s="400"/>
      <c r="AM39" s="400"/>
      <c r="AN39" s="400"/>
      <c r="AO39" s="400"/>
      <c r="AP39" s="400"/>
      <c r="AQ39" s="400"/>
      <c r="AR39" s="400"/>
      <c r="AS39" s="400"/>
      <c r="AT39" s="400"/>
      <c r="AU39" s="400"/>
      <c r="AV39" s="400"/>
      <c r="AW39" s="400"/>
      <c r="AX39" s="400"/>
      <c r="AY39" s="400"/>
      <c r="AZ39" s="400"/>
      <c r="BA39" s="400"/>
      <c r="BB39" s="400"/>
      <c r="BC39" s="400"/>
      <c r="BD39" s="400"/>
      <c r="BE39" s="400"/>
      <c r="BF39" s="400"/>
      <c r="BG39" s="400"/>
    </row>
    <row r="40" spans="2:59" ht="17.25" customHeight="1" x14ac:dyDescent="0.25">
      <c r="B40" s="808"/>
      <c r="C40" s="810"/>
      <c r="D40" s="536">
        <v>35</v>
      </c>
      <c r="E40" s="496" t="str">
        <f t="array" ref="E40">IF($D40&gt;Calc1!$B$14,"",ROW(35:35)-SUM((($L$6:$L39="")+($N$6:$N39="")&gt;0)*1))</f>
        <v/>
      </c>
      <c r="F40" s="175" t="str">
        <f>IF(OR($V$15,$D40&gt;Calc1!$B$14),"",$S$5+QUOTIENT(($E40-1),$V$11)*($S$7+$S$9)/1440+SUM($P$6:$P39)/1440)</f>
        <v/>
      </c>
      <c r="G40" s="177" t="str">
        <f>IF(OR($V$15,$D40&gt;Calc1!$B$14),"",MOD($E40-1,$V$11)+1)</f>
        <v/>
      </c>
      <c r="H40" s="312" t="str">
        <f t="shared" ca="1" si="0"/>
        <v/>
      </c>
      <c r="I40" s="334" t="str">
        <f ca="1"/>
        <v/>
      </c>
      <c r="J40" s="335" t="s">
        <v>4</v>
      </c>
      <c r="K40" s="336" t="str">
        <f ca="1"/>
        <v/>
      </c>
      <c r="L40" s="181" t="str">
        <f t="shared" ca="1" si="1"/>
        <v/>
      </c>
      <c r="M40" s="182" t="s">
        <v>4</v>
      </c>
      <c r="N40" s="183" t="str">
        <f t="shared" ca="1" si="2"/>
        <v/>
      </c>
      <c r="O40" s="778"/>
      <c r="P40" s="774"/>
      <c r="R40" s="466"/>
    </row>
    <row r="41" spans="2:59" ht="17.25" customHeight="1" x14ac:dyDescent="0.25">
      <c r="B41" s="811" t="s">
        <v>268</v>
      </c>
      <c r="C41" s="812" t="s">
        <v>261</v>
      </c>
      <c r="D41" s="536">
        <v>36</v>
      </c>
      <c r="E41" s="496" t="str">
        <f t="array" ref="E41">IF($D41&gt;Calc1!$B$14,"",ROW(36:36)-SUM((($L$6:$L40="")+($N$6:$N40="")&gt;0)*1))</f>
        <v/>
      </c>
      <c r="F41" s="175" t="str">
        <f>IF(OR($V$15,$D41&gt;Calc1!$B$14),"",$S$5+QUOTIENT(($E41-1),$V$11)*($S$7+$S$9)/1440+SUM($P$6:$P40)/1440)</f>
        <v/>
      </c>
      <c r="G41" s="177" t="str">
        <f>IF(OR($V$15,$D41&gt;Calc1!$B$14),"",MOD($E41-1,$V$11)+1)</f>
        <v/>
      </c>
      <c r="H41" s="312" t="str">
        <f t="shared" ca="1" si="0"/>
        <v/>
      </c>
      <c r="I41" s="334" t="str">
        <f ca="1"/>
        <v/>
      </c>
      <c r="J41" s="335" t="s">
        <v>4</v>
      </c>
      <c r="K41" s="336" t="str">
        <f ca="1"/>
        <v/>
      </c>
      <c r="L41" s="181" t="str">
        <f t="shared" ca="1" si="1"/>
        <v/>
      </c>
      <c r="M41" s="182" t="s">
        <v>4</v>
      </c>
      <c r="N41" s="183" t="str">
        <f t="shared" ca="1" si="2"/>
        <v/>
      </c>
      <c r="O41" s="778"/>
      <c r="P41" s="774"/>
      <c r="R41" s="466"/>
    </row>
    <row r="42" spans="2:59" ht="17.25" customHeight="1" x14ac:dyDescent="0.25">
      <c r="B42" s="798"/>
      <c r="C42" s="800"/>
      <c r="D42" s="536">
        <v>37</v>
      </c>
      <c r="E42" s="496" t="str">
        <f t="array" ref="E42">IF($D42&gt;Calc1!$B$14,"",ROW(37:37)-SUM((($L$6:$L41="")+($N$6:$N41="")&gt;0)*1))</f>
        <v/>
      </c>
      <c r="F42" s="175" t="str">
        <f>IF(OR($V$15,$D42&gt;Calc1!$B$14),"",$S$5+QUOTIENT(($E42-1),$V$11)*($S$7+$S$9)/1440+SUM($P$6:$P41)/1440)</f>
        <v/>
      </c>
      <c r="G42" s="177" t="str">
        <f>IF(OR($V$15,$D42&gt;Calc1!$B$14),"",MOD($E42-1,$V$11)+1)</f>
        <v/>
      </c>
      <c r="H42" s="312" t="str">
        <f t="shared" ca="1" si="0"/>
        <v/>
      </c>
      <c r="I42" s="334" t="str">
        <f ca="1"/>
        <v/>
      </c>
      <c r="J42" s="335" t="s">
        <v>4</v>
      </c>
      <c r="K42" s="336" t="str">
        <f ca="1"/>
        <v/>
      </c>
      <c r="L42" s="181" t="str">
        <f t="shared" ca="1" si="1"/>
        <v/>
      </c>
      <c r="M42" s="182" t="s">
        <v>4</v>
      </c>
      <c r="N42" s="183" t="str">
        <f t="shared" ca="1" si="2"/>
        <v/>
      </c>
      <c r="O42" s="778"/>
      <c r="P42" s="774"/>
      <c r="R42" s="466"/>
    </row>
    <row r="43" spans="2:59" ht="17.25" x14ac:dyDescent="0.25">
      <c r="B43" s="797" t="s">
        <v>267</v>
      </c>
      <c r="C43" s="799" t="s">
        <v>262</v>
      </c>
      <c r="D43" s="536">
        <v>38</v>
      </c>
      <c r="E43" s="496" t="str">
        <f t="array" ref="E43">IF($D43&gt;Calc1!$B$14,"",ROW(38:38)-SUM((($L$6:$L42="")+($N$6:$N42="")&gt;0)*1))</f>
        <v/>
      </c>
      <c r="F43" s="175" t="str">
        <f>IF(OR($V$15,$D43&gt;Calc1!$B$14),"",$S$5+QUOTIENT(($E43-1),$V$11)*($S$7+$S$9)/1440+SUM($P$6:$P42)/1440)</f>
        <v/>
      </c>
      <c r="G43" s="177" t="str">
        <f>IF(OR($V$15,$D43&gt;Calc1!$B$14),"",MOD($E43-1,$V$11)+1)</f>
        <v/>
      </c>
      <c r="H43" s="312" t="str">
        <f t="shared" ca="1" si="0"/>
        <v/>
      </c>
      <c r="I43" s="334" t="str">
        <f ca="1"/>
        <v/>
      </c>
      <c r="J43" s="335" t="s">
        <v>4</v>
      </c>
      <c r="K43" s="336" t="str">
        <f ca="1"/>
        <v/>
      </c>
      <c r="L43" s="181" t="str">
        <f t="shared" ca="1" si="1"/>
        <v/>
      </c>
      <c r="M43" s="182" t="s">
        <v>4</v>
      </c>
      <c r="N43" s="183" t="str">
        <f t="shared" ca="1" si="2"/>
        <v/>
      </c>
      <c r="O43" s="778"/>
      <c r="P43" s="774"/>
      <c r="R43" s="475"/>
    </row>
    <row r="44" spans="2:59" ht="17.25" customHeight="1" x14ac:dyDescent="0.25">
      <c r="B44" s="798"/>
      <c r="C44" s="800"/>
      <c r="D44" s="536">
        <v>39</v>
      </c>
      <c r="E44" s="496" t="str">
        <f t="array" ref="E44">IF($D44&gt;Calc1!$B$14,"",ROW(39:39)-SUM((($L$6:$L43="")+($N$6:$N43="")&gt;0)*1))</f>
        <v/>
      </c>
      <c r="F44" s="175" t="str">
        <f>IF(OR($V$15,$D44&gt;Calc1!$B$14),"",$S$5+QUOTIENT(($E44-1),$V$11)*($S$7+$S$9)/1440+SUM($P$6:$P43)/1440)</f>
        <v/>
      </c>
      <c r="G44" s="177" t="str">
        <f>IF(OR($V$15,$D44&gt;Calc1!$B$14),"",MOD($E44-1,$V$11)+1)</f>
        <v/>
      </c>
      <c r="H44" s="312" t="str">
        <f t="shared" ca="1" si="0"/>
        <v/>
      </c>
      <c r="I44" s="334" t="str">
        <f ca="1"/>
        <v/>
      </c>
      <c r="J44" s="335" t="s">
        <v>4</v>
      </c>
      <c r="K44" s="336" t="str">
        <f ca="1"/>
        <v/>
      </c>
      <c r="L44" s="181" t="str">
        <f t="shared" ca="1" si="1"/>
        <v/>
      </c>
      <c r="M44" s="182" t="s">
        <v>4</v>
      </c>
      <c r="N44" s="183" t="str">
        <f t="shared" ca="1" si="2"/>
        <v/>
      </c>
      <c r="O44" s="778"/>
      <c r="P44" s="774"/>
      <c r="R44" s="466"/>
    </row>
    <row r="45" spans="2:59" ht="17.25" customHeight="1" x14ac:dyDescent="0.25">
      <c r="B45" s="797" t="s">
        <v>266</v>
      </c>
      <c r="C45" s="799" t="s">
        <v>263</v>
      </c>
      <c r="D45" s="536">
        <v>40</v>
      </c>
      <c r="E45" s="496" t="str">
        <f t="array" ref="E45">IF($D45&gt;Calc1!$B$14,"",ROW(40:40)-SUM((($L$6:$L44="")+($N$6:$N44="")&gt;0)*1))</f>
        <v/>
      </c>
      <c r="F45" s="175" t="str">
        <f>IF(OR($V$15,$D45&gt;Calc1!$B$14),"",$S$5+QUOTIENT(($E45-1),$V$11)*($S$7+$S$9)/1440+SUM($P$6:$P44)/1440)</f>
        <v/>
      </c>
      <c r="G45" s="177" t="str">
        <f>IF(OR($V$15,$D45&gt;Calc1!$B$14),"",MOD($E45-1,$V$11)+1)</f>
        <v/>
      </c>
      <c r="H45" s="312" t="str">
        <f t="shared" ca="1" si="0"/>
        <v/>
      </c>
      <c r="I45" s="334" t="str">
        <f ca="1"/>
        <v/>
      </c>
      <c r="J45" s="335" t="s">
        <v>4</v>
      </c>
      <c r="K45" s="336" t="str">
        <f ca="1"/>
        <v/>
      </c>
      <c r="L45" s="50" t="str">
        <f t="shared" ca="1" si="1"/>
        <v/>
      </c>
      <c r="M45" s="48" t="s">
        <v>4</v>
      </c>
      <c r="N45" s="49" t="str">
        <f t="shared" ca="1" si="2"/>
        <v/>
      </c>
      <c r="O45" s="778"/>
      <c r="P45" s="774"/>
      <c r="R45" s="466"/>
    </row>
    <row r="46" spans="2:59" ht="17.25" customHeight="1" x14ac:dyDescent="0.25">
      <c r="B46" s="798"/>
      <c r="C46" s="800"/>
      <c r="D46" s="536">
        <v>41</v>
      </c>
      <c r="E46" s="496" t="str">
        <f t="array" ref="E46">IF($D46&gt;Calc1!$B$14,"",ROW(41:41)-SUM((($L$6:$L45="")+($N$6:$N45="")&gt;0)*1))</f>
        <v/>
      </c>
      <c r="F46" s="175" t="str">
        <f>IF(OR($V$15,$D46&gt;Calc1!$B$14),"",$S$5+QUOTIENT(($E46-1),$V$11)*($S$7+$S$9)/1440+SUM($P$6:$P45)/1440)</f>
        <v/>
      </c>
      <c r="G46" s="177" t="str">
        <f>IF(OR($V$15,$D46&gt;Calc1!$B$14),"",MOD($E46-1,$V$11)+1)</f>
        <v/>
      </c>
      <c r="H46" s="312" t="str">
        <f t="shared" ca="1" si="0"/>
        <v/>
      </c>
      <c r="I46" s="334" t="str">
        <f ca="1"/>
        <v/>
      </c>
      <c r="J46" s="335" t="s">
        <v>4</v>
      </c>
      <c r="K46" s="336" t="str">
        <f ca="1"/>
        <v/>
      </c>
      <c r="L46" s="181" t="str">
        <f t="shared" ca="1" si="1"/>
        <v/>
      </c>
      <c r="M46" s="182" t="s">
        <v>4</v>
      </c>
      <c r="N46" s="183" t="str">
        <f t="shared" ca="1" si="2"/>
        <v/>
      </c>
      <c r="O46" s="778"/>
      <c r="P46" s="774"/>
      <c r="R46" s="466"/>
    </row>
    <row r="47" spans="2:59" ht="17.25" customHeight="1" x14ac:dyDescent="0.25">
      <c r="B47" s="797" t="s">
        <v>269</v>
      </c>
      <c r="C47" s="799" t="s">
        <v>264</v>
      </c>
      <c r="D47" s="536">
        <v>42</v>
      </c>
      <c r="E47" s="496" t="str">
        <f t="array" ref="E47">IF($D47&gt;Calc1!$B$14,"",ROW(42:42)-SUM((($L$6:$L46="")+($N$6:$N46="")&gt;0)*1))</f>
        <v/>
      </c>
      <c r="F47" s="175" t="str">
        <f>IF(OR($V$15,$D47&gt;Calc1!$B$14),"",$S$5+QUOTIENT(($E47-1),$V$11)*($S$7+$S$9)/1440+SUM($P$6:$P46)/1440)</f>
        <v/>
      </c>
      <c r="G47" s="177" t="str">
        <f>IF(OR($V$15,$D47&gt;Calc1!$B$14),"",MOD($E47-1,$V$11)+1)</f>
        <v/>
      </c>
      <c r="H47" s="313" t="str">
        <f t="shared" ca="1" si="0"/>
        <v/>
      </c>
      <c r="I47" s="334" t="str">
        <f ca="1"/>
        <v/>
      </c>
      <c r="J47" s="335" t="s">
        <v>4</v>
      </c>
      <c r="K47" s="336" t="str">
        <f ca="1"/>
        <v/>
      </c>
      <c r="L47" s="50" t="str">
        <f t="shared" ca="1" si="1"/>
        <v/>
      </c>
      <c r="M47" s="48" t="s">
        <v>4</v>
      </c>
      <c r="N47" s="49" t="str">
        <f t="shared" ca="1" si="2"/>
        <v/>
      </c>
      <c r="O47" s="778"/>
      <c r="P47" s="774"/>
      <c r="R47" s="466"/>
    </row>
    <row r="48" spans="2:59" ht="17.25" customHeight="1" x14ac:dyDescent="0.25">
      <c r="B48" s="798"/>
      <c r="C48" s="800"/>
      <c r="D48" s="536">
        <v>43</v>
      </c>
      <c r="E48" s="496" t="str">
        <f t="array" ref="E48">IF($D48&gt;Calc1!$B$14,"",ROW(43:43)-SUM((($L$6:$L47="")+($N$6:$N47="")&gt;0)*1))</f>
        <v/>
      </c>
      <c r="F48" s="175" t="str">
        <f>IF(OR($V$15,$D48&gt;Calc1!$B$14),"",$S$5+QUOTIENT(($E48-1),$V$11)*($S$7+$S$9)/1440+SUM($P$6:$P47)/1440)</f>
        <v/>
      </c>
      <c r="G48" s="177" t="str">
        <f>IF(OR($V$15,$D48&gt;Calc1!$B$14),"",MOD($E48-1,$V$11)+1)</f>
        <v/>
      </c>
      <c r="H48" s="313" t="str">
        <f t="shared" ca="1" si="0"/>
        <v/>
      </c>
      <c r="I48" s="334" t="str">
        <f ca="1"/>
        <v/>
      </c>
      <c r="J48" s="335" t="s">
        <v>4</v>
      </c>
      <c r="K48" s="336" t="str">
        <f ca="1"/>
        <v/>
      </c>
      <c r="L48" s="50" t="str">
        <f t="shared" ca="1" si="1"/>
        <v/>
      </c>
      <c r="M48" s="48" t="s">
        <v>4</v>
      </c>
      <c r="N48" s="49" t="str">
        <f t="shared" ca="1" si="2"/>
        <v/>
      </c>
      <c r="O48" s="778"/>
      <c r="P48" s="774"/>
      <c r="R48" s="466"/>
    </row>
    <row r="49" spans="2:18" ht="17.25" customHeight="1" x14ac:dyDescent="0.25">
      <c r="B49" s="797" t="s">
        <v>270</v>
      </c>
      <c r="C49" s="799" t="s">
        <v>265</v>
      </c>
      <c r="D49" s="536">
        <v>44</v>
      </c>
      <c r="E49" s="496" t="str">
        <f t="array" ref="E49">IF($D49&gt;Calc1!$B$14,"",ROW(44:44)-SUM((($L$6:$L48="")+($N$6:$N48="")&gt;0)*1))</f>
        <v/>
      </c>
      <c r="F49" s="175" t="str">
        <f>IF(OR($V$15,$D49&gt;Calc1!$B$14),"",$S$5+QUOTIENT(($E49-1),$V$11)*($S$7+$S$9)/1440+SUM($P$6:$P48)/1440)</f>
        <v/>
      </c>
      <c r="G49" s="177" t="str">
        <f>IF(OR($V$15,$D49&gt;Calc1!$B$14),"",MOD($E49-1,$V$11)+1)</f>
        <v/>
      </c>
      <c r="H49" s="312" t="str">
        <f t="shared" ca="1" si="0"/>
        <v/>
      </c>
      <c r="I49" s="334" t="str">
        <f ca="1"/>
        <v/>
      </c>
      <c r="J49" s="335" t="s">
        <v>4</v>
      </c>
      <c r="K49" s="336" t="str">
        <f ca="1"/>
        <v/>
      </c>
      <c r="L49" s="181" t="str">
        <f t="shared" ca="1" si="1"/>
        <v/>
      </c>
      <c r="M49" s="182" t="s">
        <v>4</v>
      </c>
      <c r="N49" s="183" t="str">
        <f t="shared" ca="1" si="2"/>
        <v/>
      </c>
      <c r="O49" s="778"/>
      <c r="P49" s="774"/>
      <c r="R49" s="466"/>
    </row>
    <row r="50" spans="2:18" ht="18" customHeight="1" thickBot="1" x14ac:dyDescent="0.3">
      <c r="B50" s="798"/>
      <c r="C50" s="800"/>
      <c r="D50" s="536">
        <v>45</v>
      </c>
      <c r="E50" s="497" t="str">
        <f t="array" ref="E50">IF($D50&gt;Calc1!$B$14,"",ROW(45:45)-SUM((($L$6:$L49="")+($N$6:$N49="")&gt;0)*1))</f>
        <v/>
      </c>
      <c r="F50" s="178" t="str">
        <f>IF(OR($V$15,$D50&gt;Calc1!$B$14),"",$S$5+QUOTIENT(($E50-1),$V$11)*($S$7+$S$9)/1440+SUM($P$6:$P49)/1440)</f>
        <v/>
      </c>
      <c r="G50" s="179" t="str">
        <f>IF(OR($V$15,$D50&gt;Calc1!$B$14),"",MOD($E50-1,$V$11)+1)</f>
        <v/>
      </c>
      <c r="H50" s="318" t="str">
        <f t="shared" ca="1" si="0"/>
        <v/>
      </c>
      <c r="I50" s="337" t="str">
        <f ca="1"/>
        <v/>
      </c>
      <c r="J50" s="338" t="s">
        <v>4</v>
      </c>
      <c r="K50" s="339" t="str">
        <f ca="1"/>
        <v/>
      </c>
      <c r="L50" s="256" t="str">
        <f ca="1">IF($I50="","",IF(VLOOKUP($I50,$B$7:$C$52,2,0)="","",VLOOKUP($I50,$B$7:$C$52,2,0)))</f>
        <v/>
      </c>
      <c r="M50" s="180" t="s">
        <v>4</v>
      </c>
      <c r="N50" s="257" t="str">
        <f ca="1">IF($K50="","",IF(VLOOKUP($K50,$B$7:$C$52,2,0)="","",VLOOKUP($K50,$B$7:$C$52,2,0)))</f>
        <v/>
      </c>
      <c r="O50" s="375"/>
      <c r="P50" s="776"/>
      <c r="Q50" s="602">
        <f ca="1">OFFSET($P$6,Calc1!$B$14-1,0)</f>
        <v>0</v>
      </c>
      <c r="R50" s="466"/>
    </row>
    <row r="51" spans="2:18" ht="16.5" customHeight="1" thickTop="1" x14ac:dyDescent="0.25">
      <c r="B51" s="797" t="s">
        <v>271</v>
      </c>
      <c r="C51" s="799"/>
      <c r="R51" s="466"/>
    </row>
    <row r="52" spans="2:18" ht="16.5" customHeight="1" thickBot="1" x14ac:dyDescent="0.3">
      <c r="B52" s="801"/>
      <c r="C52" s="802"/>
      <c r="R52" s="466"/>
    </row>
    <row r="53" spans="2:18" ht="16.5" customHeight="1" thickTop="1" x14ac:dyDescent="0.25">
      <c r="R53" s="466"/>
    </row>
    <row r="54" spans="2:18" x14ac:dyDescent="0.25"/>
    <row r="55" spans="2:18" hidden="1" x14ac:dyDescent="0.25"/>
    <row r="56" spans="2:18" hidden="1" x14ac:dyDescent="0.25"/>
    <row r="57" spans="2:18" hidden="1" x14ac:dyDescent="0.25"/>
  </sheetData>
  <sheetProtection sheet="1" selectLockedCells="1"/>
  <mergeCells count="69">
    <mergeCell ref="B32:B33"/>
    <mergeCell ref="C32:C33"/>
    <mergeCell ref="B22:B23"/>
    <mergeCell ref="C22:C23"/>
    <mergeCell ref="B24:B25"/>
    <mergeCell ref="C24:C25"/>
    <mergeCell ref="B26:B27"/>
    <mergeCell ref="C26:C27"/>
    <mergeCell ref="B15:B16"/>
    <mergeCell ref="C15:C16"/>
    <mergeCell ref="C28:C29"/>
    <mergeCell ref="B30:B31"/>
    <mergeCell ref="C30:C31"/>
    <mergeCell ref="R23:T24"/>
    <mergeCell ref="S9:S10"/>
    <mergeCell ref="T9:T10"/>
    <mergeCell ref="B11:B12"/>
    <mergeCell ref="C11:C12"/>
    <mergeCell ref="R11:R12"/>
    <mergeCell ref="S11:S12"/>
    <mergeCell ref="T11:T12"/>
    <mergeCell ref="B9:B10"/>
    <mergeCell ref="C9:C10"/>
    <mergeCell ref="R9:R10"/>
    <mergeCell ref="R13:R14"/>
    <mergeCell ref="S13:S14"/>
    <mergeCell ref="T13:T14"/>
    <mergeCell ref="B17:B18"/>
    <mergeCell ref="C17:C18"/>
    <mergeCell ref="R5:R6"/>
    <mergeCell ref="S5:S6"/>
    <mergeCell ref="T5:T6"/>
    <mergeCell ref="B7:B8"/>
    <mergeCell ref="C7:C8"/>
    <mergeCell ref="R7:R8"/>
    <mergeCell ref="S7:S8"/>
    <mergeCell ref="T7:T8"/>
    <mergeCell ref="B41:B42"/>
    <mergeCell ref="C41:C42"/>
    <mergeCell ref="E2:N2"/>
    <mergeCell ref="E4:F4"/>
    <mergeCell ref="P4:P5"/>
    <mergeCell ref="B5:B6"/>
    <mergeCell ref="C5:C6"/>
    <mergeCell ref="I5:K5"/>
    <mergeCell ref="L5:N5"/>
    <mergeCell ref="B13:B14"/>
    <mergeCell ref="C13:C14"/>
    <mergeCell ref="B20:B21"/>
    <mergeCell ref="C20:C21"/>
    <mergeCell ref="B34:B35"/>
    <mergeCell ref="C34:C35"/>
    <mergeCell ref="B28:B29"/>
    <mergeCell ref="R26:T26"/>
    <mergeCell ref="R27:T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s>
  <conditionalFormatting sqref="R23:T24">
    <cfRule type="expression" dxfId="42" priority="42">
      <formula>$S$11&gt;$V$11</formula>
    </cfRule>
  </conditionalFormatting>
  <conditionalFormatting sqref="C7:C18 C24:C35 C41:C52">
    <cfRule type="duplicateValues" dxfId="41" priority="6"/>
  </conditionalFormatting>
  <conditionalFormatting sqref="H6:H50">
    <cfRule type="expression" dxfId="40" priority="3">
      <formula>$H6="??"</formula>
    </cfRule>
  </conditionalFormatting>
  <conditionalFormatting sqref="E6:N50">
    <cfRule type="expression" dxfId="39" priority="405">
      <formula>AND($L6&lt;&gt;"",$N6&lt;&gt;"",OR($E6=$S$25,$E6=$T$25),NOT($V$15))</formula>
    </cfRule>
    <cfRule type="expression" dxfId="38"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S5:S6" xr:uid="{ABADACB9-80D4-41E7-9EE7-5D7969913C18}">
      <formula1>0</formula1>
      <formula2>0.999305555555556</formula2>
    </dataValidation>
    <dataValidation type="whole" allowBlank="1" showInputMessage="1" showErrorMessage="1" sqref="S11:S12" xr:uid="{0240EE7E-BDB9-4DC0-97E3-48C8F4218C8A}">
      <formula1>1</formula1>
      <formula2>6</formula2>
    </dataValidation>
    <dataValidation type="whole" allowBlank="1" showInputMessage="1" showErrorMessage="1" sqref="S9:S10" xr:uid="{1488E6B3-9147-4B3B-A84A-C90AFC62EE8F}">
      <formula1>0</formula1>
      <formula2>120</formula2>
    </dataValidation>
    <dataValidation type="whole" allowBlank="1" showInputMessage="1" showErrorMessage="1" sqref="S7:S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R22:T22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7" customWidth="1"/>
    <col min="2" max="2" width="4.5703125" style="47" customWidth="1"/>
    <col min="3" max="3" width="32.7109375" style="47" customWidth="1"/>
    <col min="4" max="6" width="11.7109375" style="47" customWidth="1"/>
    <col min="7" max="12" width="6.85546875" style="47" customWidth="1"/>
    <col min="13" max="13" width="32.7109375" style="47" customWidth="1"/>
    <col min="14" max="14" width="4.85546875" style="47" customWidth="1"/>
    <col min="15" max="16384" width="11.42578125" style="47" hidden="1"/>
  </cols>
  <sheetData>
    <row r="1" spans="2:13" x14ac:dyDescent="0.2"/>
    <row r="2" spans="2:13" ht="33.75" x14ac:dyDescent="0.2">
      <c r="B2" s="976" t="str">
        <f>Language!$E$7</f>
        <v>Direct comparisons</v>
      </c>
      <c r="C2" s="976"/>
      <c r="D2" s="976"/>
      <c r="E2" s="976"/>
      <c r="F2" s="976"/>
      <c r="G2" s="976"/>
      <c r="H2" s="976"/>
      <c r="I2" s="976"/>
      <c r="J2" s="976"/>
      <c r="K2" s="976"/>
      <c r="L2" s="976"/>
    </row>
    <row r="3" spans="2:13" ht="42.75" customHeight="1" x14ac:dyDescent="0.2">
      <c r="B3" s="977" t="str">
        <f>Language!$E$56&amp;" C"</f>
        <v>Preliminary round group C</v>
      </c>
      <c r="C3" s="977"/>
      <c r="D3" s="977"/>
      <c r="E3" s="977"/>
      <c r="F3" s="977"/>
      <c r="G3" s="977"/>
      <c r="H3" s="977"/>
      <c r="I3" s="977"/>
      <c r="J3" s="977"/>
      <c r="K3" s="977"/>
      <c r="L3" s="977"/>
    </row>
    <row r="4" spans="2:13" ht="17.25" customHeight="1" x14ac:dyDescent="0.2">
      <c r="B4" s="978" t="str">
        <f>Language!$E$94</f>
        <v>Red font means that the ranking is not clear even with the direct comparison. A playoff match or drawing of lots must decide here.</v>
      </c>
      <c r="C4" s="978"/>
      <c r="D4" s="978"/>
      <c r="E4" s="978"/>
      <c r="F4" s="978"/>
      <c r="G4" s="978"/>
      <c r="H4" s="978"/>
      <c r="I4" s="978"/>
      <c r="J4" s="978"/>
      <c r="K4" s="978"/>
      <c r="L4" s="978"/>
      <c r="M4" s="978"/>
    </row>
    <row r="5" spans="2:13" ht="17.25" customHeight="1" thickBot="1" x14ac:dyDescent="0.25">
      <c r="B5" s="121"/>
      <c r="C5" s="121"/>
      <c r="D5" s="121"/>
      <c r="E5" s="121"/>
      <c r="F5" s="121"/>
      <c r="G5" s="121"/>
      <c r="H5" s="121"/>
      <c r="I5" s="121"/>
      <c r="J5" s="121"/>
      <c r="K5" s="121"/>
      <c r="L5" s="121"/>
    </row>
    <row r="6" spans="2:13" ht="21.95" customHeight="1" thickBot="1" x14ac:dyDescent="0.25">
      <c r="G6" s="150" t="str">
        <f ca="1">IF(LEN(G7)&gt;Settings!$C$11,LEFT(G7,Settings!$C$11)&amp;".",G7)</f>
        <v/>
      </c>
      <c r="H6" s="151" t="str">
        <f ca="1">IF(LEN(H7)&gt;Settings!$C$11,LEFT(H7,Settings!$C$11)&amp;".",H7)</f>
        <v/>
      </c>
      <c r="I6" s="151" t="str">
        <f ca="1">IF(LEN(I7)&gt;Settings!$C$11,LEFT(I7,Settings!$C$11)&amp;".",I7)</f>
        <v/>
      </c>
      <c r="J6" s="151" t="str">
        <f ca="1">IF(LEN(J7)&gt;Settings!$C$11,LEFT(J7,Settings!$C$11)&amp;".",J7)</f>
        <v/>
      </c>
      <c r="K6" s="151" t="str">
        <f ca="1">IF(LEN(K7)&gt;Settings!$C$11,LEFT(K7,Settings!$C$11)&amp;".",K7)</f>
        <v/>
      </c>
      <c r="L6" s="152" t="str">
        <f ca="1">IF(LEN(L7)&gt;Settings!$C$11,LEFT(L7,Settings!$C$11)&amp;".",L7)</f>
        <v/>
      </c>
    </row>
    <row r="7" spans="2:13" ht="21.95" customHeight="1" thickTop="1" thickBot="1" x14ac:dyDescent="0.25">
      <c r="B7" s="118"/>
      <c r="C7" s="124" t="str">
        <f>Language!$E$10</f>
        <v>Participant or team</v>
      </c>
      <c r="D7" s="128" t="str">
        <f>Language!$E$27</f>
        <v>Pts</v>
      </c>
      <c r="E7" s="115" t="str">
        <f>Language!$E$26</f>
        <v>Diff.</v>
      </c>
      <c r="F7" s="153" t="str">
        <f>Language!$E$49</f>
        <v>Tie break</v>
      </c>
      <c r="G7" s="132" t="str">
        <f ca="1">C8</f>
        <v/>
      </c>
      <c r="H7" s="133" t="str">
        <f ca="1">C9</f>
        <v/>
      </c>
      <c r="I7" s="133" t="str">
        <f ca="1">C10</f>
        <v/>
      </c>
      <c r="J7" s="133" t="str">
        <f ca="1">C11</f>
        <v/>
      </c>
      <c r="K7" s="133" t="str">
        <f ca="1">C12</f>
        <v/>
      </c>
      <c r="L7" s="157" t="str">
        <f ca="1">C13</f>
        <v/>
      </c>
    </row>
    <row r="8" spans="2:13" ht="21.95" customHeight="1" x14ac:dyDescent="0.2">
      <c r="B8" s="116" t="str">
        <f ca="1">IF($C8="","",INDEX(Calc3!$E$4:$E$12,MATCH($C8,Calc3!$F$4:$F$12,0)))</f>
        <v/>
      </c>
      <c r="C8" s="125" t="str">
        <f ca="1">IF(Calc3!$K$13=0,"",Calc3!$X4)</f>
        <v/>
      </c>
      <c r="D8" s="129" t="str">
        <f ca="1">IF($C8="","",VLOOKUP($C8,Calc3!$C$17:$AC$25,25,0))</f>
        <v/>
      </c>
      <c r="E8" s="112" t="str">
        <f ca="1">IF($C8="","",VLOOKUP($C8,Calc3!$C$17:$AC$25,26,0))</f>
        <v/>
      </c>
      <c r="F8" s="523" t="str">
        <f ca="1">IF($C8="","",VLOOKUP(C8,PreliminaryRound!$AO$12:$AQ$37,3,0))</f>
        <v/>
      </c>
      <c r="G8" s="137"/>
      <c r="H8" s="112" t="str">
        <f ca="1">IFERROR(VLOOKUP($C8&amp;H$7,Calc3!$Z$64:$AB$207,3,0),"")</f>
        <v/>
      </c>
      <c r="I8" s="112" t="str">
        <f ca="1">IFERROR(VLOOKUP($C8&amp;I$7,Calc3!$Z$64:$AB$207,3,0),"")</f>
        <v/>
      </c>
      <c r="J8" s="112" t="str">
        <f ca="1">IFERROR(VLOOKUP($C8&amp;J$7,Calc3!$Z$64:$AB$207,3,0),"")</f>
        <v/>
      </c>
      <c r="K8" s="112" t="str">
        <f ca="1">IFERROR(VLOOKUP($C8&amp;K$7,Calc3!$Z$64:$AB$207,3,0),"")</f>
        <v/>
      </c>
      <c r="L8" s="158" t="str">
        <f ca="1">IFERROR(VLOOKUP($C8&amp;L$7,Calc3!$Z$64:$AB$207,3,0),"")</f>
        <v/>
      </c>
      <c r="M8" s="188" t="str">
        <f t="shared" ref="M8:M13" ca="1" si="0">C8</f>
        <v/>
      </c>
    </row>
    <row r="9" spans="2:13" ht="21.95" customHeight="1" x14ac:dyDescent="0.2">
      <c r="B9" s="116" t="str">
        <f ca="1">IF($C9="","",INDEX(Calc3!$E$4:$E$12,MATCH($C9,Calc3!$F$4:$F$12,0)))</f>
        <v/>
      </c>
      <c r="C9" s="126" t="str">
        <f ca="1">IF(Calc3!$K$13=0,"",Calc3!$X5)</f>
        <v/>
      </c>
      <c r="D9" s="130" t="str">
        <f ca="1">IF($C9="","",VLOOKUP($C9,Calc3!$C$17:$AC$25,25,0))</f>
        <v/>
      </c>
      <c r="E9" s="113" t="str">
        <f ca="1">IF($C9="","",VLOOKUP($C9,Calc3!$C$17:$AC$25,26,0))</f>
        <v/>
      </c>
      <c r="F9" s="524" t="str">
        <f ca="1">IF($C9="","",VLOOKUP(C9,PreliminaryRound!$AO$12:$AQ$37,3,0))</f>
        <v/>
      </c>
      <c r="G9" s="138" t="str">
        <f ca="1">IFERROR(VLOOKUP($C9&amp;G$7,Calc3!$Z$64:$AB$207,3,0),"")</f>
        <v/>
      </c>
      <c r="H9" s="123"/>
      <c r="I9" s="113" t="str">
        <f ca="1">IFERROR(VLOOKUP($C9&amp;I$7,Calc3!$Z$64:$AB$207,3,0),"")</f>
        <v/>
      </c>
      <c r="J9" s="113" t="str">
        <f ca="1">IFERROR(VLOOKUP($C9&amp;J$7,Calc3!$Z$64:$AB$207,3,0),"")</f>
        <v/>
      </c>
      <c r="K9" s="113" t="str">
        <f ca="1">IFERROR(VLOOKUP($C9&amp;K$7,Calc3!$Z$64:$AB$207,3,0),"")</f>
        <v/>
      </c>
      <c r="L9" s="159" t="str">
        <f ca="1">IFERROR(VLOOKUP($C9&amp;L$7,Calc3!$Z$64:$AB$207,3,0),"")</f>
        <v/>
      </c>
      <c r="M9" s="189" t="str">
        <f t="shared" ca="1" si="0"/>
        <v/>
      </c>
    </row>
    <row r="10" spans="2:13" ht="21.95" customHeight="1" x14ac:dyDescent="0.2">
      <c r="B10" s="116" t="str">
        <f ca="1">IF($C10="","",INDEX(Calc3!$E$4:$E$12,MATCH($C10,Calc3!$F$4:$F$12,0)))</f>
        <v/>
      </c>
      <c r="C10" s="126" t="str">
        <f ca="1">IF(Calc3!$K$13=0,"",Calc3!$X6)</f>
        <v/>
      </c>
      <c r="D10" s="130" t="str">
        <f ca="1">IF($C10="","",VLOOKUP($C10,Calc3!$C$17:$AC$25,25,0))</f>
        <v/>
      </c>
      <c r="E10" s="113" t="str">
        <f ca="1">IF($C10="","",VLOOKUP($C10,Calc3!$C$17:$AC$25,26,0))</f>
        <v/>
      </c>
      <c r="F10" s="524" t="str">
        <f ca="1">IF($C10="","",VLOOKUP(C10,PreliminaryRound!$AO$12:$AQ$37,3,0))</f>
        <v/>
      </c>
      <c r="G10" s="138" t="str">
        <f ca="1">IFERROR(VLOOKUP($C10&amp;G$7,Calc3!$Z$64:$AB$207,3,0),"")</f>
        <v/>
      </c>
      <c r="H10" s="113" t="str">
        <f ca="1">IFERROR(VLOOKUP($C10&amp;H$7,Calc3!$Z$64:$AB$207,3,0),"")</f>
        <v/>
      </c>
      <c r="I10" s="123"/>
      <c r="J10" s="113" t="str">
        <f ca="1">IFERROR(VLOOKUP($C10&amp;J$7,Calc3!$Z$64:$AB$207,3,0),"")</f>
        <v/>
      </c>
      <c r="K10" s="113" t="str">
        <f ca="1">IFERROR(VLOOKUP($C10&amp;K$7,Calc3!$Z$64:$AB$207,3,0),"")</f>
        <v/>
      </c>
      <c r="L10" s="159" t="str">
        <f ca="1">IFERROR(VLOOKUP($C10&amp;L$7,Calc3!$Z$64:$AB$207,3,0),"")</f>
        <v/>
      </c>
      <c r="M10" s="189" t="str">
        <f t="shared" ca="1" si="0"/>
        <v/>
      </c>
    </row>
    <row r="11" spans="2:13" ht="21.95" customHeight="1" x14ac:dyDescent="0.2">
      <c r="B11" s="116" t="str">
        <f ca="1">IF($C11="","",INDEX(Calc3!$E$4:$E$12,MATCH($C11,Calc3!$F$4:$F$12,0)))</f>
        <v/>
      </c>
      <c r="C11" s="126" t="str">
        <f ca="1">IF(Calc3!$K$13=0,"",Calc3!$X7)</f>
        <v/>
      </c>
      <c r="D11" s="130" t="str">
        <f ca="1">IF($C11="","",VLOOKUP($C11,Calc3!$C$17:$AC$25,25,0))</f>
        <v/>
      </c>
      <c r="E11" s="113" t="str">
        <f ca="1">IF($C11="","",VLOOKUP($C11,Calc3!$C$17:$AC$25,26,0))</f>
        <v/>
      </c>
      <c r="F11" s="524" t="str">
        <f ca="1">IF($C11="","",VLOOKUP(C11,PreliminaryRound!$AO$12:$AQ$37,3,0))</f>
        <v/>
      </c>
      <c r="G11" s="138" t="str">
        <f ca="1">IFERROR(VLOOKUP($C11&amp;G$7,Calc3!$Z$64:$AB$207,3,0),"")</f>
        <v/>
      </c>
      <c r="H11" s="113" t="str">
        <f ca="1">IFERROR(VLOOKUP($C11&amp;H$7,Calc3!$Z$64:$AB$207,3,0),"")</f>
        <v/>
      </c>
      <c r="I11" s="113" t="str">
        <f ca="1">IFERROR(VLOOKUP($C11&amp;I$7,Calc3!$Z$64:$AB$207,3,0),"")</f>
        <v/>
      </c>
      <c r="J11" s="123"/>
      <c r="K11" s="113" t="str">
        <f ca="1">IFERROR(VLOOKUP($C11&amp;K$7,Calc3!$Z$64:$AB$207,3,0),"")</f>
        <v/>
      </c>
      <c r="L11" s="159" t="str">
        <f ca="1">IFERROR(VLOOKUP($C11&amp;L$7,Calc3!$Z$64:$AB$207,3,0),"")</f>
        <v/>
      </c>
      <c r="M11" s="189" t="str">
        <f t="shared" ca="1" si="0"/>
        <v/>
      </c>
    </row>
    <row r="12" spans="2:13" ht="21.95" customHeight="1" x14ac:dyDescent="0.2">
      <c r="B12" s="116" t="str">
        <f ca="1">IF($C12="","",INDEX(Calc3!$E$4:$E$12,MATCH($C12,Calc3!$F$4:$F$12,0)))</f>
        <v/>
      </c>
      <c r="C12" s="126" t="str">
        <f ca="1">IF(Calc3!$K$13=0,"",Calc3!$X8)</f>
        <v/>
      </c>
      <c r="D12" s="130" t="str">
        <f ca="1">IF($C12="","",VLOOKUP($C12,Calc3!$C$17:$AC$25,25,0))</f>
        <v/>
      </c>
      <c r="E12" s="113" t="str">
        <f ca="1">IF($C12="","",VLOOKUP($C12,Calc3!$C$17:$AC$25,26,0))</f>
        <v/>
      </c>
      <c r="F12" s="524" t="str">
        <f ca="1">IF($C12="","",VLOOKUP(C12,PreliminaryRound!$AO$12:$AQ$37,3,0))</f>
        <v/>
      </c>
      <c r="G12" s="138" t="str">
        <f ca="1">IFERROR(VLOOKUP($C12&amp;G$7,Calc3!$Z$64:$AB$207,3,0),"")</f>
        <v/>
      </c>
      <c r="H12" s="113" t="str">
        <f ca="1">IFERROR(VLOOKUP($C12&amp;H$7,Calc3!$Z$64:$AB$207,3,0),"")</f>
        <v/>
      </c>
      <c r="I12" s="113" t="str">
        <f ca="1">IFERROR(VLOOKUP($C12&amp;I$7,Calc3!$Z$64:$AB$207,3,0),"")</f>
        <v/>
      </c>
      <c r="J12" s="113" t="str">
        <f ca="1">IFERROR(VLOOKUP($C12&amp;J$7,Calc3!$Z$64:$AB$207,3,0),"")</f>
        <v/>
      </c>
      <c r="K12" s="123"/>
      <c r="L12" s="159" t="str">
        <f ca="1">IFERROR(VLOOKUP($C12&amp;L$7,Calc3!$Z$64:$AB$207,3,0),"")</f>
        <v/>
      </c>
      <c r="M12" s="189" t="str">
        <f t="shared" ca="1" si="0"/>
        <v/>
      </c>
    </row>
    <row r="13" spans="2:13" ht="21.95" customHeight="1" thickBot="1" x14ac:dyDescent="0.25">
      <c r="B13" s="117" t="str">
        <f ca="1">IF($C13="","",INDEX(Calc3!$E$4:$E$12,MATCH($C13,Calc3!$F$4:$F$12,0)))</f>
        <v/>
      </c>
      <c r="C13" s="127" t="str">
        <f ca="1">IF(Calc3!$K$13=0,"",Calc3!$X9)</f>
        <v/>
      </c>
      <c r="D13" s="131" t="str">
        <f ca="1">IF($C13="","",VLOOKUP($C13,Calc3!$C$17:$AC$25,25,0))</f>
        <v/>
      </c>
      <c r="E13" s="114" t="str">
        <f ca="1">IF($C13="","",VLOOKUP($C13,Calc3!$C$17:$AC$25,26,0))</f>
        <v/>
      </c>
      <c r="F13" s="525" t="str">
        <f ca="1">IF($C13="","",VLOOKUP(C13,PreliminaryRound!$AO$12:$AQ$37,3,0))</f>
        <v/>
      </c>
      <c r="G13" s="139" t="str">
        <f ca="1">IFERROR(VLOOKUP($C13&amp;G$7,Calc3!$Z$64:$AB$207,3,0),"")</f>
        <v/>
      </c>
      <c r="H13" s="114" t="str">
        <f ca="1">IFERROR(VLOOKUP($C13&amp;H$7,Calc3!$Z$64:$AB$207,3,0),"")</f>
        <v/>
      </c>
      <c r="I13" s="114" t="str">
        <f ca="1">IFERROR(VLOOKUP($C13&amp;I$7,Calc3!$Z$64:$AB$207,3,0),"")</f>
        <v/>
      </c>
      <c r="J13" s="114" t="str">
        <f ca="1">IFERROR(VLOOKUP($C13&amp;J$7,Calc3!$Z$64:$AB$207,3,0),"")</f>
        <v/>
      </c>
      <c r="K13" s="114" t="str">
        <f ca="1">IFERROR(VLOOKUP($C13&amp;K$7,Calc3!$Z$64:$AB$207,3,0),"")</f>
        <v/>
      </c>
      <c r="L13" s="160"/>
      <c r="M13" s="190" t="str">
        <f t="shared" ca="1" si="0"/>
        <v/>
      </c>
    </row>
    <row r="14" spans="2:13" ht="42.75" customHeight="1" thickTop="1" thickBot="1" x14ac:dyDescent="0.25">
      <c r="B14" s="134"/>
      <c r="C14" s="135"/>
      <c r="D14" s="136"/>
      <c r="E14" s="122"/>
      <c r="F14" s="122"/>
      <c r="G14" s="122"/>
      <c r="H14" s="122"/>
      <c r="I14" s="122"/>
      <c r="J14" s="122"/>
      <c r="K14" s="122"/>
      <c r="L14" s="122"/>
    </row>
    <row r="15" spans="2:13" ht="21.95" customHeight="1" thickBot="1" x14ac:dyDescent="0.25">
      <c r="G15" s="150" t="str">
        <f ca="1">IF(LEN(G16)&gt;Settings!$C$11,LEFT(G16,Settings!$C$11)&amp;".",G16)</f>
        <v/>
      </c>
      <c r="H15" s="151" t="str">
        <f ca="1">IF(LEN(H16)&gt;Settings!$C$11,LEFT(H16,Settings!$C$11)&amp;".",H16)</f>
        <v/>
      </c>
      <c r="I15" s="151" t="str">
        <f ca="1">IF(LEN(I16)&gt;Settings!$C$11,LEFT(I16,Settings!$C$11)&amp;".",I16)</f>
        <v/>
      </c>
      <c r="J15" s="151" t="str">
        <f ca="1">IF(LEN(J16)&gt;Settings!$C$11,LEFT(J16,Settings!$C$11)&amp;".",J16)</f>
        <v/>
      </c>
      <c r="K15" s="151" t="str">
        <f ca="1">IF(LEN(K16)&gt;Settings!$C$11,LEFT(K16,Settings!$C$11)&amp;".",K16)</f>
        <v/>
      </c>
      <c r="L15" s="152" t="str">
        <f ca="1">IF(LEN(L16)&gt;Settings!$C$11,LEFT(L16,Settings!$C$11)&amp;".",L16)</f>
        <v/>
      </c>
    </row>
    <row r="16" spans="2:13" ht="21.95" customHeight="1" thickTop="1" thickBot="1" x14ac:dyDescent="0.25">
      <c r="B16" s="118"/>
      <c r="C16" s="124" t="str">
        <f>Language!$E$10</f>
        <v>Participant or team</v>
      </c>
      <c r="D16" s="128" t="str">
        <f>Language!$E$27</f>
        <v>Pts</v>
      </c>
      <c r="E16" s="115" t="str">
        <f>Language!$E$26</f>
        <v>Diff.</v>
      </c>
      <c r="F16" s="153" t="str">
        <f>Language!$E$49</f>
        <v>Tie break</v>
      </c>
      <c r="G16" s="132" t="str">
        <f ca="1">C17</f>
        <v/>
      </c>
      <c r="H16" s="133" t="str">
        <f ca="1">C18</f>
        <v/>
      </c>
      <c r="I16" s="133" t="str">
        <f ca="1">C19</f>
        <v/>
      </c>
      <c r="J16" s="133" t="str">
        <f ca="1">C20</f>
        <v/>
      </c>
      <c r="K16" s="133" t="str">
        <f ca="1">C21</f>
        <v/>
      </c>
      <c r="L16" s="157" t="str">
        <f ca="1">C22</f>
        <v/>
      </c>
    </row>
    <row r="17" spans="2:13" ht="21.95" customHeight="1" x14ac:dyDescent="0.2">
      <c r="B17" s="116" t="str">
        <f ca="1">IF($C17="","",INDEX(Calc3!$E$4:$E$12,MATCH($C17,Calc3!$F$4:$F$12,0)))</f>
        <v/>
      </c>
      <c r="C17" s="125" t="str">
        <f ca="1">IF(Calc3!$K$13=0,"",Calc3!$AC4)</f>
        <v/>
      </c>
      <c r="D17" s="129" t="str">
        <f ca="1">IF($C17="","",VLOOKUP($C17,Calc3!$C$17:$AC$25,25,0))</f>
        <v/>
      </c>
      <c r="E17" s="112" t="str">
        <f ca="1">IF($C17="","",VLOOKUP($C17,Calc3!$C$17:$AC$25,26,0))</f>
        <v/>
      </c>
      <c r="F17" s="523" t="str">
        <f ca="1">IF($C17="","",VLOOKUP(C17,PreliminaryRound!$AO$12:$AQ$37,3,0))</f>
        <v/>
      </c>
      <c r="G17" s="137"/>
      <c r="H17" s="112" t="str">
        <f ca="1">IFERROR(VLOOKUP($C17&amp;H$16,Calc3!$Z$64:$AB$207,3,0),"")</f>
        <v/>
      </c>
      <c r="I17" s="112" t="str">
        <f ca="1">IFERROR(VLOOKUP($C17&amp;I$16,Calc3!$Z$64:$AB$207,3,0),"")</f>
        <v/>
      </c>
      <c r="J17" s="112" t="str">
        <f ca="1">IFERROR(VLOOKUP($C17&amp;J$16,Calc3!$Z$64:$AB$207,3,0),"")</f>
        <v/>
      </c>
      <c r="K17" s="112" t="str">
        <f ca="1">IFERROR(VLOOKUP($C17&amp;K$16,Calc3!$Z$64:$AB$207,3,0),"")</f>
        <v/>
      </c>
      <c r="L17" s="158" t="str">
        <f ca="1">IFERROR(VLOOKUP($C17&amp;L$16,Calc3!$Z$64:$AB$207,3,0),"")</f>
        <v/>
      </c>
      <c r="M17" s="188" t="str">
        <f t="shared" ref="M17:M22" ca="1" si="1">C17</f>
        <v/>
      </c>
    </row>
    <row r="18" spans="2:13" ht="21.95" customHeight="1" x14ac:dyDescent="0.2">
      <c r="B18" s="116" t="str">
        <f ca="1">IF($C18="","",INDEX(Calc3!$E$4:$E$12,MATCH($C18,Calc3!$F$4:$F$12,0)))</f>
        <v/>
      </c>
      <c r="C18" s="126" t="str">
        <f ca="1">IF(Calc3!$K$13=0,"",Calc3!$AC5)</f>
        <v/>
      </c>
      <c r="D18" s="130" t="str">
        <f ca="1">IF($C18="","",VLOOKUP($C18,Calc3!$C$17:$AC$25,25,0))</f>
        <v/>
      </c>
      <c r="E18" s="113" t="str">
        <f ca="1">IF($C18="","",VLOOKUP($C18,Calc3!$C$17:$AC$25,26,0))</f>
        <v/>
      </c>
      <c r="F18" s="524" t="str">
        <f ca="1">IF($C18="","",VLOOKUP(C18,PreliminaryRound!$AO$12:$AQ$37,3,0))</f>
        <v/>
      </c>
      <c r="G18" s="138" t="str">
        <f ca="1">IFERROR(VLOOKUP($C18&amp;G$16,Calc3!$Z$64:$AB$207,3,0),"")</f>
        <v/>
      </c>
      <c r="H18" s="123"/>
      <c r="I18" s="113" t="str">
        <f ca="1">IFERROR(VLOOKUP($C18&amp;I$16,Calc3!$Z$64:$AB$207,3,0),"")</f>
        <v/>
      </c>
      <c r="J18" s="113" t="str">
        <f ca="1">IFERROR(VLOOKUP($C18&amp;J$16,Calc3!$Z$64:$AB$207,3,0),"")</f>
        <v/>
      </c>
      <c r="K18" s="113" t="str">
        <f ca="1">IFERROR(VLOOKUP($C18&amp;K$16,Calc3!$Z$64:$AB$207,3,0),"")</f>
        <v/>
      </c>
      <c r="L18" s="159" t="str">
        <f ca="1">IFERROR(VLOOKUP($C18&amp;L$16,Calc3!$Z$64:$AB$207,3,0),"")</f>
        <v/>
      </c>
      <c r="M18" s="189" t="str">
        <f t="shared" ca="1" si="1"/>
        <v/>
      </c>
    </row>
    <row r="19" spans="2:13" ht="21.95" customHeight="1" x14ac:dyDescent="0.2">
      <c r="B19" s="116" t="str">
        <f ca="1">IF($C19="","",INDEX(Calc3!$E$4:$E$12,MATCH($C19,Calc3!$F$4:$F$12,0)))</f>
        <v/>
      </c>
      <c r="C19" s="126" t="str">
        <f ca="1">IF(Calc3!$K$13=0,"",Calc3!$AC6)</f>
        <v/>
      </c>
      <c r="D19" s="130" t="str">
        <f ca="1">IF($C19="","",VLOOKUP($C19,Calc3!$C$17:$AC$25,25,0))</f>
        <v/>
      </c>
      <c r="E19" s="113" t="str">
        <f ca="1">IF($C19="","",VLOOKUP($C19,Calc3!$C$17:$AC$25,26,0))</f>
        <v/>
      </c>
      <c r="F19" s="524" t="str">
        <f ca="1">IF($C19="","",VLOOKUP(C19,PreliminaryRound!$AO$12:$AQ$37,3,0))</f>
        <v/>
      </c>
      <c r="G19" s="138" t="str">
        <f ca="1">IFERROR(VLOOKUP($C19&amp;G$16,Calc3!$Z$64:$AB$207,3,0),"")</f>
        <v/>
      </c>
      <c r="H19" s="113" t="str">
        <f ca="1">IFERROR(VLOOKUP($C19&amp;H$16,Calc3!$Z$64:$AB$207,3,0),"")</f>
        <v/>
      </c>
      <c r="I19" s="123"/>
      <c r="J19" s="113" t="str">
        <f ca="1">IFERROR(VLOOKUP($C19&amp;J$16,Calc3!$Z$64:$AB$207,3,0),"")</f>
        <v/>
      </c>
      <c r="K19" s="113" t="str">
        <f ca="1">IFERROR(VLOOKUP($C19&amp;K$16,Calc3!$Z$64:$AB$207,3,0),"")</f>
        <v/>
      </c>
      <c r="L19" s="159" t="str">
        <f ca="1">IFERROR(VLOOKUP($C19&amp;L$16,Calc3!$Z$64:$AB$207,3,0),"")</f>
        <v/>
      </c>
      <c r="M19" s="189" t="str">
        <f t="shared" ca="1" si="1"/>
        <v/>
      </c>
    </row>
    <row r="20" spans="2:13" ht="21.95" customHeight="1" x14ac:dyDescent="0.2">
      <c r="B20" s="116" t="str">
        <f ca="1">IF($C20="","",INDEX(Calc3!$E$4:$E$12,MATCH($C20,Calc3!$F$4:$F$12,0)))</f>
        <v/>
      </c>
      <c r="C20" s="126" t="str">
        <f ca="1">IF(Calc3!$K$13=0,"",Calc3!$AC7)</f>
        <v/>
      </c>
      <c r="D20" s="130" t="str">
        <f ca="1">IF($C20="","",VLOOKUP($C20,Calc3!$C$17:$AC$25,25,0))</f>
        <v/>
      </c>
      <c r="E20" s="113" t="str">
        <f ca="1">IF($C20="","",VLOOKUP($C20,Calc3!$C$17:$AC$25,26,0))</f>
        <v/>
      </c>
      <c r="F20" s="524" t="str">
        <f ca="1">IF($C20="","",VLOOKUP(C20,PreliminaryRound!$AO$12:$AQ$37,3,0))</f>
        <v/>
      </c>
      <c r="G20" s="138" t="str">
        <f ca="1">IFERROR(VLOOKUP($C20&amp;G$16,Calc3!$Z$64:$AB$207,3,0),"")</f>
        <v/>
      </c>
      <c r="H20" s="113" t="str">
        <f ca="1">IFERROR(VLOOKUP($C20&amp;H$16,Calc3!$Z$64:$AB$207,3,0),"")</f>
        <v/>
      </c>
      <c r="I20" s="113" t="str">
        <f ca="1">IFERROR(VLOOKUP($C20&amp;I$16,Calc3!$Z$64:$AB$207,3,0),"")</f>
        <v/>
      </c>
      <c r="J20" s="123"/>
      <c r="K20" s="113" t="str">
        <f ca="1">IFERROR(VLOOKUP($C20&amp;K$16,Calc3!$Z$64:$AB$207,3,0),"")</f>
        <v/>
      </c>
      <c r="L20" s="159" t="str">
        <f ca="1">IFERROR(VLOOKUP($C20&amp;L$16,Calc3!$Z$64:$AB$207,3,0),"")</f>
        <v/>
      </c>
      <c r="M20" s="189" t="str">
        <f t="shared" ca="1" si="1"/>
        <v/>
      </c>
    </row>
    <row r="21" spans="2:13" ht="21.95" customHeight="1" x14ac:dyDescent="0.2">
      <c r="B21" s="116" t="str">
        <f ca="1">IF($C21="","",INDEX(Calc3!$E$4:$E$12,MATCH($C21,Calc3!$F$4:$F$12,0)))</f>
        <v/>
      </c>
      <c r="C21" s="126" t="str">
        <f ca="1">IF(Calc3!$K$13=0,"",Calc3!$AC8)</f>
        <v/>
      </c>
      <c r="D21" s="130" t="str">
        <f ca="1">IF($C21="","",VLOOKUP($C21,Calc3!$C$17:$AC$25,25,0))</f>
        <v/>
      </c>
      <c r="E21" s="113" t="str">
        <f ca="1">IF($C21="","",VLOOKUP($C21,Calc3!$C$17:$AC$25,26,0))</f>
        <v/>
      </c>
      <c r="F21" s="524" t="str">
        <f ca="1">IF($C21="","",VLOOKUP(C21,PreliminaryRound!$AO$12:$AQ$37,3,0))</f>
        <v/>
      </c>
      <c r="G21" s="138" t="str">
        <f ca="1">IFERROR(VLOOKUP($C21&amp;G$16,Calc3!$Z$64:$AB$207,3,0),"")</f>
        <v/>
      </c>
      <c r="H21" s="113" t="str">
        <f ca="1">IFERROR(VLOOKUP($C21&amp;H$16,Calc3!$Z$64:$AB$207,3,0),"")</f>
        <v/>
      </c>
      <c r="I21" s="113" t="str">
        <f ca="1">IFERROR(VLOOKUP($C21&amp;I$16,Calc3!$Z$64:$AB$207,3,0),"")</f>
        <v/>
      </c>
      <c r="J21" s="113" t="str">
        <f ca="1">IFERROR(VLOOKUP($C21&amp;J$16,Calc3!$Z$64:$AB$207,3,0),"")</f>
        <v/>
      </c>
      <c r="K21" s="123"/>
      <c r="L21" s="159" t="str">
        <f ca="1">IFERROR(VLOOKUP($C21&amp;L$16,Calc3!$Z$64:$AB$207,3,0),"")</f>
        <v/>
      </c>
      <c r="M21" s="189" t="str">
        <f t="shared" ca="1" si="1"/>
        <v/>
      </c>
    </row>
    <row r="22" spans="2:13" ht="21.95" customHeight="1" thickBot="1" x14ac:dyDescent="0.25">
      <c r="B22" s="117" t="str">
        <f ca="1">IF($C22="","",INDEX(Calc3!$E$4:$E$12,MATCH($C22,Calc3!$F$4:$F$12,0)))</f>
        <v/>
      </c>
      <c r="C22" s="127" t="str">
        <f ca="1">IF(Calc3!$K$13=0,"",Calc3!$AC9)</f>
        <v/>
      </c>
      <c r="D22" s="131" t="str">
        <f ca="1">IF($C22="","",VLOOKUP($C22,Calc3!$C$17:$AC$25,25,0))</f>
        <v/>
      </c>
      <c r="E22" s="114" t="str">
        <f ca="1">IF($C22="","",VLOOKUP($C22,Calc3!$C$17:$AC$25,26,0))</f>
        <v/>
      </c>
      <c r="F22" s="525" t="str">
        <f ca="1">IF($C22="","",VLOOKUP(C22,PreliminaryRound!$AO$12:$AQ$37,3,0))</f>
        <v/>
      </c>
      <c r="G22" s="139" t="str">
        <f ca="1">IFERROR(VLOOKUP($C22&amp;G$16,Calc3!$Z$64:$AB$207,3,0),"")</f>
        <v/>
      </c>
      <c r="H22" s="114" t="str">
        <f ca="1">IFERROR(VLOOKUP($C22&amp;H$16,Calc3!$Z$64:$AB$207,3,0),"")</f>
        <v/>
      </c>
      <c r="I22" s="114" t="str">
        <f ca="1">IFERROR(VLOOKUP($C22&amp;I$16,Calc3!$Z$64:$AB$207,3,0),"")</f>
        <v/>
      </c>
      <c r="J22" s="114" t="str">
        <f ca="1">IFERROR(VLOOKUP($C22&amp;J$16,Calc3!$Z$64:$AB$207,3,0),"")</f>
        <v/>
      </c>
      <c r="K22" s="114" t="str">
        <f ca="1">IFERROR(VLOOKUP($C22&amp;K$16,Calc3!$Z$64:$AB$207,3,0),"")</f>
        <v/>
      </c>
      <c r="L22" s="160"/>
      <c r="M22" s="190" t="str">
        <f t="shared" ca="1" si="1"/>
        <v/>
      </c>
    </row>
    <row r="23" spans="2:13" ht="42.75" customHeight="1" thickTop="1" thickBot="1" x14ac:dyDescent="0.25">
      <c r="B23" s="134"/>
      <c r="C23" s="135"/>
      <c r="D23" s="136"/>
      <c r="E23" s="122"/>
      <c r="F23" s="122"/>
      <c r="G23" s="122"/>
      <c r="H23" s="122"/>
      <c r="I23" s="122"/>
      <c r="J23" s="122"/>
      <c r="K23" s="122"/>
      <c r="L23" s="122"/>
    </row>
    <row r="24" spans="2:13" ht="21.95" customHeight="1" thickBot="1" x14ac:dyDescent="0.25">
      <c r="G24" s="150" t="str">
        <f ca="1">IF(LEN(G25)&gt;Settings!$C$11,LEFT(G25,Settings!$C$11)&amp;".",G25)</f>
        <v/>
      </c>
      <c r="H24" s="151" t="str">
        <f ca="1">IF(LEN(H25)&gt;Settings!$C$11,LEFT(H25,Settings!$C$11)&amp;".",H25)</f>
        <v/>
      </c>
      <c r="I24" s="151" t="str">
        <f ca="1">IF(LEN(I25)&gt;Settings!$C$11,LEFT(I25,Settings!$C$11)&amp;".",I25)</f>
        <v/>
      </c>
      <c r="J24" s="151" t="str">
        <f ca="1">IF(LEN(J25)&gt;Settings!$C$11,LEFT(J25,Settings!$C$11)&amp;".",J25)</f>
        <v/>
      </c>
      <c r="K24" s="151" t="str">
        <f ca="1">IF(LEN(K25)&gt;Settings!$C$11,LEFT(K25,Settings!$C$11)&amp;".",K25)</f>
        <v/>
      </c>
      <c r="L24" s="152" t="str">
        <f ca="1">IF(LEN(L25)&gt;Settings!$C$11,LEFT(L25,Settings!$C$11)&amp;".",L25)</f>
        <v/>
      </c>
    </row>
    <row r="25" spans="2:13" ht="21.95" customHeight="1" thickTop="1" thickBot="1" x14ac:dyDescent="0.25">
      <c r="B25" s="118"/>
      <c r="C25" s="124" t="str">
        <f>Language!$E$10</f>
        <v>Participant or team</v>
      </c>
      <c r="D25" s="128" t="str">
        <f>Language!$E$27</f>
        <v>Pts</v>
      </c>
      <c r="E25" s="115" t="str">
        <f>Language!$E$26</f>
        <v>Diff.</v>
      </c>
      <c r="F25" s="153" t="str">
        <f>Language!$E$49</f>
        <v>Tie break</v>
      </c>
      <c r="G25" s="132" t="str">
        <f ca="1">C26</f>
        <v/>
      </c>
      <c r="H25" s="133" t="str">
        <f ca="1">C27</f>
        <v/>
      </c>
      <c r="I25" s="133" t="str">
        <f ca="1">C28</f>
        <v/>
      </c>
      <c r="J25" s="133" t="str">
        <f ca="1">C29</f>
        <v/>
      </c>
      <c r="K25" s="133" t="str">
        <f ca="1">C30</f>
        <v/>
      </c>
      <c r="L25" s="157" t="str">
        <f ca="1">C31</f>
        <v/>
      </c>
    </row>
    <row r="26" spans="2:13" ht="21.95" customHeight="1" x14ac:dyDescent="0.2">
      <c r="B26" s="116" t="str">
        <f ca="1">IF($C26="","",INDEX(Calc3!$E$4:$E$12,MATCH($C26,Calc3!$F$4:$F$12,0)))</f>
        <v/>
      </c>
      <c r="C26" s="125" t="str">
        <f ca="1">IF(Calc3!$K$13=0,"",Calc3!$AH4)</f>
        <v/>
      </c>
      <c r="D26" s="129" t="str">
        <f ca="1">IF($C26="","",VLOOKUP($C26,Calc3!$C$17:$AC$25,25,0))</f>
        <v/>
      </c>
      <c r="E26" s="112" t="str">
        <f ca="1">IF($C26="","",VLOOKUP($C26,Calc3!$C$17:$AC$25,26,0))</f>
        <v/>
      </c>
      <c r="F26" s="523" t="str">
        <f ca="1">IF($C26="","",VLOOKUP(C26,PreliminaryRound!$AO$12:$AQ$37,3,0))</f>
        <v/>
      </c>
      <c r="G26" s="137"/>
      <c r="H26" s="112" t="str">
        <f ca="1">IFERROR(VLOOKUP($C26&amp;H$25,Calc3!$Z$64:$AB$207,3,0),"")</f>
        <v/>
      </c>
      <c r="I26" s="112" t="str">
        <f ca="1">IFERROR(VLOOKUP($C26&amp;I$25,Calc3!$Z$64:$AB$207,3,0),"")</f>
        <v/>
      </c>
      <c r="J26" s="112" t="str">
        <f ca="1">IFERROR(VLOOKUP($C26&amp;J$25,Calc3!$Z$64:$AB$207,3,0),"")</f>
        <v/>
      </c>
      <c r="K26" s="112" t="str">
        <f ca="1">IFERROR(VLOOKUP($C26&amp;K$25,Calc3!$Z$64:$AB$207,3,0),"")</f>
        <v/>
      </c>
      <c r="L26" s="158" t="str">
        <f ca="1">IFERROR(VLOOKUP($C26&amp;L$25,Calc3!$Z$64:$AB$207,3,0),"")</f>
        <v/>
      </c>
      <c r="M26" s="188" t="str">
        <f t="shared" ref="M26:M31" ca="1" si="2">C26</f>
        <v/>
      </c>
    </row>
    <row r="27" spans="2:13" ht="21.95" customHeight="1" x14ac:dyDescent="0.2">
      <c r="B27" s="116" t="str">
        <f ca="1">IF($C27="","",INDEX(Calc3!$E$4:$E$12,MATCH($C27,Calc3!$F$4:$F$12,0)))</f>
        <v/>
      </c>
      <c r="C27" s="126" t="str">
        <f ca="1">IF(Calc3!$K$13=0,"",Calc3!$AH5)</f>
        <v/>
      </c>
      <c r="D27" s="130" t="str">
        <f ca="1">IF($C27="","",VLOOKUP($C27,Calc3!$C$17:$AC$25,25,0))</f>
        <v/>
      </c>
      <c r="E27" s="113" t="str">
        <f ca="1">IF($C27="","",VLOOKUP($C27,Calc3!$C$17:$AC$25,26,0))</f>
        <v/>
      </c>
      <c r="F27" s="524" t="str">
        <f ca="1">IF($C27="","",VLOOKUP(C27,PreliminaryRound!$AO$12:$AQ$37,3,0))</f>
        <v/>
      </c>
      <c r="G27" s="138" t="str">
        <f ca="1">IFERROR(VLOOKUP($C27&amp;G$25,Calc3!$Z$64:$AB$207,3,0),"")</f>
        <v/>
      </c>
      <c r="H27" s="123"/>
      <c r="I27" s="113" t="str">
        <f ca="1">IFERROR(VLOOKUP($C27&amp;I$25,Calc3!$Z$64:$AB$207,3,0),"")</f>
        <v/>
      </c>
      <c r="J27" s="113" t="str">
        <f ca="1">IFERROR(VLOOKUP($C27&amp;J$25,Calc3!$Z$64:$AB$207,3,0),"")</f>
        <v/>
      </c>
      <c r="K27" s="113" t="str">
        <f ca="1">IFERROR(VLOOKUP($C27&amp;K$25,Calc3!$Z$64:$AB$207,3,0),"")</f>
        <v/>
      </c>
      <c r="L27" s="159" t="str">
        <f ca="1">IFERROR(VLOOKUP($C27&amp;L$25,Calc3!$Z$64:$AB$207,3,0),"")</f>
        <v/>
      </c>
      <c r="M27" s="189" t="str">
        <f t="shared" ca="1" si="2"/>
        <v/>
      </c>
    </row>
    <row r="28" spans="2:13" ht="21.95" customHeight="1" x14ac:dyDescent="0.2">
      <c r="B28" s="116" t="str">
        <f ca="1">IF($C28="","",INDEX(Calc3!$E$4:$E$12,MATCH($C28,Calc3!$F$4:$F$12,0)))</f>
        <v/>
      </c>
      <c r="C28" s="126" t="str">
        <f ca="1">IF(Calc3!$K$13=0,"",Calc3!$AH6)</f>
        <v/>
      </c>
      <c r="D28" s="130" t="str">
        <f ca="1">IF($C28="","",VLOOKUP($C28,Calc3!$C$17:$AC$25,25,0))</f>
        <v/>
      </c>
      <c r="E28" s="113" t="str">
        <f ca="1">IF($C28="","",VLOOKUP($C28,Calc3!$C$17:$AC$25,26,0))</f>
        <v/>
      </c>
      <c r="F28" s="524" t="str">
        <f ca="1">IF($C28="","",VLOOKUP(C28,PreliminaryRound!$AO$12:$AQ$37,3,0))</f>
        <v/>
      </c>
      <c r="G28" s="138" t="str">
        <f ca="1">IFERROR(VLOOKUP($C28&amp;G$25,Calc3!$Z$64:$AB$207,3,0),"")</f>
        <v/>
      </c>
      <c r="H28" s="113" t="str">
        <f ca="1">IFERROR(VLOOKUP($C28&amp;H$25,Calc3!$Z$64:$AB$207,3,0),"")</f>
        <v/>
      </c>
      <c r="I28" s="123"/>
      <c r="J28" s="113" t="str">
        <f ca="1">IFERROR(VLOOKUP($C28&amp;J$25,Calc3!$Z$64:$AB$207,3,0),"")</f>
        <v/>
      </c>
      <c r="K28" s="113" t="str">
        <f ca="1">IFERROR(VLOOKUP($C28&amp;K$25,Calc3!$Z$64:$AB$207,3,0),"")</f>
        <v/>
      </c>
      <c r="L28" s="159" t="str">
        <f ca="1">IFERROR(VLOOKUP($C28&amp;L$25,Calc3!$Z$64:$AB$207,3,0),"")</f>
        <v/>
      </c>
      <c r="M28" s="189" t="str">
        <f t="shared" ca="1" si="2"/>
        <v/>
      </c>
    </row>
    <row r="29" spans="2:13" ht="21.95" customHeight="1" x14ac:dyDescent="0.2">
      <c r="B29" s="116" t="str">
        <f ca="1">IF($C29="","",INDEX(Calc3!$E$4:$E$12,MATCH($C29,Calc3!$F$4:$F$12,0)))</f>
        <v/>
      </c>
      <c r="C29" s="126" t="str">
        <f ca="1">IF(Calc3!$K$13=0,"",Calc3!$AH7)</f>
        <v/>
      </c>
      <c r="D29" s="130" t="str">
        <f ca="1">IF($C29="","",VLOOKUP($C29,Calc3!$C$17:$AC$25,25,0))</f>
        <v/>
      </c>
      <c r="E29" s="113" t="str">
        <f ca="1">IF($C29="","",VLOOKUP($C29,Calc3!$C$17:$AC$25,26,0))</f>
        <v/>
      </c>
      <c r="F29" s="524" t="str">
        <f ca="1">IF($C29="","",VLOOKUP(C29,PreliminaryRound!$AO$12:$AQ$37,3,0))</f>
        <v/>
      </c>
      <c r="G29" s="138" t="str">
        <f ca="1">IFERROR(VLOOKUP($C29&amp;G$25,Calc3!$Z$64:$AB$207,3,0),"")</f>
        <v/>
      </c>
      <c r="H29" s="113" t="str">
        <f ca="1">IFERROR(VLOOKUP($C29&amp;H$25,Calc3!$Z$64:$AB$207,3,0),"")</f>
        <v/>
      </c>
      <c r="I29" s="113" t="str">
        <f ca="1">IFERROR(VLOOKUP($C29&amp;I$25,Calc3!$Z$64:$AB$207,3,0),"")</f>
        <v/>
      </c>
      <c r="J29" s="123"/>
      <c r="K29" s="113" t="str">
        <f ca="1">IFERROR(VLOOKUP($C29&amp;K$25,Calc3!$Z$64:$AB$207,3,0),"")</f>
        <v/>
      </c>
      <c r="L29" s="159" t="str">
        <f ca="1">IFERROR(VLOOKUP($C29&amp;L$25,Calc3!$Z$64:$AB$207,3,0),"")</f>
        <v/>
      </c>
      <c r="M29" s="189" t="str">
        <f t="shared" ca="1" si="2"/>
        <v/>
      </c>
    </row>
    <row r="30" spans="2:13" ht="21.95" customHeight="1" x14ac:dyDescent="0.2">
      <c r="B30" s="116" t="str">
        <f ca="1">IF($C30="","",INDEX(Calc3!$E$4:$E$12,MATCH($C30,Calc3!$F$4:$F$12,0)))</f>
        <v/>
      </c>
      <c r="C30" s="126" t="str">
        <f ca="1">IF(Calc3!$K$13=0,"",Calc3!$AH8)</f>
        <v/>
      </c>
      <c r="D30" s="130" t="str">
        <f ca="1">IF($C30="","",VLOOKUP($C30,Calc3!$C$17:$AC$25,25,0))</f>
        <v/>
      </c>
      <c r="E30" s="113" t="str">
        <f ca="1">IF($C30="","",VLOOKUP($C30,Calc3!$C$17:$AC$25,26,0))</f>
        <v/>
      </c>
      <c r="F30" s="524" t="str">
        <f ca="1">IF($C30="","",VLOOKUP(C30,PreliminaryRound!$AO$12:$AQ$37,3,0))</f>
        <v/>
      </c>
      <c r="G30" s="138" t="str">
        <f ca="1">IFERROR(VLOOKUP($C30&amp;G$25,Calc3!$Z$64:$AB$207,3,0),"")</f>
        <v/>
      </c>
      <c r="H30" s="113" t="str">
        <f ca="1">IFERROR(VLOOKUP($C30&amp;H$25,Calc3!$Z$64:$AB$207,3,0),"")</f>
        <v/>
      </c>
      <c r="I30" s="113" t="str">
        <f ca="1">IFERROR(VLOOKUP($C30&amp;I$25,Calc3!$Z$64:$AB$207,3,0),"")</f>
        <v/>
      </c>
      <c r="J30" s="113" t="str">
        <f ca="1">IFERROR(VLOOKUP($C30&amp;J$25,Calc3!$Z$64:$AB$207,3,0),"")</f>
        <v/>
      </c>
      <c r="K30" s="123"/>
      <c r="L30" s="159" t="str">
        <f ca="1">IFERROR(VLOOKUP($C30&amp;L$25,Calc3!$Z$64:$AB$207,3,0),"")</f>
        <v/>
      </c>
      <c r="M30" s="189" t="str">
        <f t="shared" ca="1" si="2"/>
        <v/>
      </c>
    </row>
    <row r="31" spans="2:13" ht="21.95" customHeight="1" thickBot="1" x14ac:dyDescent="0.25">
      <c r="B31" s="117" t="str">
        <f ca="1">IF($C31="","",INDEX(Calc3!$E$4:$E$12,MATCH($C31,Calc3!$F$4:$F$12,0)))</f>
        <v/>
      </c>
      <c r="C31" s="127" t="str">
        <f ca="1">IF(Calc3!$K$13=0,"",Calc3!$AH9)</f>
        <v/>
      </c>
      <c r="D31" s="131" t="str">
        <f ca="1">IF($C31="","",VLOOKUP($C31,Calc3!$C$17:$AC$25,25,0))</f>
        <v/>
      </c>
      <c r="E31" s="114" t="str">
        <f ca="1">IF($C31="","",VLOOKUP($C31,Calc3!$C$17:$AC$25,26,0))</f>
        <v/>
      </c>
      <c r="F31" s="525" t="str">
        <f ca="1">IF($C31="","",VLOOKUP(C31,PreliminaryRound!$AO$12:$AQ$37,3,0))</f>
        <v/>
      </c>
      <c r="G31" s="139" t="str">
        <f ca="1">IFERROR(VLOOKUP($C31&amp;G$25,Calc3!$Z$64:$AB$207,3,0),"")</f>
        <v/>
      </c>
      <c r="H31" s="114" t="str">
        <f ca="1">IFERROR(VLOOKUP($C31&amp;H$25,Calc3!$Z$64:$AB$207,3,0),"")</f>
        <v/>
      </c>
      <c r="I31" s="114" t="str">
        <f ca="1">IFERROR(VLOOKUP($C31&amp;I$25,Calc3!$Z$64:$AB$207,3,0),"")</f>
        <v/>
      </c>
      <c r="J31" s="114" t="str">
        <f ca="1">IFERROR(VLOOKUP($C31&amp;J$25,Calc3!$Z$64:$AB$207,3,0),"")</f>
        <v/>
      </c>
      <c r="K31" s="114" t="str">
        <f ca="1">IFERROR(VLOOKUP($C31&amp;K$25,Calc3!$Z$64:$AB$207,3,0),"")</f>
        <v/>
      </c>
      <c r="L31" s="160"/>
      <c r="M31" s="190" t="str">
        <f t="shared" ca="1" si="2"/>
        <v/>
      </c>
    </row>
    <row r="32" spans="2:13" ht="42.75" customHeight="1" thickTop="1" thickBot="1" x14ac:dyDescent="0.25"/>
    <row r="33" spans="2:13" ht="21.95" customHeight="1" thickBot="1" x14ac:dyDescent="0.25">
      <c r="G33" s="150" t="str">
        <f ca="1">IF(LEN(G34)&gt;Settings!$C$11,LEFT(G34,Settings!$C$11)&amp;".",G34)</f>
        <v/>
      </c>
      <c r="H33" s="151" t="str">
        <f ca="1">IF(LEN(H34)&gt;Settings!$C$11,LEFT(H34,Settings!$C$11)&amp;".",H34)</f>
        <v/>
      </c>
      <c r="I33" s="151" t="str">
        <f ca="1">IF(LEN(I34)&gt;Settings!$C$11,LEFT(I34,Settings!$C$11)&amp;".",I34)</f>
        <v/>
      </c>
      <c r="J33" s="151" t="str">
        <f ca="1">IF(LEN(J34)&gt;Settings!$C$11,LEFT(J34,Settings!$C$11)&amp;".",J34)</f>
        <v/>
      </c>
      <c r="K33" s="151" t="str">
        <f ca="1">IF(LEN(K34)&gt;Settings!$C$11,LEFT(K34,Settings!$C$11)&amp;".",K34)</f>
        <v/>
      </c>
      <c r="L33" s="152" t="str">
        <f ca="1">IF(LEN(L34)&gt;Settings!$C$11,LEFT(L34,Settings!$C$11)&amp;".",L34)</f>
        <v/>
      </c>
    </row>
    <row r="34" spans="2:13" ht="21.95" customHeight="1" thickTop="1" thickBot="1" x14ac:dyDescent="0.25">
      <c r="B34" s="118"/>
      <c r="C34" s="124" t="str">
        <f>Language!$E$10</f>
        <v>Participant or team</v>
      </c>
      <c r="D34" s="128" t="str">
        <f>Language!$E$27</f>
        <v>Pts</v>
      </c>
      <c r="E34" s="115" t="str">
        <f>Language!$E$26</f>
        <v>Diff.</v>
      </c>
      <c r="F34" s="153" t="str">
        <f>Language!$E$49</f>
        <v>Tie break</v>
      </c>
      <c r="G34" s="132" t="str">
        <f ca="1">C35</f>
        <v/>
      </c>
      <c r="H34" s="133" t="str">
        <f ca="1">C36</f>
        <v/>
      </c>
      <c r="I34" s="133" t="str">
        <f ca="1">C37</f>
        <v/>
      </c>
      <c r="J34" s="133" t="str">
        <f ca="1">C38</f>
        <v/>
      </c>
      <c r="K34" s="133" t="str">
        <f ca="1">C39</f>
        <v/>
      </c>
      <c r="L34" s="157" t="str">
        <f ca="1">C40</f>
        <v/>
      </c>
    </row>
    <row r="35" spans="2:13" ht="21.95" customHeight="1" x14ac:dyDescent="0.2">
      <c r="B35" s="116" t="str">
        <f ca="1">IF($C35="","",INDEX(Calc3!$E$4:$E$12,MATCH($C35,Calc3!$F$4:$F$12,0)))</f>
        <v/>
      </c>
      <c r="C35" s="125" t="str">
        <f ca="1">IF(Calc3!$K$13=0,"",Calc3!$AM4)</f>
        <v/>
      </c>
      <c r="D35" s="129" t="str">
        <f ca="1">IF($C35="","",VLOOKUP($C35,Calc3!$C$17:$AC$25,25,0))</f>
        <v/>
      </c>
      <c r="E35" s="112" t="str">
        <f ca="1">IF($C35="","",VLOOKUP($C35,Calc3!$C$17:$AC$25,26,0))</f>
        <v/>
      </c>
      <c r="F35" s="523" t="str">
        <f ca="1">IF($C35="","",VLOOKUP(C35,PreliminaryRound!$AO$12:$AQ$37,3,0))</f>
        <v/>
      </c>
      <c r="G35" s="137"/>
      <c r="H35" s="112" t="str">
        <f ca="1">IFERROR(VLOOKUP($C35&amp;H$34,Calc3!$Z$64:$AB$207,3,0),"")</f>
        <v/>
      </c>
      <c r="I35" s="112" t="str">
        <f ca="1">IFERROR(VLOOKUP($C35&amp;I$34,Calc3!$Z$64:$AB$207,3,0),"")</f>
        <v/>
      </c>
      <c r="J35" s="112" t="str">
        <f ca="1">IFERROR(VLOOKUP($C35&amp;J$34,Calc3!$Z$64:$AB$207,3,0),"")</f>
        <v/>
      </c>
      <c r="K35" s="112" t="str">
        <f ca="1">IFERROR(VLOOKUP($C35&amp;K$34,Calc3!$Z$64:$AB$207,3,0),"")</f>
        <v/>
      </c>
      <c r="L35" s="158" t="str">
        <f ca="1">IFERROR(VLOOKUP($C35&amp;L$34,Calc3!$Z$64:$AB$207,3,0),"")</f>
        <v/>
      </c>
      <c r="M35" s="188" t="str">
        <f t="shared" ref="M35:M40" ca="1" si="3">C35</f>
        <v/>
      </c>
    </row>
    <row r="36" spans="2:13" ht="21.95" customHeight="1" x14ac:dyDescent="0.2">
      <c r="B36" s="116" t="str">
        <f ca="1">IF($C36="","",INDEX(Calc3!$E$4:$E$12,MATCH($C36,Calc3!$F$4:$F$12,0)))</f>
        <v/>
      </c>
      <c r="C36" s="126" t="str">
        <f ca="1">IF(Calc3!$K$13=0,"",Calc3!$AM5)</f>
        <v/>
      </c>
      <c r="D36" s="130" t="str">
        <f ca="1">IF($C36="","",VLOOKUP($C36,Calc3!$C$17:$AC$25,25,0))</f>
        <v/>
      </c>
      <c r="E36" s="113" t="str">
        <f ca="1">IF($C36="","",VLOOKUP($C36,Calc3!$C$17:$AC$25,26,0))</f>
        <v/>
      </c>
      <c r="F36" s="524" t="str">
        <f ca="1">IF($C36="","",VLOOKUP(C36,PreliminaryRound!$AO$12:$AQ$37,3,0))</f>
        <v/>
      </c>
      <c r="G36" s="138" t="str">
        <f ca="1">IFERROR(VLOOKUP($C36&amp;G$34,Calc3!$Z$64:$AB$207,3,0),"")</f>
        <v/>
      </c>
      <c r="H36" s="123"/>
      <c r="I36" s="113" t="str">
        <f ca="1">IFERROR(VLOOKUP($C36&amp;I$34,Calc3!$Z$64:$AB$207,3,0),"")</f>
        <v/>
      </c>
      <c r="J36" s="113" t="str">
        <f ca="1">IFERROR(VLOOKUP($C36&amp;J$34,Calc3!$Z$64:$AB$207,3,0),"")</f>
        <v/>
      </c>
      <c r="K36" s="113" t="str">
        <f ca="1">IFERROR(VLOOKUP($C36&amp;K$34,Calc3!$Z$64:$AB$207,3,0),"")</f>
        <v/>
      </c>
      <c r="L36" s="159" t="str">
        <f ca="1">IFERROR(VLOOKUP($C36&amp;L$34,Calc3!$Z$64:$AB$207,3,0),"")</f>
        <v/>
      </c>
      <c r="M36" s="189" t="str">
        <f t="shared" ca="1" si="3"/>
        <v/>
      </c>
    </row>
    <row r="37" spans="2:13" ht="21.95" customHeight="1" x14ac:dyDescent="0.2">
      <c r="B37" s="116" t="str">
        <f ca="1">IF($C37="","",INDEX(Calc3!$E$4:$E$12,MATCH($C37,Calc3!$F$4:$F$12,0)))</f>
        <v/>
      </c>
      <c r="C37" s="126" t="str">
        <f ca="1">IF(Calc3!$K$13=0,"",Calc3!$AM6)</f>
        <v/>
      </c>
      <c r="D37" s="130" t="str">
        <f ca="1">IF($C37="","",VLOOKUP($C37,Calc3!$C$17:$AC$25,25,0))</f>
        <v/>
      </c>
      <c r="E37" s="113" t="str">
        <f ca="1">IF($C37="","",VLOOKUP($C37,Calc3!$C$17:$AC$25,26,0))</f>
        <v/>
      </c>
      <c r="F37" s="524" t="str">
        <f ca="1">IF($C37="","",VLOOKUP(C37,PreliminaryRound!$AO$12:$AQ$37,3,0))</f>
        <v/>
      </c>
      <c r="G37" s="138" t="str">
        <f ca="1">IFERROR(VLOOKUP($C37&amp;G$34,Calc3!$Z$64:$AB$207,3,0),"")</f>
        <v/>
      </c>
      <c r="H37" s="113" t="str">
        <f ca="1">IFERROR(VLOOKUP($C37&amp;H$34,Calc3!$Z$64:$AB$207,3,0),"")</f>
        <v/>
      </c>
      <c r="I37" s="123"/>
      <c r="J37" s="113" t="str">
        <f ca="1">IFERROR(VLOOKUP($C37&amp;J$34,Calc3!$Z$64:$AB$207,3,0),"")</f>
        <v/>
      </c>
      <c r="K37" s="113" t="str">
        <f ca="1">IFERROR(VLOOKUP($C37&amp;K$34,Calc3!$Z$64:$AB$207,3,0),"")</f>
        <v/>
      </c>
      <c r="L37" s="159" t="str">
        <f ca="1">IFERROR(VLOOKUP($C37&amp;L$34,Calc3!$Z$64:$AB$207,3,0),"")</f>
        <v/>
      </c>
      <c r="M37" s="189" t="str">
        <f t="shared" ca="1" si="3"/>
        <v/>
      </c>
    </row>
    <row r="38" spans="2:13" ht="21.95" customHeight="1" x14ac:dyDescent="0.2">
      <c r="B38" s="116" t="str">
        <f ca="1">IF($C38="","",INDEX(Calc3!$E$4:$E$12,MATCH($C38,Calc3!$F$4:$F$12,0)))</f>
        <v/>
      </c>
      <c r="C38" s="126" t="str">
        <f ca="1">IF(Calc3!$K$13=0,"",Calc3!$AM7)</f>
        <v/>
      </c>
      <c r="D38" s="130" t="str">
        <f ca="1">IF($C38="","",VLOOKUP($C38,Calc3!$C$17:$AC$25,25,0))</f>
        <v/>
      </c>
      <c r="E38" s="113" t="str">
        <f ca="1">IF($C38="","",VLOOKUP($C38,Calc3!$C$17:$AC$25,26,0))</f>
        <v/>
      </c>
      <c r="F38" s="524" t="str">
        <f ca="1">IF($C38="","",VLOOKUP(C38,PreliminaryRound!$AO$12:$AQ$37,3,0))</f>
        <v/>
      </c>
      <c r="G38" s="138" t="str">
        <f ca="1">IFERROR(VLOOKUP($C38&amp;G$34,Calc3!$Z$64:$AB$207,3,0),"")</f>
        <v/>
      </c>
      <c r="H38" s="113" t="str">
        <f ca="1">IFERROR(VLOOKUP($C38&amp;H$34,Calc3!$Z$64:$AB$207,3,0),"")</f>
        <v/>
      </c>
      <c r="I38" s="113" t="str">
        <f ca="1">IFERROR(VLOOKUP($C38&amp;I$34,Calc3!$Z$64:$AB$207,3,0),"")</f>
        <v/>
      </c>
      <c r="J38" s="123"/>
      <c r="K38" s="113" t="str">
        <f ca="1">IFERROR(VLOOKUP($C38&amp;K$34,Calc3!$Z$64:$AB$207,3,0),"")</f>
        <v/>
      </c>
      <c r="L38" s="159" t="str">
        <f ca="1">IFERROR(VLOOKUP($C38&amp;L$34,Calc3!$Z$64:$AB$207,3,0),"")</f>
        <v/>
      </c>
      <c r="M38" s="189" t="str">
        <f t="shared" ca="1" si="3"/>
        <v/>
      </c>
    </row>
    <row r="39" spans="2:13" ht="21.95" customHeight="1" x14ac:dyDescent="0.2">
      <c r="B39" s="116" t="str">
        <f ca="1">IF($C39="","",INDEX(Calc3!$E$4:$E$12,MATCH($C39,Calc3!$F$4:$F$12,0)))</f>
        <v/>
      </c>
      <c r="C39" s="126" t="str">
        <f ca="1">IF(Calc3!$K$13=0,"",Calc3!$AM8)</f>
        <v/>
      </c>
      <c r="D39" s="130" t="str">
        <f ca="1">IF($C39="","",VLOOKUP($C39,Calc3!$C$17:$AC$25,25,0))</f>
        <v/>
      </c>
      <c r="E39" s="113" t="str">
        <f ca="1">IF($C39="","",VLOOKUP($C39,Calc3!$C$17:$AC$25,26,0))</f>
        <v/>
      </c>
      <c r="F39" s="524" t="str">
        <f ca="1">IF($C39="","",VLOOKUP(C39,PreliminaryRound!$AO$12:$AQ$37,3,0))</f>
        <v/>
      </c>
      <c r="G39" s="138" t="str">
        <f ca="1">IFERROR(VLOOKUP($C39&amp;G$34,Calc3!$Z$64:$AB$207,3,0),"")</f>
        <v/>
      </c>
      <c r="H39" s="113" t="str">
        <f ca="1">IFERROR(VLOOKUP($C39&amp;H$34,Calc3!$Z$64:$AB$207,3,0),"")</f>
        <v/>
      </c>
      <c r="I39" s="113" t="str">
        <f ca="1">IFERROR(VLOOKUP($C39&amp;I$34,Calc3!$Z$64:$AB$207,3,0),"")</f>
        <v/>
      </c>
      <c r="J39" s="113" t="str">
        <f ca="1">IFERROR(VLOOKUP($C39&amp;J$34,Calc3!$Z$64:$AB$207,3,0),"")</f>
        <v/>
      </c>
      <c r="K39" s="123"/>
      <c r="L39" s="159" t="str">
        <f ca="1">IFERROR(VLOOKUP($C39&amp;L$34,Calc3!$Z$64:$AB$207,3,0),"")</f>
        <v/>
      </c>
      <c r="M39" s="189" t="str">
        <f t="shared" ca="1" si="3"/>
        <v/>
      </c>
    </row>
    <row r="40" spans="2:13" ht="21.95" customHeight="1" thickBot="1" x14ac:dyDescent="0.25">
      <c r="B40" s="117" t="str">
        <f ca="1">IF($C40="","",INDEX(Calc3!$E$4:$E$12,MATCH($C40,Calc3!$F$4:$F$12,0)))</f>
        <v/>
      </c>
      <c r="C40" s="127" t="str">
        <f ca="1">IF(Calc3!$K$13=0,"",Calc3!$AM9)</f>
        <v/>
      </c>
      <c r="D40" s="131" t="str">
        <f ca="1">IF($C40="","",VLOOKUP($C40,Calc3!$C$17:$AC$25,25,0))</f>
        <v/>
      </c>
      <c r="E40" s="114" t="str">
        <f ca="1">IF($C40="","",VLOOKUP($C40,Calc3!$C$17:$AC$25,26,0))</f>
        <v/>
      </c>
      <c r="F40" s="525" t="str">
        <f ca="1">IF($C40="","",VLOOKUP(C40,PreliminaryRound!$AO$12:$AQ$37,3,0))</f>
        <v/>
      </c>
      <c r="G40" s="139" t="str">
        <f ca="1">IFERROR(VLOOKUP($C40&amp;G$34,Calc3!$Z$64:$AB$207,3,0),"")</f>
        <v/>
      </c>
      <c r="H40" s="114" t="str">
        <f ca="1">IFERROR(VLOOKUP($C40&amp;H$34,Calc3!$Z$64:$AB$207,3,0),"")</f>
        <v/>
      </c>
      <c r="I40" s="114" t="str">
        <f ca="1">IFERROR(VLOOKUP($C40&amp;I$34,Calc3!$Z$64:$AB$207,3,0),"")</f>
        <v/>
      </c>
      <c r="J40" s="114" t="str">
        <f ca="1">IFERROR(VLOOKUP($C40&amp;J$34,Calc3!$Z$64:$AB$207,3,0),"")</f>
        <v/>
      </c>
      <c r="K40" s="114" t="str">
        <f ca="1">IFERROR(VLOOKUP($C40&amp;K$34,Calc3!$Z$64:$AB$207,3,0),"")</f>
        <v/>
      </c>
      <c r="L40" s="160"/>
      <c r="M40" s="190"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3"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Q31"/>
  <sheetViews>
    <sheetView showGridLines="0" showRowColHeaders="0" workbookViewId="0">
      <selection activeCell="L12" sqref="L12"/>
    </sheetView>
  </sheetViews>
  <sheetFormatPr baseColWidth="10" defaultColWidth="0" defaultRowHeight="12.75" customHeight="1" zeroHeight="1" x14ac:dyDescent="0.2"/>
  <cols>
    <col min="1" max="1" width="2.85546875" style="47" customWidth="1"/>
    <col min="2" max="2" width="3.5703125" style="47" customWidth="1"/>
    <col min="3" max="3" width="5.28515625" style="47" customWidth="1"/>
    <col min="4" max="4" width="11.42578125" style="47" customWidth="1"/>
    <col min="5" max="5" width="9.140625" style="47" customWidth="1"/>
    <col min="6" max="6" width="5.7109375" style="47" customWidth="1"/>
    <col min="7" max="7" width="2.28515625" style="47" customWidth="1"/>
    <col min="8" max="8" width="5.7109375" style="47" customWidth="1"/>
    <col min="9" max="9" width="28.7109375" style="47" customWidth="1"/>
    <col min="10" max="10" width="2.85546875" style="47" customWidth="1"/>
    <col min="11" max="11" width="28.7109375" style="47" customWidth="1"/>
    <col min="12" max="12" width="4.7109375" style="47" customWidth="1"/>
    <col min="13" max="13" width="2.28515625" style="47" customWidth="1"/>
    <col min="14" max="15" width="4.7109375" style="47" customWidth="1"/>
    <col min="16" max="16" width="2.28515625" style="47" customWidth="1"/>
    <col min="17" max="18" width="4.7109375" style="47" customWidth="1"/>
    <col min="19" max="19" width="2.28515625" style="47" customWidth="1"/>
    <col min="20" max="20" width="4.7109375" style="47" customWidth="1"/>
    <col min="21" max="21" width="15.7109375" style="47" customWidth="1"/>
    <col min="22" max="22" width="8" style="47" customWidth="1"/>
    <col min="23" max="23" width="6" style="47" customWidth="1"/>
    <col min="24" max="24" width="6.7109375" customWidth="1"/>
    <col min="25" max="25" width="36.7109375" customWidth="1"/>
    <col min="26" max="29" width="6.7109375" customWidth="1"/>
    <col min="30" max="30" width="5.7109375" customWidth="1"/>
    <col min="31" max="31" width="2" customWidth="1"/>
    <col min="32" max="32" width="5.7109375" customWidth="1"/>
    <col min="33" max="34" width="6.7109375" customWidth="1"/>
    <col min="35" max="35" width="4.42578125" customWidth="1"/>
    <col min="36" max="36" width="6.28515625" hidden="1" customWidth="1"/>
    <col min="37" max="37" width="17.140625" hidden="1" customWidth="1"/>
    <col min="38" max="38" width="15.85546875" hidden="1" customWidth="1"/>
    <col min="39" max="39" width="8.42578125" hidden="1" customWidth="1"/>
    <col min="40" max="41" width="9.28515625" hidden="1" customWidth="1"/>
    <col min="42" max="42" width="6" hidden="1" customWidth="1"/>
    <col min="43" max="43" width="5.85546875" hidden="1" customWidth="1"/>
    <col min="44" max="16384" width="11.42578125" hidden="1"/>
  </cols>
  <sheetData>
    <row r="1" spans="1:43" ht="13.5" thickBot="1" x14ac:dyDescent="0.25"/>
    <row r="2" spans="1:43" ht="36.75" thickTop="1" x14ac:dyDescent="0.2">
      <c r="G2" s="936" t="str">
        <f>PreliminaryRound!$G$2</f>
        <v>International tournament U10 on Apr. 17th, 2025</v>
      </c>
      <c r="H2" s="937"/>
      <c r="I2" s="937"/>
      <c r="J2" s="937"/>
      <c r="K2" s="937"/>
      <c r="L2" s="937"/>
      <c r="M2" s="937"/>
      <c r="N2" s="937"/>
      <c r="O2" s="937"/>
      <c r="P2" s="937"/>
      <c r="Q2" s="937"/>
      <c r="R2" s="937"/>
      <c r="S2" s="937"/>
      <c r="T2" s="937"/>
      <c r="U2" s="937"/>
      <c r="V2" s="937"/>
      <c r="W2" s="937"/>
      <c r="X2" s="937"/>
      <c r="Y2" s="937"/>
      <c r="Z2" s="938"/>
    </row>
    <row r="3" spans="1:43" ht="30" customHeight="1" x14ac:dyDescent="0.2">
      <c r="G3" s="939" t="str">
        <f>PreliminaryRound!$G$3</f>
        <v>Organizer:  1. FC Riedwald</v>
      </c>
      <c r="H3" s="940"/>
      <c r="I3" s="940"/>
      <c r="J3" s="940"/>
      <c r="K3" s="940"/>
      <c r="L3" s="940"/>
      <c r="M3" s="940"/>
      <c r="N3" s="940"/>
      <c r="O3" s="940"/>
      <c r="P3" s="940"/>
      <c r="Q3" s="940"/>
      <c r="R3" s="940"/>
      <c r="S3" s="940"/>
      <c r="T3" s="940"/>
      <c r="U3" s="940"/>
      <c r="V3" s="940"/>
      <c r="W3" s="940"/>
      <c r="X3" s="940"/>
      <c r="Y3" s="940"/>
      <c r="Z3" s="941"/>
    </row>
    <row r="4" spans="1:43" ht="30" customHeight="1" x14ac:dyDescent="0.2">
      <c r="G4" s="942" t="str">
        <f>PreliminaryRound!$G$4</f>
        <v>Sports hall Wiesengrund, Wendiger Str. 51, 65432 Riedwald</v>
      </c>
      <c r="H4" s="943"/>
      <c r="I4" s="943"/>
      <c r="J4" s="943"/>
      <c r="K4" s="943"/>
      <c r="L4" s="943"/>
      <c r="M4" s="943"/>
      <c r="N4" s="943"/>
      <c r="O4" s="943"/>
      <c r="P4" s="943"/>
      <c r="Q4" s="943"/>
      <c r="R4" s="943"/>
      <c r="S4" s="943"/>
      <c r="T4" s="943"/>
      <c r="U4" s="943"/>
      <c r="V4" s="943"/>
      <c r="W4" s="943"/>
      <c r="X4" s="943"/>
      <c r="Y4" s="943"/>
      <c r="Z4" s="944"/>
    </row>
    <row r="5" spans="1:43" ht="30" customHeight="1" thickBot="1" x14ac:dyDescent="0.25">
      <c r="G5" s="945" t="str">
        <f>PreliminaryRound!$G$5</f>
        <v>Start:  9:00 a.m.</v>
      </c>
      <c r="H5" s="946"/>
      <c r="I5" s="946"/>
      <c r="J5" s="946"/>
      <c r="K5" s="946"/>
      <c r="L5" s="946"/>
      <c r="M5" s="946"/>
      <c r="N5" s="946"/>
      <c r="O5" s="946"/>
      <c r="P5" s="946"/>
      <c r="Q5" s="946"/>
      <c r="R5" s="946"/>
      <c r="S5" s="946"/>
      <c r="T5" s="946"/>
      <c r="U5" s="946"/>
      <c r="V5" s="946"/>
      <c r="W5" s="946"/>
      <c r="X5" s="946"/>
      <c r="Y5" s="946"/>
      <c r="Z5" s="947"/>
    </row>
    <row r="6" spans="1:43" ht="18" customHeight="1" thickTop="1" thickBot="1" x14ac:dyDescent="0.25"/>
    <row r="7" spans="1:43" ht="30" customHeight="1" thickTop="1" x14ac:dyDescent="0.2">
      <c r="J7" s="948" t="str">
        <f>Language!$E$19</f>
        <v>Final round</v>
      </c>
      <c r="K7" s="949"/>
      <c r="L7" s="949"/>
      <c r="M7" s="949"/>
      <c r="N7" s="949"/>
      <c r="O7" s="949"/>
      <c r="P7" s="949"/>
      <c r="Q7" s="949"/>
      <c r="R7" s="949"/>
      <c r="S7" s="949"/>
      <c r="T7" s="949"/>
      <c r="U7" s="949"/>
      <c r="V7" s="949"/>
      <c r="W7" s="949"/>
      <c r="X7" s="950"/>
    </row>
    <row r="8" spans="1:43" ht="30" customHeight="1" thickBot="1" x14ac:dyDescent="0.25">
      <c r="J8" s="979"/>
      <c r="K8" s="980"/>
      <c r="L8" s="980"/>
      <c r="M8" s="980"/>
      <c r="N8" s="980"/>
      <c r="O8" s="980"/>
      <c r="P8" s="980"/>
      <c r="Q8" s="980"/>
      <c r="R8" s="980"/>
      <c r="S8" s="980"/>
      <c r="T8" s="980"/>
      <c r="U8" s="980"/>
      <c r="V8" s="980"/>
      <c r="W8" s="952"/>
      <c r="X8" s="953"/>
      <c r="AA8" s="104"/>
      <c r="AB8" s="104"/>
      <c r="AC8" s="104"/>
      <c r="AD8" s="104"/>
      <c r="AE8" s="104"/>
      <c r="AF8" s="104"/>
      <c r="AG8" s="104"/>
      <c r="AH8" s="104"/>
    </row>
    <row r="9" spans="1:43" ht="12.6" customHeight="1" thickTop="1" x14ac:dyDescent="0.2">
      <c r="B9" s="416"/>
      <c r="C9" s="416"/>
      <c r="D9" s="416"/>
      <c r="E9" s="416"/>
      <c r="F9" s="416"/>
      <c r="G9" s="416"/>
      <c r="H9" s="416"/>
      <c r="I9" s="416"/>
      <c r="J9" s="416"/>
      <c r="K9" s="416"/>
      <c r="L9" s="416"/>
      <c r="M9" s="416"/>
      <c r="N9" s="416"/>
      <c r="O9" s="416"/>
      <c r="P9" s="416"/>
      <c r="Q9" s="416"/>
      <c r="R9" s="416"/>
      <c r="S9" s="416"/>
      <c r="T9" s="416"/>
      <c r="U9" s="416"/>
      <c r="V9" s="547"/>
      <c r="AA9" s="104"/>
      <c r="AB9" s="576"/>
      <c r="AC9" s="576"/>
      <c r="AD9" s="576"/>
      <c r="AE9" s="576"/>
      <c r="AF9" s="576"/>
      <c r="AG9" s="576"/>
      <c r="AH9" s="576"/>
      <c r="AI9" s="552"/>
    </row>
    <row r="10" spans="1:43" ht="27.95" customHeight="1" thickBot="1" x14ac:dyDescent="0.45">
      <c r="B10" s="416"/>
      <c r="C10" s="968" t="str">
        <f>Language!$E$53</f>
        <v>Semi-finals</v>
      </c>
      <c r="D10" s="968"/>
      <c r="E10" s="968"/>
      <c r="V10" s="815" t="str">
        <f>Language!$E$20</f>
        <v>Addit. Pause (min)</v>
      </c>
      <c r="X10" s="898" t="str">
        <f>Language!$E$60</f>
        <v>Runners-up</v>
      </c>
      <c r="Y10" s="898"/>
      <c r="Z10" s="201"/>
      <c r="AA10" s="201"/>
      <c r="AB10" s="577"/>
      <c r="AC10" s="577"/>
      <c r="AD10" s="577"/>
      <c r="AE10" s="577"/>
      <c r="AF10" s="577"/>
      <c r="AG10" s="577"/>
      <c r="AH10" s="577"/>
      <c r="AI10" s="552"/>
    </row>
    <row r="11" spans="1:43" ht="24" customHeight="1" thickTop="1" thickBot="1" x14ac:dyDescent="0.25">
      <c r="B11" s="545"/>
      <c r="C11" s="399" t="str">
        <f>Language!$E$9</f>
        <v>No.</v>
      </c>
      <c r="D11" s="353" t="str">
        <f>Language!$E$39</f>
        <v>Start:</v>
      </c>
      <c r="E11" s="347" t="str">
        <f>Language!$E$48</f>
        <v>Field</v>
      </c>
      <c r="F11" s="927" t="str">
        <f>Language!$E$34</f>
        <v>Pairings</v>
      </c>
      <c r="G11" s="928"/>
      <c r="H11" s="929"/>
      <c r="I11" s="858" t="str">
        <f>Language!$E$14</f>
        <v>Match pairing</v>
      </c>
      <c r="J11" s="841"/>
      <c r="K11" s="859"/>
      <c r="L11" s="981" t="str">
        <f>Language!$E$78</f>
        <v>1st set</v>
      </c>
      <c r="M11" s="895"/>
      <c r="N11" s="895"/>
      <c r="O11" s="895" t="str">
        <f>Language!$E$79</f>
        <v>2nd set</v>
      </c>
      <c r="P11" s="895"/>
      <c r="Q11" s="895"/>
      <c r="R11" s="895" t="str">
        <f>Language!$E$81</f>
        <v>3rd set</v>
      </c>
      <c r="S11" s="895"/>
      <c r="T11" s="896"/>
      <c r="U11" s="773" t="str">
        <f>Language!$E$125</f>
        <v>Referee</v>
      </c>
      <c r="V11" s="816"/>
      <c r="X11" s="531"/>
      <c r="Y11" s="505" t="str">
        <f>Language!$E$10</f>
        <v>Participant or team</v>
      </c>
      <c r="Z11" s="450" t="str">
        <f>Language!$E$21</f>
        <v>Pld</v>
      </c>
      <c r="AA11" s="538" t="str">
        <f>Language!$E$22</f>
        <v>W</v>
      </c>
      <c r="AB11" s="538" t="str">
        <f>Language!$E$23</f>
        <v>D</v>
      </c>
      <c r="AC11" s="538" t="str">
        <f>Language!$E$24</f>
        <v>L</v>
      </c>
      <c r="AD11" s="975" t="str">
        <f>Language!$E$80</f>
        <v>balls</v>
      </c>
      <c r="AE11" s="975"/>
      <c r="AF11" s="975"/>
      <c r="AG11" s="538" t="str">
        <f>IF(Settings!$G$7,Language!$E$26,Language!$E$86)</f>
        <v>Diff.</v>
      </c>
      <c r="AH11" s="451" t="str">
        <f>Language!$E$27</f>
        <v>Pts</v>
      </c>
      <c r="AI11" s="553"/>
      <c r="AK11" s="769" t="s">
        <v>436</v>
      </c>
      <c r="AL11" s="769" t="s">
        <v>437</v>
      </c>
      <c r="AM11" s="770" t="s">
        <v>438</v>
      </c>
      <c r="AN11" s="770" t="s">
        <v>439</v>
      </c>
      <c r="AO11" s="770" t="s">
        <v>440</v>
      </c>
      <c r="AP11" s="967" t="s">
        <v>396</v>
      </c>
      <c r="AQ11" s="967"/>
    </row>
    <row r="12" spans="1:43" ht="24" customHeight="1" x14ac:dyDescent="0.2">
      <c r="A12" s="340"/>
      <c r="B12" s="546"/>
      <c r="C12" s="391">
        <f t="array" aca="1" ref="C12" ca="1">46-SUM(((Planning!$L$6:$L$50="")+(Planning!$N$6:$N$50="")&gt;0)*1)</f>
        <v>31</v>
      </c>
      <c r="D12" s="394">
        <f ca="1">IF(Planning!$V$15,"",Planning!$S$13+(Planning!$S$9+Planning!$Q$50)/1440)</f>
        <v>0.61805555555555558</v>
      </c>
      <c r="E12" s="376">
        <f>IF(Planning!$V$15,"",1)</f>
        <v>1</v>
      </c>
      <c r="F12" s="555" t="s">
        <v>273</v>
      </c>
      <c r="G12" s="556" t="s">
        <v>4</v>
      </c>
      <c r="H12" s="557" t="s">
        <v>326</v>
      </c>
      <c r="I12" s="377" t="str">
        <f ca="1">VLOOKUP($F12,$X$12:$Y$20,2,0)</f>
        <v>FC Barcelona</v>
      </c>
      <c r="J12" s="154" t="s">
        <v>4</v>
      </c>
      <c r="K12" s="378" t="str">
        <f ca="1">VLOOKUP($H12,$X$12:$Y$20,2,0)</f>
        <v>SSV Wildbach</v>
      </c>
      <c r="L12" s="379">
        <v>21</v>
      </c>
      <c r="M12" s="380" t="str">
        <f>Language!$E$96</f>
        <v>-</v>
      </c>
      <c r="N12" s="751">
        <v>25</v>
      </c>
      <c r="O12" s="379">
        <v>25</v>
      </c>
      <c r="P12" s="380" t="str">
        <f>Language!$E$96</f>
        <v>-</v>
      </c>
      <c r="Q12" s="751">
        <v>22</v>
      </c>
      <c r="R12" s="379">
        <v>15</v>
      </c>
      <c r="S12" s="729" t="str">
        <f>Language!$E$96</f>
        <v>-</v>
      </c>
      <c r="T12" s="744">
        <v>12</v>
      </c>
      <c r="U12" s="792"/>
      <c r="V12" s="741"/>
      <c r="W12" s="340"/>
      <c r="X12" s="537" t="s">
        <v>326</v>
      </c>
      <c r="Y12" s="509" t="str">
        <f ca="1">IF(Calc1!$F$14&lt;3,"",IF(CalcGR2!$K$13=0,CalcGR2!$Q$64,VLOOKUP(CalcGR2!$B$4,CalcGR2!$C$4:$N$12,4,0)))</f>
        <v>SSV Wildbach</v>
      </c>
      <c r="Z12" s="510">
        <f ca="1">IF(CalcGR2!$K$13=0,"",VLOOKUP(CalcGR2!$B$4,CalcGR2!$C$4:$N$12,9,0))</f>
        <v>4</v>
      </c>
      <c r="AA12" s="511">
        <f ca="1">IF(CalcGR2!$K$13=0,"",VLOOKUP(CalcGR2!$B$4,CalcGR2!$C$4:$N$12,10,0))</f>
        <v>2</v>
      </c>
      <c r="AB12" s="511">
        <f ca="1">IF(CalcGR2!$K$13=0,"",VLOOKUP(CalcGR2!$B$4,CalcGR2!$C$4:$N$12,11,0))</f>
        <v>2</v>
      </c>
      <c r="AC12" s="511">
        <f ca="1">IF(CalcGR2!$K$13=0,"",VLOOKUP(CalcGR2!$B$4,CalcGR2!$C$4:$N$12,12,0))</f>
        <v>0</v>
      </c>
      <c r="AD12" s="512">
        <f ca="1">IF(CalcGR2!$K$13=0,"",VLOOKUP(CalcGR2!$B$4,CalcGR2!$C$4:$N$12,5,0))</f>
        <v>187</v>
      </c>
      <c r="AE12" s="513" t="str">
        <f>Language!$E$96</f>
        <v>-</v>
      </c>
      <c r="AF12" s="514">
        <f ca="1">IF(CalcGR2!$K$13=0,"",VLOOKUP(CalcGR2!$B$4,CalcGR2!$C$4:$N$12,6,0))</f>
        <v>171</v>
      </c>
      <c r="AG12" s="511">
        <f ca="1">IF(CalcGR2!$K$13=0,"",IF(VLOOKUP(CalcGR2!B4,CalcGR2!$C$4:$AR$12,42,0)=Settings!$F$7,"max",VLOOKUP(CalcGR2!B4,CalcGR2!$C$4:$AR$12,42,0)))</f>
        <v>16</v>
      </c>
      <c r="AH12" s="469">
        <f ca="1">IF(CalcGR2!$K$13=0,"",VLOOKUP(CalcGR2!$B$4,CalcGR2!$C$4:$N$12,8,0))</f>
        <v>6</v>
      </c>
      <c r="AI12" s="554"/>
      <c r="AK12" s="340" t="str">
        <f ca="1">IF(AP12&gt;AQ12,$I12,IF(AP12&lt;AQ12,$K12,""))</f>
        <v>FC Barcelona</v>
      </c>
      <c r="AL12" s="340" t="str">
        <f ca="1">IF(AP12&lt;AQ12,$I12,IF(AP12&gt;AQ12,$K12,""))</f>
        <v>SSV Wildbach</v>
      </c>
      <c r="AM12" s="340" t="b">
        <f>AND($L12&lt;&gt;"",$N12&lt;&gt;"",$O12&lt;&gt;"",$Q12&lt;&gt;"",$L12&lt;&gt;$N12,$O12&lt;&gt;$Q12,($L12&gt;$N12)+($O12&gt;$Q12)=1)</f>
        <v>1</v>
      </c>
      <c r="AN12" s="771" t="b">
        <f ca="1">AND($L12&lt;&gt;"",$N12&lt;&gt;"",$L12&lt;&gt;$N12,OR(AND($O12="",$Q12=""),AND($O12&lt;&gt;"",$Q12&lt;&gt;"",$O12&lt;&gt;$Q12)),$I12&lt;&gt;"",$K12&lt;&gt;"",$I12&lt;&gt;$K12)</f>
        <v>1</v>
      </c>
      <c r="AO12" s="340" t="b">
        <f>AND(AM12,$R12&lt;&gt;"",$T12&lt;&gt;"",$R12&lt;&gt;$T12)</f>
        <v>1</v>
      </c>
      <c r="AP12" s="771">
        <f ca="1">(($L12&gt;$N12)+($O12&gt;$Q12)+($R12&gt;$T12)*AO12)*AN12</f>
        <v>2</v>
      </c>
      <c r="AQ12" s="771">
        <f ca="1">(($L12&lt;$N12)+($O12&lt;$Q12)+($R12&lt;$T12)*AO12)*AN12</f>
        <v>1</v>
      </c>
    </row>
    <row r="13" spans="1:43" ht="24" customHeight="1" thickBot="1" x14ac:dyDescent="0.25">
      <c r="A13" s="340"/>
      <c r="B13" s="546"/>
      <c r="C13" s="393">
        <f ca="1">$C$12+1</f>
        <v>32</v>
      </c>
      <c r="D13" s="396">
        <f ca="1">IF(Planning!$V$15,"",$D$12+($V$12+(Planning!$S$9+Planning!$S$7)*($E$12=$E$13))/1440)</f>
        <v>0.61805555555555558</v>
      </c>
      <c r="E13" s="373">
        <f>IF(Planning!$V$15,"",1+(Planning!$S$11&gt;1)*1)</f>
        <v>2</v>
      </c>
      <c r="F13" s="541" t="s">
        <v>274</v>
      </c>
      <c r="G13" s="542" t="s">
        <v>4</v>
      </c>
      <c r="H13" s="543" t="s">
        <v>275</v>
      </c>
      <c r="I13" s="345" t="str">
        <f ca="1">VLOOKUP($F13,$X$12:$Y$20,2,0)</f>
        <v>Inter Mailand</v>
      </c>
      <c r="J13" s="156" t="s">
        <v>4</v>
      </c>
      <c r="K13" s="346" t="str">
        <f ca="1">VLOOKUP($H13,$X$12:$Y$20,2,0)</f>
        <v>Borussia Dortmund</v>
      </c>
      <c r="L13" s="349">
        <v>25</v>
      </c>
      <c r="M13" s="374" t="str">
        <f>Language!$E$96</f>
        <v>-</v>
      </c>
      <c r="N13" s="753">
        <v>21</v>
      </c>
      <c r="O13" s="349">
        <v>25</v>
      </c>
      <c r="P13" s="374" t="str">
        <f>Language!$E$96</f>
        <v>-</v>
      </c>
      <c r="Q13" s="753">
        <v>18</v>
      </c>
      <c r="R13" s="349"/>
      <c r="S13" s="343" t="str">
        <f>Language!$E$96</f>
        <v>-</v>
      </c>
      <c r="T13" s="344"/>
      <c r="U13" s="375"/>
      <c r="V13" s="743"/>
      <c r="W13" s="340"/>
      <c r="X13" s="455" t="s">
        <v>327</v>
      </c>
      <c r="Y13" s="540" t="str">
        <f ca="1">IF(Calc1!$F$14&lt;3,"",IF(CalcGR2!$K$13=0,CalcGR2!$Q$65,VLOOKUP(CalcGR2!$B$5,CalcGR2!$C$4:$N$12,4,0)))</f>
        <v>Eintracht Frankfurt</v>
      </c>
      <c r="Z13" s="225">
        <f ca="1">IF(CalcGR2!$K$13=0,"",VLOOKUP(CalcGR2!$B$5,CalcGR2!$C$4:$N$12,9,0))</f>
        <v>4</v>
      </c>
      <c r="AA13" s="200">
        <f ca="1">IF(CalcGR2!$K$13=0,"",VLOOKUP(CalcGR2!$B$5,CalcGR2!$C$4:$N$12,10,0))</f>
        <v>1</v>
      </c>
      <c r="AB13" s="200">
        <f ca="1">IF(CalcGR2!$K$13=0,"",VLOOKUP(CalcGR2!$B$5,CalcGR2!$C$4:$N$12,11,0))</f>
        <v>2</v>
      </c>
      <c r="AC13" s="200">
        <f ca="1">IF(CalcGR2!$K$13=0,"",VLOOKUP(CalcGR2!$B$5,CalcGR2!$C$4:$N$12,12,0))</f>
        <v>1</v>
      </c>
      <c r="AD13" s="221">
        <f ca="1">IF(CalcGR2!$K$13=0,"",VLOOKUP(CalcGR2!$B$5,CalcGR2!$C$4:$N$12,5,0))</f>
        <v>176</v>
      </c>
      <c r="AE13" s="222" t="str">
        <f>Language!$E$96</f>
        <v>-</v>
      </c>
      <c r="AF13" s="223">
        <f ca="1">IF(CalcGR2!$K$13=0,"",VLOOKUP(CalcGR2!$B$5,CalcGR2!$C$4:$N$12,6,0))</f>
        <v>173</v>
      </c>
      <c r="AG13" s="200">
        <f ca="1">IF(CalcGR2!$K$13=0,"",IF(VLOOKUP(CalcGR2!B5,CalcGR2!$C$4:$AR$12,42,0)=Settings!$F$7,"max",VLOOKUP(CalcGR2!B5,CalcGR2!$C$4:$AR$12,42,0)))</f>
        <v>3</v>
      </c>
      <c r="AH13" s="469">
        <f ca="1">IF(CalcGR2!$K$13=0,"",VLOOKUP(CalcGR2!$B$5,CalcGR2!$C$4:$N$12,8,0))</f>
        <v>4</v>
      </c>
      <c r="AI13" s="554"/>
      <c r="AK13" s="340" t="str">
        <f ca="1">IF(AP13&gt;AQ13,$I13,IF(AP13&lt;AQ13,$K13,""))</f>
        <v>Inter Mailand</v>
      </c>
      <c r="AL13" s="340" t="str">
        <f ca="1">IF(AP13&lt;AQ13,$I13,IF(AP13&gt;AQ13,$K13,""))</f>
        <v>Borussia Dortmund</v>
      </c>
      <c r="AM13" s="340" t="b">
        <f>AND($L13&lt;&gt;"",$N13&lt;&gt;"",$O13&lt;&gt;"",$Q13&lt;&gt;"",$L13&lt;&gt;$N13,$O13&lt;&gt;$Q13,($L13&gt;$N13)+($O13&gt;$Q13)=1)</f>
        <v>0</v>
      </c>
      <c r="AN13" s="771" t="b">
        <f ca="1">AND($L13&lt;&gt;"",$N13&lt;&gt;"",$L13&lt;&gt;$N13,OR(AND($O13="",$Q13=""),AND($O13&lt;&gt;"",$Q13&lt;&gt;"",$O13&lt;&gt;$Q13)),$I13&lt;&gt;"",$K13&lt;&gt;"",$I13&lt;&gt;$K13)</f>
        <v>1</v>
      </c>
      <c r="AO13" s="340" t="b">
        <f>AND(AM13,$R13&lt;&gt;"",$T13&lt;&gt;"",$R13&lt;&gt;$T13)</f>
        <v>0</v>
      </c>
      <c r="AP13" s="771">
        <f ca="1">(($L13&gt;$N13)+($O13&gt;$Q13)+($R13&gt;$T13)*AO13)*AN13</f>
        <v>2</v>
      </c>
      <c r="AQ13" s="771">
        <f ca="1">(($L13&lt;$N13)+($O13&lt;$Q13)+($R13&lt;$T13)*AO13)*AN13</f>
        <v>0</v>
      </c>
    </row>
    <row r="14" spans="1:43" ht="24" customHeight="1" thickTop="1" thickBot="1" x14ac:dyDescent="0.3">
      <c r="A14" s="340"/>
      <c r="B14" s="546"/>
      <c r="U14" s="168"/>
      <c r="W14" s="340"/>
      <c r="X14" s="415" t="s">
        <v>328</v>
      </c>
      <c r="Y14" s="472" t="str">
        <f ca="1">IF(Calc1!$F$14&lt;3,"",IF(CalcGR2!$K$13=0,CalcGR2!$Q$66,VLOOKUP(CalcGR2!$B$6,CalcGR2!$C$4:$N$12,4,0)))</f>
        <v>1. FC Nürnberg</v>
      </c>
      <c r="Z14" s="236">
        <f ca="1">IF(CalcGR2!$K$13=0,"",VLOOKUP(CalcGR2!$B$6,CalcGR2!$C$4:$N$12,9,0))</f>
        <v>4</v>
      </c>
      <c r="AA14" s="230">
        <f ca="1">IF(CalcGR2!$K$13=0,"",VLOOKUP(CalcGR2!$B$6,CalcGR2!$C$4:$N$12,10,0))</f>
        <v>1</v>
      </c>
      <c r="AB14" s="230">
        <f ca="1">IF(CalcGR2!$K$13=0,"",VLOOKUP(CalcGR2!$B$6,CalcGR2!$C$4:$N$12,11,0))</f>
        <v>2</v>
      </c>
      <c r="AC14" s="230">
        <f ca="1">IF(CalcGR2!$K$13=0,"",VLOOKUP(CalcGR2!$B$6,CalcGR2!$C$4:$N$12,12,0))</f>
        <v>1</v>
      </c>
      <c r="AD14" s="232">
        <f ca="1">IF(CalcGR2!$K$13=0,"",VLOOKUP(CalcGR2!$B$6,CalcGR2!$C$4:$N$12,5,0))</f>
        <v>160</v>
      </c>
      <c r="AE14" s="233" t="str">
        <f>Language!$E$96</f>
        <v>-</v>
      </c>
      <c r="AF14" s="234">
        <f ca="1">IF(CalcGR2!$K$13=0,"",VLOOKUP(CalcGR2!$B$6,CalcGR2!$C$4:$N$12,6,0))</f>
        <v>175</v>
      </c>
      <c r="AG14" s="230">
        <f ca="1">IF(CalcGR2!$K$13=0,"",IF(VLOOKUP(CalcGR2!B6,CalcGR2!$C$4:$AR$12,42,0)=Settings!$F$7,"max",VLOOKUP(CalcGR2!B6,CalcGR2!$C$4:$AR$12,42,0)))</f>
        <v>-15</v>
      </c>
      <c r="AH14" s="470">
        <f ca="1">IF(CalcGR2!$K$13=0,"",VLOOKUP(CalcGR2!$B$6,CalcGR2!$C$4:$N$12,8,0))</f>
        <v>4</v>
      </c>
      <c r="AI14" s="554"/>
    </row>
    <row r="15" spans="1:43" ht="24" customHeight="1" thickTop="1" thickBot="1" x14ac:dyDescent="0.35">
      <c r="A15" s="340"/>
      <c r="B15" s="546"/>
      <c r="C15" s="968" t="str">
        <f>Language!$E$54</f>
        <v>Finals</v>
      </c>
      <c r="D15" s="968"/>
      <c r="E15" s="968"/>
      <c r="F15" s="539"/>
      <c r="G15" s="539"/>
      <c r="H15" s="539"/>
      <c r="I15" s="503"/>
      <c r="J15" s="122"/>
      <c r="K15" s="503"/>
      <c r="L15" s="362"/>
      <c r="M15" s="362"/>
      <c r="N15" s="362"/>
      <c r="O15" s="362"/>
      <c r="P15" s="362"/>
      <c r="Q15" s="362"/>
      <c r="R15" s="362"/>
      <c r="S15" s="362"/>
      <c r="T15" s="362"/>
      <c r="U15" s="793"/>
      <c r="V15" s="364"/>
      <c r="W15" s="340"/>
    </row>
    <row r="16" spans="1:43" ht="27.95" customHeight="1" thickTop="1" thickBot="1" x14ac:dyDescent="0.45">
      <c r="A16" s="340"/>
      <c r="B16" s="390"/>
      <c r="C16" s="397">
        <f ca="1">$C$12+2</f>
        <v>33</v>
      </c>
      <c r="D16" s="398">
        <f ca="1">IF(Planning!$V$15,"",$D$13+($V$13+Planning!$S$9+Planning!$S$7)/1440)</f>
        <v>0.64236111111111116</v>
      </c>
      <c r="E16" s="365">
        <f>IF(Planning!$V$15,"",1)</f>
        <v>1</v>
      </c>
      <c r="F16" s="960" t="str">
        <f>Language!$E$105</f>
        <v>3rd place</v>
      </c>
      <c r="G16" s="961"/>
      <c r="H16" s="962"/>
      <c r="I16" s="366" t="str">
        <f ca="1">AL12</f>
        <v>SSV Wildbach</v>
      </c>
      <c r="J16" s="367" t="s">
        <v>4</v>
      </c>
      <c r="K16" s="368" t="str">
        <f ca="1">AL13</f>
        <v>Borussia Dortmund</v>
      </c>
      <c r="L16" s="369">
        <v>15</v>
      </c>
      <c r="M16" s="370" t="str">
        <f>Language!$E$96</f>
        <v>-</v>
      </c>
      <c r="N16" s="754">
        <v>25</v>
      </c>
      <c r="O16" s="369">
        <v>11</v>
      </c>
      <c r="P16" s="370" t="str">
        <f>Language!$E$96</f>
        <v>-</v>
      </c>
      <c r="Q16" s="754">
        <v>25</v>
      </c>
      <c r="R16" s="369"/>
      <c r="S16" s="371" t="str">
        <f>Language!$E$96</f>
        <v>-</v>
      </c>
      <c r="T16" s="372"/>
      <c r="U16" s="794"/>
      <c r="V16" s="352"/>
      <c r="W16" s="340"/>
      <c r="X16" s="898" t="str">
        <f>Language!$E$59</f>
        <v>Group winners</v>
      </c>
      <c r="Y16" s="898"/>
      <c r="AC16" s="549"/>
      <c r="AD16" s="549"/>
      <c r="AE16" s="549"/>
      <c r="AF16" s="549"/>
      <c r="AG16" s="549"/>
      <c r="AH16" s="549"/>
      <c r="AI16" s="549"/>
      <c r="AK16" s="340" t="str">
        <f ca="1">IF(AP16&gt;AQ16,$I16,IF(AP16&lt;AQ16,$K16,""))</f>
        <v>Borussia Dortmund</v>
      </c>
      <c r="AL16" s="340" t="str">
        <f ca="1">IF(AP16&lt;AQ16,$I16,IF(AP16&gt;AQ16,$K16,""))</f>
        <v>SSV Wildbach</v>
      </c>
      <c r="AM16" s="340" t="b">
        <f>AND($L16&lt;&gt;"",$N16&lt;&gt;"",$O16&lt;&gt;"",$Q16&lt;&gt;"",$L16&lt;&gt;$N16,$O16&lt;&gt;$Q16,($L16&gt;$N16)+($O16&gt;$Q16)=1)</f>
        <v>0</v>
      </c>
      <c r="AN16" s="771" t="b">
        <f ca="1">AND($L16&lt;&gt;"",$N16&lt;&gt;"",$L16&lt;&gt;$N16,OR(AND($O16="",$Q16=""),AND($O16&lt;&gt;"",$Q16&lt;&gt;"",$O16&lt;&gt;$Q16)),$I16&lt;&gt;"",$K16&lt;&gt;"",$I16&lt;&gt;$K16)</f>
        <v>1</v>
      </c>
      <c r="AO16" s="340" t="b">
        <f>AND(AM16,$R16&lt;&gt;"",$T16&lt;&gt;"",$R16&lt;&gt;$T16)</f>
        <v>0</v>
      </c>
      <c r="AP16" s="771">
        <f ca="1">(($L16&gt;$N16)+($O16&gt;$Q16)+($R16&gt;$T16)*AO16)*AN16</f>
        <v>0</v>
      </c>
      <c r="AQ16" s="771">
        <f ca="1">(($L16&lt;$N16)+($O16&lt;$Q16)+($R16&lt;$T16)*AO16)*AN16</f>
        <v>2</v>
      </c>
    </row>
    <row r="17" spans="1:43" ht="24" customHeight="1" thickTop="1" thickBot="1" x14ac:dyDescent="0.25">
      <c r="A17" s="340"/>
      <c r="B17" s="390"/>
      <c r="C17" s="393">
        <f ca="1">$C$12+3</f>
        <v>34</v>
      </c>
      <c r="D17" s="396">
        <f ca="1">IF(Planning!$V$15,"",$D$16+($V$16+Planning!$S$9+Planning!$S$7)/1440)</f>
        <v>0.66666666666666674</v>
      </c>
      <c r="E17" s="373">
        <f>IF(Planning!$V$15,"",1)</f>
        <v>1</v>
      </c>
      <c r="F17" s="963" t="str">
        <f>Language!$E$106</f>
        <v>Final</v>
      </c>
      <c r="G17" s="964"/>
      <c r="H17" s="965"/>
      <c r="I17" s="345" t="str">
        <f ca="1">AK12</f>
        <v>FC Barcelona</v>
      </c>
      <c r="J17" s="156" t="s">
        <v>4</v>
      </c>
      <c r="K17" s="346" t="str">
        <f ca="1">AK13</f>
        <v>Inter Mailand</v>
      </c>
      <c r="L17" s="349">
        <v>23</v>
      </c>
      <c r="M17" s="374" t="str">
        <f>Language!$E$96</f>
        <v>-</v>
      </c>
      <c r="N17" s="753">
        <v>25</v>
      </c>
      <c r="O17" s="349">
        <v>22</v>
      </c>
      <c r="P17" s="374" t="str">
        <f>Language!$E$96</f>
        <v>-</v>
      </c>
      <c r="Q17" s="753">
        <v>25</v>
      </c>
      <c r="R17" s="349"/>
      <c r="S17" s="343" t="str">
        <f>Language!$E$96</f>
        <v>-</v>
      </c>
      <c r="T17" s="344"/>
      <c r="U17" s="795"/>
      <c r="V17" s="361"/>
      <c r="W17" s="340"/>
      <c r="X17" s="456"/>
      <c r="Y17" s="505" t="str">
        <f>Language!$E$10</f>
        <v>Participant or team</v>
      </c>
      <c r="AC17" s="519">
        <v>1</v>
      </c>
      <c r="AD17" s="548"/>
      <c r="AE17" s="548"/>
      <c r="AF17" s="548"/>
      <c r="AG17" s="548"/>
      <c r="AH17" s="548"/>
      <c r="AI17" s="548"/>
      <c r="AK17" s="340" t="str">
        <f ca="1">IF(AP17&gt;AQ17,$I17,IF(AP17&lt;AQ17,$K17,""))</f>
        <v>Inter Mailand</v>
      </c>
      <c r="AL17" s="340" t="str">
        <f ca="1">IF(AP17&lt;AQ17,$I17,IF(AP17&gt;AQ17,$K17,""))</f>
        <v>FC Barcelona</v>
      </c>
      <c r="AM17" s="340" t="b">
        <f>AND($L17&lt;&gt;"",$N17&lt;&gt;"",$O17&lt;&gt;"",$Q17&lt;&gt;"",$L17&lt;&gt;$N17,$O17&lt;&gt;$Q17,($L17&gt;$N17)+($O17&gt;$Q17)=1)</f>
        <v>0</v>
      </c>
      <c r="AN17" s="771" t="b">
        <f ca="1">AND($L17&lt;&gt;"",$N17&lt;&gt;"",$L17&lt;&gt;$N17,OR(AND($O17="",$Q17=""),AND($O17&lt;&gt;"",$Q17&lt;&gt;"",$O17&lt;&gt;$Q17)),$I17&lt;&gt;"",$K17&lt;&gt;"",$I17&lt;&gt;$K17)</f>
        <v>1</v>
      </c>
      <c r="AO17" s="340" t="b">
        <f>AND(AM17,$R17&lt;&gt;"",$T17&lt;&gt;"",$R17&lt;&gt;$T17)</f>
        <v>0</v>
      </c>
      <c r="AP17" s="771">
        <f ca="1">(($L17&gt;$N17)+($O17&gt;$Q17)+($R17&gt;$T17)*AO17)*AN17</f>
        <v>0</v>
      </c>
      <c r="AQ17" s="771">
        <f ca="1">(($L17&lt;$N17)+($O17&lt;$Q17)+($R17&lt;$T17)*AO17)*AN17</f>
        <v>2</v>
      </c>
    </row>
    <row r="18" spans="1:43" ht="24" customHeight="1" thickTop="1" x14ac:dyDescent="0.2">
      <c r="A18" s="340"/>
      <c r="B18" s="390"/>
      <c r="W18" s="340"/>
      <c r="X18" s="537" t="s">
        <v>273</v>
      </c>
      <c r="Y18" s="506" t="str">
        <f ca="1">IF(PreliminaryRound!$R$12="","",PreliminaryRound!$R$12)</f>
        <v>FC Barcelona</v>
      </c>
      <c r="AC18" s="519">
        <v>2</v>
      </c>
      <c r="AD18" s="548"/>
      <c r="AE18" s="548"/>
      <c r="AF18" s="548"/>
      <c r="AG18" s="548"/>
      <c r="AH18" s="548"/>
      <c r="AI18" s="548"/>
    </row>
    <row r="19" spans="1:43" ht="27.95" customHeight="1" x14ac:dyDescent="0.2">
      <c r="A19" s="340"/>
      <c r="B19" s="390"/>
      <c r="C19" s="357"/>
      <c r="D19" s="357"/>
      <c r="E19" s="357"/>
      <c r="F19" s="357"/>
      <c r="G19" s="357"/>
      <c r="H19" s="357"/>
      <c r="I19" s="358" t="str">
        <f>Language!$E$29</f>
        <v>End of Tournament:</v>
      </c>
      <c r="J19" s="357"/>
      <c r="K19" s="359">
        <f ca="1">IF(Planning!$S$13="","",$D$17+Planning!$S$7/1440)</f>
        <v>0.68750000000000011</v>
      </c>
      <c r="L19" s="360"/>
      <c r="M19" s="360"/>
      <c r="N19" s="360"/>
      <c r="O19" s="360"/>
      <c r="P19" s="360"/>
      <c r="Q19" s="360"/>
      <c r="R19" s="360"/>
      <c r="S19" s="360"/>
      <c r="T19" s="360"/>
      <c r="U19" s="360"/>
      <c r="V19" s="360"/>
      <c r="W19" s="340"/>
      <c r="X19" s="455" t="s">
        <v>274</v>
      </c>
      <c r="Y19" s="507" t="str">
        <f ca="1">IF(PreliminaryRound!$R$22="","",PreliminaryRound!$R$22)</f>
        <v>Inter Mailand</v>
      </c>
      <c r="AC19" s="519">
        <v>3</v>
      </c>
      <c r="AD19" s="548"/>
      <c r="AE19" s="548"/>
      <c r="AF19" s="548"/>
      <c r="AG19" s="548"/>
      <c r="AH19" s="548"/>
      <c r="AI19" s="548"/>
    </row>
    <row r="20" spans="1:43" ht="24" customHeight="1" thickBot="1" x14ac:dyDescent="0.25">
      <c r="A20" s="340"/>
      <c r="B20" s="390"/>
      <c r="C20" s="544"/>
      <c r="D20" s="355"/>
      <c r="W20" s="340"/>
      <c r="X20" s="415" t="s">
        <v>275</v>
      </c>
      <c r="Y20" s="508" t="str">
        <f ca="1">IF(PreliminaryRound!$R$32="","",PreliminaryRound!$R$32)</f>
        <v>Borussia Dortmund</v>
      </c>
      <c r="AC20" s="519">
        <v>4</v>
      </c>
      <c r="AD20" s="548"/>
      <c r="AE20" s="548"/>
      <c r="AF20" s="548"/>
      <c r="AG20" s="548"/>
      <c r="AH20" s="548"/>
      <c r="AI20" s="548"/>
    </row>
    <row r="21" spans="1:43" ht="24" customHeight="1" thickTop="1" thickBot="1" x14ac:dyDescent="0.25">
      <c r="A21" s="340"/>
      <c r="B21" s="390"/>
      <c r="C21" s="544"/>
      <c r="F21" s="982" t="str">
        <f>Language!$E$104</f>
        <v>Rank</v>
      </c>
      <c r="G21" s="983"/>
      <c r="H21" s="984"/>
      <c r="I21" s="985" t="str">
        <f>"  "&amp;Language!$E$10</f>
        <v xml:space="preserve">  Participant or team</v>
      </c>
      <c r="J21" s="986"/>
      <c r="K21" s="987"/>
      <c r="W21" s="340"/>
    </row>
    <row r="22" spans="1:43" ht="24" customHeight="1" thickTop="1" x14ac:dyDescent="0.2">
      <c r="C22" s="544"/>
      <c r="E22" s="356">
        <v>1</v>
      </c>
      <c r="F22" s="911">
        <v>1</v>
      </c>
      <c r="G22" s="912"/>
      <c r="H22" s="912"/>
      <c r="I22" s="919" t="str">
        <f ca="1">AK17</f>
        <v>Inter Mailand</v>
      </c>
      <c r="J22" s="919"/>
      <c r="K22" s="920"/>
    </row>
    <row r="23" spans="1:43" ht="24" customHeight="1" x14ac:dyDescent="0.2">
      <c r="C23" s="544"/>
      <c r="E23" s="356">
        <v>2</v>
      </c>
      <c r="F23" s="913">
        <v>2</v>
      </c>
      <c r="G23" s="914"/>
      <c r="H23" s="914"/>
      <c r="I23" s="921" t="str">
        <f ca="1">AL17</f>
        <v>FC Barcelona</v>
      </c>
      <c r="J23" s="921"/>
      <c r="K23" s="922"/>
    </row>
    <row r="24" spans="1:43" ht="24" customHeight="1" x14ac:dyDescent="0.2">
      <c r="E24" s="356">
        <v>3</v>
      </c>
      <c r="F24" s="915">
        <v>3</v>
      </c>
      <c r="G24" s="916"/>
      <c r="H24" s="916"/>
      <c r="I24" s="923" t="str">
        <f ca="1">AK16</f>
        <v>Borussia Dortmund</v>
      </c>
      <c r="J24" s="923"/>
      <c r="K24" s="924"/>
    </row>
    <row r="25" spans="1:43" ht="24" customHeight="1" thickBot="1" x14ac:dyDescent="0.25">
      <c r="E25" s="356">
        <v>4</v>
      </c>
      <c r="F25" s="901">
        <v>4</v>
      </c>
      <c r="G25" s="902"/>
      <c r="H25" s="902"/>
      <c r="I25" s="907" t="str">
        <f ca="1">AL16</f>
        <v>SSV Wildbach</v>
      </c>
      <c r="J25" s="907"/>
      <c r="K25" s="908"/>
    </row>
    <row r="26" spans="1:43" ht="24" customHeight="1" thickTop="1" x14ac:dyDescent="0.2"/>
    <row r="27" spans="1:43" ht="12.75" customHeight="1" x14ac:dyDescent="0.2"/>
    <row r="28" spans="1:43" ht="12.75" customHeight="1" x14ac:dyDescent="0.2"/>
    <row r="29" spans="1:43" ht="12.75" customHeight="1" x14ac:dyDescent="0.2"/>
    <row r="30" spans="1:43" ht="12.75" customHeight="1" x14ac:dyDescent="0.2"/>
    <row r="31" spans="1:43" ht="12.75" customHeight="1" x14ac:dyDescent="0.2"/>
  </sheetData>
  <sheetProtection sheet="1" selectLockedCells="1"/>
  <mergeCells count="29">
    <mergeCell ref="AP11:AQ11"/>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 ref="X16:Y16"/>
    <mergeCell ref="X10:Y10"/>
    <mergeCell ref="AD11:AF11"/>
    <mergeCell ref="G2:Z2"/>
    <mergeCell ref="G3:Z3"/>
    <mergeCell ref="G4:Z4"/>
    <mergeCell ref="G5:Z5"/>
    <mergeCell ref="J7:X8"/>
    <mergeCell ref="L11:N11"/>
    <mergeCell ref="O11:Q11"/>
    <mergeCell ref="V10:V11"/>
    <mergeCell ref="R11:T11"/>
  </mergeCells>
  <conditionalFormatting sqref="L12:Q13 L16:Q17">
    <cfRule type="expression" dxfId="12" priority="3">
      <formula>OR(AND($L12&lt;&gt;"",$L12=$N12),AND($O12&lt;&gt;"",$O12=$Q12))</formula>
    </cfRule>
  </conditionalFormatting>
  <conditionalFormatting sqref="R12:T13 R16:T17">
    <cfRule type="expression" dxfId="11" priority="1">
      <formula>NOT($AM12)</formula>
    </cfRule>
    <cfRule type="expression" dxfId="10" priority="2">
      <formula>AND($R12&lt;&gt;"",$T12&lt;&gt;"",$R12=$T12,$AD12)</formula>
    </cfRule>
  </conditionalFormatting>
  <pageMargins left="0.7" right="0.7" top="0.78740157499999996" bottom="0.78740157499999996"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X60"/>
  <sheetViews>
    <sheetView showGridLines="0" showRowColHeaders="0" zoomScaleNormal="100" workbookViewId="0">
      <selection activeCell="L12" sqref="L12"/>
    </sheetView>
  </sheetViews>
  <sheetFormatPr baseColWidth="10" defaultColWidth="0" defaultRowHeight="12.75" zeroHeight="1" x14ac:dyDescent="0.2"/>
  <cols>
    <col min="1" max="1" width="1.140625" style="47" customWidth="1"/>
    <col min="2" max="2" width="1" style="47" customWidth="1"/>
    <col min="3" max="3" width="6.5703125" style="47" customWidth="1"/>
    <col min="4" max="4" width="10.42578125" style="47" customWidth="1"/>
    <col min="5" max="5" width="7" style="47" customWidth="1"/>
    <col min="6" max="6" width="4.7109375" style="47" customWidth="1"/>
    <col min="7" max="7" width="2.28515625" style="47" customWidth="1"/>
    <col min="8" max="8" width="4.7109375" style="47" customWidth="1"/>
    <col min="9" max="9" width="24.7109375" style="47" customWidth="1"/>
    <col min="10" max="10" width="2.85546875" style="47" customWidth="1"/>
    <col min="11" max="11" width="24.7109375" style="47" customWidth="1"/>
    <col min="12" max="12" width="4.7109375" style="47" customWidth="1"/>
    <col min="13" max="13" width="2.42578125" style="47" customWidth="1"/>
    <col min="14" max="15" width="4.7109375" style="47" customWidth="1"/>
    <col min="16" max="16" width="2.28515625" style="47" customWidth="1"/>
    <col min="17" max="17" width="4.7109375" style="47" customWidth="1"/>
    <col min="18" max="18" width="15.7109375" style="47" customWidth="1"/>
    <col min="19" max="19" width="8.140625" style="47" customWidth="1"/>
    <col min="20" max="20" width="2.140625" style="47" customWidth="1"/>
    <col min="21" max="21" width="5.140625" style="47" customWidth="1"/>
    <col min="22" max="22" width="30.7109375" style="47" customWidth="1"/>
    <col min="23" max="26" width="6.7109375" style="47" customWidth="1"/>
    <col min="27" max="27" width="5.7109375" style="47" customWidth="1"/>
    <col min="28" max="28" width="2.140625" style="47" customWidth="1"/>
    <col min="29" max="29" width="5.7109375" style="47" customWidth="1"/>
    <col min="30" max="31" width="6.7109375" style="47" customWidth="1"/>
    <col min="32" max="32" width="2.140625" style="47" customWidth="1"/>
    <col min="33" max="33" width="8.28515625" style="47" customWidth="1"/>
    <col min="34" max="34" width="30.7109375" style="47" customWidth="1"/>
    <col min="35" max="35" width="8.7109375" style="47" customWidth="1"/>
    <col min="36" max="36" width="2.28515625" style="47" customWidth="1"/>
    <col min="37" max="37" width="3.140625" style="47" customWidth="1"/>
    <col min="38" max="38" width="8.28515625" style="47" customWidth="1"/>
    <col min="39" max="39" width="30.7109375" style="47" customWidth="1"/>
    <col min="40" max="44" width="6.7109375" style="47" customWidth="1"/>
    <col min="45" max="45" width="2.140625" style="47" customWidth="1"/>
    <col min="46" max="48" width="6.7109375" style="47" customWidth="1"/>
    <col min="49" max="49" width="4.7109375" style="47" customWidth="1"/>
    <col min="50" max="50" width="0" style="47" hidden="1" customWidth="1"/>
    <col min="51" max="16384" width="11.42578125" style="47" hidden="1"/>
  </cols>
  <sheetData>
    <row r="1" spans="3:48" ht="13.5" thickBot="1" x14ac:dyDescent="0.25"/>
    <row r="2" spans="3:48" ht="36" customHeight="1" thickTop="1" x14ac:dyDescent="0.2">
      <c r="G2" s="936" t="str">
        <f>PreliminaryRound!$G$2</f>
        <v>International tournament U10 on Apr. 17th, 2025</v>
      </c>
      <c r="H2" s="937"/>
      <c r="I2" s="937"/>
      <c r="J2" s="937"/>
      <c r="K2" s="937"/>
      <c r="L2" s="937"/>
      <c r="M2" s="937"/>
      <c r="N2" s="937"/>
      <c r="O2" s="937"/>
      <c r="P2" s="937"/>
      <c r="Q2" s="937"/>
      <c r="R2" s="937"/>
      <c r="S2" s="937"/>
      <c r="T2" s="937"/>
      <c r="U2" s="937"/>
      <c r="V2" s="937"/>
      <c r="W2" s="937"/>
      <c r="X2" s="937"/>
      <c r="Y2" s="937"/>
      <c r="Z2" s="937"/>
      <c r="AA2" s="937"/>
      <c r="AB2" s="938"/>
    </row>
    <row r="3" spans="3:48" ht="30" customHeight="1" x14ac:dyDescent="0.2">
      <c r="G3" s="939" t="str">
        <f>PreliminaryRound!$G$3</f>
        <v>Organizer:  1. FC Riedwald</v>
      </c>
      <c r="H3" s="940"/>
      <c r="I3" s="940"/>
      <c r="J3" s="940"/>
      <c r="K3" s="940"/>
      <c r="L3" s="940"/>
      <c r="M3" s="940"/>
      <c r="N3" s="940"/>
      <c r="O3" s="940"/>
      <c r="P3" s="940"/>
      <c r="Q3" s="940"/>
      <c r="R3" s="940"/>
      <c r="S3" s="940"/>
      <c r="T3" s="940"/>
      <c r="U3" s="940"/>
      <c r="V3" s="940"/>
      <c r="W3" s="940"/>
      <c r="X3" s="940"/>
      <c r="Y3" s="940"/>
      <c r="Z3" s="940"/>
      <c r="AA3" s="940"/>
      <c r="AB3" s="941"/>
    </row>
    <row r="4" spans="3:48" ht="30" customHeight="1" x14ac:dyDescent="0.2">
      <c r="G4" s="942" t="str">
        <f>PreliminaryRound!$G$4</f>
        <v>Sports hall Wiesengrund, Wendiger Str. 51, 65432 Riedwald</v>
      </c>
      <c r="H4" s="943"/>
      <c r="I4" s="943"/>
      <c r="J4" s="943"/>
      <c r="K4" s="943"/>
      <c r="L4" s="943"/>
      <c r="M4" s="943"/>
      <c r="N4" s="943"/>
      <c r="O4" s="943"/>
      <c r="P4" s="943"/>
      <c r="Q4" s="943"/>
      <c r="R4" s="943"/>
      <c r="S4" s="943"/>
      <c r="T4" s="943"/>
      <c r="U4" s="943"/>
      <c r="V4" s="943"/>
      <c r="W4" s="943"/>
      <c r="X4" s="943"/>
      <c r="Y4" s="943"/>
      <c r="Z4" s="943"/>
      <c r="AA4" s="943"/>
      <c r="AB4" s="944"/>
    </row>
    <row r="5" spans="3:48" ht="30" customHeight="1" thickBot="1" x14ac:dyDescent="0.25">
      <c r="G5" s="945" t="str">
        <f>PreliminaryRound!$G$5</f>
        <v>Start:  9:00 a.m.</v>
      </c>
      <c r="H5" s="946"/>
      <c r="I5" s="946"/>
      <c r="J5" s="946"/>
      <c r="K5" s="946"/>
      <c r="L5" s="946"/>
      <c r="M5" s="946"/>
      <c r="N5" s="946"/>
      <c r="O5" s="946"/>
      <c r="P5" s="946"/>
      <c r="Q5" s="946"/>
      <c r="R5" s="946"/>
      <c r="S5" s="946"/>
      <c r="T5" s="946"/>
      <c r="U5" s="946"/>
      <c r="V5" s="946"/>
      <c r="W5" s="946"/>
      <c r="X5" s="946"/>
      <c r="Y5" s="946"/>
      <c r="Z5" s="946"/>
      <c r="AA5" s="946"/>
      <c r="AB5" s="947"/>
    </row>
    <row r="6" spans="3:48" ht="18" customHeight="1" thickTop="1" thickBot="1" x14ac:dyDescent="0.25"/>
    <row r="7" spans="3:48" ht="30" customHeight="1" thickTop="1" thickBot="1" x14ac:dyDescent="0.25">
      <c r="K7" s="930" t="str">
        <f>Language!$E$19</f>
        <v>Final round</v>
      </c>
      <c r="L7" s="931"/>
      <c r="M7" s="931"/>
      <c r="N7" s="931"/>
      <c r="O7" s="931"/>
      <c r="P7" s="931"/>
      <c r="Q7" s="931"/>
      <c r="R7" s="931"/>
      <c r="S7" s="931"/>
      <c r="T7" s="931"/>
      <c r="U7" s="931"/>
      <c r="V7" s="932"/>
      <c r="AG7" s="995" t="str">
        <f>Language!$E$85&amp;"  --&gt;"</f>
        <v>Results from the preliminary round  --&gt;</v>
      </c>
      <c r="AH7" s="995"/>
      <c r="AI7" s="581"/>
      <c r="AJ7" s="468"/>
      <c r="AL7" s="992" t="str">
        <f>Language!$E$85</f>
        <v>Results from the preliminary round</v>
      </c>
      <c r="AM7" s="993"/>
      <c r="AN7" s="993"/>
      <c r="AO7" s="993"/>
      <c r="AP7" s="993"/>
      <c r="AQ7" s="993"/>
      <c r="AR7" s="993"/>
      <c r="AS7" s="993"/>
      <c r="AT7" s="993"/>
      <c r="AU7" s="993"/>
      <c r="AV7" s="994"/>
    </row>
    <row r="8" spans="3:48" ht="30" customHeight="1" thickBot="1" x14ac:dyDescent="0.25">
      <c r="K8" s="933"/>
      <c r="L8" s="934"/>
      <c r="M8" s="934"/>
      <c r="N8" s="934"/>
      <c r="O8" s="934"/>
      <c r="P8" s="934"/>
      <c r="Q8" s="934"/>
      <c r="R8" s="934"/>
      <c r="S8" s="934"/>
      <c r="T8" s="934"/>
      <c r="U8" s="934"/>
      <c r="V8" s="935"/>
      <c r="AG8" s="609"/>
      <c r="AH8" s="609"/>
      <c r="AI8" s="609"/>
    </row>
    <row r="9" spans="3:48" ht="15.95" customHeight="1" thickTop="1" x14ac:dyDescent="0.2"/>
    <row r="10" spans="3:48" ht="24" customHeight="1" thickBot="1" x14ac:dyDescent="0.45">
      <c r="C10" s="814" t="str">
        <f>Language!$E$32</f>
        <v>Schedule</v>
      </c>
      <c r="D10" s="814"/>
      <c r="E10" s="328"/>
      <c r="F10" s="328"/>
      <c r="G10" s="328"/>
      <c r="H10" s="328"/>
      <c r="I10" s="328"/>
      <c r="J10" s="328"/>
      <c r="K10" s="328"/>
      <c r="L10" s="420"/>
      <c r="M10" s="420"/>
      <c r="N10" s="420"/>
      <c r="O10" s="420"/>
      <c r="P10" s="420"/>
      <c r="Q10" s="420"/>
      <c r="R10" s="420"/>
      <c r="S10" s="925" t="str">
        <f>Language!$E$20</f>
        <v>Addit. Pause (min)</v>
      </c>
      <c r="U10" s="898" t="str">
        <f>Language!$E$16&amp;" E1"</f>
        <v>Group E1</v>
      </c>
      <c r="V10" s="898"/>
      <c r="W10" s="898"/>
      <c r="X10" s="898"/>
      <c r="Y10" s="898"/>
      <c r="Z10" s="898"/>
      <c r="AA10" s="201"/>
      <c r="AB10" s="201"/>
      <c r="AC10" s="201"/>
      <c r="AD10" s="201"/>
      <c r="AE10" s="201"/>
      <c r="AG10" s="806" t="str">
        <f>$U10</f>
        <v>Group E1</v>
      </c>
      <c r="AH10" s="806"/>
      <c r="AI10" s="988"/>
      <c r="AL10" s="991" t="str">
        <f>Language!$E$59</f>
        <v>Group winners</v>
      </c>
      <c r="AM10" s="991"/>
      <c r="AN10" s="201"/>
      <c r="AO10" s="201"/>
      <c r="AP10" s="577"/>
      <c r="AQ10" s="577"/>
      <c r="AR10" s="577"/>
      <c r="AS10" s="577"/>
      <c r="AT10" s="577"/>
      <c r="AU10" s="577"/>
      <c r="AV10" s="577"/>
    </row>
    <row r="11" spans="3:48" ht="24" customHeight="1" thickTop="1" thickBot="1" x14ac:dyDescent="0.25">
      <c r="C11" s="422" t="str">
        <f>Language!$E$9</f>
        <v>No.</v>
      </c>
      <c r="D11" s="561" t="str">
        <f>Language!$E$39</f>
        <v>Start:</v>
      </c>
      <c r="E11" s="561" t="str">
        <f>Language!$E$48</f>
        <v>Field</v>
      </c>
      <c r="F11" s="927" t="str">
        <f>Language!$E$34</f>
        <v>Pairings</v>
      </c>
      <c r="G11" s="928"/>
      <c r="H11" s="929"/>
      <c r="I11" s="927" t="str">
        <f>Language!$E$14</f>
        <v>Match pairing</v>
      </c>
      <c r="J11" s="928"/>
      <c r="K11" s="929"/>
      <c r="L11" s="895" t="str">
        <f>Language!$E$78</f>
        <v>1st set</v>
      </c>
      <c r="M11" s="895"/>
      <c r="N11" s="895"/>
      <c r="O11" s="895" t="str">
        <f>Language!$E$79</f>
        <v>2nd set</v>
      </c>
      <c r="P11" s="895"/>
      <c r="Q11" s="896"/>
      <c r="R11" s="773" t="str">
        <f>Language!$E$125</f>
        <v>Referee</v>
      </c>
      <c r="S11" s="926"/>
      <c r="U11" s="845"/>
      <c r="V11" s="846"/>
      <c r="W11" s="203" t="str">
        <f>Language!$E$21</f>
        <v>Pld</v>
      </c>
      <c r="X11" s="204" t="str">
        <f>Language!$E$22</f>
        <v>W</v>
      </c>
      <c r="Y11" s="204" t="str">
        <f>Language!$E$23</f>
        <v>D</v>
      </c>
      <c r="Z11" s="560" t="str">
        <f>Language!$E$24</f>
        <v>L</v>
      </c>
      <c r="AA11" s="847" t="str">
        <f>Language!$E$80</f>
        <v>balls</v>
      </c>
      <c r="AB11" s="848"/>
      <c r="AC11" s="849"/>
      <c r="AD11" s="766" t="str">
        <f>IF(Settings!$G$7,Language!$E$26,Language!$E$86)</f>
        <v>Diff.</v>
      </c>
      <c r="AE11" s="206" t="str">
        <f>Language!$E$27</f>
        <v>Pts</v>
      </c>
      <c r="AG11" s="456"/>
      <c r="AH11" s="757" t="str">
        <f>Language!$E$10</f>
        <v>Participant or team</v>
      </c>
      <c r="AI11" s="761" t="str">
        <f>Language!$E$49</f>
        <v>Tie break</v>
      </c>
      <c r="AL11" s="531"/>
      <c r="AM11" s="505" t="str">
        <f>Language!$E$10</f>
        <v>Participant or team</v>
      </c>
      <c r="AN11" s="450" t="str">
        <f>Language!$E$21</f>
        <v>Pld</v>
      </c>
      <c r="AO11" s="562" t="str">
        <f>Language!$E$22</f>
        <v>W</v>
      </c>
      <c r="AP11" s="562" t="str">
        <f>Language!$E$23</f>
        <v>D</v>
      </c>
      <c r="AQ11" s="562" t="str">
        <f>Language!$E$24</f>
        <v>L</v>
      </c>
      <c r="AR11" s="847" t="str">
        <f>Language!$E$80</f>
        <v>balls</v>
      </c>
      <c r="AS11" s="848"/>
      <c r="AT11" s="849"/>
      <c r="AU11" s="562" t="str">
        <f>IF(Settings!$G$7,Language!$E$26,Language!$E$86)</f>
        <v>Diff.</v>
      </c>
      <c r="AV11" s="451" t="str">
        <f>Language!$E$27</f>
        <v>Pts</v>
      </c>
    </row>
    <row r="12" spans="3:48" ht="24" customHeight="1" x14ac:dyDescent="0.25">
      <c r="C12" s="502">
        <f t="array" aca="1" ref="C12" ca="1">46-SUM(((Planning!$L$6:$L$50="")+(Planning!$N$6:$N$50="")&gt;0)*1)</f>
        <v>31</v>
      </c>
      <c r="D12" s="186">
        <f ca="1">IF(Planning!$V$15,"",Planning!$S$13+(Planning!$S$9+Planning!$Q$50)/1440)</f>
        <v>0.61805555555555558</v>
      </c>
      <c r="E12" s="176" t="str">
        <f>IF(Planning!$V$15,"","1")</f>
        <v>1</v>
      </c>
      <c r="F12" s="555" t="s">
        <v>336</v>
      </c>
      <c r="G12" s="556" t="s">
        <v>4</v>
      </c>
      <c r="H12" s="557" t="s">
        <v>337</v>
      </c>
      <c r="I12" s="460" t="str">
        <f t="shared" ref="I12:I36" ca="1" si="0">IF($F12="","",IF(VLOOKUP($F12,$AG$12:$AH$45,2,0)="","",VLOOKUP($F12,$AG$12:$AH$45,2,0)))</f>
        <v/>
      </c>
      <c r="J12" s="461" t="s">
        <v>4</v>
      </c>
      <c r="K12" s="462" t="str">
        <f t="shared" ref="K12:K36" ca="1" si="1">IF($H12="","",IF(VLOOKUP($H12,$AG$12:$AH$45,2,0)="","",VLOOKUP($H12,$AG$12:$AH$45,2,0)))</f>
        <v/>
      </c>
      <c r="L12" s="433"/>
      <c r="M12" s="380" t="str">
        <f>Language!$E$96</f>
        <v>-</v>
      </c>
      <c r="N12" s="730"/>
      <c r="O12" s="731"/>
      <c r="P12" s="729" t="str">
        <f>Language!$E$96</f>
        <v>-</v>
      </c>
      <c r="Q12" s="434"/>
      <c r="R12" s="792"/>
      <c r="S12" s="734"/>
      <c r="U12" s="383">
        <f ca="1">IF(CalcE41!$K$13=0,"",1)</f>
        <v>1</v>
      </c>
      <c r="V12" s="440" t="str">
        <f ca="1">IF(Calc1!$F$14&lt;3,"",IF(CalcE41!$K$13=0,CalcE41!$Q$64,VLOOKUP(CalcE41!$B$4,CalcE41!$C$4:$N$12,4,0)))</f>
        <v>Borussia Dortmund</v>
      </c>
      <c r="W12" s="443">
        <f ca="1">IF(CalcE41!$K$13=0,"",VLOOKUP(CalcE41!$B$4,CalcE41!$C$4:$N$12,9,0))</f>
        <v>3</v>
      </c>
      <c r="X12" s="210">
        <f ca="1">IF(CalcE41!$K$13=0,"",VLOOKUP(CalcE41!$B$4,CalcE41!$C$4:$N$12,10,0))</f>
        <v>1</v>
      </c>
      <c r="Y12" s="210">
        <f ca="1">IF(CalcE41!$K$13=0,"",VLOOKUP(CalcE41!$B$4,CalcE41!$C$4:$N$12,11,0))</f>
        <v>2</v>
      </c>
      <c r="Z12" s="210">
        <f ca="1">IF(CalcE41!$K$13=0,"",VLOOKUP(CalcE41!$B$4,CalcE41!$C$4:$N$12,12,0))</f>
        <v>0</v>
      </c>
      <c r="AA12" s="212">
        <f ca="1">IF(CalcE41!$K$13=0,"",VLOOKUP(CalcE41!$B$4,CalcE41!$C$4:$N$12,5,0))</f>
        <v>134</v>
      </c>
      <c r="AB12" s="213" t="str">
        <f>Language!$E$96</f>
        <v>-</v>
      </c>
      <c r="AC12" s="214">
        <f ca="1">IF(CalcE41!$K$13=0,"",VLOOKUP(CalcE41!$B$4,CalcE41!$C$4:$N$12,6,0))</f>
        <v>127</v>
      </c>
      <c r="AD12" s="210">
        <f ca="1">IF(CalcE41!$K$13=0,"",IF(VLOOKUP(CalcE41!B4,CalcE41!$C$4:$AR$12,42,0)=Settings!$F$7,"max",VLOOKUP(CalcE41!B4,CalcE41!$C$4:$AR$12,42,0)))</f>
        <v>7</v>
      </c>
      <c r="AE12" s="215">
        <f ca="1">IF(CalcE41!$K$13=0,"",VLOOKUP(CalcE41!$B$4,CalcE41!$C$4:$N$12,8,0))</f>
        <v>4</v>
      </c>
      <c r="AG12" s="559" t="s">
        <v>338</v>
      </c>
      <c r="AH12" s="758" t="str">
        <f ca="1">IF(VLOOKUP(AG12,$AL$12:$AM$44,2,0)="","",VLOOKUP(AG12,$AL$12:$AM$44,2,0))</f>
        <v>Borussia Dortmund</v>
      </c>
      <c r="AI12" s="760">
        <f ca="1">IF($AH12="",0,COUNTIF(TieBreak!$U$38:$U$43,$AH12))</f>
        <v>0</v>
      </c>
      <c r="AL12" s="559" t="s">
        <v>338</v>
      </c>
      <c r="AM12" s="578" t="str">
        <f ca="1">IF(Calc1!$F$14&lt;3,"",IF(CalcGR1!$K$13=0,CalcGR1!$Q$64,VLOOKUP(CalcGR1!$B$4,CalcGR1!$C$4:$N$12,4,0)))</f>
        <v>Borussia Dortmund</v>
      </c>
      <c r="AN12" s="510">
        <f ca="1">IF(CalcGR1!$K$13=0,"",VLOOKUP(CalcGR1!$B$4,CalcGR1!$C$4:$N$12,9,0))</f>
        <v>4</v>
      </c>
      <c r="AO12" s="511">
        <f ca="1">IF(CalcGR1!$K$13=0,"",VLOOKUP(CalcGR1!$B$4,CalcGR1!$C$4:$N$12,10,0))</f>
        <v>3</v>
      </c>
      <c r="AP12" s="511">
        <f ca="1">IF(CalcGR1!$K$13=0,"",VLOOKUP(CalcGR1!$B$4,CalcGR1!$C$4:$N$12,11,0))</f>
        <v>1</v>
      </c>
      <c r="AQ12" s="511">
        <f ca="1">IF(CalcGR1!$K$13=0,"",VLOOKUP(CalcGR1!$B$4,CalcGR1!$C$4:$N$12,12,0))</f>
        <v>0</v>
      </c>
      <c r="AR12" s="512">
        <f ca="1">IF(CalcGR1!$K$13=0,"",VLOOKUP(CalcGR1!$B$4,CalcGR1!$C$4:$N$12,5,0))</f>
        <v>196</v>
      </c>
      <c r="AS12" s="513" t="str">
        <f>Language!$E$96</f>
        <v>-</v>
      </c>
      <c r="AT12" s="514">
        <f ca="1">IF(CalcGR1!$K$13=0,"",VLOOKUP(CalcGR1!$B$4,CalcGR1!$C$4:$N$12,6,0))</f>
        <v>138</v>
      </c>
      <c r="AU12" s="511">
        <f ca="1">IF(CalcGR1!$K$13=0,"",IF(VLOOKUP(CalcGR1!B4,CalcGR1!$C$4:$AR$12,42,0)=Settings!$F$7,"max",VLOOKUP(CalcGR1!B4,CalcGR1!$C$4:$AR$12,42,0)))</f>
        <v>58</v>
      </c>
      <c r="AV12" s="469">
        <f ca="1">IF(CalcGR1!$K$13=0,"",VLOOKUP(CalcGR1!$B$4,CalcGR1!$C$4:$N$12,8,0))</f>
        <v>7</v>
      </c>
    </row>
    <row r="13" spans="3:48" ht="24" customHeight="1" x14ac:dyDescent="0.25">
      <c r="C13" s="496">
        <f t="array" aca="1" ref="C13" ca="1">ROW(47:47)-SUM(((Planning!$L$6:$L$50="")+(Planning!$N$6:$N$50="")&gt;0)*1)-SUM((($I$12:$I12="")+($K$12:$K12="")&gt;0)*1)</f>
        <v>31</v>
      </c>
      <c r="D13" s="175">
        <f t="array" aca="1" ref="D13" ca="1">IF(Planning!$V$15,"",$D$12+QUOTIENT(($C13-$C$12),Planning!$V$11)*(Planning!$S$7+Planning!$S$9)/1440+SUM($S$12:$S12)/1440)</f>
        <v>0.61805555555555558</v>
      </c>
      <c r="E13" s="177">
        <f ca="1">IF(Planning!$V$15,"",MOD($C13-$C$12,Planning!$V$11)+1)</f>
        <v>1</v>
      </c>
      <c r="F13" s="563" t="s">
        <v>332</v>
      </c>
      <c r="G13" s="564" t="s">
        <v>4</v>
      </c>
      <c r="H13" s="565" t="s">
        <v>335</v>
      </c>
      <c r="I13" s="460" t="str">
        <f t="shared" ca="1" si="0"/>
        <v>FSV Rauen</v>
      </c>
      <c r="J13" s="461" t="s">
        <v>4</v>
      </c>
      <c r="K13" s="462" t="str">
        <f t="shared" ca="1" si="1"/>
        <v/>
      </c>
      <c r="L13" s="435"/>
      <c r="M13" s="436" t="str">
        <f>Language!$E$96</f>
        <v>-</v>
      </c>
      <c r="N13" s="732"/>
      <c r="O13" s="435"/>
      <c r="P13" s="341" t="str">
        <f>Language!$E$96</f>
        <v>-</v>
      </c>
      <c r="Q13" s="437"/>
      <c r="R13" s="778"/>
      <c r="S13" s="735"/>
      <c r="U13" s="385">
        <f ca="1">IF(CalcE41!$K$13=0,"",IF(VLOOKUP(CalcE41!$B$5,CalcE41!$C$4:$E$12,3,0)=MAX($U12:$U12),VLOOKUP(CalcE41!$B$5,CalcE41!$C$4:$E$12,3,0),CalcE41!$B$5))</f>
        <v>2</v>
      </c>
      <c r="V13" s="441" t="str">
        <f ca="1">IF(Calc1!$F$14&lt;3,"",IF(CalcE41!$K$13=0,CalcE41!$Q$65,VLOOKUP(CalcE41!$B$5,CalcE41!$C$4:$N$12,4,0)))</f>
        <v>SSV Wildbach</v>
      </c>
      <c r="W13" s="225">
        <f ca="1">IF(CalcE41!$K$13=0,"",VLOOKUP(CalcE41!$B$5,CalcE41!$C$4:$N$12,9,0))</f>
        <v>3</v>
      </c>
      <c r="X13" s="200">
        <f ca="1">IF(CalcE41!$K$13=0,"",VLOOKUP(CalcE41!$B$5,CalcE41!$C$4:$N$12,10,0))</f>
        <v>1</v>
      </c>
      <c r="Y13" s="200">
        <f ca="1">IF(CalcE41!$K$13=0,"",VLOOKUP(CalcE41!$B$5,CalcE41!$C$4:$N$12,11,0))</f>
        <v>1</v>
      </c>
      <c r="Z13" s="200">
        <f ca="1">IF(CalcE41!$K$13=0,"",VLOOKUP(CalcE41!$B$5,CalcE41!$C$4:$N$12,12,0))</f>
        <v>1</v>
      </c>
      <c r="AA13" s="221">
        <f ca="1">IF(CalcE41!$K$13=0,"",VLOOKUP(CalcE41!$B$5,CalcE41!$C$4:$N$12,5,0))</f>
        <v>137</v>
      </c>
      <c r="AB13" s="222" t="str">
        <f>Language!$E$96</f>
        <v>-</v>
      </c>
      <c r="AC13" s="223">
        <f ca="1">IF(CalcE41!$K$13=0,"",VLOOKUP(CalcE41!$B$5,CalcE41!$C$4:$N$12,6,0))</f>
        <v>132</v>
      </c>
      <c r="AD13" s="200">
        <f ca="1">IF(CalcE41!$K$13=0,"",IF(VLOOKUP(CalcE41!B5,CalcE41!$C$4:$AR$12,42,0)=Settings!$F$7,"max",VLOOKUP(CalcE41!B5,CalcE41!$C$4:$AR$12,42,0)))</f>
        <v>5</v>
      </c>
      <c r="AE13" s="224">
        <f ca="1">IF(CalcE41!$K$13=0,"",VLOOKUP(CalcE41!$B$5,CalcE41!$C$4:$N$12,8,0))</f>
        <v>3</v>
      </c>
      <c r="AG13" s="455" t="s">
        <v>339</v>
      </c>
      <c r="AH13" s="758" t="str">
        <f t="shared" ref="AH13:AH15" ca="1" si="2">IF(VLOOKUP(AG13,$AL$12:$AM$44,2,0)="","",VLOOKUP(AG13,$AL$12:$AM$44,2,0))</f>
        <v>Inter Mailand</v>
      </c>
      <c r="AI13" s="760">
        <f ca="1">IF($AH13="",0,COUNTIF(TieBreak!$U$38:$U$43,$AH13))</f>
        <v>0</v>
      </c>
      <c r="AL13" s="455" t="s">
        <v>339</v>
      </c>
      <c r="AM13" s="579" t="str">
        <f ca="1">IF(Calc1!$F$14&lt;3,"",IF(CalcGR1!$K$13=0,CalcGR1!$Q$65,VLOOKUP(CalcGR1!$B$5,CalcGR1!$C$4:$N$12,4,0)))</f>
        <v>Inter Mailand</v>
      </c>
      <c r="AN13" s="225">
        <f ca="1">IF(CalcGR1!$K$13=0,"",VLOOKUP(CalcGR1!$B$5,CalcGR1!$C$4:$N$12,9,0))</f>
        <v>4</v>
      </c>
      <c r="AO13" s="200">
        <f ca="1">IF(CalcGR1!$K$13=0,"",VLOOKUP(CalcGR1!$B$5,CalcGR1!$C$4:$N$12,10,0))</f>
        <v>2</v>
      </c>
      <c r="AP13" s="200">
        <f ca="1">IF(CalcGR1!$K$13=0,"",VLOOKUP(CalcGR1!$B$5,CalcGR1!$C$4:$N$12,11,0))</f>
        <v>2</v>
      </c>
      <c r="AQ13" s="200">
        <f ca="1">IF(CalcGR1!$K$13=0,"",VLOOKUP(CalcGR1!$B$5,CalcGR1!$C$4:$N$12,12,0))</f>
        <v>0</v>
      </c>
      <c r="AR13" s="221">
        <f ca="1">IF(CalcGR1!$K$13=0,"",VLOOKUP(CalcGR1!$B$5,CalcGR1!$C$4:$N$12,5,0))</f>
        <v>192</v>
      </c>
      <c r="AS13" s="222" t="str">
        <f>Language!$E$96</f>
        <v>-</v>
      </c>
      <c r="AT13" s="223">
        <f ca="1">IF(CalcGR1!$K$13=0,"",VLOOKUP(CalcGR1!$B$5,CalcGR1!$C$4:$N$12,6,0))</f>
        <v>148</v>
      </c>
      <c r="AU13" s="200">
        <f ca="1">IF(CalcGR1!$K$13=0,"",IF(VLOOKUP(CalcGR1!B5,CalcGR1!$C$4:$AR$12,42,0)=Settings!$F$7,"max",VLOOKUP(CalcGR1!B5,CalcGR1!$C$4:$AR$12,42,0)))</f>
        <v>44</v>
      </c>
      <c r="AV13" s="469">
        <f ca="1">IF(CalcGR1!$K$13=0,"",VLOOKUP(CalcGR1!$B$5,CalcGR1!$C$4:$N$12,8,0))</f>
        <v>6</v>
      </c>
    </row>
    <row r="14" spans="3:48" ht="24" customHeight="1" thickBot="1" x14ac:dyDescent="0.3">
      <c r="C14" s="496">
        <f t="array" aca="1" ref="C14" ca="1">ROW(48:48)-SUM(((Planning!$L$6:$L$50="")+(Planning!$N$6:$N$50="")&gt;0)*1)-SUM((($I$12:$I13="")+($K$12:$K13="")&gt;0)*1)</f>
        <v>31</v>
      </c>
      <c r="D14" s="175">
        <f t="array" aca="1" ref="D14" ca="1">IF(Planning!$V$15,"",$D$12+QUOTIENT(($C14-$C$12),Planning!$V$11)*(Planning!$S$7+Planning!$S$9)/1440+SUM($S$12:$S13)/1440)</f>
        <v>0.61805555555555558</v>
      </c>
      <c r="E14" s="177">
        <f ca="1">IF(Planning!$V$15,"",MOD($C14-$C$12,Planning!$V$11)+1)</f>
        <v>1</v>
      </c>
      <c r="F14" s="563" t="s">
        <v>318</v>
      </c>
      <c r="G14" s="564" t="s">
        <v>4</v>
      </c>
      <c r="H14" s="565" t="s">
        <v>331</v>
      </c>
      <c r="I14" s="460" t="str">
        <f t="shared" ca="1" si="0"/>
        <v>FC Grönlingen</v>
      </c>
      <c r="J14" s="461" t="s">
        <v>4</v>
      </c>
      <c r="K14" s="462" t="str">
        <f t="shared" ca="1" si="1"/>
        <v>Mainz 05</v>
      </c>
      <c r="L14" s="435">
        <v>19</v>
      </c>
      <c r="M14" s="436" t="str">
        <f>Language!$E$96</f>
        <v>-</v>
      </c>
      <c r="N14" s="732">
        <v>25</v>
      </c>
      <c r="O14" s="435">
        <v>19</v>
      </c>
      <c r="P14" s="341" t="str">
        <f>Language!$E$96</f>
        <v>-</v>
      </c>
      <c r="Q14" s="437">
        <v>25</v>
      </c>
      <c r="R14" s="778"/>
      <c r="S14" s="735"/>
      <c r="U14" s="385">
        <f ca="1">IF(CalcE41!$K$13=0,"",IF(VLOOKUP(CalcE41!$B$6,CalcE41!$C$4:$E$12,3,0)=MAX($U12:$U13),VLOOKUP(CalcE41!$B$6,CalcE41!$C$4:$E$12,3,0),CalcE41!$B$6))</f>
        <v>3</v>
      </c>
      <c r="V14" s="441" t="str">
        <f ca="1">IF(Calc1!$F$14&lt;3,"",IF(CalcE41!$K$13=0,CalcE41!$Q$66,VLOOKUP(CalcE41!$B$6,CalcE41!$C$4:$N$12,4,0)))</f>
        <v>FC Barcelona</v>
      </c>
      <c r="W14" s="225">
        <f ca="1">IF(CalcE41!$K$13=0,"",VLOOKUP(CalcE41!$B$6,CalcE41!$C$4:$N$12,9,0))</f>
        <v>3</v>
      </c>
      <c r="X14" s="200">
        <f ca="1">IF(CalcE41!$K$13=0,"",VLOOKUP(CalcE41!$B$6,CalcE41!$C$4:$N$12,10,0))</f>
        <v>1</v>
      </c>
      <c r="Y14" s="200">
        <f ca="1">IF(CalcE41!$K$13=0,"",VLOOKUP(CalcE41!$B$6,CalcE41!$C$4:$N$12,11,0))</f>
        <v>1</v>
      </c>
      <c r="Z14" s="200">
        <f ca="1">IF(CalcE41!$K$13=0,"",VLOOKUP(CalcE41!$B$6,CalcE41!$C$4:$N$12,12,0))</f>
        <v>1</v>
      </c>
      <c r="AA14" s="221">
        <f ca="1">IF(CalcE41!$K$13=0,"",VLOOKUP(CalcE41!$B$6,CalcE41!$C$4:$N$12,5,0))</f>
        <v>133</v>
      </c>
      <c r="AB14" s="222" t="str">
        <f>Language!$E$96</f>
        <v>-</v>
      </c>
      <c r="AC14" s="223">
        <f ca="1">IF(CalcE41!$K$13=0,"",VLOOKUP(CalcE41!$B$6,CalcE41!$C$4:$N$12,6,0))</f>
        <v>137</v>
      </c>
      <c r="AD14" s="200">
        <f ca="1">IF(CalcE41!$K$13=0,"",IF(VLOOKUP(CalcE41!B6,CalcE41!$C$4:$AR$12,42,0)=Settings!$F$7,"max",VLOOKUP(CalcE41!B6,CalcE41!$C$4:$AR$12,42,0)))</f>
        <v>-4</v>
      </c>
      <c r="AE14" s="224">
        <f ca="1">IF(CalcE41!$K$13=0,"",VLOOKUP(CalcE41!$B$6,CalcE41!$C$4:$N$12,8,0))</f>
        <v>3</v>
      </c>
      <c r="AG14" s="455" t="s">
        <v>340</v>
      </c>
      <c r="AH14" s="758" t="str">
        <f t="shared" ca="1" si="2"/>
        <v>FC Barcelona</v>
      </c>
      <c r="AI14" s="760">
        <f ca="1">IF($AH14="",0,COUNTIF(TieBreak!$U$38:$U$43,$AH14))</f>
        <v>0</v>
      </c>
      <c r="AL14" s="415" t="s">
        <v>340</v>
      </c>
      <c r="AM14" s="580" t="str">
        <f ca="1">IF(Calc1!$F$14&lt;3,"",IF(CalcGR1!$K$13=0,CalcGR1!$Q$66,VLOOKUP(CalcGR1!$B$6,CalcGR1!$C$4:$N$12,4,0)))</f>
        <v>FC Barcelona</v>
      </c>
      <c r="AN14" s="236">
        <f ca="1">IF(CalcGR1!$K$13=0,"",VLOOKUP(CalcGR1!$B$6,CalcGR1!$C$4:$N$12,9,0))</f>
        <v>4</v>
      </c>
      <c r="AO14" s="230">
        <f ca="1">IF(CalcGR1!$K$13=0,"",VLOOKUP(CalcGR1!$B$6,CalcGR1!$C$4:$N$12,10,0))</f>
        <v>2</v>
      </c>
      <c r="AP14" s="230">
        <f ca="1">IF(CalcGR1!$K$13=0,"",VLOOKUP(CalcGR1!$B$6,CalcGR1!$C$4:$N$12,11,0))</f>
        <v>2</v>
      </c>
      <c r="AQ14" s="230">
        <f ca="1">IF(CalcGR1!$K$13=0,"",VLOOKUP(CalcGR1!$B$6,CalcGR1!$C$4:$N$12,12,0))</f>
        <v>0</v>
      </c>
      <c r="AR14" s="232">
        <f ca="1">IF(CalcGR1!$K$13=0,"",VLOOKUP(CalcGR1!$B$6,CalcGR1!$C$4:$N$12,5,0))</f>
        <v>187</v>
      </c>
      <c r="AS14" s="233" t="str">
        <f>Language!$E$96</f>
        <v>-</v>
      </c>
      <c r="AT14" s="234">
        <f ca="1">IF(CalcGR1!$K$13=0,"",VLOOKUP(CalcGR1!$B$6,CalcGR1!$C$4:$N$12,6,0))</f>
        <v>162</v>
      </c>
      <c r="AU14" s="230">
        <f ca="1">IF(CalcGR1!$K$13=0,"",IF(VLOOKUP(CalcGR1!B6,CalcGR1!$C$4:$AR$12,42,0)=Settings!$F$7,"max",VLOOKUP(CalcGR1!B6,CalcGR1!$C$4:$AR$12,42,0)))</f>
        <v>25</v>
      </c>
      <c r="AV14" s="470">
        <f ca="1">IF(CalcGR1!$K$13=0,"",VLOOKUP(CalcGR1!$B$6,CalcGR1!$C$4:$N$12,8,0))</f>
        <v>6</v>
      </c>
    </row>
    <row r="15" spans="3:48" ht="24" customHeight="1" thickTop="1" thickBot="1" x14ac:dyDescent="0.3">
      <c r="C15" s="496">
        <f t="array" aca="1" ref="C15" ca="1">ROW(49:49)-SUM(((Planning!$L$6:$L$50="")+(Planning!$N$6:$N$50="")&gt;0)*1)-SUM((($I$12:$I14="")+($K$12:$K14="")&gt;0)*1)</f>
        <v>32</v>
      </c>
      <c r="D15" s="175">
        <f t="array" aca="1" ref="D15" ca="1">IF(Planning!$V$15,"",$D$12+QUOTIENT(($C15-$C$12),Planning!$V$11)*(Planning!$S$7+Planning!$S$9)/1440+SUM($S$12:$S14)/1440)</f>
        <v>0.61805555555555558</v>
      </c>
      <c r="E15" s="177">
        <f ca="1">IF(Planning!$V$15,"",MOD($C15-$C$12,Planning!$V$11)+1)</f>
        <v>2</v>
      </c>
      <c r="F15" s="563" t="s">
        <v>327</v>
      </c>
      <c r="G15" s="564" t="s">
        <v>4</v>
      </c>
      <c r="H15" s="565" t="s">
        <v>317</v>
      </c>
      <c r="I15" s="460" t="str">
        <f t="shared" ca="1" si="0"/>
        <v>Eintracht Frankfurt</v>
      </c>
      <c r="J15" s="461" t="s">
        <v>4</v>
      </c>
      <c r="K15" s="462" t="str">
        <f t="shared" ca="1" si="1"/>
        <v>Real Madrid</v>
      </c>
      <c r="L15" s="435">
        <v>25</v>
      </c>
      <c r="M15" s="436" t="str">
        <f>Language!$E$96</f>
        <v>-</v>
      </c>
      <c r="N15" s="732">
        <v>20</v>
      </c>
      <c r="O15" s="435">
        <v>20</v>
      </c>
      <c r="P15" s="341" t="str">
        <f>Language!$E$96</f>
        <v>-</v>
      </c>
      <c r="Q15" s="437">
        <v>25</v>
      </c>
      <c r="R15" s="778"/>
      <c r="S15" s="735"/>
      <c r="U15" s="387">
        <f ca="1">IF(CalcE41!$K$13=0,"",IF(VLOOKUP(CalcE41!$B$7,CalcE41!$C$4:$E$12,3,0)=MAX($U12:$U14),VLOOKUP(CalcE41!$B$7,CalcE41!$C$4:$E$12,3,0),CalcE41!$B$7))</f>
        <v>4</v>
      </c>
      <c r="V15" s="442" t="str">
        <f ca="1">IF(Calc1!$F$14&lt;3,"",IF(CalcE41!$K$13=0,CalcE41!$Q$67,VLOOKUP(CalcE41!$B$7,CalcE41!$C$4:$N$12,4,0)))</f>
        <v>Inter Mailand</v>
      </c>
      <c r="W15" s="236">
        <f ca="1">IF(CalcE41!$K$13=0,"",VLOOKUP(CalcE41!$B$7,CalcE41!$C$4:$N$12,9,0))</f>
        <v>3</v>
      </c>
      <c r="X15" s="230">
        <f ca="1">IF(CalcE41!$K$13=0,"",VLOOKUP(CalcE41!$B$7,CalcE41!$C$4:$N$12,10,0))</f>
        <v>0</v>
      </c>
      <c r="Y15" s="230">
        <f ca="1">IF(CalcE41!$K$13=0,"",VLOOKUP(CalcE41!$B$7,CalcE41!$C$4:$N$12,11,0))</f>
        <v>2</v>
      </c>
      <c r="Z15" s="230">
        <f ca="1">IF(CalcE41!$K$13=0,"",VLOOKUP(CalcE41!$B$7,CalcE41!$C$4:$N$12,12,0))</f>
        <v>1</v>
      </c>
      <c r="AA15" s="232">
        <f ca="1">IF(CalcE41!$K$13=0,"",VLOOKUP(CalcE41!$B$7,CalcE41!$C$4:$N$12,5,0))</f>
        <v>131</v>
      </c>
      <c r="AB15" s="233" t="str">
        <f>Language!$E$96</f>
        <v>-</v>
      </c>
      <c r="AC15" s="234">
        <f ca="1">IF(CalcE41!$K$13=0,"",VLOOKUP(CalcE41!$B$7,CalcE41!$C$4:$N$12,6,0))</f>
        <v>139</v>
      </c>
      <c r="AD15" s="230">
        <f ca="1">IF(CalcE41!$K$13=0,"",IF(VLOOKUP(CalcE41!B7,CalcE41!$C$4:$AR$12,42,0)=Settings!$F$7,"max",VLOOKUP(CalcE41!B7,CalcE41!$C$4:$AR$12,42,0)))</f>
        <v>-8</v>
      </c>
      <c r="AE15" s="235">
        <f ca="1">IF(CalcE41!$K$13=0,"",VLOOKUP(CalcE41!$B$7,CalcE41!$C$4:$N$12,8,0))</f>
        <v>2</v>
      </c>
      <c r="AG15" s="415" t="s">
        <v>326</v>
      </c>
      <c r="AH15" s="759" t="str">
        <f t="shared" ca="1" si="2"/>
        <v>SSV Wildbach</v>
      </c>
      <c r="AI15" s="760">
        <f ca="1">IF($AH15="",0,COUNTIF(TieBreak!$U$38:$U$43,$AH15))</f>
        <v>0</v>
      </c>
    </row>
    <row r="16" spans="3:48" ht="24" customHeight="1" thickTop="1" thickBot="1" x14ac:dyDescent="0.35">
      <c r="C16" s="496">
        <f t="array" aca="1" ref="C16" ca="1">ROW(50:50)-SUM(((Planning!$L$6:$L$50="")+(Planning!$N$6:$N$50="")&gt;0)*1)-SUM((($I$12:$I15="")+($K$12:$K15="")&gt;0)*1)</f>
        <v>33</v>
      </c>
      <c r="D16" s="175">
        <f t="array" aca="1" ref="D16" ca="1">IF(Planning!$V$15,"",$D$12+QUOTIENT(($C16-$C$12),Planning!$V$11)*(Planning!$S$7+Planning!$S$9)/1440+SUM($S$12:$S15)/1440)</f>
        <v>0.61805555555555558</v>
      </c>
      <c r="E16" s="177">
        <f ca="1">IF(Planning!$V$15,"",MOD($C16-$C$12,Planning!$V$11)+1)</f>
        <v>3</v>
      </c>
      <c r="F16" s="563" t="s">
        <v>338</v>
      </c>
      <c r="G16" s="564" t="s">
        <v>4</v>
      </c>
      <c r="H16" s="565" t="s">
        <v>326</v>
      </c>
      <c r="I16" s="460" t="str">
        <f t="shared" ca="1" si="0"/>
        <v>Borussia Dortmund</v>
      </c>
      <c r="J16" s="461" t="s">
        <v>4</v>
      </c>
      <c r="K16" s="462" t="str">
        <f t="shared" ca="1" si="1"/>
        <v>SSV Wildbach</v>
      </c>
      <c r="L16" s="435">
        <v>25</v>
      </c>
      <c r="M16" s="436" t="str">
        <f>Language!$E$96</f>
        <v>-</v>
      </c>
      <c r="N16" s="732">
        <v>21</v>
      </c>
      <c r="O16" s="435">
        <v>25</v>
      </c>
      <c r="P16" s="341" t="str">
        <f>Language!$E$96</f>
        <v>-</v>
      </c>
      <c r="Q16" s="437">
        <v>19</v>
      </c>
      <c r="R16" s="778"/>
      <c r="S16" s="735"/>
      <c r="U16" s="319"/>
      <c r="V16" s="294"/>
      <c r="W16" s="295"/>
      <c r="X16" s="295"/>
      <c r="Y16" s="295"/>
      <c r="Z16" s="295"/>
      <c r="AA16" s="296"/>
      <c r="AB16" s="421"/>
      <c r="AC16" s="294"/>
      <c r="AD16" s="295"/>
      <c r="AE16" s="297"/>
      <c r="AG16" s="417"/>
      <c r="AH16" s="457"/>
      <c r="AL16" s="991" t="str">
        <f>Language!$E$60</f>
        <v>Runners-up</v>
      </c>
      <c r="AM16" s="991"/>
      <c r="AN16" s="201"/>
      <c r="AO16" s="201"/>
      <c r="AP16" s="577"/>
      <c r="AQ16" s="577"/>
      <c r="AR16" s="577"/>
      <c r="AS16" s="577"/>
      <c r="AT16" s="577"/>
      <c r="AU16" s="577"/>
      <c r="AV16" s="577"/>
    </row>
    <row r="17" spans="3:48" ht="24" customHeight="1" thickTop="1" x14ac:dyDescent="0.25">
      <c r="C17" s="496">
        <f t="array" aca="1" ref="C17" ca="1">ROW(51:51)-SUM(((Planning!$L$6:$L$50="")+(Planning!$N$6:$N$50="")&gt;0)*1)-SUM((($I$12:$I16="")+($K$12:$K16="")&gt;0)*1)</f>
        <v>34</v>
      </c>
      <c r="D17" s="175">
        <f t="array" aca="1" ref="D17" ca="1">IF(Planning!$V$15,"",$D$12+QUOTIENT(($C17-$C$12),Planning!$V$11)*(Planning!$S$7+Planning!$S$9)/1440+SUM($S$12:$S16)/1440)</f>
        <v>0.64236111111111116</v>
      </c>
      <c r="E17" s="177">
        <f ca="1">IF(Planning!$V$15,"",MOD($C17-$C$12,Planning!$V$11)+1)</f>
        <v>1</v>
      </c>
      <c r="F17" s="563" t="s">
        <v>333</v>
      </c>
      <c r="G17" s="564" t="s">
        <v>4</v>
      </c>
      <c r="H17" s="565" t="s">
        <v>334</v>
      </c>
      <c r="I17" s="460" t="str">
        <f t="shared" ca="1" si="0"/>
        <v>1. FC Riedwald</v>
      </c>
      <c r="J17" s="461" t="s">
        <v>4</v>
      </c>
      <c r="K17" s="462" t="str">
        <f t="shared" ca="1" si="1"/>
        <v>Manchester City</v>
      </c>
      <c r="L17" s="435">
        <v>25</v>
      </c>
      <c r="M17" s="436" t="str">
        <f>Language!$E$96</f>
        <v>-</v>
      </c>
      <c r="N17" s="732">
        <v>22</v>
      </c>
      <c r="O17" s="435">
        <v>25</v>
      </c>
      <c r="P17" s="341" t="str">
        <f>Language!$E$96</f>
        <v>-</v>
      </c>
      <c r="Q17" s="437">
        <v>20</v>
      </c>
      <c r="R17" s="778"/>
      <c r="S17" s="735"/>
      <c r="AL17" s="531"/>
      <c r="AM17" s="505" t="str">
        <f>Language!$E$10</f>
        <v>Participant or team</v>
      </c>
      <c r="AN17" s="450" t="str">
        <f>Language!$E$21</f>
        <v>Pld</v>
      </c>
      <c r="AO17" s="562" t="str">
        <f>Language!$E$22</f>
        <v>W</v>
      </c>
      <c r="AP17" s="562" t="str">
        <f>Language!$E$23</f>
        <v>D</v>
      </c>
      <c r="AQ17" s="562" t="str">
        <f>Language!$E$24</f>
        <v>L</v>
      </c>
      <c r="AR17" s="847" t="str">
        <f>Language!$E$80</f>
        <v>balls</v>
      </c>
      <c r="AS17" s="848"/>
      <c r="AT17" s="849"/>
      <c r="AU17" s="766" t="str">
        <f>IF(Settings!$G$7,Language!$E$26,Language!$E$86)</f>
        <v>Diff.</v>
      </c>
      <c r="AV17" s="451" t="str">
        <f>Language!$E$27</f>
        <v>Pts</v>
      </c>
    </row>
    <row r="18" spans="3:48" ht="24" customHeight="1" thickBot="1" x14ac:dyDescent="0.45">
      <c r="C18" s="496">
        <f t="array" aca="1" ref="C18" ca="1">ROW(52:52)-SUM(((Planning!$L$6:$L$50="")+(Planning!$N$6:$N$50="")&gt;0)*1)-SUM((($I$12:$I17="")+($K$12:$K17="")&gt;0)*1)</f>
        <v>35</v>
      </c>
      <c r="D18" s="175">
        <f t="array" aca="1" ref="D18" ca="1">IF(Planning!$V$15,"",$D$12+QUOTIENT(($C18-$C$12),Planning!$V$11)*(Planning!$S$7+Planning!$S$9)/1440+SUM($S$12:$S17)/1440)</f>
        <v>0.64236111111111116</v>
      </c>
      <c r="E18" s="177">
        <f ca="1">IF(Planning!$V$15,"",MOD($C18-$C$12,Planning!$V$11)+1)</f>
        <v>2</v>
      </c>
      <c r="F18" s="563" t="s">
        <v>329</v>
      </c>
      <c r="G18" s="564" t="s">
        <v>4</v>
      </c>
      <c r="H18" s="565" t="s">
        <v>330</v>
      </c>
      <c r="I18" s="460" t="str">
        <f t="shared" ca="1" si="0"/>
        <v>Maibach 1822 eV</v>
      </c>
      <c r="J18" s="461" t="s">
        <v>4</v>
      </c>
      <c r="K18" s="462" t="str">
        <f t="shared" ca="1" si="1"/>
        <v>Kickers Rodendorf</v>
      </c>
      <c r="L18" s="435">
        <v>25</v>
      </c>
      <c r="M18" s="436" t="str">
        <f>Language!$E$96</f>
        <v>-</v>
      </c>
      <c r="N18" s="732">
        <v>23</v>
      </c>
      <c r="O18" s="435">
        <v>25</v>
      </c>
      <c r="P18" s="341" t="str">
        <f>Language!$E$96</f>
        <v>-</v>
      </c>
      <c r="Q18" s="437">
        <v>21</v>
      </c>
      <c r="R18" s="778"/>
      <c r="S18" s="735"/>
      <c r="U18" s="898" t="str">
        <f>Language!$E$16&amp;" E2"</f>
        <v>Group E2</v>
      </c>
      <c r="V18" s="898"/>
      <c r="W18" s="201"/>
      <c r="X18" s="201"/>
      <c r="Y18" s="201"/>
      <c r="Z18" s="201"/>
      <c r="AA18" s="201"/>
      <c r="AB18" s="201"/>
      <c r="AC18" s="201"/>
      <c r="AD18" s="201"/>
      <c r="AE18" s="201"/>
      <c r="AG18" s="806" t="str">
        <f>$U18</f>
        <v>Group E2</v>
      </c>
      <c r="AH18" s="806"/>
      <c r="AI18" s="988"/>
      <c r="AL18" s="559" t="s">
        <v>326</v>
      </c>
      <c r="AM18" s="578" t="str">
        <f ca="1">IF(Calc1!$F$14&lt;3,"",IF(CalcGR2!$K$13=0,CalcGR2!$Q$64,VLOOKUP(CalcGR2!$B$4,CalcGR2!$C$4:$N$12,4,0)))</f>
        <v>SSV Wildbach</v>
      </c>
      <c r="AN18" s="510">
        <f ca="1">IF(CalcGR2!$K$13=0,"",VLOOKUP(CalcGR2!$B$4,CalcGR2!$C$4:$N$12,9,0))</f>
        <v>4</v>
      </c>
      <c r="AO18" s="511">
        <f ca="1">IF(CalcGR2!$K$13=0,"",VLOOKUP(CalcGR2!$B$4,CalcGR2!$C$4:$N$12,10,0))</f>
        <v>2</v>
      </c>
      <c r="AP18" s="511">
        <f ca="1">IF(CalcGR2!$K$13=0,"",VLOOKUP(CalcGR2!$B$4,CalcGR2!$C$4:$N$12,11,0))</f>
        <v>2</v>
      </c>
      <c r="AQ18" s="511">
        <f ca="1">IF(CalcGR2!$K$13=0,"",VLOOKUP(CalcGR2!$B$4,CalcGR2!$C$4:$N$12,12,0))</f>
        <v>0</v>
      </c>
      <c r="AR18" s="512">
        <f ca="1">IF(CalcGR2!$K$13=0,"",VLOOKUP(CalcGR2!$B$4,CalcGR2!$C$4:$N$12,5,0))</f>
        <v>187</v>
      </c>
      <c r="AS18" s="513" t="str">
        <f>Language!$E$96</f>
        <v>-</v>
      </c>
      <c r="AT18" s="514">
        <f ca="1">IF(CalcGR2!$K$13=0,"",VLOOKUP(CalcGR2!$B$4,CalcGR2!$C$4:$N$12,6,0))</f>
        <v>171</v>
      </c>
      <c r="AU18" s="511">
        <f ca="1">IF(CalcGR2!$K$13=0,"",IF(VLOOKUP(CalcGR2!B4,CalcGR2!$C$4:$AR$12,42,0)=Settings!$F$7,"max",VLOOKUP(CalcGR2!B4,CalcGR2!$C$4:$AR$12,42,0)))</f>
        <v>16</v>
      </c>
      <c r="AV18" s="469">
        <f ca="1">IF(CalcGR2!$K$13=0,"",VLOOKUP(CalcGR2!$B$4,CalcGR2!$C$4:$N$12,8,0))</f>
        <v>6</v>
      </c>
    </row>
    <row r="19" spans="3:48" ht="24" customHeight="1" thickTop="1" thickBot="1" x14ac:dyDescent="0.3">
      <c r="C19" s="496">
        <f t="array" aca="1" ref="C19" ca="1">ROW(53:53)-SUM(((Planning!$L$6:$L$50="")+(Planning!$N$6:$N$50="")&gt;0)*1)-SUM((($I$12:$I18="")+($K$12:$K18="")&gt;0)*1)</f>
        <v>36</v>
      </c>
      <c r="D19" s="175">
        <f t="array" aca="1" ref="D19" ca="1">IF(Planning!$V$15,"",$D$12+QUOTIENT(($C19-$C$12),Planning!$V$11)*(Planning!$S$7+Planning!$S$9)/1440+SUM($S$12:$S18)/1440)</f>
        <v>0.64236111111111116</v>
      </c>
      <c r="E19" s="177">
        <f ca="1">IF(Planning!$V$15,"",MOD($C19-$C$12,Planning!$V$11)+1)</f>
        <v>3</v>
      </c>
      <c r="F19" s="563" t="s">
        <v>328</v>
      </c>
      <c r="G19" s="564" t="s">
        <v>4</v>
      </c>
      <c r="H19" s="565" t="s">
        <v>316</v>
      </c>
      <c r="I19" s="460" t="str">
        <f t="shared" ca="1" si="0"/>
        <v>1. FC Nürnberg</v>
      </c>
      <c r="J19" s="461" t="s">
        <v>4</v>
      </c>
      <c r="K19" s="462" t="str">
        <f t="shared" ca="1" si="1"/>
        <v>VFB Essenheim</v>
      </c>
      <c r="L19" s="435">
        <v>25</v>
      </c>
      <c r="M19" s="436" t="str">
        <f>Language!$E$96</f>
        <v>-</v>
      </c>
      <c r="N19" s="732">
        <v>17</v>
      </c>
      <c r="O19" s="435">
        <v>25</v>
      </c>
      <c r="P19" s="341" t="str">
        <f>Language!$E$96</f>
        <v>-</v>
      </c>
      <c r="Q19" s="437">
        <v>22</v>
      </c>
      <c r="R19" s="778"/>
      <c r="S19" s="735"/>
      <c r="U19" s="845"/>
      <c r="V19" s="846"/>
      <c r="W19" s="203" t="str">
        <f>Language!$E$21</f>
        <v>Pld</v>
      </c>
      <c r="X19" s="204" t="str">
        <f>Language!$E$22</f>
        <v>W</v>
      </c>
      <c r="Y19" s="204" t="str">
        <f>Language!$E$23</f>
        <v>D</v>
      </c>
      <c r="Z19" s="560" t="str">
        <f>Language!$E$24</f>
        <v>L</v>
      </c>
      <c r="AA19" s="847" t="str">
        <f>Language!$E$80</f>
        <v>balls</v>
      </c>
      <c r="AB19" s="848"/>
      <c r="AC19" s="849"/>
      <c r="AD19" s="766" t="str">
        <f>IF(Settings!$G$7,Language!$E$26,Language!$E$86)</f>
        <v>Diff.</v>
      </c>
      <c r="AE19" s="206" t="str">
        <f>Language!$E$27</f>
        <v>Pts</v>
      </c>
      <c r="AG19" s="456"/>
      <c r="AH19" s="757" t="str">
        <f>Language!$E$10</f>
        <v>Participant or team</v>
      </c>
      <c r="AI19" s="761" t="str">
        <f>Language!$E$49</f>
        <v>Tie break</v>
      </c>
      <c r="AL19" s="455" t="s">
        <v>327</v>
      </c>
      <c r="AM19" s="579" t="str">
        <f ca="1">IF(Calc1!$F$14&lt;3,"",IF(CalcGR2!$K$13=0,CalcGR2!$Q$65,VLOOKUP(CalcGR2!$B$5,CalcGR2!$C$4:$N$12,4,0)))</f>
        <v>Eintracht Frankfurt</v>
      </c>
      <c r="AN19" s="225">
        <f ca="1">IF(CalcGR2!$K$13=0,"",VLOOKUP(CalcGR2!$B$5,CalcGR2!$C$4:$N$12,9,0))</f>
        <v>4</v>
      </c>
      <c r="AO19" s="200">
        <f ca="1">IF(CalcGR2!$K$13=0,"",VLOOKUP(CalcGR2!$B$5,CalcGR2!$C$4:$N$12,10,0))</f>
        <v>1</v>
      </c>
      <c r="AP19" s="200">
        <f ca="1">IF(CalcGR2!$K$13=0,"",VLOOKUP(CalcGR2!$B$5,CalcGR2!$C$4:$N$12,11,0))</f>
        <v>2</v>
      </c>
      <c r="AQ19" s="200">
        <f ca="1">IF(CalcGR2!$K$13=0,"",VLOOKUP(CalcGR2!$B$5,CalcGR2!$C$4:$N$12,12,0))</f>
        <v>1</v>
      </c>
      <c r="AR19" s="221">
        <f ca="1">IF(CalcGR2!$K$13=0,"",VLOOKUP(CalcGR2!$B$5,CalcGR2!$C$4:$N$12,5,0))</f>
        <v>176</v>
      </c>
      <c r="AS19" s="222" t="str">
        <f>Language!$E$96</f>
        <v>-</v>
      </c>
      <c r="AT19" s="223">
        <f ca="1">IF(CalcGR2!$K$13=0,"",VLOOKUP(CalcGR2!$B$5,CalcGR2!$C$4:$N$12,6,0))</f>
        <v>173</v>
      </c>
      <c r="AU19" s="200">
        <f ca="1">IF(CalcGR2!$K$13=0,"",IF(VLOOKUP(CalcGR2!B5,CalcGR2!$C$4:$AR$12,42,0)=Settings!$F$7,"max",VLOOKUP(CalcGR2!B5,CalcGR2!$C$4:$AR$12,42,0)))</f>
        <v>3</v>
      </c>
      <c r="AV19" s="469">
        <f ca="1">IF(CalcGR2!$K$13=0,"",VLOOKUP(CalcGR2!$B$5,CalcGR2!$C$4:$N$12,8,0))</f>
        <v>4</v>
      </c>
    </row>
    <row r="20" spans="3:48" ht="24" customHeight="1" thickBot="1" x14ac:dyDescent="0.3">
      <c r="C20" s="496">
        <f t="array" aca="1" ref="C20" ca="1">ROW(54:54)-SUM(((Planning!$L$6:$L$50="")+(Planning!$N$6:$N$50="")&gt;0)*1)-SUM((($I$12:$I19="")+($K$12:$K19="")&gt;0)*1)</f>
        <v>37</v>
      </c>
      <c r="D20" s="175">
        <f t="array" aca="1" ref="D20" ca="1">IF(Planning!$V$15,"",$D$12+QUOTIENT(($C20-$C$12),Planning!$V$11)*(Planning!$S$7+Planning!$S$9)/1440+SUM($S$12:$S19)/1440)</f>
        <v>0.66666666666666674</v>
      </c>
      <c r="E20" s="177">
        <f ca="1">IF(Planning!$V$15,"",MOD($C20-$C$12,Planning!$V$11)+1)</f>
        <v>1</v>
      </c>
      <c r="F20" s="563" t="s">
        <v>339</v>
      </c>
      <c r="G20" s="564" t="s">
        <v>4</v>
      </c>
      <c r="H20" s="565" t="s">
        <v>340</v>
      </c>
      <c r="I20" s="460" t="str">
        <f t="shared" ca="1" si="0"/>
        <v>Inter Mailand</v>
      </c>
      <c r="J20" s="461" t="s">
        <v>4</v>
      </c>
      <c r="K20" s="462" t="str">
        <f t="shared" ca="1" si="1"/>
        <v>FC Barcelona</v>
      </c>
      <c r="L20" s="435">
        <v>23</v>
      </c>
      <c r="M20" s="436" t="str">
        <f>Language!$E$96</f>
        <v>-</v>
      </c>
      <c r="N20" s="732">
        <v>25</v>
      </c>
      <c r="O20" s="435">
        <v>22</v>
      </c>
      <c r="P20" s="341" t="str">
        <f>Language!$E$96</f>
        <v>-</v>
      </c>
      <c r="Q20" s="437">
        <v>25</v>
      </c>
      <c r="R20" s="778"/>
      <c r="S20" s="735"/>
      <c r="U20" s="383">
        <f ca="1">IF(CalcE42!$K$13=0,"",5)</f>
        <v>5</v>
      </c>
      <c r="V20" s="440" t="str">
        <f ca="1">IF(Calc1!$F$14&lt;3,"",IF(AND(CalcE42!$K$13=0,$AH$24&lt;&gt;1),CalcE42!$Q$64,VLOOKUP(CalcE42!$B$4,CalcE42!$C$4:$N$12,4,0)))</f>
        <v>Real Madrid</v>
      </c>
      <c r="W20" s="443">
        <f ca="1">IF(CalcE42!$K$13=0,"",VLOOKUP(CalcE42!$B$4,CalcE42!$C$4:$N$12,9,0))</f>
        <v>3</v>
      </c>
      <c r="X20" s="210">
        <f ca="1">IF(CalcE42!$K$13=0,"",VLOOKUP(CalcE42!$B$4,CalcE42!$C$4:$N$12,10,0))</f>
        <v>1</v>
      </c>
      <c r="Y20" s="210">
        <f ca="1">IF(CalcE42!$K$13=0,"",VLOOKUP(CalcE42!$B$4,CalcE42!$C$4:$N$12,11,0))</f>
        <v>2</v>
      </c>
      <c r="Z20" s="210">
        <f ca="1">IF(CalcE42!$K$13=0,"",VLOOKUP(CalcE42!$B$4,CalcE42!$C$4:$N$12,12,0))</f>
        <v>0</v>
      </c>
      <c r="AA20" s="212">
        <f ca="1">IF(CalcE42!$K$13=0,"",VLOOKUP(CalcE42!$B$4,CalcE42!$C$4:$N$12,5,0))</f>
        <v>134</v>
      </c>
      <c r="AB20" s="213" t="str">
        <f>Language!$E$96</f>
        <v>-</v>
      </c>
      <c r="AC20" s="214">
        <f ca="1">IF(CalcE42!$K$13=0,"",VLOOKUP(CalcE42!$B$4,CalcE42!$C$4:$N$12,6,0))</f>
        <v>111</v>
      </c>
      <c r="AD20" s="210">
        <f ca="1">IF(CalcE42!$K$13=0,"",IF(VLOOKUP(CalcE42!B4,CalcE42!$C$4:$AR$12,42,0)=Settings!$F$7,"max",VLOOKUP(CalcE42!B4,CalcE42!$C$4:$AR$12,42,0)))</f>
        <v>23</v>
      </c>
      <c r="AE20" s="215">
        <f ca="1">IF(CalcE42!$K$13=0,"",VLOOKUP(CalcE42!$B$4,CalcE42!$C$4:$N$12,8,0))</f>
        <v>4</v>
      </c>
      <c r="AG20" s="558" t="s">
        <v>327</v>
      </c>
      <c r="AH20" s="758" t="str">
        <f ca="1">IF(VLOOKUP(AG20,$AL$12:$AM$44,2,0)="","",VLOOKUP(AG20,$AL$12:$AM$44,2,0))</f>
        <v>Eintracht Frankfurt</v>
      </c>
      <c r="AI20" s="760">
        <f ca="1">IF($AH20="",0,COUNTIF(TieBreak!$U$38:$U$43,$AH20))</f>
        <v>0</v>
      </c>
      <c r="AL20" s="415" t="s">
        <v>328</v>
      </c>
      <c r="AM20" s="580" t="str">
        <f ca="1">IF(Calc1!$F$14&lt;3,"",IF(CalcGR2!$K$13=0,CalcGR2!$Q$66,VLOOKUP(CalcGR2!$B$6,CalcGR2!$C$4:$N$12,4,0)))</f>
        <v>1. FC Nürnberg</v>
      </c>
      <c r="AN20" s="236">
        <f ca="1">IF(CalcGR2!$K$13=0,"",VLOOKUP(CalcGR2!$B$6,CalcGR2!$C$4:$N$12,9,0))</f>
        <v>4</v>
      </c>
      <c r="AO20" s="230">
        <f ca="1">IF(CalcGR2!$K$13=0,"",VLOOKUP(CalcGR2!$B$6,CalcGR2!$C$4:$N$12,10,0))</f>
        <v>1</v>
      </c>
      <c r="AP20" s="230">
        <f ca="1">IF(CalcGR2!$K$13=0,"",VLOOKUP(CalcGR2!$B$6,CalcGR2!$C$4:$N$12,11,0))</f>
        <v>2</v>
      </c>
      <c r="AQ20" s="230">
        <f ca="1">IF(CalcGR2!$K$13=0,"",VLOOKUP(CalcGR2!$B$6,CalcGR2!$C$4:$N$12,12,0))</f>
        <v>1</v>
      </c>
      <c r="AR20" s="232">
        <f ca="1">IF(CalcGR2!$K$13=0,"",VLOOKUP(CalcGR2!$B$6,CalcGR2!$C$4:$N$12,5,0))</f>
        <v>160</v>
      </c>
      <c r="AS20" s="233" t="str">
        <f>Language!$E$96</f>
        <v>-</v>
      </c>
      <c r="AT20" s="234">
        <f ca="1">IF(CalcGR2!$K$13=0,"",VLOOKUP(CalcGR2!$B$6,CalcGR2!$C$4:$N$12,6,0))</f>
        <v>175</v>
      </c>
      <c r="AU20" s="230">
        <f ca="1">IF(CalcGR2!$K$13=0,"",IF(VLOOKUP(CalcGR2!B6,CalcGR2!$C$4:$AR$12,42,0)=Settings!$F$7,"max",VLOOKUP(CalcGR2!B6,CalcGR2!$C$4:$AR$12,42,0)))</f>
        <v>-15</v>
      </c>
      <c r="AV20" s="470">
        <f ca="1">IF(CalcGR2!$K$13=0,"",VLOOKUP(CalcGR2!$B$6,CalcGR2!$C$4:$N$12,8,0))</f>
        <v>4</v>
      </c>
    </row>
    <row r="21" spans="3:48" ht="24" customHeight="1" thickTop="1" x14ac:dyDescent="0.25">
      <c r="C21" s="496">
        <f t="array" aca="1" ref="C21" ca="1">ROW(55:55)-SUM(((Planning!$L$6:$L$50="")+(Planning!$N$6:$N$50="")&gt;0)*1)-SUM((($I$12:$I20="")+($K$12:$K20="")&gt;0)*1)</f>
        <v>38</v>
      </c>
      <c r="D21" s="175">
        <f t="array" aca="1" ref="D21" ca="1">IF(Planning!$V$15,"",$D$12+QUOTIENT(($C21-$C$12),Planning!$V$11)*(Planning!$S$7+Planning!$S$9)/1440+SUM($S$12:$S20)/1440)</f>
        <v>0.66666666666666674</v>
      </c>
      <c r="E21" s="177">
        <f ca="1">IF(Planning!$V$15,"",MOD($C21-$C$12,Planning!$V$11)+1)</f>
        <v>2</v>
      </c>
      <c r="F21" s="563" t="s">
        <v>335</v>
      </c>
      <c r="G21" s="564" t="s">
        <v>4</v>
      </c>
      <c r="H21" s="565" t="s">
        <v>333</v>
      </c>
      <c r="I21" s="460" t="str">
        <f t="shared" ca="1" si="0"/>
        <v/>
      </c>
      <c r="J21" s="461" t="s">
        <v>4</v>
      </c>
      <c r="K21" s="462" t="str">
        <f t="shared" ca="1" si="1"/>
        <v>1. FC Riedwald</v>
      </c>
      <c r="L21" s="435"/>
      <c r="M21" s="436" t="str">
        <f>Language!$E$96</f>
        <v>-</v>
      </c>
      <c r="N21" s="732"/>
      <c r="O21" s="435"/>
      <c r="P21" s="341" t="str">
        <f>Language!$E$96</f>
        <v>-</v>
      </c>
      <c r="Q21" s="437"/>
      <c r="R21" s="778"/>
      <c r="S21" s="735"/>
      <c r="U21" s="385">
        <f ca="1">IF(CalcE42!$K$13=0,"",IF(VLOOKUP(CalcE42!$B$5,CalcE42!$C$4:$E$12,3,0)=MAX($U20:$U20)-4,VLOOKUP(CalcE42!$B$5,CalcE42!$C$4:$E$12,3,0),CalcE42!$B$5)+4)</f>
        <v>6</v>
      </c>
      <c r="V21" s="441" t="str">
        <f ca="1">IF(OR(Calc1!$F$14&lt;3,$AH$24=1),"",IF(CalcE42!$K$13=0,CalcE42!$Q$65,VLOOKUP(CalcE42!$B$5,CalcE42!$C$4:$N$12,4,0)))</f>
        <v>1. FC Nürnberg</v>
      </c>
      <c r="W21" s="225">
        <f ca="1">IF(CalcE42!$K$13=0,"",VLOOKUP(CalcE42!$B$5,CalcE42!$C$4:$N$12,9,0))</f>
        <v>3</v>
      </c>
      <c r="X21" s="200">
        <f ca="1">IF(CalcE42!$K$13=0,"",VLOOKUP(CalcE42!$B$5,CalcE42!$C$4:$N$12,10,0))</f>
        <v>1</v>
      </c>
      <c r="Y21" s="200">
        <f ca="1">IF(CalcE42!$K$13=0,"",VLOOKUP(CalcE42!$B$5,CalcE42!$C$4:$N$12,11,0))</f>
        <v>2</v>
      </c>
      <c r="Z21" s="200">
        <f ca="1">IF(CalcE42!$K$13=0,"",VLOOKUP(CalcE42!$B$5,CalcE42!$C$4:$N$12,12,0))</f>
        <v>0</v>
      </c>
      <c r="AA21" s="221">
        <f ca="1">IF(CalcE42!$K$13=0,"",VLOOKUP(CalcE42!$B$5,CalcE42!$C$4:$N$12,5,0))</f>
        <v>136</v>
      </c>
      <c r="AB21" s="222" t="str">
        <f>Language!$E$96</f>
        <v>-</v>
      </c>
      <c r="AC21" s="223">
        <f ca="1">IF(CalcE42!$K$13=0,"",VLOOKUP(CalcE42!$B$5,CalcE42!$C$4:$N$12,6,0))</f>
        <v>122</v>
      </c>
      <c r="AD21" s="200">
        <f ca="1">IF(CalcE42!$K$13=0,"",IF(VLOOKUP(CalcE42!B5,CalcE42!$C$4:$AR$12,42,0)=Settings!$F$7,"max",VLOOKUP(CalcE42!B5,CalcE42!$C$4:$AR$12,42,0)))</f>
        <v>14</v>
      </c>
      <c r="AE21" s="224">
        <f ca="1">IF(CalcE42!$K$13=0,"",VLOOKUP(CalcE42!$B$5,CalcE42!$C$4:$N$12,8,0))</f>
        <v>4</v>
      </c>
      <c r="AG21" s="455" t="s">
        <v>328</v>
      </c>
      <c r="AH21" s="758" t="str">
        <f t="shared" ref="AH21:AH23" ca="1" si="3">IF(VLOOKUP(AG21,$AL$12:$AM$44,2,0)="","",VLOOKUP(AG21,$AL$12:$AM$44,2,0))</f>
        <v>1. FC Nürnberg</v>
      </c>
      <c r="AI21" s="760">
        <f ca="1">IF($AH21="",0,COUNTIF(TieBreak!$U$38:$U$43,$AH21))</f>
        <v>0</v>
      </c>
    </row>
    <row r="22" spans="3:48" ht="24" customHeight="1" thickBot="1" x14ac:dyDescent="0.35">
      <c r="C22" s="496">
        <f t="array" aca="1" ref="C22" ca="1">ROW(56:56)-SUM(((Planning!$L$6:$L$50="")+(Planning!$N$6:$N$50="")&gt;0)*1)-SUM((($I$12:$I21="")+($K$12:$K21="")&gt;0)*1)</f>
        <v>38</v>
      </c>
      <c r="D22" s="175">
        <f t="array" aca="1" ref="D22" ca="1">IF(Planning!$V$15,"",$D$12+QUOTIENT(($C22-$C$12),Planning!$V$11)*(Planning!$S$7+Planning!$S$9)/1440+SUM($S$12:$S21)/1440)</f>
        <v>0.66666666666666674</v>
      </c>
      <c r="E22" s="177">
        <f ca="1">IF(Planning!$V$15,"",MOD($C22-$C$12,Planning!$V$11)+1)</f>
        <v>2</v>
      </c>
      <c r="F22" s="563" t="s">
        <v>331</v>
      </c>
      <c r="G22" s="564" t="s">
        <v>4</v>
      </c>
      <c r="H22" s="565" t="s">
        <v>329</v>
      </c>
      <c r="I22" s="460" t="str">
        <f t="shared" ca="1" si="0"/>
        <v>Mainz 05</v>
      </c>
      <c r="J22" s="461" t="s">
        <v>4</v>
      </c>
      <c r="K22" s="462" t="str">
        <f t="shared" ca="1" si="1"/>
        <v>Maibach 1822 eV</v>
      </c>
      <c r="L22" s="435">
        <v>16</v>
      </c>
      <c r="M22" s="436" t="str">
        <f>Language!$E$96</f>
        <v>-</v>
      </c>
      <c r="N22" s="732">
        <v>25</v>
      </c>
      <c r="O22" s="435">
        <v>25</v>
      </c>
      <c r="P22" s="341" t="str">
        <f>Language!$E$96</f>
        <v>-</v>
      </c>
      <c r="Q22" s="437">
        <v>18</v>
      </c>
      <c r="R22" s="778"/>
      <c r="S22" s="735"/>
      <c r="U22" s="385">
        <f ca="1">IF(CalcE42!$K$13=0,"",IF(VLOOKUP(CalcE42!$B$6,CalcE42!$C$4:$E$12,3,0)=MAX($U20:$U21)-4,VLOOKUP(CalcE42!$B$6,CalcE42!$C$4:$E$12,3,0),CalcE42!$B$6)+4)</f>
        <v>7</v>
      </c>
      <c r="V22" s="441" t="str">
        <f ca="1">IF(OR(Calc1!$F$14&lt;3,$AH$24=1),"",IF(CalcE42!$K$13=0,CalcE42!$Q$66,VLOOKUP(CalcE42!$B$6,CalcE42!$C$4:$N$12,4,0)))</f>
        <v>Eintracht Frankfurt</v>
      </c>
      <c r="W22" s="225">
        <f ca="1">IF(CalcE42!$K$13=0,"",VLOOKUP(CalcE42!$B$6,CalcE42!$C$4:$N$12,9,0))</f>
        <v>3</v>
      </c>
      <c r="X22" s="200">
        <f ca="1">IF(CalcE42!$K$13=0,"",VLOOKUP(CalcE42!$B$6,CalcE42!$C$4:$N$12,10,0))</f>
        <v>0</v>
      </c>
      <c r="Y22" s="200">
        <f ca="1">IF(CalcE42!$K$13=0,"",VLOOKUP(CalcE42!$B$6,CalcE42!$C$4:$N$12,11,0))</f>
        <v>3</v>
      </c>
      <c r="Z22" s="200">
        <f ca="1">IF(CalcE42!$K$13=0,"",VLOOKUP(CalcE42!$B$6,CalcE42!$C$4:$N$12,12,0))</f>
        <v>0</v>
      </c>
      <c r="AA22" s="221">
        <f ca="1">IF(CalcE42!$K$13=0,"",VLOOKUP(CalcE42!$B$6,CalcE42!$C$4:$N$12,5,0))</f>
        <v>137</v>
      </c>
      <c r="AB22" s="222" t="str">
        <f>Language!$E$96</f>
        <v>-</v>
      </c>
      <c r="AC22" s="223">
        <f ca="1">IF(CalcE42!$K$13=0,"",VLOOKUP(CalcE42!$B$6,CalcE42!$C$4:$N$12,6,0))</f>
        <v>126</v>
      </c>
      <c r="AD22" s="200">
        <f ca="1">IF(CalcE42!$K$13=0,"",IF(VLOOKUP(CalcE42!B6,CalcE42!$C$4:$AR$12,42,0)=Settings!$F$7,"max",VLOOKUP(CalcE42!B6,CalcE42!$C$4:$AR$12,42,0)))</f>
        <v>11</v>
      </c>
      <c r="AE22" s="224">
        <f ca="1">IF(CalcE42!$K$13=0,"",VLOOKUP(CalcE42!$B$6,CalcE42!$C$4:$N$12,8,0))</f>
        <v>3</v>
      </c>
      <c r="AG22" s="455" t="s">
        <v>316</v>
      </c>
      <c r="AH22" s="758" t="str">
        <f t="shared" ca="1" si="3"/>
        <v>VFB Essenheim</v>
      </c>
      <c r="AI22" s="760">
        <f ca="1">IF($AH22="",0,COUNTIF(TieBreak!$U$38:$U$43,$AH22))</f>
        <v>0</v>
      </c>
      <c r="AL22" s="991" t="str">
        <f>Language!$E$61</f>
        <v>Third-place</v>
      </c>
      <c r="AM22" s="991"/>
      <c r="AN22" s="201"/>
      <c r="AO22" s="201"/>
      <c r="AP22" s="577"/>
      <c r="AQ22" s="577"/>
      <c r="AR22" s="577"/>
      <c r="AS22" s="577"/>
      <c r="AT22" s="577"/>
      <c r="AU22" s="577"/>
      <c r="AV22" s="577"/>
    </row>
    <row r="23" spans="3:48" ht="24" customHeight="1" thickTop="1" thickBot="1" x14ac:dyDescent="0.3">
      <c r="C23" s="496">
        <f t="array" aca="1" ref="C23" ca="1">ROW(57:57)-SUM(((Planning!$L$6:$L$50="")+(Planning!$N$6:$N$50="")&gt;0)*1)-SUM((($I$12:$I22="")+($K$12:$K22="")&gt;0)*1)</f>
        <v>39</v>
      </c>
      <c r="D23" s="175">
        <f t="array" aca="1" ref="D23" ca="1">IF(Planning!$V$15,"",$D$12+QUOTIENT(($C23-$C$12),Planning!$V$11)*(Planning!$S$7+Planning!$S$9)/1440+SUM($S$12:$S22)/1440)</f>
        <v>0.66666666666666674</v>
      </c>
      <c r="E23" s="177">
        <f ca="1">IF(Planning!$V$15,"",MOD($C23-$C$12,Planning!$V$11)+1)</f>
        <v>3</v>
      </c>
      <c r="F23" s="563" t="s">
        <v>317</v>
      </c>
      <c r="G23" s="564" t="s">
        <v>4</v>
      </c>
      <c r="H23" s="565" t="s">
        <v>328</v>
      </c>
      <c r="I23" s="460" t="str">
        <f t="shared" ca="1" si="0"/>
        <v>Real Madrid</v>
      </c>
      <c r="J23" s="461" t="s">
        <v>4</v>
      </c>
      <c r="K23" s="462" t="str">
        <f t="shared" ca="1" si="1"/>
        <v>1. FC Nürnberg</v>
      </c>
      <c r="L23" s="435">
        <v>14</v>
      </c>
      <c r="M23" s="436" t="str">
        <f>Language!$E$96</f>
        <v>-</v>
      </c>
      <c r="N23" s="732">
        <v>25</v>
      </c>
      <c r="O23" s="435">
        <v>25</v>
      </c>
      <c r="P23" s="341" t="str">
        <f>Language!$E$96</f>
        <v>-</v>
      </c>
      <c r="Q23" s="437">
        <v>19</v>
      </c>
      <c r="R23" s="778"/>
      <c r="S23" s="735"/>
      <c r="U23" s="387">
        <f ca="1">IF(CalcE42!$K$13=0,"",IF(VLOOKUP(CalcE42!$B$7,CalcE42!$C$4:$E$12,3,0)=MAX($U20:$U22)-4,VLOOKUP(CalcE42!$B$7,CalcE42!$C$4:$E$12,3,0),CalcE42!$B$7)+4)</f>
        <v>8</v>
      </c>
      <c r="V23" s="442" t="str">
        <f ca="1">IF(OR(Calc1!$F$14&lt;3,$AH$24=1),"",IF(CalcE42!$K$13=0,CalcE42!$Q$67,VLOOKUP(CalcE42!$B$7,CalcE42!$C$4:$N$12,4,0)))</f>
        <v>VFB Essenheim</v>
      </c>
      <c r="W23" s="236">
        <f ca="1">IF(CalcE42!$K$13=0,"",VLOOKUP(CalcE42!$B$7,CalcE42!$C$4:$N$12,9,0))</f>
        <v>3</v>
      </c>
      <c r="X23" s="230">
        <f ca="1">IF(CalcE42!$K$13=0,"",VLOOKUP(CalcE42!$B$7,CalcE42!$C$4:$N$12,10,0))</f>
        <v>0</v>
      </c>
      <c r="Y23" s="230">
        <f ca="1">IF(CalcE42!$K$13=0,"",VLOOKUP(CalcE42!$B$7,CalcE42!$C$4:$N$12,11,0))</f>
        <v>1</v>
      </c>
      <c r="Z23" s="230">
        <f ca="1">IF(CalcE42!$K$13=0,"",VLOOKUP(CalcE42!$B$7,CalcE42!$C$4:$N$12,12,0))</f>
        <v>2</v>
      </c>
      <c r="AA23" s="232">
        <f ca="1">IF(CalcE42!$K$13=0,"",VLOOKUP(CalcE42!$B$7,CalcE42!$C$4:$N$12,5,0))</f>
        <v>100</v>
      </c>
      <c r="AB23" s="233" t="str">
        <f>Language!$E$96</f>
        <v>-</v>
      </c>
      <c r="AC23" s="234">
        <f ca="1">IF(CalcE42!$K$13=0,"",VLOOKUP(CalcE42!$B$7,CalcE42!$C$4:$N$12,6,0))</f>
        <v>148</v>
      </c>
      <c r="AD23" s="230">
        <f ca="1">IF(CalcE42!$K$13=0,"",IF(VLOOKUP(CalcE42!B7,CalcE42!$C$4:$AR$12,42,0)=Settings!$F$7,"max",VLOOKUP(CalcE42!B7,CalcE42!$C$4:$AR$12,42,0)))</f>
        <v>-48</v>
      </c>
      <c r="AE23" s="235">
        <f ca="1">IF(CalcE42!$K$13=0,"",VLOOKUP(CalcE42!$B$7,CalcE42!$C$4:$N$12,8,0))</f>
        <v>1</v>
      </c>
      <c r="AG23" s="415" t="s">
        <v>317</v>
      </c>
      <c r="AH23" s="759" t="str">
        <f t="shared" ca="1" si="3"/>
        <v>Real Madrid</v>
      </c>
      <c r="AI23" s="760">
        <f ca="1">IF($AH23="",0,COUNTIF(TieBreak!$U$38:$U$43,$AH23))</f>
        <v>0</v>
      </c>
      <c r="AL23" s="531"/>
      <c r="AM23" s="505" t="str">
        <f>Language!$E$10</f>
        <v>Participant or team</v>
      </c>
      <c r="AN23" s="450" t="str">
        <f>Language!$E$21</f>
        <v>Pld</v>
      </c>
      <c r="AO23" s="562" t="str">
        <f>Language!$E$22</f>
        <v>W</v>
      </c>
      <c r="AP23" s="562" t="str">
        <f>Language!$E$23</f>
        <v>D</v>
      </c>
      <c r="AQ23" s="562" t="str">
        <f>Language!$E$24</f>
        <v>L</v>
      </c>
      <c r="AR23" s="847" t="str">
        <f>Language!$E$80</f>
        <v>balls</v>
      </c>
      <c r="AS23" s="848"/>
      <c r="AT23" s="849"/>
      <c r="AU23" s="766" t="str">
        <f>IF(Settings!$G$7,Language!$E$26,Language!$E$86)</f>
        <v>Diff.</v>
      </c>
      <c r="AV23" s="451" t="str">
        <f>Language!$E$27</f>
        <v>Pts</v>
      </c>
    </row>
    <row r="24" spans="3:48" ht="24" customHeight="1" thickTop="1" x14ac:dyDescent="0.25">
      <c r="C24" s="496">
        <f t="array" aca="1" ref="C24" ca="1">ROW(58:58)-SUM(((Planning!$L$6:$L$50="")+(Planning!$N$6:$N$50="")&gt;0)*1)-SUM((($I$12:$I23="")+($K$12:$K23="")&gt;0)*1)</f>
        <v>40</v>
      </c>
      <c r="D24" s="175">
        <f t="array" aca="1" ref="D24" ca="1">IF(Planning!$V$15,"",$D$12+QUOTIENT(($C24-$C$12),Planning!$V$11)*(Planning!$S$7+Planning!$S$9)/1440+SUM($S$12:$S23)/1440)</f>
        <v>0.69097222222222221</v>
      </c>
      <c r="E24" s="177">
        <f ca="1">IF(Planning!$V$15,"",MOD($C24-$C$12,Planning!$V$11)+1)</f>
        <v>1</v>
      </c>
      <c r="F24" s="563" t="s">
        <v>326</v>
      </c>
      <c r="G24" s="564" t="s">
        <v>4</v>
      </c>
      <c r="H24" s="565" t="s">
        <v>339</v>
      </c>
      <c r="I24" s="460" t="str">
        <f t="shared" ca="1" si="0"/>
        <v>SSV Wildbach</v>
      </c>
      <c r="J24" s="461" t="s">
        <v>4</v>
      </c>
      <c r="K24" s="462" t="str">
        <f t="shared" ca="1" si="1"/>
        <v>Inter Mailand</v>
      </c>
      <c r="L24" s="435">
        <v>22</v>
      </c>
      <c r="M24" s="436" t="str">
        <f>Language!$E$96</f>
        <v>-</v>
      </c>
      <c r="N24" s="732">
        <v>25</v>
      </c>
      <c r="O24" s="435">
        <v>25</v>
      </c>
      <c r="P24" s="341" t="str">
        <f>Language!$E$96</f>
        <v>-</v>
      </c>
      <c r="Q24" s="437">
        <v>20</v>
      </c>
      <c r="R24" s="778"/>
      <c r="S24" s="735"/>
      <c r="AH24" s="586">
        <f t="array" aca="1" ref="AH24" ca="1">SUM((AH20:AH23&lt;&gt;"")*1)</f>
        <v>4</v>
      </c>
      <c r="AL24" s="559" t="s">
        <v>316</v>
      </c>
      <c r="AM24" s="578" t="str">
        <f ca="1">IF(Calc1!$F$14&lt;3,"",IF(CalcGR3!$K$13=0,CalcGR3!$Q$64,VLOOKUP(CalcGR3!$B$4,CalcGR3!$C$4:$N$12,4,0)))</f>
        <v>VFB Essenheim</v>
      </c>
      <c r="AN24" s="510">
        <f ca="1">IF(CalcGR3!$K$13=0,"",VLOOKUP(CalcGR3!$B$4,CalcGR3!$C$4:$N$12,9,0))</f>
        <v>4</v>
      </c>
      <c r="AO24" s="511">
        <f ca="1">IF(CalcGR3!$K$13=0,"",VLOOKUP(CalcGR3!$B$4,CalcGR3!$C$4:$N$12,10,0))</f>
        <v>1</v>
      </c>
      <c r="AP24" s="511">
        <f ca="1">IF(CalcGR3!$K$13=0,"",VLOOKUP(CalcGR3!$B$4,CalcGR3!$C$4:$N$12,11,0))</f>
        <v>2</v>
      </c>
      <c r="AQ24" s="511">
        <f ca="1">IF(CalcGR3!$K$13=0,"",VLOOKUP(CalcGR3!$B$4,CalcGR3!$C$4:$N$12,12,0))</f>
        <v>1</v>
      </c>
      <c r="AR24" s="512">
        <f ca="1">IF(CalcGR3!$K$13=0,"",VLOOKUP(CalcGR3!$B$4,CalcGR3!$C$4:$N$12,5,0))</f>
        <v>180</v>
      </c>
      <c r="AS24" s="513" t="str">
        <f>Language!$E$96</f>
        <v>-</v>
      </c>
      <c r="AT24" s="514">
        <f ca="1">IF(CalcGR3!$K$13=0,"",VLOOKUP(CalcGR3!$B$4,CalcGR3!$C$4:$N$12,6,0))</f>
        <v>181</v>
      </c>
      <c r="AU24" s="511">
        <f ca="1">IF(CalcGR3!$K$13=0,"",IF(VLOOKUP(CalcGR3!B4,CalcGR3!$C$4:$AR$12,42,0)=Settings!$F$7,"max",VLOOKUP(CalcGR3!B4,CalcGR3!$C$4:$AR$12,42,0)))</f>
        <v>-1</v>
      </c>
      <c r="AV24" s="469">
        <f ca="1">IF(CalcGR3!$K$13=0,"",VLOOKUP(CalcGR3!$B$4,CalcGR3!$C$4:$N$12,8,0))</f>
        <v>4</v>
      </c>
    </row>
    <row r="25" spans="3:48" ht="24" customHeight="1" x14ac:dyDescent="0.25">
      <c r="C25" s="496">
        <f t="array" aca="1" ref="C25" ca="1">ROW(59:59)-SUM(((Planning!$L$6:$L$50="")+(Planning!$N$6:$N$50="")&gt;0)*1)-SUM((($I$12:$I24="")+($K$12:$K24="")&gt;0)*1)</f>
        <v>41</v>
      </c>
      <c r="D25" s="175">
        <f t="array" aca="1" ref="D25" ca="1">IF(Planning!$V$15,"",$D$12+QUOTIENT(($C25-$C$12),Planning!$V$11)*(Planning!$S$7+Planning!$S$9)/1440+SUM($S$12:$S24)/1440)</f>
        <v>0.69097222222222221</v>
      </c>
      <c r="E25" s="177">
        <f ca="1">IF(Planning!$V$15,"",MOD($C25-$C$12,Planning!$V$11)+1)</f>
        <v>2</v>
      </c>
      <c r="F25" s="563" t="s">
        <v>334</v>
      </c>
      <c r="G25" s="564" t="s">
        <v>4</v>
      </c>
      <c r="H25" s="565" t="s">
        <v>332</v>
      </c>
      <c r="I25" s="460" t="str">
        <f t="shared" ca="1" si="0"/>
        <v>Manchester City</v>
      </c>
      <c r="J25" s="461" t="s">
        <v>4</v>
      </c>
      <c r="K25" s="462" t="str">
        <f t="shared" ca="1" si="1"/>
        <v>FSV Rauen</v>
      </c>
      <c r="L25" s="435">
        <v>19</v>
      </c>
      <c r="M25" s="436" t="str">
        <f>Language!$E$96</f>
        <v>-</v>
      </c>
      <c r="N25" s="732">
        <v>25</v>
      </c>
      <c r="O25" s="435">
        <v>25</v>
      </c>
      <c r="P25" s="341" t="str">
        <f>Language!$E$96</f>
        <v>-</v>
      </c>
      <c r="Q25" s="437">
        <v>21</v>
      </c>
      <c r="R25" s="778"/>
      <c r="S25" s="735"/>
      <c r="AL25" s="455" t="s">
        <v>317</v>
      </c>
      <c r="AM25" s="579" t="str">
        <f ca="1">IF(Calc1!$F$14&lt;3,"",IF(CalcGR3!$K$13=0,CalcGR3!$Q$65,VLOOKUP(CalcGR3!$B$5,CalcGR3!$C$4:$N$12,4,0)))</f>
        <v>Real Madrid</v>
      </c>
      <c r="AN25" s="225">
        <f ca="1">IF(CalcGR3!$K$13=0,"",VLOOKUP(CalcGR3!$B$5,CalcGR3!$C$4:$N$12,9,0))</f>
        <v>4</v>
      </c>
      <c r="AO25" s="200">
        <f ca="1">IF(CalcGR3!$K$13=0,"",VLOOKUP(CalcGR3!$B$5,CalcGR3!$C$4:$N$12,10,0))</f>
        <v>0</v>
      </c>
      <c r="AP25" s="200">
        <f ca="1">IF(CalcGR3!$K$13=0,"",VLOOKUP(CalcGR3!$B$5,CalcGR3!$C$4:$N$12,11,0))</f>
        <v>3</v>
      </c>
      <c r="AQ25" s="200">
        <f ca="1">IF(CalcGR3!$K$13=0,"",VLOOKUP(CalcGR3!$B$5,CalcGR3!$C$4:$N$12,12,0))</f>
        <v>1</v>
      </c>
      <c r="AR25" s="221">
        <f ca="1">IF(CalcGR3!$K$13=0,"",VLOOKUP(CalcGR3!$B$5,CalcGR3!$C$4:$N$12,5,0))</f>
        <v>165</v>
      </c>
      <c r="AS25" s="222" t="str">
        <f>Language!$E$96</f>
        <v>-</v>
      </c>
      <c r="AT25" s="223">
        <f ca="1">IF(CalcGR3!$K$13=0,"",VLOOKUP(CalcGR3!$B$5,CalcGR3!$C$4:$N$12,6,0))</f>
        <v>171</v>
      </c>
      <c r="AU25" s="200">
        <f ca="1">IF(CalcGR3!$K$13=0,"",IF(VLOOKUP(CalcGR3!B5,CalcGR3!$C$4:$AR$12,42,0)=Settings!$F$7,"max",VLOOKUP(CalcGR3!B5,CalcGR3!$C$4:$AR$12,42,0)))</f>
        <v>-6</v>
      </c>
      <c r="AV25" s="469">
        <f ca="1">IF(CalcGR3!$K$13=0,"",VLOOKUP(CalcGR3!$B$5,CalcGR3!$C$4:$N$12,8,0))</f>
        <v>3</v>
      </c>
    </row>
    <row r="26" spans="3:48" ht="24" customHeight="1" thickBot="1" x14ac:dyDescent="0.45">
      <c r="C26" s="496">
        <f t="array" aca="1" ref="C26" ca="1">ROW(60:60)-SUM(((Planning!$L$6:$L$50="")+(Planning!$N$6:$N$50="")&gt;0)*1)-SUM((($I$12:$I25="")+($K$12:$K25="")&gt;0)*1)</f>
        <v>42</v>
      </c>
      <c r="D26" s="175">
        <f t="array" aca="1" ref="D26" ca="1">IF(Planning!$V$15,"",$D$12+QUOTIENT(($C26-$C$12),Planning!$V$11)*(Planning!$S$7+Planning!$S$9)/1440+SUM($S$12:$S25)/1440)</f>
        <v>0.69097222222222221</v>
      </c>
      <c r="E26" s="177">
        <f ca="1">IF(Planning!$V$15,"",MOD($C26-$C$12,Planning!$V$11)+1)</f>
        <v>3</v>
      </c>
      <c r="F26" s="563" t="s">
        <v>330</v>
      </c>
      <c r="G26" s="564" t="s">
        <v>4</v>
      </c>
      <c r="H26" s="565" t="s">
        <v>318</v>
      </c>
      <c r="I26" s="460" t="str">
        <f t="shared" ca="1" si="0"/>
        <v>Kickers Rodendorf</v>
      </c>
      <c r="J26" s="461" t="s">
        <v>4</v>
      </c>
      <c r="K26" s="462" t="str">
        <f t="shared" ca="1" si="1"/>
        <v>FC Grönlingen</v>
      </c>
      <c r="L26" s="435">
        <v>17</v>
      </c>
      <c r="M26" s="436" t="str">
        <f>Language!$E$96</f>
        <v>-</v>
      </c>
      <c r="N26" s="732">
        <v>25</v>
      </c>
      <c r="O26" s="435">
        <v>12</v>
      </c>
      <c r="P26" s="341" t="str">
        <f>Language!$E$96</f>
        <v>-</v>
      </c>
      <c r="Q26" s="437">
        <v>25</v>
      </c>
      <c r="R26" s="778"/>
      <c r="S26" s="735"/>
      <c r="U26" s="898" t="str">
        <f>Language!$E$16&amp;" E3"</f>
        <v>Group E3</v>
      </c>
      <c r="V26" s="898"/>
      <c r="W26" s="201"/>
      <c r="X26" s="201"/>
      <c r="Y26" s="201"/>
      <c r="Z26" s="201"/>
      <c r="AA26" s="201"/>
      <c r="AB26" s="201"/>
      <c r="AC26" s="201"/>
      <c r="AD26" s="201"/>
      <c r="AE26" s="201"/>
      <c r="AG26" s="806" t="str">
        <f>$U26</f>
        <v>Group E3</v>
      </c>
      <c r="AH26" s="806"/>
      <c r="AI26" s="988"/>
      <c r="AL26" s="415" t="s">
        <v>318</v>
      </c>
      <c r="AM26" s="580" t="str">
        <f ca="1">IF(Calc1!$F$14&lt;3,"",IF(CalcGR3!$K$13=0,CalcGR3!$Q$66,VLOOKUP(CalcGR3!$B$6,CalcGR3!$C$4:$N$12,4,0)))</f>
        <v>FC Grönlingen</v>
      </c>
      <c r="AN26" s="236">
        <f ca="1">IF(CalcGR3!$K$13=0,"",VLOOKUP(CalcGR3!$B$6,CalcGR3!$C$4:$N$12,9,0))</f>
        <v>4</v>
      </c>
      <c r="AO26" s="230">
        <f ca="1">IF(CalcGR3!$K$13=0,"",VLOOKUP(CalcGR3!$B$6,CalcGR3!$C$4:$N$12,10,0))</f>
        <v>0</v>
      </c>
      <c r="AP26" s="230">
        <f ca="1">IF(CalcGR3!$K$13=0,"",VLOOKUP(CalcGR3!$B$6,CalcGR3!$C$4:$N$12,11,0))</f>
        <v>3</v>
      </c>
      <c r="AQ26" s="230">
        <f ca="1">IF(CalcGR3!$K$13=0,"",VLOOKUP(CalcGR3!$B$6,CalcGR3!$C$4:$N$12,12,0))</f>
        <v>1</v>
      </c>
      <c r="AR26" s="232">
        <f ca="1">IF(CalcGR3!$K$13=0,"",VLOOKUP(CalcGR3!$B$6,CalcGR3!$C$4:$N$12,5,0))</f>
        <v>174</v>
      </c>
      <c r="AS26" s="233" t="str">
        <f>Language!$E$96</f>
        <v>-</v>
      </c>
      <c r="AT26" s="234">
        <f ca="1">IF(CalcGR3!$K$13=0,"",VLOOKUP(CalcGR3!$B$6,CalcGR3!$C$4:$N$12,6,0))</f>
        <v>181</v>
      </c>
      <c r="AU26" s="230">
        <f ca="1">IF(CalcGR3!$K$13=0,"",IF(VLOOKUP(CalcGR3!B6,CalcGR3!$C$4:$AR$12,42,0)=Settings!$F$7,"max",VLOOKUP(CalcGR3!B6,CalcGR3!$C$4:$AR$12,42,0)))</f>
        <v>-7</v>
      </c>
      <c r="AV26" s="470">
        <f ca="1">IF(CalcGR3!$K$13=0,"",VLOOKUP(CalcGR3!$B$6,CalcGR3!$C$4:$N$12,8,0))</f>
        <v>3</v>
      </c>
    </row>
    <row r="27" spans="3:48" ht="24" customHeight="1" thickTop="1" thickBot="1" x14ac:dyDescent="0.3">
      <c r="C27" s="496">
        <f t="array" aca="1" ref="C27" ca="1">ROW(61:61)-SUM(((Planning!$L$6:$L$50="")+(Planning!$N$6:$N$50="")&gt;0)*1)-SUM((($I$12:$I26="")+($K$12:$K26="")&gt;0)*1)</f>
        <v>43</v>
      </c>
      <c r="D27" s="175">
        <f t="array" aca="1" ref="D27" ca="1">IF(Planning!$V$15,"",$D$12+QUOTIENT(($C27-$C$12),Planning!$V$11)*(Planning!$S$7+Planning!$S$9)/1440+SUM($S$12:$S26)/1440)</f>
        <v>0.71527777777777779</v>
      </c>
      <c r="E27" s="177">
        <f ca="1">IF(Planning!$V$15,"",MOD($C27-$C$12,Planning!$V$11)+1)</f>
        <v>1</v>
      </c>
      <c r="F27" s="563" t="s">
        <v>316</v>
      </c>
      <c r="G27" s="564" t="s">
        <v>4</v>
      </c>
      <c r="H27" s="565" t="s">
        <v>327</v>
      </c>
      <c r="I27" s="460" t="str">
        <f t="shared" ca="1" si="0"/>
        <v>VFB Essenheim</v>
      </c>
      <c r="J27" s="461" t="s">
        <v>4</v>
      </c>
      <c r="K27" s="462" t="str">
        <f t="shared" ca="1" si="1"/>
        <v>Eintracht Frankfurt</v>
      </c>
      <c r="L27" s="435">
        <v>14</v>
      </c>
      <c r="M27" s="436" t="str">
        <f>Language!$E$96</f>
        <v>-</v>
      </c>
      <c r="N27" s="732">
        <v>25</v>
      </c>
      <c r="O27" s="435">
        <v>25</v>
      </c>
      <c r="P27" s="341" t="str">
        <f>Language!$E$96</f>
        <v>-</v>
      </c>
      <c r="Q27" s="437">
        <v>23</v>
      </c>
      <c r="R27" s="778"/>
      <c r="S27" s="735"/>
      <c r="U27" s="845"/>
      <c r="V27" s="846"/>
      <c r="W27" s="203" t="str">
        <f>Language!$E$21</f>
        <v>Pld</v>
      </c>
      <c r="X27" s="204" t="str">
        <f>Language!$E$22</f>
        <v>W</v>
      </c>
      <c r="Y27" s="204" t="str">
        <f>Language!$E$23</f>
        <v>D</v>
      </c>
      <c r="Z27" s="560" t="str">
        <f>Language!$E$24</f>
        <v>L</v>
      </c>
      <c r="AA27" s="847" t="str">
        <f>Language!$E$80</f>
        <v>balls</v>
      </c>
      <c r="AB27" s="848"/>
      <c r="AC27" s="849"/>
      <c r="AD27" s="766" t="str">
        <f>IF(Settings!$G$7,Language!$E$26,Language!$E$86)</f>
        <v>Diff.</v>
      </c>
      <c r="AE27" s="206" t="str">
        <f>Language!$E$27</f>
        <v>Pts</v>
      </c>
      <c r="AG27" s="456"/>
      <c r="AH27" s="757" t="str">
        <f>Language!$E$10</f>
        <v>Participant or team</v>
      </c>
      <c r="AI27" s="761" t="str">
        <f>Language!$E$49</f>
        <v>Tie break</v>
      </c>
    </row>
    <row r="28" spans="3:48" ht="24" customHeight="1" thickBot="1" x14ac:dyDescent="0.35">
      <c r="C28" s="496">
        <f t="array" aca="1" ref="C28" ca="1">ROW(62:62)-SUM(((Planning!$L$6:$L$50="")+(Planning!$N$6:$N$50="")&gt;0)*1)-SUM((($I$12:$I27="")+($K$12:$K27="")&gt;0)*1)</f>
        <v>44</v>
      </c>
      <c r="D28" s="175">
        <f t="array" aca="1" ref="D28" ca="1">IF(Planning!$V$15,"",$D$12+QUOTIENT(($C28-$C$12),Planning!$V$11)*(Planning!$S$7+Planning!$S$9)/1440+SUM($S$12:$S27)/1440)</f>
        <v>0.71527777777777779</v>
      </c>
      <c r="E28" s="177">
        <f ca="1">IF(Planning!$V$15,"",MOD($C28-$C$12,Planning!$V$11)+1)</f>
        <v>2</v>
      </c>
      <c r="F28" s="563" t="s">
        <v>340</v>
      </c>
      <c r="G28" s="564" t="s">
        <v>4</v>
      </c>
      <c r="H28" s="565" t="s">
        <v>338</v>
      </c>
      <c r="I28" s="460" t="str">
        <f t="shared" ca="1" si="0"/>
        <v>FC Barcelona</v>
      </c>
      <c r="J28" s="461" t="s">
        <v>4</v>
      </c>
      <c r="K28" s="462" t="str">
        <f t="shared" ca="1" si="1"/>
        <v>Borussia Dortmund</v>
      </c>
      <c r="L28" s="435">
        <v>21</v>
      </c>
      <c r="M28" s="436" t="str">
        <f>Language!$E$96</f>
        <v>-</v>
      </c>
      <c r="N28" s="732">
        <v>25</v>
      </c>
      <c r="O28" s="435">
        <v>25</v>
      </c>
      <c r="P28" s="341" t="str">
        <f>Language!$E$96</f>
        <v>-</v>
      </c>
      <c r="Q28" s="437">
        <v>17</v>
      </c>
      <c r="R28" s="778"/>
      <c r="S28" s="735"/>
      <c r="U28" s="383">
        <f ca="1">IF(CalcE43!$K$13=0,"",9)</f>
        <v>9</v>
      </c>
      <c r="V28" s="440" t="str">
        <f ca="1">IF(Calc1!$F$14&lt;3,"",IF(AND(CalcE43!$K$13=0,$AH$32&lt;&gt;1),CalcE43!$Q$64,VLOOKUP(CalcE43!$B$4,CalcE43!$C$4:$N$12,4,0)))</f>
        <v>Mainz 05</v>
      </c>
      <c r="W28" s="443">
        <f ca="1">IF(CalcE43!$K$13=0,"",VLOOKUP(CalcE43!$B$4,CalcE43!$C$4:$N$12,9,0))</f>
        <v>3</v>
      </c>
      <c r="X28" s="210">
        <f ca="1">IF(CalcE43!$K$13=0,"",VLOOKUP(CalcE43!$B$4,CalcE43!$C$4:$N$12,10,0))</f>
        <v>2</v>
      </c>
      <c r="Y28" s="210">
        <f ca="1">IF(CalcE43!$K$13=0,"",VLOOKUP(CalcE43!$B$4,CalcE43!$C$4:$N$12,11,0))</f>
        <v>1</v>
      </c>
      <c r="Z28" s="210">
        <f ca="1">IF(CalcE43!$K$13=0,"",VLOOKUP(CalcE43!$B$4,CalcE43!$C$4:$N$12,12,0))</f>
        <v>0</v>
      </c>
      <c r="AA28" s="212">
        <f ca="1">IF(CalcE43!$K$13=0,"",VLOOKUP(CalcE43!$B$4,CalcE43!$C$4:$N$12,5,0))</f>
        <v>141</v>
      </c>
      <c r="AB28" s="213" t="str">
        <f>Language!$E$96</f>
        <v>-</v>
      </c>
      <c r="AC28" s="214">
        <f ca="1">IF(CalcE43!$K$13=0,"",VLOOKUP(CalcE43!$B$4,CalcE43!$C$4:$N$12,6,0))</f>
        <v>120</v>
      </c>
      <c r="AD28" s="210">
        <f ca="1">IF(CalcE43!$K$13=0,"",IF(VLOOKUP(CalcE43!B4,CalcE43!$C$4:$AR$12,42,0)=Settings!$F$7,"max",VLOOKUP(CalcE43!B4,CalcE43!$C$4:$AR$12,42,0)))</f>
        <v>21</v>
      </c>
      <c r="AE28" s="215">
        <f ca="1">IF(CalcE43!$K$13=0,"",VLOOKUP(CalcE43!$B$4,CalcE43!$C$4:$N$12,8,0))</f>
        <v>5</v>
      </c>
      <c r="AG28" s="558" t="s">
        <v>318</v>
      </c>
      <c r="AH28" s="758" t="str">
        <f ca="1">IF(VLOOKUP(AG28,$AL$12:$AM$44,2,0)="","",VLOOKUP(AG28,$AL$12:$AM$44,2,0))</f>
        <v>FC Grönlingen</v>
      </c>
      <c r="AI28" s="760">
        <f ca="1">IF($AH28="",0,COUNTIF(TieBreak!$U$38:$U$43,$AH28))</f>
        <v>0</v>
      </c>
      <c r="AL28" s="991" t="str">
        <f>Language!$E$62</f>
        <v>Fourth-place</v>
      </c>
      <c r="AM28" s="991"/>
      <c r="AN28" s="201"/>
      <c r="AO28" s="201"/>
      <c r="AP28" s="577"/>
      <c r="AQ28" s="577"/>
      <c r="AR28" s="577"/>
      <c r="AS28" s="577"/>
      <c r="AT28" s="577"/>
      <c r="AU28" s="577"/>
      <c r="AV28" s="577"/>
    </row>
    <row r="29" spans="3:48" ht="24" customHeight="1" thickTop="1" x14ac:dyDescent="0.25">
      <c r="C29" s="496">
        <f t="array" aca="1" ref="C29" ca="1">ROW(63:63)-SUM(((Planning!$L$6:$L$50="")+(Planning!$N$6:$N$50="")&gt;0)*1)-SUM((($I$12:$I28="")+($K$12:$K28="")&gt;0)*1)</f>
        <v>45</v>
      </c>
      <c r="D29" s="175">
        <f t="array" aca="1" ref="D29" ca="1">IF(Planning!$V$15,"",$D$12+QUOTIENT(($C29-$C$12),Planning!$V$11)*(Planning!$S$7+Planning!$S$9)/1440+SUM($S$12:$S28)/1440)</f>
        <v>0.71527777777777779</v>
      </c>
      <c r="E29" s="177">
        <f ca="1">IF(Planning!$V$15,"",MOD($C29-$C$12,Planning!$V$11)+1)</f>
        <v>3</v>
      </c>
      <c r="F29" s="563" t="s">
        <v>335</v>
      </c>
      <c r="G29" s="564" t="s">
        <v>4</v>
      </c>
      <c r="H29" s="565" t="s">
        <v>334</v>
      </c>
      <c r="I29" s="460" t="str">
        <f t="shared" ca="1" si="0"/>
        <v/>
      </c>
      <c r="J29" s="461" t="s">
        <v>4</v>
      </c>
      <c r="K29" s="462" t="str">
        <f t="shared" ca="1" si="1"/>
        <v>Manchester City</v>
      </c>
      <c r="L29" s="435"/>
      <c r="M29" s="436" t="str">
        <f>Language!$E$96</f>
        <v>-</v>
      </c>
      <c r="N29" s="732"/>
      <c r="O29" s="435"/>
      <c r="P29" s="341" t="str">
        <f>Language!$E$96</f>
        <v>-</v>
      </c>
      <c r="Q29" s="437"/>
      <c r="R29" s="778"/>
      <c r="S29" s="735"/>
      <c r="U29" s="385">
        <f ca="1">IF(CalcE43!$K$13=0,"",IF(VLOOKUP(CalcE43!$B$5,CalcE43!$C$4:$E$12,3,0)=MAX($U28:$U28)-8,VLOOKUP(CalcE43!$B$5,CalcE43!$C$4:$E$12,3,0),CalcE43!$B$5)+8)</f>
        <v>10</v>
      </c>
      <c r="V29" s="441" t="str">
        <f ca="1">IF(OR(Calc1!$F$14&lt;3,$AH$32=1),"",IF(CalcE43!$K$13=0,CalcE43!$Q$65,VLOOKUP(CalcE43!$B$5,CalcE43!$C$4:$N$12,4,0)))</f>
        <v>Maibach 1822 eV</v>
      </c>
      <c r="W29" s="225">
        <f ca="1">IF(CalcE43!$K$13=0,"",VLOOKUP(CalcE43!$B$5,CalcE43!$C$4:$N$12,9,0))</f>
        <v>3</v>
      </c>
      <c r="X29" s="200">
        <f ca="1">IF(CalcE43!$K$13=0,"",VLOOKUP(CalcE43!$B$5,CalcE43!$C$4:$N$12,10,0))</f>
        <v>1</v>
      </c>
      <c r="Y29" s="200">
        <f ca="1">IF(CalcE43!$K$13=0,"",VLOOKUP(CalcE43!$B$5,CalcE43!$C$4:$N$12,11,0))</f>
        <v>2</v>
      </c>
      <c r="Z29" s="200">
        <f ca="1">IF(CalcE43!$K$13=0,"",VLOOKUP(CalcE43!$B$5,CalcE43!$C$4:$N$12,12,0))</f>
        <v>0</v>
      </c>
      <c r="AA29" s="221">
        <f ca="1">IF(CalcE43!$K$13=0,"",VLOOKUP(CalcE43!$B$5,CalcE43!$C$4:$N$12,5,0))</f>
        <v>129</v>
      </c>
      <c r="AB29" s="222" t="str">
        <f>Language!$E$96</f>
        <v>-</v>
      </c>
      <c r="AC29" s="223">
        <f ca="1">IF(CalcE43!$K$13=0,"",VLOOKUP(CalcE43!$B$5,CalcE43!$C$4:$N$12,6,0))</f>
        <v>123</v>
      </c>
      <c r="AD29" s="200">
        <f ca="1">IF(CalcE43!$K$13=0,"",IF(VLOOKUP(CalcE43!B5,CalcE43!$C$4:$AR$12,42,0)=Settings!$F$7,"max",VLOOKUP(CalcE43!B5,CalcE43!$C$4:$AR$12,42,0)))</f>
        <v>6</v>
      </c>
      <c r="AE29" s="224">
        <f ca="1">IF(CalcE43!$K$13=0,"",VLOOKUP(CalcE43!$B$5,CalcE43!$C$4:$N$12,8,0))</f>
        <v>4</v>
      </c>
      <c r="AG29" s="455" t="s">
        <v>329</v>
      </c>
      <c r="AH29" s="758" t="str">
        <f t="shared" ref="AH29:AH31" ca="1" si="4">IF(VLOOKUP(AG29,$AL$12:$AM$44,2,0)="","",VLOOKUP(AG29,$AL$12:$AM$44,2,0))</f>
        <v>Maibach 1822 eV</v>
      </c>
      <c r="AI29" s="760">
        <f ca="1">IF($AH29="",0,COUNTIF(TieBreak!$U$38:$U$43,$AH29))</f>
        <v>0</v>
      </c>
      <c r="AL29" s="531"/>
      <c r="AM29" s="505" t="str">
        <f>Language!$E$10</f>
        <v>Participant or team</v>
      </c>
      <c r="AN29" s="450" t="str">
        <f>Language!$E$21</f>
        <v>Pld</v>
      </c>
      <c r="AO29" s="562" t="str">
        <f>Language!$E$22</f>
        <v>W</v>
      </c>
      <c r="AP29" s="562" t="str">
        <f>Language!$E$23</f>
        <v>D</v>
      </c>
      <c r="AQ29" s="562" t="str">
        <f>Language!$E$24</f>
        <v>L</v>
      </c>
      <c r="AR29" s="847" t="str">
        <f>Language!$E$80</f>
        <v>balls</v>
      </c>
      <c r="AS29" s="848"/>
      <c r="AT29" s="849"/>
      <c r="AU29" s="766" t="str">
        <f>IF(Settings!$G$7,Language!$E$26,Language!$E$86)</f>
        <v>Diff.</v>
      </c>
      <c r="AV29" s="451" t="str">
        <f>Language!$E$27</f>
        <v>Pts</v>
      </c>
    </row>
    <row r="30" spans="3:48" ht="24" customHeight="1" x14ac:dyDescent="0.25">
      <c r="C30" s="496">
        <f t="array" aca="1" ref="C30" ca="1">ROW(64:64)-SUM(((Planning!$L$6:$L$50="")+(Planning!$N$6:$N$50="")&gt;0)*1)-SUM((($I$12:$I29="")+($K$12:$K29="")&gt;0)*1)</f>
        <v>45</v>
      </c>
      <c r="D30" s="175">
        <f t="array" aca="1" ref="D30" ca="1">IF(Planning!$V$15,"",$D$12+QUOTIENT(($C30-$C$12),Planning!$V$11)*(Planning!$S$7+Planning!$S$9)/1440+SUM($S$12:$S29)/1440)</f>
        <v>0.71527777777777779</v>
      </c>
      <c r="E30" s="177">
        <f ca="1">IF(Planning!$V$15,"",MOD($C30-$C$12,Planning!$V$11)+1)</f>
        <v>3</v>
      </c>
      <c r="F30" s="563" t="s">
        <v>331</v>
      </c>
      <c r="G30" s="564" t="s">
        <v>4</v>
      </c>
      <c r="H30" s="565" t="s">
        <v>330</v>
      </c>
      <c r="I30" s="460" t="str">
        <f t="shared" ca="1" si="0"/>
        <v>Mainz 05</v>
      </c>
      <c r="J30" s="461" t="s">
        <v>4</v>
      </c>
      <c r="K30" s="462" t="str">
        <f t="shared" ca="1" si="1"/>
        <v>Kickers Rodendorf</v>
      </c>
      <c r="L30" s="435">
        <v>25</v>
      </c>
      <c r="M30" s="436" t="str">
        <f>Language!$E$96</f>
        <v>-</v>
      </c>
      <c r="N30" s="732">
        <v>20</v>
      </c>
      <c r="O30" s="435">
        <v>25</v>
      </c>
      <c r="P30" s="341" t="str">
        <f>Language!$E$96</f>
        <v>-</v>
      </c>
      <c r="Q30" s="437">
        <v>19</v>
      </c>
      <c r="R30" s="778"/>
      <c r="S30" s="735"/>
      <c r="U30" s="385">
        <f ca="1">IF(CalcE43!$K$13=0,"",IF(VLOOKUP(CalcE43!$B$6,CalcE43!$C$4:$E$12,3,0)=MAX($U28:$U29)-8,VLOOKUP(CalcE43!$B$6,CalcE43!$C$4:$E$12,3,0),CalcE43!$B$6)+8)</f>
        <v>11</v>
      </c>
      <c r="V30" s="441" t="str">
        <f ca="1">IF(OR(Calc1!$F$14&lt;3,$AH$32=1),"",IF(CalcE43!$K$13=0,CalcE43!$Q$66,VLOOKUP(CalcE43!$B$6,CalcE43!$C$4:$N$12,4,0)))</f>
        <v>FC Grönlingen</v>
      </c>
      <c r="W30" s="225">
        <f ca="1">IF(CalcE43!$K$13=0,"",VLOOKUP(CalcE43!$B$6,CalcE43!$C$4:$N$12,9,0))</f>
        <v>3</v>
      </c>
      <c r="X30" s="200">
        <f ca="1">IF(CalcE43!$K$13=0,"",VLOOKUP(CalcE43!$B$6,CalcE43!$C$4:$N$12,10,0))</f>
        <v>1</v>
      </c>
      <c r="Y30" s="200">
        <f ca="1">IF(CalcE43!$K$13=0,"",VLOOKUP(CalcE43!$B$6,CalcE43!$C$4:$N$12,11,0))</f>
        <v>1</v>
      </c>
      <c r="Z30" s="200">
        <f ca="1">IF(CalcE43!$K$13=0,"",VLOOKUP(CalcE43!$B$6,CalcE43!$C$4:$N$12,12,0))</f>
        <v>1</v>
      </c>
      <c r="AA30" s="221">
        <f ca="1">IF(CalcE43!$K$13=0,"",VLOOKUP(CalcE43!$B$6,CalcE43!$C$4:$N$12,5,0))</f>
        <v>126</v>
      </c>
      <c r="AB30" s="222" t="str">
        <f>Language!$E$96</f>
        <v>-</v>
      </c>
      <c r="AC30" s="223">
        <f ca="1">IF(CalcE43!$K$13=0,"",VLOOKUP(CalcE43!$B$6,CalcE43!$C$4:$N$12,6,0))</f>
        <v>115</v>
      </c>
      <c r="AD30" s="200">
        <f ca="1">IF(CalcE43!$K$13=0,"",IF(VLOOKUP(CalcE43!B6,CalcE43!$C$4:$AR$12,42,0)=Settings!$F$7,"max",VLOOKUP(CalcE43!B6,CalcE43!$C$4:$AR$12,42,0)))</f>
        <v>11</v>
      </c>
      <c r="AE30" s="224">
        <f ca="1">IF(CalcE43!$K$13=0,"",VLOOKUP(CalcE43!$B$6,CalcE43!$C$4:$N$12,8,0))</f>
        <v>3</v>
      </c>
      <c r="AG30" s="455" t="s">
        <v>330</v>
      </c>
      <c r="AH30" s="758" t="str">
        <f t="shared" ca="1" si="4"/>
        <v>Kickers Rodendorf</v>
      </c>
      <c r="AI30" s="760">
        <f ca="1">IF($AH30="",0,COUNTIF(TieBreak!$U$38:$U$43,$AH30))</f>
        <v>0</v>
      </c>
      <c r="AL30" s="559" t="s">
        <v>329</v>
      </c>
      <c r="AM30" s="578" t="str">
        <f ca="1">IF(Calc1!$F$14&lt;3,"",IF(CalcGR4!$K$13=0,CalcGR4!$Q$64,VLOOKUP(CalcGR4!$B$4,CalcGR4!$C$4:$N$12,4,0)))</f>
        <v>Maibach 1822 eV</v>
      </c>
      <c r="AN30" s="510">
        <f ca="1">IF(CalcGR4!$K$13=0,"",VLOOKUP(CalcGR4!$B$4,CalcGR4!$C$4:$N$12,9,0))</f>
        <v>4</v>
      </c>
      <c r="AO30" s="511">
        <f ca="1">IF(CalcGR4!$K$13=0,"",VLOOKUP(CalcGR4!$B$4,CalcGR4!$C$4:$N$12,10,0))</f>
        <v>1</v>
      </c>
      <c r="AP30" s="511">
        <f ca="1">IF(CalcGR4!$K$13=0,"",VLOOKUP(CalcGR4!$B$4,CalcGR4!$C$4:$N$12,11,0))</f>
        <v>1</v>
      </c>
      <c r="AQ30" s="511">
        <f ca="1">IF(CalcGR4!$K$13=0,"",VLOOKUP(CalcGR4!$B$4,CalcGR4!$C$4:$N$12,12,0))</f>
        <v>2</v>
      </c>
      <c r="AR30" s="512">
        <f ca="1">IF(CalcGR4!$K$13=0,"",VLOOKUP(CalcGR4!$B$4,CalcGR4!$C$4:$N$12,5,0))</f>
        <v>174</v>
      </c>
      <c r="AS30" s="513" t="str">
        <f>Language!$E$96</f>
        <v>-</v>
      </c>
      <c r="AT30" s="514">
        <f ca="1">IF(CalcGR4!$K$13=0,"",VLOOKUP(CalcGR4!$B$4,CalcGR4!$C$4:$N$12,6,0))</f>
        <v>174</v>
      </c>
      <c r="AU30" s="511">
        <f ca="1">IF(CalcGR4!$K$13=0,"",IF(VLOOKUP(CalcGR4!B4,CalcGR4!$C$4:$AR$12,42,0)=Settings!$F$7,"max",VLOOKUP(CalcGR4!B4,CalcGR4!$C$4:$AR$12,42,0)))</f>
        <v>0</v>
      </c>
      <c r="AV30" s="469">
        <f ca="1">IF(CalcGR4!$K$13=0,"",VLOOKUP(CalcGR4!$B$4,CalcGR4!$C$4:$N$12,8,0))</f>
        <v>3</v>
      </c>
    </row>
    <row r="31" spans="3:48" ht="24" customHeight="1" thickBot="1" x14ac:dyDescent="0.3">
      <c r="C31" s="496">
        <f t="array" aca="1" ref="C31" ca="1">ROW(65:65)-SUM(((Planning!$L$6:$L$50="")+(Planning!$N$6:$N$50="")&gt;0)*1)-SUM((($I$12:$I30="")+($K$12:$K30="")&gt;0)*1)</f>
        <v>46</v>
      </c>
      <c r="D31" s="175">
        <f t="array" aca="1" ref="D31" ca="1">IF(Planning!$V$15,"",$D$12+QUOTIENT(($C31-$C$12),Planning!$V$11)*(Planning!$S$7+Planning!$S$9)/1440+SUM($S$12:$S30)/1440)</f>
        <v>0.73958333333333337</v>
      </c>
      <c r="E31" s="177">
        <f ca="1">IF(Planning!$V$15,"",MOD($C31-$C$12,Planning!$V$11)+1)</f>
        <v>1</v>
      </c>
      <c r="F31" s="563" t="s">
        <v>317</v>
      </c>
      <c r="G31" s="564" t="s">
        <v>4</v>
      </c>
      <c r="H31" s="565" t="s">
        <v>316</v>
      </c>
      <c r="I31" s="460" t="str">
        <f t="shared" ca="1" si="0"/>
        <v>Real Madrid</v>
      </c>
      <c r="J31" s="461" t="s">
        <v>4</v>
      </c>
      <c r="K31" s="462" t="str">
        <f t="shared" ca="1" si="1"/>
        <v>VFB Essenheim</v>
      </c>
      <c r="L31" s="435">
        <v>25</v>
      </c>
      <c r="M31" s="436" t="str">
        <f>Language!$E$96</f>
        <v>-</v>
      </c>
      <c r="N31" s="732">
        <v>2</v>
      </c>
      <c r="O31" s="435">
        <v>25</v>
      </c>
      <c r="P31" s="341" t="str">
        <f>Language!$E$96</f>
        <v>-</v>
      </c>
      <c r="Q31" s="437">
        <v>20</v>
      </c>
      <c r="R31" s="778"/>
      <c r="S31" s="735"/>
      <c r="U31" s="387">
        <f ca="1">IF(CalcE43!$K$13=0,"",IF(VLOOKUP(CalcE43!$B$7,CalcE43!$C$4:$E$12,3,0)=MAX($U28:$U30)-8,VLOOKUP(CalcE43!$B$7,CalcE43!$C$4:$E$12,3,0),CalcE43!$B$7)+8)</f>
        <v>12</v>
      </c>
      <c r="V31" s="442" t="str">
        <f ca="1">IF(OR(Calc1!$F$14&lt;3,$AH$32=1),"",IF(CalcE43!$K$13=0,CalcE43!$Q$67,VLOOKUP(CalcE43!$B$7,CalcE43!$C$4:$N$12,4,0)))</f>
        <v>Kickers Rodendorf</v>
      </c>
      <c r="W31" s="236">
        <f ca="1">IF(CalcE43!$K$13=0,"",VLOOKUP(CalcE43!$B$7,CalcE43!$C$4:$N$12,9,0))</f>
        <v>3</v>
      </c>
      <c r="X31" s="230">
        <f ca="1">IF(CalcE43!$K$13=0,"",VLOOKUP(CalcE43!$B$7,CalcE43!$C$4:$N$12,10,0))</f>
        <v>0</v>
      </c>
      <c r="Y31" s="230">
        <f ca="1">IF(CalcE43!$K$13=0,"",VLOOKUP(CalcE43!$B$7,CalcE43!$C$4:$N$12,11,0))</f>
        <v>0</v>
      </c>
      <c r="Z31" s="230">
        <f ca="1">IF(CalcE43!$K$13=0,"",VLOOKUP(CalcE43!$B$7,CalcE43!$C$4:$N$12,12,0))</f>
        <v>3</v>
      </c>
      <c r="AA31" s="232">
        <f ca="1">IF(CalcE43!$K$13=0,"",VLOOKUP(CalcE43!$B$7,CalcE43!$C$4:$N$12,5,0))</f>
        <v>112</v>
      </c>
      <c r="AB31" s="233" t="str">
        <f>Language!$E$96</f>
        <v>-</v>
      </c>
      <c r="AC31" s="234">
        <f ca="1">IF(CalcE43!$K$13=0,"",VLOOKUP(CalcE43!$B$7,CalcE43!$C$4:$N$12,6,0))</f>
        <v>150</v>
      </c>
      <c r="AD31" s="230">
        <f ca="1">IF(CalcE43!$K$13=0,"",IF(VLOOKUP(CalcE43!B7,CalcE43!$C$4:$AR$12,42,0)=Settings!$F$7,"max",VLOOKUP(CalcE43!B7,CalcE43!$C$4:$AR$12,42,0)))</f>
        <v>-38</v>
      </c>
      <c r="AE31" s="235">
        <f ca="1">IF(CalcE43!$K$13=0,"",VLOOKUP(CalcE43!$B$7,CalcE43!$C$4:$N$12,8,0))</f>
        <v>0</v>
      </c>
      <c r="AG31" s="415" t="s">
        <v>331</v>
      </c>
      <c r="AH31" s="759" t="str">
        <f t="shared" ca="1" si="4"/>
        <v>Mainz 05</v>
      </c>
      <c r="AI31" s="760">
        <f ca="1">IF($AH31="",0,COUNTIF(TieBreak!$U$38:$U$43,$AH31))</f>
        <v>0</v>
      </c>
      <c r="AL31" s="455" t="s">
        <v>330</v>
      </c>
      <c r="AM31" s="579" t="str">
        <f ca="1">IF(Calc1!$F$14&lt;3,"",IF(CalcGR4!$K$13=0,CalcGR4!$Q$65,VLOOKUP(CalcGR4!$B$5,CalcGR4!$C$4:$N$12,4,0)))</f>
        <v>Kickers Rodendorf</v>
      </c>
      <c r="AN31" s="225">
        <f ca="1">IF(CalcGR4!$K$13=0,"",VLOOKUP(CalcGR4!$B$5,CalcGR4!$C$4:$N$12,9,0))</f>
        <v>4</v>
      </c>
      <c r="AO31" s="200">
        <f ca="1">IF(CalcGR4!$K$13=0,"",VLOOKUP(CalcGR4!$B$5,CalcGR4!$C$4:$N$12,10,0))</f>
        <v>0</v>
      </c>
      <c r="AP31" s="200">
        <f ca="1">IF(CalcGR4!$K$13=0,"",VLOOKUP(CalcGR4!$B$5,CalcGR4!$C$4:$N$12,11,0))</f>
        <v>3</v>
      </c>
      <c r="AQ31" s="200">
        <f ca="1">IF(CalcGR4!$K$13=0,"",VLOOKUP(CalcGR4!$B$5,CalcGR4!$C$4:$N$12,12,0))</f>
        <v>1</v>
      </c>
      <c r="AR31" s="221">
        <f ca="1">IF(CalcGR4!$K$13=0,"",VLOOKUP(CalcGR4!$B$5,CalcGR4!$C$4:$N$12,5,0))</f>
        <v>161</v>
      </c>
      <c r="AS31" s="222" t="str">
        <f>Language!$E$96</f>
        <v>-</v>
      </c>
      <c r="AT31" s="223">
        <f ca="1">IF(CalcGR4!$K$13=0,"",VLOOKUP(CalcGR4!$B$5,CalcGR4!$C$4:$N$12,6,0))</f>
        <v>176</v>
      </c>
      <c r="AU31" s="200">
        <f ca="1">IF(CalcGR4!$K$13=0,"",IF(VLOOKUP(CalcGR4!B5,CalcGR4!$C$4:$AR$12,42,0)=Settings!$F$7,"max",VLOOKUP(CalcGR4!B5,CalcGR4!$C$4:$AR$12,42,0)))</f>
        <v>-15</v>
      </c>
      <c r="AV31" s="469">
        <f ca="1">IF(CalcGR4!$K$13=0,"",VLOOKUP(CalcGR4!$B$5,CalcGR4!$C$4:$N$12,8,0))</f>
        <v>3</v>
      </c>
    </row>
    <row r="32" spans="3:48" ht="24" customHeight="1" thickTop="1" thickBot="1" x14ac:dyDescent="0.3">
      <c r="C32" s="496">
        <f t="array" aca="1" ref="C32" ca="1">ROW(66:66)-SUM(((Planning!$L$6:$L$50="")+(Planning!$N$6:$N$50="")&gt;0)*1)-SUM((($I$12:$I31="")+($K$12:$K31="")&gt;0)*1)</f>
        <v>47</v>
      </c>
      <c r="D32" s="175">
        <f t="array" aca="1" ref="D32" ca="1">IF(Planning!$V$15,"",$D$12+QUOTIENT(($C32-$C$12),Planning!$V$11)*(Planning!$S$7+Planning!$S$9)/1440+SUM($S$12:$S31)/1440)</f>
        <v>0.73958333333333337</v>
      </c>
      <c r="E32" s="177">
        <f ca="1">IF(Planning!$V$15,"",MOD($C32-$C$12,Planning!$V$11)+1)</f>
        <v>2</v>
      </c>
      <c r="F32" s="563" t="s">
        <v>326</v>
      </c>
      <c r="G32" s="564" t="s">
        <v>4</v>
      </c>
      <c r="H32" s="565" t="s">
        <v>340</v>
      </c>
      <c r="I32" s="460" t="str">
        <f t="shared" ca="1" si="0"/>
        <v>SSV Wildbach</v>
      </c>
      <c r="J32" s="461" t="s">
        <v>4</v>
      </c>
      <c r="K32" s="462" t="str">
        <f t="shared" ca="1" si="1"/>
        <v>FC Barcelona</v>
      </c>
      <c r="L32" s="435">
        <v>25</v>
      </c>
      <c r="M32" s="436" t="str">
        <f>Language!$E$96</f>
        <v>-</v>
      </c>
      <c r="N32" s="732">
        <v>16</v>
      </c>
      <c r="O32" s="435">
        <v>25</v>
      </c>
      <c r="P32" s="341" t="str">
        <f>Language!$E$96</f>
        <v>-</v>
      </c>
      <c r="Q32" s="437">
        <v>21</v>
      </c>
      <c r="R32" s="778"/>
      <c r="S32" s="735"/>
      <c r="AH32" s="586">
        <f t="array" aca="1" ref="AH32" ca="1">SUM((AH28:AH31&lt;&gt;"")*1)</f>
        <v>4</v>
      </c>
      <c r="AL32" s="415" t="s">
        <v>331</v>
      </c>
      <c r="AM32" s="580" t="str">
        <f ca="1">IF(Calc1!$F$14&lt;3,"",IF(CalcGR4!$K$13=0,CalcGR4!$Q$66,VLOOKUP(CalcGR4!$B$6,CalcGR4!$C$4:$N$12,4,0)))</f>
        <v>Mainz 05</v>
      </c>
      <c r="AN32" s="236">
        <f ca="1">IF(CalcGR4!$K$13=0,"",VLOOKUP(CalcGR4!$B$6,CalcGR4!$C$4:$N$12,9,0))</f>
        <v>4</v>
      </c>
      <c r="AO32" s="230">
        <f ca="1">IF(CalcGR4!$K$13=0,"",VLOOKUP(CalcGR4!$B$6,CalcGR4!$C$4:$N$12,10,0))</f>
        <v>0</v>
      </c>
      <c r="AP32" s="230">
        <f ca="1">IF(CalcGR4!$K$13=0,"",VLOOKUP(CalcGR4!$B$6,CalcGR4!$C$4:$N$12,11,0))</f>
        <v>3</v>
      </c>
      <c r="AQ32" s="230">
        <f ca="1">IF(CalcGR4!$K$13=0,"",VLOOKUP(CalcGR4!$B$6,CalcGR4!$C$4:$N$12,12,0))</f>
        <v>1</v>
      </c>
      <c r="AR32" s="232">
        <f ca="1">IF(CalcGR4!$K$13=0,"",VLOOKUP(CalcGR4!$B$6,CalcGR4!$C$4:$N$12,5,0))</f>
        <v>156</v>
      </c>
      <c r="AS32" s="233" t="str">
        <f>Language!$E$96</f>
        <v>-</v>
      </c>
      <c r="AT32" s="234">
        <f ca="1">IF(CalcGR4!$K$13=0,"",VLOOKUP(CalcGR4!$B$6,CalcGR4!$C$4:$N$12,6,0))</f>
        <v>184</v>
      </c>
      <c r="AU32" s="230">
        <f ca="1">IF(CalcGR4!$K$13=0,"",IF(VLOOKUP(CalcGR4!B6,CalcGR4!$C$4:$AR$12,42,0)=Settings!$F$7,"max",VLOOKUP(CalcGR4!B6,CalcGR4!$C$4:$AR$12,42,0)))</f>
        <v>-28</v>
      </c>
      <c r="AV32" s="470">
        <f ca="1">IF(CalcGR4!$K$13=0,"",VLOOKUP(CalcGR4!$B$6,CalcGR4!$C$4:$N$12,8,0))</f>
        <v>3</v>
      </c>
    </row>
    <row r="33" spans="3:48" ht="24" customHeight="1" thickTop="1" x14ac:dyDescent="0.25">
      <c r="C33" s="496">
        <f t="array" aca="1" ref="C33" ca="1">ROW(67:67)-SUM(((Planning!$L$6:$L$50="")+(Planning!$N$6:$N$50="")&gt;0)*1)-SUM((($I$12:$I32="")+($K$12:$K32="")&gt;0)*1)</f>
        <v>48</v>
      </c>
      <c r="D33" s="175">
        <f t="array" aca="1" ref="D33" ca="1">IF(Planning!$V$15,"",$D$12+QUOTIENT(($C33-$C$12),Planning!$V$11)*(Planning!$S$7+Planning!$S$9)/1440+SUM($S$12:$S32)/1440)</f>
        <v>0.73958333333333337</v>
      </c>
      <c r="E33" s="177">
        <f ca="1">IF(Planning!$V$15,"",MOD($C33-$C$12,Planning!$V$11)+1)</f>
        <v>3</v>
      </c>
      <c r="F33" s="563" t="s">
        <v>332</v>
      </c>
      <c r="G33" s="564" t="s">
        <v>4</v>
      </c>
      <c r="H33" s="565" t="s">
        <v>333</v>
      </c>
      <c r="I33" s="460" t="str">
        <f t="shared" ca="1" si="0"/>
        <v>FSV Rauen</v>
      </c>
      <c r="J33" s="461" t="s">
        <v>4</v>
      </c>
      <c r="K33" s="462" t="str">
        <f t="shared" ca="1" si="1"/>
        <v>1. FC Riedwald</v>
      </c>
      <c r="L33" s="435">
        <v>25</v>
      </c>
      <c r="M33" s="436" t="str">
        <f>Language!$E$96</f>
        <v>-</v>
      </c>
      <c r="N33" s="732">
        <v>2</v>
      </c>
      <c r="O33" s="435">
        <v>25</v>
      </c>
      <c r="P33" s="341" t="str">
        <f>Language!$E$96</f>
        <v>-</v>
      </c>
      <c r="Q33" s="437">
        <v>22</v>
      </c>
      <c r="R33" s="778"/>
      <c r="S33" s="735"/>
    </row>
    <row r="34" spans="3:48" ht="24" customHeight="1" thickBot="1" x14ac:dyDescent="0.45">
      <c r="C34" s="496">
        <f t="array" aca="1" ref="C34" ca="1">ROW(68:68)-SUM(((Planning!$L$6:$L$50="")+(Planning!$N$6:$N$50="")&gt;0)*1)-SUM((($I$12:$I33="")+($K$12:$K33="")&gt;0)*1)</f>
        <v>49</v>
      </c>
      <c r="D34" s="175">
        <f t="array" aca="1" ref="D34" ca="1">IF(Planning!$V$15,"",$D$12+QUOTIENT(($C34-$C$12),Planning!$V$11)*(Planning!$S$7+Planning!$S$9)/1440+SUM($S$12:$S33)/1440)</f>
        <v>0.76388888888888895</v>
      </c>
      <c r="E34" s="177">
        <f ca="1">IF(Planning!$V$15,"",MOD($C34-$C$12,Planning!$V$11)+1)</f>
        <v>1</v>
      </c>
      <c r="F34" s="563" t="s">
        <v>318</v>
      </c>
      <c r="G34" s="564" t="s">
        <v>4</v>
      </c>
      <c r="H34" s="565" t="s">
        <v>329</v>
      </c>
      <c r="I34" s="460" t="str">
        <f t="shared" ca="1" si="0"/>
        <v>FC Grönlingen</v>
      </c>
      <c r="J34" s="461" t="s">
        <v>4</v>
      </c>
      <c r="K34" s="462" t="str">
        <f t="shared" ca="1" si="1"/>
        <v>Maibach 1822 eV</v>
      </c>
      <c r="L34" s="435">
        <v>13</v>
      </c>
      <c r="M34" s="436" t="str">
        <f>Language!$E$96</f>
        <v>-</v>
      </c>
      <c r="N34" s="732">
        <v>25</v>
      </c>
      <c r="O34" s="435">
        <v>25</v>
      </c>
      <c r="P34" s="341" t="str">
        <f>Language!$E$96</f>
        <v>-</v>
      </c>
      <c r="Q34" s="437">
        <v>11</v>
      </c>
      <c r="R34" s="778"/>
      <c r="S34" s="735"/>
      <c r="U34" s="898" t="str">
        <f>Language!$E$16&amp;" E4"</f>
        <v>Group E4</v>
      </c>
      <c r="V34" s="898"/>
      <c r="W34" s="201"/>
      <c r="X34" s="201"/>
      <c r="Y34" s="201"/>
      <c r="Z34" s="201"/>
      <c r="AA34" s="201"/>
      <c r="AB34" s="201"/>
      <c r="AC34" s="201"/>
      <c r="AD34" s="201"/>
      <c r="AE34" s="201"/>
      <c r="AG34" s="806" t="str">
        <f>$U34</f>
        <v>Group E4</v>
      </c>
      <c r="AH34" s="806"/>
      <c r="AI34" s="988"/>
      <c r="AL34" s="991" t="str">
        <f>Language!$E$63</f>
        <v>Fifth place</v>
      </c>
      <c r="AM34" s="991"/>
      <c r="AN34" s="201"/>
      <c r="AO34" s="201"/>
      <c r="AP34" s="577"/>
      <c r="AQ34" s="577"/>
      <c r="AR34" s="577"/>
      <c r="AS34" s="577"/>
      <c r="AT34" s="577"/>
      <c r="AU34" s="577"/>
      <c r="AV34" s="577"/>
    </row>
    <row r="35" spans="3:48" ht="24" customHeight="1" thickTop="1" thickBot="1" x14ac:dyDescent="0.3">
      <c r="C35" s="496">
        <f t="array" aca="1" ref="C35" ca="1">ROW(69:69)-SUM(((Planning!$L$6:$L$50="")+(Planning!$N$6:$N$50="")&gt;0)*1)-SUM((($I$12:$I34="")+($K$12:$K34="")&gt;0)*1)</f>
        <v>50</v>
      </c>
      <c r="D35" s="175">
        <f t="array" aca="1" ref="D35" ca="1">IF(Planning!$V$15,"",$D$12+QUOTIENT(($C35-$C$12),Planning!$V$11)*(Planning!$S$7+Planning!$S$9)/1440+SUM($S$12:$S34)/1440)</f>
        <v>0.76388888888888895</v>
      </c>
      <c r="E35" s="177">
        <f ca="1">IF(Planning!$V$15,"",MOD($C35-$C$12,Planning!$V$11)+1)</f>
        <v>2</v>
      </c>
      <c r="F35" s="563" t="s">
        <v>327</v>
      </c>
      <c r="G35" s="564" t="s">
        <v>4</v>
      </c>
      <c r="H35" s="565" t="s">
        <v>328</v>
      </c>
      <c r="I35" s="460" t="str">
        <f t="shared" ca="1" si="0"/>
        <v>Eintracht Frankfurt</v>
      </c>
      <c r="J35" s="461" t="s">
        <v>4</v>
      </c>
      <c r="K35" s="462" t="str">
        <f t="shared" ca="1" si="1"/>
        <v>1. FC Nürnberg</v>
      </c>
      <c r="L35" s="435">
        <v>19</v>
      </c>
      <c r="M35" s="436" t="str">
        <f>Language!$E$96</f>
        <v>-</v>
      </c>
      <c r="N35" s="732">
        <v>25</v>
      </c>
      <c r="O35" s="435">
        <v>25</v>
      </c>
      <c r="P35" s="341" t="str">
        <f>Language!$E$96</f>
        <v>-</v>
      </c>
      <c r="Q35" s="437">
        <v>17</v>
      </c>
      <c r="R35" s="778"/>
      <c r="S35" s="736"/>
      <c r="U35" s="845"/>
      <c r="V35" s="846"/>
      <c r="W35" s="203" t="str">
        <f>Language!$E$21</f>
        <v>Pld</v>
      </c>
      <c r="X35" s="204" t="str">
        <f>Language!$E$22</f>
        <v>W</v>
      </c>
      <c r="Y35" s="204" t="str">
        <f>Language!$E$23</f>
        <v>D</v>
      </c>
      <c r="Z35" s="560" t="str">
        <f>Language!$E$24</f>
        <v>L</v>
      </c>
      <c r="AA35" s="847" t="str">
        <f>Language!$E$80</f>
        <v>balls</v>
      </c>
      <c r="AB35" s="848"/>
      <c r="AC35" s="849"/>
      <c r="AD35" s="766" t="str">
        <f>IF(Settings!$G$7,Language!$E$26,Language!$E$86)</f>
        <v>Diff.</v>
      </c>
      <c r="AE35" s="206" t="str">
        <f>Language!$E$27</f>
        <v>Pts</v>
      </c>
      <c r="AG35" s="456"/>
      <c r="AH35" s="757" t="str">
        <f>Language!$E$10</f>
        <v>Participant or team</v>
      </c>
      <c r="AI35" s="761" t="str">
        <f>Language!$E$49</f>
        <v>Tie break</v>
      </c>
      <c r="AL35" s="531"/>
      <c r="AM35" s="505" t="str">
        <f>Language!$E$10</f>
        <v>Participant or team</v>
      </c>
      <c r="AN35" s="450" t="str">
        <f>Language!$E$21</f>
        <v>Pld</v>
      </c>
      <c r="AO35" s="562" t="str">
        <f>Language!$E$22</f>
        <v>W</v>
      </c>
      <c r="AP35" s="562" t="str">
        <f>Language!$E$23</f>
        <v>D</v>
      </c>
      <c r="AQ35" s="562" t="str">
        <f>Language!$E$24</f>
        <v>L</v>
      </c>
      <c r="AR35" s="847" t="str">
        <f>Language!$E$80</f>
        <v>balls</v>
      </c>
      <c r="AS35" s="848"/>
      <c r="AT35" s="849"/>
      <c r="AU35" s="766" t="str">
        <f>IF(Settings!$G$7,Language!$E$26,Language!$E$86)</f>
        <v>Diff.</v>
      </c>
      <c r="AV35" s="451" t="str">
        <f>Language!$E$27</f>
        <v>Pts</v>
      </c>
    </row>
    <row r="36" spans="3:48" ht="24" customHeight="1" thickBot="1" x14ac:dyDescent="0.3">
      <c r="C36" s="497">
        <f t="array" aca="1" ref="C36" ca="1">ROW(70:70)-SUM(((Planning!$L$6:$L$50="")+(Planning!$N$6:$N$50="")&gt;0)*1)-SUM((($I$12:$I35="")+($K$12:$K35="")&gt;0)*1)</f>
        <v>51</v>
      </c>
      <c r="D36" s="178">
        <f t="array" aca="1" ref="D36" ca="1">IF(Planning!$V$15,"",$D$12+QUOTIENT(($C36-$C$12),Planning!$V$11)*(Planning!$S$7+Planning!$S$9)/1440+SUM($S$12:$S35)/1440)</f>
        <v>0.76388888888888895</v>
      </c>
      <c r="E36" s="179">
        <f ca="1">IF(Planning!$V$15,"",MOD($C36-$C$12,Planning!$V$11)+1)</f>
        <v>3</v>
      </c>
      <c r="F36" s="541" t="s">
        <v>338</v>
      </c>
      <c r="G36" s="542" t="s">
        <v>4</v>
      </c>
      <c r="H36" s="543" t="s">
        <v>339</v>
      </c>
      <c r="I36" s="463" t="str">
        <f t="shared" ca="1" si="0"/>
        <v>Borussia Dortmund</v>
      </c>
      <c r="J36" s="464" t="s">
        <v>4</v>
      </c>
      <c r="K36" s="465" t="str">
        <f t="shared" ca="1" si="1"/>
        <v>Inter Mailand</v>
      </c>
      <c r="L36" s="438">
        <v>17</v>
      </c>
      <c r="M36" s="374" t="str">
        <f>Language!$E$96</f>
        <v>-</v>
      </c>
      <c r="N36" s="733">
        <v>25</v>
      </c>
      <c r="O36" s="438">
        <v>25</v>
      </c>
      <c r="P36" s="343" t="str">
        <f>Language!$E$96</f>
        <v>-</v>
      </c>
      <c r="Q36" s="439">
        <v>16</v>
      </c>
      <c r="R36" s="375"/>
      <c r="S36" s="737"/>
      <c r="U36" s="383">
        <f ca="1">IF(CalcE44!$K$13=0,"",13)</f>
        <v>13</v>
      </c>
      <c r="V36" s="440" t="str">
        <f ca="1">IF(Calc1!$F$14&lt;3,"",IF(AND(CalcE44!$K$13=0,$AH$40&lt;&gt;1),CalcE44!$Q$64,VLOOKUP(CalcE44!$B$4,CalcE44!$C$4:$N$12,4,0)))</f>
        <v>FSV Rauen</v>
      </c>
      <c r="W36" s="443">
        <f ca="1">IF(CalcE44!$K$13=0,"",VLOOKUP(CalcE44!$B$4,CalcE44!$C$4:$N$12,9,0))</f>
        <v>2</v>
      </c>
      <c r="X36" s="210">
        <f ca="1">IF(CalcE44!$K$13=0,"",VLOOKUP(CalcE44!$B$4,CalcE44!$C$4:$N$12,10,0))</f>
        <v>1</v>
      </c>
      <c r="Y36" s="210">
        <f ca="1">IF(CalcE44!$K$13=0,"",VLOOKUP(CalcE44!$B$4,CalcE44!$C$4:$N$12,11,0))</f>
        <v>1</v>
      </c>
      <c r="Z36" s="210">
        <f ca="1">IF(CalcE44!$K$13=0,"",VLOOKUP(CalcE44!$B$4,CalcE44!$C$4:$N$12,12,0))</f>
        <v>0</v>
      </c>
      <c r="AA36" s="212">
        <f ca="1">IF(CalcE44!$K$13=0,"",VLOOKUP(CalcE44!$B$4,CalcE44!$C$4:$N$12,5,0))</f>
        <v>96</v>
      </c>
      <c r="AB36" s="213" t="str">
        <f>Language!$E$96</f>
        <v>-</v>
      </c>
      <c r="AC36" s="214">
        <f ca="1">IF(CalcE44!$K$13=0,"",VLOOKUP(CalcE44!$B$4,CalcE44!$C$4:$N$12,6,0))</f>
        <v>68</v>
      </c>
      <c r="AD36" s="210">
        <f ca="1">IF(CalcE44!$K$13=0,"",IF(VLOOKUP(CalcE44!B4,CalcE44!$C$4:$AR$12,42,0)=Settings!$F$7,"max",VLOOKUP(CalcE44!B4,CalcE44!$C$4:$AR$12,42,0)))</f>
        <v>28</v>
      </c>
      <c r="AE36" s="215">
        <f ca="1">IF(CalcE44!$K$13=0,"",VLOOKUP(CalcE44!$B$4,CalcE44!$C$4:$N$12,8,0))</f>
        <v>3</v>
      </c>
      <c r="AG36" s="558" t="s">
        <v>332</v>
      </c>
      <c r="AH36" s="758" t="str">
        <f ca="1">IF(VLOOKUP(AG36,$AL$12:$AM$44,2,0)="","",VLOOKUP(AG36,$AL$12:$AM$44,2,0))</f>
        <v>FSV Rauen</v>
      </c>
      <c r="AI36" s="760">
        <f ca="1">IF($AH36="",0,COUNTIF(TieBreak!$U$38:$U$43,$AH36))</f>
        <v>0</v>
      </c>
      <c r="AL36" s="559" t="s">
        <v>332</v>
      </c>
      <c r="AM36" s="578" t="str">
        <f ca="1">IF(Calc1!$F$14&lt;3,"",IF(CalcGR5!$K$13=0,CalcGR5!$Q$64,VLOOKUP(CalcGR5!$B$4,CalcGR5!$C$4:$N$12,4,0)))</f>
        <v>FSV Rauen</v>
      </c>
      <c r="AN36" s="510">
        <f ca="1">IF(CalcGR5!$K$13=0,"",VLOOKUP(CalcGR5!$B$4,CalcGR5!$C$4:$N$12,9,0))</f>
        <v>4</v>
      </c>
      <c r="AO36" s="511">
        <f ca="1">IF(CalcGR5!$K$13=0,"",VLOOKUP(CalcGR5!$B$4,CalcGR5!$C$4:$N$12,10,0))</f>
        <v>0</v>
      </c>
      <c r="AP36" s="511">
        <f ca="1">IF(CalcGR5!$K$13=0,"",VLOOKUP(CalcGR5!$B$4,CalcGR5!$C$4:$N$12,11,0))</f>
        <v>3</v>
      </c>
      <c r="AQ36" s="511">
        <f ca="1">IF(CalcGR5!$K$13=0,"",VLOOKUP(CalcGR5!$B$4,CalcGR5!$C$4:$N$12,12,0))</f>
        <v>1</v>
      </c>
      <c r="AR36" s="512">
        <f ca="1">IF(CalcGR5!$K$13=0,"",VLOOKUP(CalcGR5!$B$4,CalcGR5!$C$4:$N$12,5,0))</f>
        <v>159</v>
      </c>
      <c r="AS36" s="513" t="str">
        <f>Language!$E$96</f>
        <v>-</v>
      </c>
      <c r="AT36" s="514">
        <f ca="1">IF(CalcGR5!$K$13=0,"",VLOOKUP(CalcGR5!$B$4,CalcGR5!$C$4:$N$12,6,0))</f>
        <v>181</v>
      </c>
      <c r="AU36" s="511">
        <f ca="1">IF(CalcGR5!$K$13=0,"",IF(VLOOKUP(CalcGR5!B4,CalcGR5!$C$4:$AR$12,42,0)=Settings!$F$7,"max",VLOOKUP(CalcGR5!B4,CalcGR5!$C$4:$AR$12,42,0)))</f>
        <v>-22</v>
      </c>
      <c r="AV36" s="469">
        <f ca="1">IF(CalcGR5!$K$13=0,"",VLOOKUP(CalcGR5!$B$4,CalcGR5!$C$4:$N$12,8,0))</f>
        <v>3</v>
      </c>
    </row>
    <row r="37" spans="3:48" ht="24" customHeight="1" thickTop="1" x14ac:dyDescent="0.2">
      <c r="U37" s="385">
        <f ca="1">IF(CalcE44!$K$13=0,"",IF(VLOOKUP(CalcE44!$B$5,CalcE44!$C$4:$E$12,3,0)=MAX($U36:$U36)-12,VLOOKUP(CalcE44!$B$5,CalcE44!$C$4:$E$12,3,0),CalcE44!$B$5)+12)</f>
        <v>14</v>
      </c>
      <c r="V37" s="441" t="str">
        <f ca="1">IF(OR(Calc1!$F$14&lt;3,$AH$40=1),"",IF(CalcE44!$K$13=0,CalcE44!$Q$65,VLOOKUP(CalcE44!$B$5,CalcE44!$C$4:$N$12,4,0)))</f>
        <v>1. FC Riedwald</v>
      </c>
      <c r="W37" s="225">
        <f ca="1">IF(CalcE44!$K$13=0,"",VLOOKUP(CalcE44!$B$5,CalcE44!$C$4:$N$12,9,0))</f>
        <v>2</v>
      </c>
      <c r="X37" s="200">
        <f ca="1">IF(CalcE44!$K$13=0,"",VLOOKUP(CalcE44!$B$5,CalcE44!$C$4:$N$12,10,0))</f>
        <v>1</v>
      </c>
      <c r="Y37" s="200">
        <f ca="1">IF(CalcE44!$K$13=0,"",VLOOKUP(CalcE44!$B$5,CalcE44!$C$4:$N$12,11,0))</f>
        <v>0</v>
      </c>
      <c r="Z37" s="200">
        <f ca="1">IF(CalcE44!$K$13=0,"",VLOOKUP(CalcE44!$B$5,CalcE44!$C$4:$N$12,12,0))</f>
        <v>1</v>
      </c>
      <c r="AA37" s="221">
        <f ca="1">IF(CalcE44!$K$13=0,"",VLOOKUP(CalcE44!$B$5,CalcE44!$C$4:$N$12,5,0))</f>
        <v>74</v>
      </c>
      <c r="AB37" s="222" t="str">
        <f>Language!$E$96</f>
        <v>-</v>
      </c>
      <c r="AC37" s="223">
        <f ca="1">IF(CalcE44!$K$13=0,"",VLOOKUP(CalcE44!$B$5,CalcE44!$C$4:$N$12,6,0))</f>
        <v>92</v>
      </c>
      <c r="AD37" s="200">
        <f ca="1">IF(CalcE44!$K$13=0,"",IF(VLOOKUP(CalcE44!B5,CalcE44!$C$4:$AR$12,42,0)=Settings!$F$7,"max",VLOOKUP(CalcE44!B5,CalcE44!$C$4:$AR$12,42,0)))</f>
        <v>-18</v>
      </c>
      <c r="AE37" s="224">
        <f ca="1">IF(CalcE44!$K$13=0,"",VLOOKUP(CalcE44!$B$5,CalcE44!$C$4:$N$12,8,0))</f>
        <v>2</v>
      </c>
      <c r="AG37" s="455" t="s">
        <v>333</v>
      </c>
      <c r="AH37" s="758" t="str">
        <f t="shared" ref="AH37:AH39" ca="1" si="5">IF(VLOOKUP(AG37,$AL$12:$AM$44,2,0)="","",VLOOKUP(AG37,$AL$12:$AM$44,2,0))</f>
        <v>1. FC Riedwald</v>
      </c>
      <c r="AI37" s="760">
        <f ca="1">IF($AH37="",0,COUNTIF(TieBreak!$U$38:$U$43,$AH37))</f>
        <v>0</v>
      </c>
      <c r="AL37" s="455" t="s">
        <v>333</v>
      </c>
      <c r="AM37" s="579" t="str">
        <f ca="1">IF(Calc1!$F$14&lt;3,"",IF(CalcGR5!$K$13=0,CalcGR5!$Q$65,VLOOKUP(CalcGR5!$B$5,CalcGR5!$C$4:$N$12,4,0)))</f>
        <v>1. FC Riedwald</v>
      </c>
      <c r="AN37" s="225">
        <f ca="1">IF(CalcGR5!$K$13=0,"",VLOOKUP(CalcGR5!$B$5,CalcGR5!$C$4:$N$12,9,0))</f>
        <v>4</v>
      </c>
      <c r="AO37" s="200">
        <f ca="1">IF(CalcGR5!$K$13=0,"",VLOOKUP(CalcGR5!$B$5,CalcGR5!$C$4:$N$12,10,0))</f>
        <v>0</v>
      </c>
      <c r="AP37" s="200">
        <f ca="1">IF(CalcGR5!$K$13=0,"",VLOOKUP(CalcGR5!$B$5,CalcGR5!$C$4:$N$12,11,0))</f>
        <v>3</v>
      </c>
      <c r="AQ37" s="200">
        <f ca="1">IF(CalcGR5!$K$13=0,"",VLOOKUP(CalcGR5!$B$5,CalcGR5!$C$4:$N$12,12,0))</f>
        <v>1</v>
      </c>
      <c r="AR37" s="221">
        <f ca="1">IF(CalcGR5!$K$13=0,"",VLOOKUP(CalcGR5!$B$5,CalcGR5!$C$4:$N$12,5,0))</f>
        <v>163</v>
      </c>
      <c r="AS37" s="222" t="str">
        <f>Language!$E$96</f>
        <v>-</v>
      </c>
      <c r="AT37" s="223">
        <f ca="1">IF(CalcGR5!$K$13=0,"",VLOOKUP(CalcGR5!$B$5,CalcGR5!$C$4:$N$12,6,0))</f>
        <v>190</v>
      </c>
      <c r="AU37" s="200">
        <f ca="1">IF(CalcGR5!$K$13=0,"",IF(VLOOKUP(CalcGR5!B5,CalcGR5!$C$4:$AR$12,42,0)=Settings!$F$7,"max",VLOOKUP(CalcGR5!B5,CalcGR5!$C$4:$AR$12,42,0)))</f>
        <v>-27</v>
      </c>
      <c r="AV37" s="469">
        <f ca="1">IF(CalcGR5!$K$13=0,"",VLOOKUP(CalcGR5!$B$5,CalcGR5!$C$4:$N$12,8,0))</f>
        <v>3</v>
      </c>
    </row>
    <row r="38" spans="3:48" ht="24" customHeight="1" thickBot="1" x14ac:dyDescent="0.25">
      <c r="C38" s="989" t="str">
        <f>Language!$E$29</f>
        <v>End of Tournament:</v>
      </c>
      <c r="D38" s="989"/>
      <c r="E38" s="989"/>
      <c r="F38" s="989"/>
      <c r="G38" s="989"/>
      <c r="H38" s="989"/>
      <c r="I38" s="989"/>
      <c r="J38" s="990">
        <f ca="1">IF(Planning!$S$13="","",$D$36+Planning!$S$7/1440)</f>
        <v>0.78472222222222232</v>
      </c>
      <c r="K38" s="990"/>
      <c r="L38" s="990"/>
      <c r="M38" s="990"/>
      <c r="N38" s="990"/>
      <c r="O38" s="990"/>
      <c r="P38" s="990"/>
      <c r="Q38" s="990"/>
      <c r="R38" s="990"/>
      <c r="S38" s="990"/>
      <c r="U38" s="385">
        <f ca="1">IF(CalcE44!$K$13=0,"",IF(VLOOKUP(CalcE44!$B$6,CalcE44!$C$4:$E$12,3,0)=MAX($U36:$U37)-12,VLOOKUP(CalcE44!$B$6,CalcE44!$C$4:$E$12,3,0),CalcE44!$B$6)+12)</f>
        <v>15</v>
      </c>
      <c r="V38" s="441" t="str">
        <f ca="1">IF(OR(Calc1!$F$14&lt;3,$AH$40=1),"",IF(CalcE44!$K$13=0,CalcE44!$Q$66,VLOOKUP(CalcE44!$B$6,CalcE44!$C$4:$N$12,4,0)))</f>
        <v>Manchester City</v>
      </c>
      <c r="W38" s="225">
        <f ca="1">IF(CalcE44!$K$13=0,"",VLOOKUP(CalcE44!$B$6,CalcE44!$C$4:$N$12,9,0))</f>
        <v>2</v>
      </c>
      <c r="X38" s="200">
        <f ca="1">IF(CalcE44!$K$13=0,"",VLOOKUP(CalcE44!$B$6,CalcE44!$C$4:$N$12,10,0))</f>
        <v>0</v>
      </c>
      <c r="Y38" s="200">
        <f ca="1">IF(CalcE44!$K$13=0,"",VLOOKUP(CalcE44!$B$6,CalcE44!$C$4:$N$12,11,0))</f>
        <v>1</v>
      </c>
      <c r="Z38" s="200">
        <f ca="1">IF(CalcE44!$K$13=0,"",VLOOKUP(CalcE44!$B$6,CalcE44!$C$4:$N$12,12,0))</f>
        <v>1</v>
      </c>
      <c r="AA38" s="221">
        <f ca="1">IF(CalcE44!$K$13=0,"",VLOOKUP(CalcE44!$B$6,CalcE44!$C$4:$N$12,5,0))</f>
        <v>86</v>
      </c>
      <c r="AB38" s="222" t="str">
        <f>Language!$E$96</f>
        <v>-</v>
      </c>
      <c r="AC38" s="223">
        <f ca="1">IF(CalcE44!$K$13=0,"",VLOOKUP(CalcE44!$B$6,CalcE44!$C$4:$N$12,6,0))</f>
        <v>96</v>
      </c>
      <c r="AD38" s="200">
        <f ca="1">IF(CalcE44!$K$13=0,"",IF(VLOOKUP(CalcE44!B6,CalcE44!$C$4:$AR$12,42,0)=Settings!$F$7,"max",VLOOKUP(CalcE44!B6,CalcE44!$C$4:$AR$12,42,0)))</f>
        <v>-10</v>
      </c>
      <c r="AE38" s="224">
        <f ca="1">IF(CalcE44!$K$13=0,"",VLOOKUP(CalcE44!$B$6,CalcE44!$C$4:$N$12,8,0))</f>
        <v>1</v>
      </c>
      <c r="AG38" s="455" t="s">
        <v>334</v>
      </c>
      <c r="AH38" s="758" t="str">
        <f t="shared" ca="1" si="5"/>
        <v>Manchester City</v>
      </c>
      <c r="AI38" s="760">
        <f ca="1">IF($AH38="",0,COUNTIF(TieBreak!$U$38:$U$43,$AH38))</f>
        <v>0</v>
      </c>
      <c r="AL38" s="415" t="s">
        <v>334</v>
      </c>
      <c r="AM38" s="580" t="str">
        <f ca="1">IF(Calc1!$F$14&lt;3,"",IF(CalcGR5!$K$13=0,CalcGR5!$Q$66,VLOOKUP(CalcGR5!$B$6,CalcGR5!$C$4:$N$12,4,0)))</f>
        <v>Manchester City</v>
      </c>
      <c r="AN38" s="236">
        <f ca="1">IF(CalcGR5!$K$13=0,"",VLOOKUP(CalcGR5!$B$6,CalcGR5!$C$4:$N$12,9,0))</f>
        <v>4</v>
      </c>
      <c r="AO38" s="230">
        <f ca="1">IF(CalcGR5!$K$13=0,"",VLOOKUP(CalcGR5!$B$6,CalcGR5!$C$4:$N$12,10,0))</f>
        <v>0</v>
      </c>
      <c r="AP38" s="230">
        <f ca="1">IF(CalcGR5!$K$13=0,"",VLOOKUP(CalcGR5!$B$6,CalcGR5!$C$4:$N$12,11,0))</f>
        <v>2</v>
      </c>
      <c r="AQ38" s="230">
        <f ca="1">IF(CalcGR5!$K$13=0,"",VLOOKUP(CalcGR5!$B$6,CalcGR5!$C$4:$N$12,12,0))</f>
        <v>2</v>
      </c>
      <c r="AR38" s="232">
        <f ca="1">IF(CalcGR5!$K$13=0,"",VLOOKUP(CalcGR5!$B$6,CalcGR5!$C$4:$N$12,5,0))</f>
        <v>160</v>
      </c>
      <c r="AS38" s="233" t="str">
        <f>Language!$E$96</f>
        <v>-</v>
      </c>
      <c r="AT38" s="234">
        <f ca="1">IF(CalcGR5!$K$13=0,"",VLOOKUP(CalcGR5!$B$6,CalcGR5!$C$4:$N$12,6,0))</f>
        <v>185</v>
      </c>
      <c r="AU38" s="230">
        <f ca="1">IF(CalcGR5!$K$13=0,"",IF(VLOOKUP(CalcGR5!B6,CalcGR5!$C$4:$AR$12,42,0)=Settings!$F$7,"max",VLOOKUP(CalcGR5!B6,CalcGR5!$C$4:$AR$12,42,0)))</f>
        <v>-25</v>
      </c>
      <c r="AV38" s="470">
        <f ca="1">IF(CalcGR5!$K$13=0,"",VLOOKUP(CalcGR5!$B$6,CalcGR5!$C$4:$N$12,8,0))</f>
        <v>2</v>
      </c>
    </row>
    <row r="39" spans="3:48" ht="24" customHeight="1" thickTop="1" thickBot="1" x14ac:dyDescent="0.25">
      <c r="L39" s="504"/>
      <c r="M39" s="504"/>
      <c r="U39" s="387">
        <f ca="1">IF(CalcE44!$K$13=0,"",IF(VLOOKUP(CalcE44!$B$7,CalcE44!$C$4:$E$12,3,0)=MAX($U36:$U38)-12,VLOOKUP(CalcE44!$B$7,CalcE44!$C$4:$E$12,3,0),CalcE44!$B$7)+12)</f>
        <v>16</v>
      </c>
      <c r="V39" s="442" t="str">
        <f ca="1">IF(OR(Calc1!$F$14&lt;3,$AH$40=1),"",IF(CalcE44!$K$13=0,CalcE44!$Q$67,VLOOKUP(CalcE44!$B$7,CalcE44!$C$4:$N$12,4,0)))</f>
        <v/>
      </c>
      <c r="W39" s="236">
        <f ca="1">IF(CalcE44!$K$13=0,"",VLOOKUP(CalcE44!$B$7,CalcE44!$C$4:$N$12,9,0))</f>
        <v>0</v>
      </c>
      <c r="X39" s="230">
        <f ca="1">IF(CalcE44!$K$13=0,"",VLOOKUP(CalcE44!$B$7,CalcE44!$C$4:$N$12,10,0))</f>
        <v>0</v>
      </c>
      <c r="Y39" s="230">
        <f ca="1">IF(CalcE44!$K$13=0,"",VLOOKUP(CalcE44!$B$7,CalcE44!$C$4:$N$12,11,0))</f>
        <v>0</v>
      </c>
      <c r="Z39" s="230">
        <f ca="1">IF(CalcE44!$K$13=0,"",VLOOKUP(CalcE44!$B$7,CalcE44!$C$4:$N$12,12,0))</f>
        <v>0</v>
      </c>
      <c r="AA39" s="232">
        <f ca="1">IF(CalcE44!$K$13=0,"",VLOOKUP(CalcE44!$B$7,CalcE44!$C$4:$N$12,5,0))</f>
        <v>0</v>
      </c>
      <c r="AB39" s="233" t="str">
        <f>Language!$E$96</f>
        <v>-</v>
      </c>
      <c r="AC39" s="234">
        <f ca="1">IF(CalcE44!$K$13=0,"",VLOOKUP(CalcE44!$B$7,CalcE44!$C$4:$N$12,6,0))</f>
        <v>0</v>
      </c>
      <c r="AD39" s="230">
        <f ca="1">IF(CalcE44!$K$13=0,"",IF(VLOOKUP(CalcE44!B7,CalcE44!$C$4:$AR$12,42,0)=Settings!$F$7,"max",VLOOKUP(CalcE44!B7,CalcE44!$C$4:$AR$12,42,0)))</f>
        <v>0</v>
      </c>
      <c r="AE39" s="235">
        <f ca="1">IF(CalcE44!$K$13=0,"",VLOOKUP(CalcE44!$B$7,CalcE44!$C$4:$N$12,8,0))</f>
        <v>0</v>
      </c>
      <c r="AG39" s="415" t="s">
        <v>335</v>
      </c>
      <c r="AH39" s="759" t="str">
        <f t="shared" ca="1" si="5"/>
        <v/>
      </c>
      <c r="AI39" s="760">
        <f ca="1">IF($AH39="",0,COUNTIF(TieBreak!$U$38:$U$43,$AH39))</f>
        <v>0</v>
      </c>
    </row>
    <row r="40" spans="3:48" ht="24" customHeight="1" thickTop="1" thickBot="1" x14ac:dyDescent="0.35">
      <c r="F40" s="909" t="str">
        <f>Language!$E$104</f>
        <v>Rank</v>
      </c>
      <c r="G40" s="910"/>
      <c r="H40" s="910"/>
      <c r="I40" s="917" t="str">
        <f>Language!$E$10</f>
        <v>Participant or team</v>
      </c>
      <c r="J40" s="917"/>
      <c r="K40" s="918"/>
      <c r="L40" s="504"/>
      <c r="M40" s="504"/>
      <c r="AH40" s="586">
        <f t="array" aca="1" ref="AH40" ca="1">SUM((AH36:AH39&lt;&gt;"")*1)</f>
        <v>3</v>
      </c>
      <c r="AL40" s="991" t="str">
        <f>Language!$E$64</f>
        <v>Sixth place</v>
      </c>
      <c r="AM40" s="991"/>
      <c r="AN40" s="201"/>
      <c r="AO40" s="201"/>
      <c r="AP40" s="577"/>
      <c r="AQ40" s="577"/>
      <c r="AR40" s="577"/>
      <c r="AS40" s="577"/>
      <c r="AT40" s="577"/>
      <c r="AU40" s="577"/>
      <c r="AV40" s="577"/>
    </row>
    <row r="41" spans="3:48" ht="24" customHeight="1" thickTop="1" x14ac:dyDescent="0.2">
      <c r="F41" s="911">
        <v>1</v>
      </c>
      <c r="G41" s="912"/>
      <c r="H41" s="912"/>
      <c r="I41" s="919" t="str">
        <f ca="1">IF(CalcE41!$K$13=0,"",$V$12)</f>
        <v>Borussia Dortmund</v>
      </c>
      <c r="J41" s="919"/>
      <c r="K41" s="920"/>
      <c r="L41" s="504"/>
      <c r="M41" s="504"/>
      <c r="AL41" s="531"/>
      <c r="AM41" s="505" t="str">
        <f>Language!$E$10</f>
        <v>Participant or team</v>
      </c>
      <c r="AN41" s="450" t="str">
        <f>Language!$E$21</f>
        <v>Pld</v>
      </c>
      <c r="AO41" s="562" t="str">
        <f>Language!$E$22</f>
        <v>W</v>
      </c>
      <c r="AP41" s="562" t="str">
        <f>Language!$E$23</f>
        <v>D</v>
      </c>
      <c r="AQ41" s="562" t="str">
        <f>Language!$E$24</f>
        <v>L</v>
      </c>
      <c r="AR41" s="847" t="str">
        <f>Language!$E$80</f>
        <v>balls</v>
      </c>
      <c r="AS41" s="848"/>
      <c r="AT41" s="849"/>
      <c r="AU41" s="766" t="str">
        <f>IF(Settings!$G$7,Language!$E$26,Language!$E$86)</f>
        <v>Diff.</v>
      </c>
      <c r="AV41" s="451" t="str">
        <f>Language!$E$27</f>
        <v>Pts</v>
      </c>
    </row>
    <row r="42" spans="3:48" ht="24" customHeight="1" thickBot="1" x14ac:dyDescent="0.45">
      <c r="F42" s="913">
        <v>2</v>
      </c>
      <c r="G42" s="914"/>
      <c r="H42" s="914"/>
      <c r="I42" s="921" t="str">
        <f ca="1">IF(CalcE41!$K$13=0,"",$V$13)</f>
        <v>SSV Wildbach</v>
      </c>
      <c r="J42" s="921"/>
      <c r="K42" s="922"/>
      <c r="L42" s="504"/>
      <c r="M42" s="504"/>
      <c r="U42" s="898" t="str">
        <f>Language!$E$16&amp;" E5"</f>
        <v>Group E5</v>
      </c>
      <c r="V42" s="898"/>
      <c r="W42" s="201"/>
      <c r="X42" s="201"/>
      <c r="Y42" s="201"/>
      <c r="Z42" s="201"/>
      <c r="AA42" s="201"/>
      <c r="AB42" s="201"/>
      <c r="AC42" s="201"/>
      <c r="AD42" s="201"/>
      <c r="AE42" s="201"/>
      <c r="AG42" s="806" t="str">
        <f>$U42</f>
        <v>Group E5</v>
      </c>
      <c r="AH42" s="806"/>
      <c r="AI42" s="988"/>
      <c r="AL42" s="559" t="s">
        <v>335</v>
      </c>
      <c r="AM42" s="578" t="str">
        <f ca="1">IF(Calc1!$F$14&lt;3,"",IF(CalcGR6!$K$13=0,CalcGR6!$Q$64,VLOOKUP(CalcGR6!$B$4,CalcGR6!$C$4:$N$12,4,0)))</f>
        <v/>
      </c>
      <c r="AN42" s="510" t="str">
        <f ca="1">IF(CalcGR6!$K$13=0,"",VLOOKUP(CalcGR6!$B$4,CalcGR6!$C$4:$N$12,9,0))</f>
        <v/>
      </c>
      <c r="AO42" s="511" t="str">
        <f ca="1">IF(CalcGR6!$K$13=0,"",VLOOKUP(CalcGR6!$B$4,CalcGR6!$C$4:$N$12,10,0))</f>
        <v/>
      </c>
      <c r="AP42" s="511" t="str">
        <f ca="1">IF(CalcGR6!$K$13=0,"",VLOOKUP(CalcGR6!$B$4,CalcGR6!$C$4:$N$12,11,0))</f>
        <v/>
      </c>
      <c r="AQ42" s="511" t="str">
        <f ca="1">IF(CalcGR6!$K$13=0,"",VLOOKUP(CalcGR6!$B$4,CalcGR6!$C$4:$N$12,12,0))</f>
        <v/>
      </c>
      <c r="AR42" s="512" t="str">
        <f ca="1">IF(CalcGR6!$K$13=0,"",VLOOKUP(CalcGR6!$B$4,CalcGR6!$C$4:$N$12,5,0))</f>
        <v/>
      </c>
      <c r="AS42" s="513" t="str">
        <f>Language!$E$96</f>
        <v>-</v>
      </c>
      <c r="AT42" s="514" t="str">
        <f ca="1">IF(CalcGR6!$K$13=0,"",VLOOKUP(CalcGR6!$B$4,CalcGR6!$C$4:$N$12,6,0))</f>
        <v/>
      </c>
      <c r="AU42" s="511" t="str">
        <f ca="1">IF(CalcGR6!$K$13=0,"",IF(VLOOKUP(CalcGR6!B4,CalcGR6!$C$4:$AR$12,42,0)=Settings!$F$7,"max",VLOOKUP(CalcGR6!B4,CalcGR6!$C$4:$AR$12,42,0)))</f>
        <v/>
      </c>
      <c r="AV42" s="469" t="str">
        <f ca="1">IF(CalcGR6!$K$13=0,"",VLOOKUP(CalcGR6!$B$4,CalcGR6!$C$4:$N$12,8,0))</f>
        <v/>
      </c>
    </row>
    <row r="43" spans="3:48" ht="24" customHeight="1" thickTop="1" thickBot="1" x14ac:dyDescent="0.25">
      <c r="F43" s="915">
        <v>3</v>
      </c>
      <c r="G43" s="916"/>
      <c r="H43" s="916"/>
      <c r="I43" s="923" t="str">
        <f ca="1">IF(CalcE41!$K$13=0,"",$V$14)</f>
        <v>FC Barcelona</v>
      </c>
      <c r="J43" s="923"/>
      <c r="K43" s="924"/>
      <c r="L43" s="504"/>
      <c r="M43" s="504"/>
      <c r="U43" s="845"/>
      <c r="V43" s="846"/>
      <c r="W43" s="203" t="str">
        <f>Language!$E$21</f>
        <v>Pld</v>
      </c>
      <c r="X43" s="204" t="str">
        <f>Language!$E$22</f>
        <v>W</v>
      </c>
      <c r="Y43" s="204" t="str">
        <f>Language!$E$23</f>
        <v>D</v>
      </c>
      <c r="Z43" s="560" t="str">
        <f>Language!$E$24</f>
        <v>L</v>
      </c>
      <c r="AA43" s="847" t="str">
        <f>Language!$E$25</f>
        <v>sets</v>
      </c>
      <c r="AB43" s="848"/>
      <c r="AC43" s="849"/>
      <c r="AD43" s="766" t="str">
        <f>IF(Settings!$G$7,Language!$E$26,Language!$E$86)</f>
        <v>Diff.</v>
      </c>
      <c r="AE43" s="206" t="str">
        <f>Language!$E$27</f>
        <v>Pts</v>
      </c>
      <c r="AG43" s="456"/>
      <c r="AH43" s="757" t="str">
        <f>Language!$E$10</f>
        <v>Participant or team</v>
      </c>
      <c r="AI43" s="761" t="str">
        <f>Language!$E$49</f>
        <v>Tie break</v>
      </c>
      <c r="AL43" s="455" t="s">
        <v>336</v>
      </c>
      <c r="AM43" s="579" t="str">
        <f ca="1">IF(Calc1!$F$14&lt;3,"",IF(CalcGR6!$K$13=0,CalcGR6!$Q$65,VLOOKUP(CalcGR6!$B$5,CalcGR6!$C$4:$N$12,4,0)))</f>
        <v/>
      </c>
      <c r="AN43" s="225" t="str">
        <f ca="1">IF(CalcGR6!$K$13=0,"",VLOOKUP(CalcGR6!$B$5,CalcGR6!$C$4:$N$12,9,0))</f>
        <v/>
      </c>
      <c r="AO43" s="200" t="str">
        <f ca="1">IF(CalcGR6!$K$13=0,"",VLOOKUP(CalcGR6!$B$5,CalcGR6!$C$4:$N$12,10,0))</f>
        <v/>
      </c>
      <c r="AP43" s="200" t="str">
        <f ca="1">IF(CalcGR6!$K$13=0,"",VLOOKUP(CalcGR6!$B$5,CalcGR6!$C$4:$N$12,11,0))</f>
        <v/>
      </c>
      <c r="AQ43" s="200" t="str">
        <f ca="1">IF(CalcGR6!$K$13=0,"",VLOOKUP(CalcGR6!$B$5,CalcGR6!$C$4:$N$12,12,0))</f>
        <v/>
      </c>
      <c r="AR43" s="221" t="str">
        <f ca="1">IF(CalcGR6!$K$13=0,"",VLOOKUP(CalcGR6!$B$5,CalcGR6!$C$4:$N$12,5,0))</f>
        <v/>
      </c>
      <c r="AS43" s="222" t="str">
        <f>Language!$E$96</f>
        <v>-</v>
      </c>
      <c r="AT43" s="223" t="str">
        <f ca="1">IF(CalcGR6!$K$13=0,"",VLOOKUP(CalcGR6!$B$5,CalcGR6!$C$4:$N$12,6,0))</f>
        <v/>
      </c>
      <c r="AU43" s="200" t="str">
        <f ca="1">IF(CalcGR6!$K$13=0,"",IF(VLOOKUP(CalcGR6!B5,CalcGR6!$C$4:$AR$12,42,0)=Settings!$F$7,"max",VLOOKUP(CalcGR6!B5,CalcGR6!$C$4:$AR$12,42,0)))</f>
        <v/>
      </c>
      <c r="AV43" s="469" t="str">
        <f ca="1">IF(CalcGR6!$K$13=0,"",VLOOKUP(CalcGR6!$B$5,CalcGR6!$C$4:$N$12,8,0))</f>
        <v/>
      </c>
    </row>
    <row r="44" spans="3:48" ht="24" customHeight="1" thickBot="1" x14ac:dyDescent="0.25">
      <c r="F44" s="899">
        <v>4</v>
      </c>
      <c r="G44" s="900"/>
      <c r="H44" s="900"/>
      <c r="I44" s="905" t="str">
        <f ca="1">IF(CalcE41!$K$13=0,"",$V$15)</f>
        <v>Inter Mailand</v>
      </c>
      <c r="J44" s="905"/>
      <c r="K44" s="906"/>
      <c r="L44" s="504"/>
      <c r="M44" s="504"/>
      <c r="U44" s="383" t="str">
        <f ca="1">IF(CalcE45!$K$13=0,"",17)</f>
        <v/>
      </c>
      <c r="V44" s="440" t="str">
        <f ca="1">IF(Calc1!$F$14&lt;3,"",IF(AND(CalcE45!$K$13=0,$AH$46&lt;&gt;1),CalcE45!$Q$64,VLOOKUP(CalcE45!$B$4,CalcE45!$C$4:$N$12,4,0)))</f>
        <v/>
      </c>
      <c r="W44" s="443" t="str">
        <f ca="1">IF(CalcE45!$K$13=0,"",VLOOKUP(CalcE45!$B$4,CalcE45!$C$4:$N$12,9,0))</f>
        <v/>
      </c>
      <c r="X44" s="210" t="str">
        <f ca="1">IF(CalcE45!$K$13=0,"",VLOOKUP(CalcE45!$B$4,CalcE45!$C$4:$N$12,10,0))</f>
        <v/>
      </c>
      <c r="Y44" s="210" t="str">
        <f ca="1">IF(CalcE45!$K$13=0,"",VLOOKUP(CalcE45!$B$4,CalcE45!$C$4:$N$12,11,0))</f>
        <v/>
      </c>
      <c r="Z44" s="210" t="str">
        <f ca="1">IF(CalcE45!$K$13=0,"",VLOOKUP(CalcE45!$B$4,CalcE45!$C$4:$N$12,12,0))</f>
        <v/>
      </c>
      <c r="AA44" s="212" t="str">
        <f ca="1">IF(CalcE45!$K$13=0,"",VLOOKUP(CalcE45!$B$4,CalcE45!$C$4:$N$12,5,0))</f>
        <v/>
      </c>
      <c r="AB44" s="213" t="str">
        <f>Language!$E$96</f>
        <v>-</v>
      </c>
      <c r="AC44" s="214" t="str">
        <f ca="1">IF(CalcE45!$K$13=0,"",VLOOKUP(CalcE45!$B$4,CalcE45!$C$4:$N$12,6,0))</f>
        <v/>
      </c>
      <c r="AD44" s="210" t="str">
        <f ca="1">IF(CalcE45!$K$13=0,"",IF(VLOOKUP(CalcE45!B4,CalcE45!$C$4:$AR$12,42,0)=Settings!$F$7,"max",VLOOKUP(CalcE45!B4,CalcE45!$C$4:$AR$12,42,0)))</f>
        <v/>
      </c>
      <c r="AE44" s="215" t="str">
        <f ca="1">IF(CalcE45!$K$13=0,"",VLOOKUP(CalcE45!$B$4,CalcE45!$C$4:$N$12,8,0))</f>
        <v/>
      </c>
      <c r="AG44" s="559" t="s">
        <v>336</v>
      </c>
      <c r="AH44" s="758" t="str">
        <f ca="1">IF(VLOOKUP(AG44,$AL$12:$AM$44,2,0)="","",VLOOKUP(AG44,$AL$12:$AM$44,2,0))</f>
        <v/>
      </c>
      <c r="AI44" s="760">
        <f ca="1">IF($AH44="",0,COUNTIF(TieBreak!$U$38:$U$43,$AH44))</f>
        <v>0</v>
      </c>
      <c r="AL44" s="415" t="s">
        <v>337</v>
      </c>
      <c r="AM44" s="580" t="str">
        <f ca="1">IF(Calc1!$F$14&lt;3,"",IF(CalcGR6!$K$13=0,CalcGR6!$Q$66,VLOOKUP(CalcGR6!$B$6,CalcGR6!$C$4:$N$12,4,0)))</f>
        <v/>
      </c>
      <c r="AN44" s="236" t="str">
        <f ca="1">IF(CalcGR6!$K$13=0,"",VLOOKUP(CalcGR6!$B$6,CalcGR6!$C$4:$N$12,9,0))</f>
        <v/>
      </c>
      <c r="AO44" s="230" t="str">
        <f ca="1">IF(CalcGR6!$K$13=0,"",VLOOKUP(CalcGR6!$B$6,CalcGR6!$C$4:$N$12,10,0))</f>
        <v/>
      </c>
      <c r="AP44" s="230" t="str">
        <f ca="1">IF(CalcGR6!$K$13=0,"",VLOOKUP(CalcGR6!$B$6,CalcGR6!$C$4:$N$12,11,0))</f>
        <v/>
      </c>
      <c r="AQ44" s="230" t="str">
        <f ca="1">IF(CalcGR6!$K$13=0,"",VLOOKUP(CalcGR6!$B$6,CalcGR6!$C$4:$N$12,12,0))</f>
        <v/>
      </c>
      <c r="AR44" s="232" t="str">
        <f ca="1">IF(CalcGR6!$K$13=0,"",VLOOKUP(CalcGR6!$B$6,CalcGR6!$C$4:$N$12,5,0))</f>
        <v/>
      </c>
      <c r="AS44" s="233" t="str">
        <f>Language!$E$96</f>
        <v>-</v>
      </c>
      <c r="AT44" s="234" t="str">
        <f ca="1">IF(CalcGR6!$K$13=0,"",VLOOKUP(CalcGR6!$B$6,CalcGR6!$C$4:$N$12,6,0))</f>
        <v/>
      </c>
      <c r="AU44" s="230" t="str">
        <f ca="1">IF(CalcGR6!$K$13=0,"",IF(VLOOKUP(CalcGR6!B6,CalcGR6!$C$4:$AR$12,42,0)=Settings!$F$7,"max",VLOOKUP(CalcGR6!B6,CalcGR6!$C$4:$AR$12,42,0)))</f>
        <v/>
      </c>
      <c r="AV44" s="470" t="str">
        <f ca="1">IF(CalcGR6!$K$13=0,"",VLOOKUP(CalcGR6!$B$6,CalcGR6!$C$4:$N$12,8,0))</f>
        <v/>
      </c>
    </row>
    <row r="45" spans="3:48" ht="24" customHeight="1" thickTop="1" thickBot="1" x14ac:dyDescent="0.25">
      <c r="F45" s="899">
        <v>5</v>
      </c>
      <c r="G45" s="900"/>
      <c r="H45" s="900"/>
      <c r="I45" s="905" t="str">
        <f ca="1">IF(AND(CalcE42!$K$13=0,CalcE42!$F$13&lt;&gt;1),"",$V$20)</f>
        <v>Real Madrid</v>
      </c>
      <c r="J45" s="905"/>
      <c r="K45" s="906"/>
      <c r="L45" s="504"/>
      <c r="M45" s="504"/>
      <c r="U45" s="387" t="str">
        <f ca="1">IF(CalcE45!$K$13=0,"",IF(VLOOKUP(CalcE45!$B$5,CalcE45!$C$4:$E$12,3,0)=MAX($U44:$U44)-16,VLOOKUP(CalcE45!$B$5,CalcE45!$C$4:$E$12,3,0),CalcE45!$B$5)+16)</f>
        <v/>
      </c>
      <c r="V45" s="442" t="str">
        <f ca="1">IF(OR(Calc1!$F$14&lt;3,$AH$46=1),"",IF(CalcE45!$K$13=0,CalcE45!$Q$65,VLOOKUP(CalcE45!$B$5,CalcE45!$C$4:$N$12,4,0)))</f>
        <v/>
      </c>
      <c r="W45" s="236" t="str">
        <f ca="1">IF(CalcE45!$K$13=0,"",VLOOKUP(CalcE45!$B$5,CalcE45!$C$4:$N$12,9,0))</f>
        <v/>
      </c>
      <c r="X45" s="230" t="str">
        <f ca="1">IF(CalcE45!$K$13=0,"",VLOOKUP(CalcE45!$B$5,CalcE45!$C$4:$N$12,10,0))</f>
        <v/>
      </c>
      <c r="Y45" s="230" t="str">
        <f ca="1">IF(CalcE45!$K$13=0,"",VLOOKUP(CalcE45!$B$5,CalcE45!$C$4:$N$12,11,0))</f>
        <v/>
      </c>
      <c r="Z45" s="230" t="str">
        <f ca="1">IF(CalcE45!$K$13=0,"",VLOOKUP(CalcE45!$B$5,CalcE45!$C$4:$N$12,12,0))</f>
        <v/>
      </c>
      <c r="AA45" s="232" t="str">
        <f ca="1">IF(CalcE45!$K$13=0,"",VLOOKUP(CalcE45!$B$5,CalcE45!$C$4:$N$12,5,0))</f>
        <v/>
      </c>
      <c r="AB45" s="233" t="str">
        <f>Language!$E$96</f>
        <v>-</v>
      </c>
      <c r="AC45" s="234" t="str">
        <f ca="1">IF(CalcE45!$K$13=0,"",VLOOKUP(CalcE45!$B$5,CalcE45!$C$4:$N$12,6,0))</f>
        <v/>
      </c>
      <c r="AD45" s="230" t="str">
        <f ca="1">IF(CalcE45!$K$13=0,"",IF(VLOOKUP(CalcE45!B5,CalcE45!$C$4:$AR$12,42,0)=Settings!$F$7,"max",VLOOKUP(CalcE45!B5,CalcE45!$C$4:$AR$12,42,0)))</f>
        <v/>
      </c>
      <c r="AE45" s="235" t="str">
        <f ca="1">IF(CalcE45!$K$13=0,"",VLOOKUP(CalcE45!$B$5,CalcE45!$C$4:$N$12,8,0))</f>
        <v/>
      </c>
      <c r="AG45" s="415" t="s">
        <v>337</v>
      </c>
      <c r="AH45" s="759" t="str">
        <f t="shared" ref="AH45" ca="1" si="6">IF(VLOOKUP(AG45,$AL$12:$AM$44,2,0)="","",VLOOKUP(AG45,$AL$12:$AM$44,2,0))</f>
        <v/>
      </c>
      <c r="AI45" s="760">
        <f ca="1">IF($AH45="",0,COUNTIF(TieBreak!$U$38:$U$43,$AH45))</f>
        <v>0</v>
      </c>
    </row>
    <row r="46" spans="3:48" ht="24" customHeight="1" thickTop="1" x14ac:dyDescent="0.2">
      <c r="F46" s="899">
        <v>6</v>
      </c>
      <c r="G46" s="900"/>
      <c r="H46" s="900"/>
      <c r="I46" s="905" t="str">
        <f ca="1">IF(CalcE42!$K$13=0,"",$V$21)</f>
        <v>1. FC Nürnberg</v>
      </c>
      <c r="J46" s="905"/>
      <c r="K46" s="906"/>
      <c r="L46" s="504"/>
      <c r="M46" s="504"/>
      <c r="U46" s="566"/>
      <c r="V46" s="567"/>
      <c r="W46" s="568"/>
      <c r="X46" s="568"/>
      <c r="Y46" s="568"/>
      <c r="Z46" s="568"/>
      <c r="AA46" s="569"/>
      <c r="AB46" s="568"/>
      <c r="AC46" s="567"/>
      <c r="AD46" s="568"/>
      <c r="AE46" s="570"/>
      <c r="AG46" s="418"/>
      <c r="AH46" s="586">
        <f t="array" aca="1" ref="AH46" ca="1">SUM((AH44:AH45&lt;&gt;"")*1)</f>
        <v>0</v>
      </c>
    </row>
    <row r="47" spans="3:48" ht="24" customHeight="1" x14ac:dyDescent="0.2">
      <c r="F47" s="899">
        <v>7</v>
      </c>
      <c r="G47" s="900"/>
      <c r="H47" s="900"/>
      <c r="I47" s="905" t="str">
        <f ca="1">IF(CalcE42!$K$13=0,"",$V$22)</f>
        <v>Eintracht Frankfurt</v>
      </c>
      <c r="J47" s="905"/>
      <c r="K47" s="906"/>
      <c r="L47" s="504"/>
      <c r="M47" s="504"/>
      <c r="U47" s="571"/>
      <c r="V47" s="572"/>
      <c r="W47" s="573"/>
      <c r="X47" s="573"/>
      <c r="Y47" s="573"/>
      <c r="Z47" s="573"/>
      <c r="AA47" s="574"/>
      <c r="AB47" s="573"/>
      <c r="AC47" s="572"/>
      <c r="AD47" s="573"/>
      <c r="AE47" s="575"/>
    </row>
    <row r="48" spans="3:48" ht="24" customHeight="1" x14ac:dyDescent="0.2">
      <c r="F48" s="899">
        <v>8</v>
      </c>
      <c r="G48" s="900"/>
      <c r="H48" s="900"/>
      <c r="I48" s="905" t="str">
        <f ca="1">IF(CalcE42!$K$13=0,"",$V$23)</f>
        <v>VFB Essenheim</v>
      </c>
      <c r="J48" s="905"/>
      <c r="K48" s="906"/>
      <c r="L48" s="504"/>
      <c r="M48" s="504"/>
    </row>
    <row r="49" spans="6:34" ht="24" customHeight="1" x14ac:dyDescent="0.2">
      <c r="F49" s="899">
        <v>9</v>
      </c>
      <c r="G49" s="900"/>
      <c r="H49" s="900"/>
      <c r="I49" s="905" t="str">
        <f ca="1">IF(AND(CalcE43!$K$13=0,CalcE43!$F$13&lt;&gt;1),"",$V$28)</f>
        <v>Mainz 05</v>
      </c>
      <c r="J49" s="905"/>
      <c r="K49" s="906"/>
      <c r="L49" s="504"/>
      <c r="M49" s="504"/>
      <c r="W49" s="413"/>
      <c r="AG49" s="418"/>
      <c r="AH49" s="458"/>
    </row>
    <row r="50" spans="6:34" ht="24" customHeight="1" x14ac:dyDescent="0.2">
      <c r="F50" s="899">
        <v>10</v>
      </c>
      <c r="G50" s="900"/>
      <c r="H50" s="900"/>
      <c r="I50" s="905" t="str">
        <f ca="1">IF(CalcE43!$K$13=0,"",$V$29)</f>
        <v>Maibach 1822 eV</v>
      </c>
      <c r="J50" s="905"/>
      <c r="K50" s="906"/>
      <c r="L50" s="504"/>
      <c r="M50" s="504"/>
      <c r="W50" s="413"/>
      <c r="AG50" s="418"/>
      <c r="AH50" s="458"/>
    </row>
    <row r="51" spans="6:34" ht="24" customHeight="1" x14ac:dyDescent="0.2">
      <c r="F51" s="899">
        <v>11</v>
      </c>
      <c r="G51" s="900"/>
      <c r="H51" s="900"/>
      <c r="I51" s="905" t="str">
        <f ca="1">IF(CalcE43!$K$13=0,"",$V$30)</f>
        <v>FC Grönlingen</v>
      </c>
      <c r="J51" s="905"/>
      <c r="K51" s="906"/>
      <c r="L51" s="504"/>
      <c r="M51" s="504"/>
    </row>
    <row r="52" spans="6:34" ht="24" customHeight="1" x14ac:dyDescent="0.2">
      <c r="F52" s="899">
        <v>12</v>
      </c>
      <c r="G52" s="900"/>
      <c r="H52" s="900"/>
      <c r="I52" s="905" t="str">
        <f ca="1">IF(CalcE43!$K$13=0,"",$V$31)</f>
        <v>Kickers Rodendorf</v>
      </c>
      <c r="J52" s="905"/>
      <c r="K52" s="906"/>
      <c r="L52" s="504"/>
      <c r="M52" s="504"/>
    </row>
    <row r="53" spans="6:34" ht="24" customHeight="1" x14ac:dyDescent="0.2">
      <c r="F53" s="899">
        <v>13</v>
      </c>
      <c r="G53" s="900"/>
      <c r="H53" s="900"/>
      <c r="I53" s="905" t="str">
        <f ca="1">IF(AND(CalcE44!$K$13=0,CalcE44!$F$13&lt;&gt;1),"",$V$36)</f>
        <v>FSV Rauen</v>
      </c>
      <c r="J53" s="905"/>
      <c r="K53" s="906"/>
      <c r="L53" s="504"/>
      <c r="M53" s="504"/>
    </row>
    <row r="54" spans="6:34" ht="24" customHeight="1" x14ac:dyDescent="0.2">
      <c r="F54" s="899">
        <v>14</v>
      </c>
      <c r="G54" s="900"/>
      <c r="H54" s="900"/>
      <c r="I54" s="905" t="str">
        <f ca="1">IF(CalcE44!$K$13=0,"",$V$37)</f>
        <v>1. FC Riedwald</v>
      </c>
      <c r="J54" s="905"/>
      <c r="K54" s="906"/>
      <c r="L54" s="504"/>
      <c r="M54" s="504"/>
    </row>
    <row r="55" spans="6:34" ht="24" customHeight="1" x14ac:dyDescent="0.2">
      <c r="F55" s="899">
        <v>15</v>
      </c>
      <c r="G55" s="900"/>
      <c r="H55" s="900"/>
      <c r="I55" s="905" t="str">
        <f ca="1">IF(CalcE44!$K$13=0,"",$V$38)</f>
        <v>Manchester City</v>
      </c>
      <c r="J55" s="905"/>
      <c r="K55" s="906"/>
      <c r="L55" s="504"/>
      <c r="M55" s="504"/>
    </row>
    <row r="56" spans="6:34" ht="24" customHeight="1" x14ac:dyDescent="0.2">
      <c r="F56" s="899">
        <v>16</v>
      </c>
      <c r="G56" s="900"/>
      <c r="H56" s="900"/>
      <c r="I56" s="905" t="str">
        <f ca="1">IF(CalcE44!$K$13=0,"",$V$39)</f>
        <v/>
      </c>
      <c r="J56" s="905"/>
      <c r="K56" s="906"/>
      <c r="L56" s="504"/>
      <c r="M56" s="504"/>
      <c r="W56" s="413"/>
      <c r="AG56" s="417"/>
      <c r="AH56" s="457"/>
    </row>
    <row r="57" spans="6:34" ht="24" customHeight="1" x14ac:dyDescent="0.2">
      <c r="F57" s="899">
        <v>17</v>
      </c>
      <c r="G57" s="900"/>
      <c r="H57" s="900"/>
      <c r="I57" s="905" t="str">
        <f ca="1">IF(AND(CalcE45!$K$13=0,CalcE45!$F$13&lt;&gt;1),"",$V$44)</f>
        <v/>
      </c>
      <c r="J57" s="905"/>
      <c r="K57" s="906"/>
      <c r="W57" s="413"/>
      <c r="AG57" s="416"/>
      <c r="AH57" s="459"/>
    </row>
    <row r="58" spans="6:34" ht="24" customHeight="1" thickBot="1" x14ac:dyDescent="0.25">
      <c r="F58" s="901">
        <v>18</v>
      </c>
      <c r="G58" s="902"/>
      <c r="H58" s="902"/>
      <c r="I58" s="907" t="str">
        <f ca="1">IF(CalcE45!$K$13=0,"",$V$45)</f>
        <v/>
      </c>
      <c r="J58" s="907"/>
      <c r="K58" s="908"/>
    </row>
    <row r="59" spans="6:34" ht="24" customHeight="1" thickTop="1" x14ac:dyDescent="0.2"/>
    <row r="60" spans="6:34" ht="24" customHeight="1" x14ac:dyDescent="0.2"/>
  </sheetData>
  <sheetProtection sheet="1" selectLockedCells="1"/>
  <mergeCells count="85">
    <mergeCell ref="AR35:AT35"/>
    <mergeCell ref="AL40:AM40"/>
    <mergeCell ref="AR41:AT41"/>
    <mergeCell ref="AL7:AV7"/>
    <mergeCell ref="AG7:AH7"/>
    <mergeCell ref="AL22:AM22"/>
    <mergeCell ref="AR23:AT23"/>
    <mergeCell ref="AL28:AM28"/>
    <mergeCell ref="AR29:AT29"/>
    <mergeCell ref="AL34:AM34"/>
    <mergeCell ref="AL10:AM10"/>
    <mergeCell ref="AR11:AT11"/>
    <mergeCell ref="AL16:AM16"/>
    <mergeCell ref="AR17:AT17"/>
    <mergeCell ref="AG34:AI34"/>
    <mergeCell ref="G2:AB2"/>
    <mergeCell ref="G3:AB3"/>
    <mergeCell ref="G4:AB4"/>
    <mergeCell ref="G5:AB5"/>
    <mergeCell ref="K7:V8"/>
    <mergeCell ref="C10:D10"/>
    <mergeCell ref="S10:S11"/>
    <mergeCell ref="U10:Z10"/>
    <mergeCell ref="AG10:AI10"/>
    <mergeCell ref="F11:H11"/>
    <mergeCell ref="I11:K11"/>
    <mergeCell ref="L11:N11"/>
    <mergeCell ref="U11:V11"/>
    <mergeCell ref="AA11:AC11"/>
    <mergeCell ref="O11:Q11"/>
    <mergeCell ref="U18:V18"/>
    <mergeCell ref="AG18:AI18"/>
    <mergeCell ref="U19:V19"/>
    <mergeCell ref="AA19:AC19"/>
    <mergeCell ref="U26:V26"/>
    <mergeCell ref="AG26:AI26"/>
    <mergeCell ref="U27:V27"/>
    <mergeCell ref="AA27:AC27"/>
    <mergeCell ref="C38:I38"/>
    <mergeCell ref="J38:S38"/>
    <mergeCell ref="U34:V34"/>
    <mergeCell ref="U35:V35"/>
    <mergeCell ref="AA35:AC35"/>
    <mergeCell ref="F40:H40"/>
    <mergeCell ref="I40:K40"/>
    <mergeCell ref="F41:H41"/>
    <mergeCell ref="I41:K41"/>
    <mergeCell ref="F45:H45"/>
    <mergeCell ref="I45:K45"/>
    <mergeCell ref="U42:V42"/>
    <mergeCell ref="AG42:AI42"/>
    <mergeCell ref="F46:H46"/>
    <mergeCell ref="I46:K46"/>
    <mergeCell ref="U43:V43"/>
    <mergeCell ref="AA43:AC43"/>
    <mergeCell ref="F42:H42"/>
    <mergeCell ref="I42:K42"/>
    <mergeCell ref="F43:H43"/>
    <mergeCell ref="I43:K43"/>
    <mergeCell ref="F44:H44"/>
    <mergeCell ref="I44:K44"/>
    <mergeCell ref="F47:H47"/>
    <mergeCell ref="I47:K47"/>
    <mergeCell ref="F48:H48"/>
    <mergeCell ref="I48:K48"/>
    <mergeCell ref="F49:H49"/>
    <mergeCell ref="I49:K49"/>
    <mergeCell ref="F53:H53"/>
    <mergeCell ref="I53:K53"/>
    <mergeCell ref="F50:H50"/>
    <mergeCell ref="I50:K50"/>
    <mergeCell ref="F51:H51"/>
    <mergeCell ref="I51:K51"/>
    <mergeCell ref="F52:H52"/>
    <mergeCell ref="I52:K52"/>
    <mergeCell ref="F57:H57"/>
    <mergeCell ref="I57:K57"/>
    <mergeCell ref="F58:H58"/>
    <mergeCell ref="I58:K58"/>
    <mergeCell ref="F54:H54"/>
    <mergeCell ref="I54:K54"/>
    <mergeCell ref="F55:H55"/>
    <mergeCell ref="I55:K55"/>
    <mergeCell ref="F56:H56"/>
    <mergeCell ref="I56:K56"/>
  </mergeCells>
  <conditionalFormatting sqref="C12:Q36">
    <cfRule type="expression" dxfId="9" priority="31">
      <formula>OR($I12="",$K12="")</formula>
    </cfRule>
  </conditionalFormatting>
  <conditionalFormatting sqref="AN12:AV14 AN18:AV20 AN24:AV26 AN30:AV32 AN36:AV38 AN42:AV44">
    <cfRule type="expression" dxfId="8" priority="2">
      <formula>$AM12=""</formula>
    </cfRule>
  </conditionalFormatting>
  <conditionalFormatting sqref="U12:AE15 U20:AE23 U28:AE31 U36:AE39 U44:AE45">
    <cfRule type="expression" dxfId="7" priority="23">
      <formula>$V12=""</formula>
    </cfRule>
    <cfRule type="expression" dxfId="6" priority="24">
      <formula>OR(AND($U12=$U11,$V11&lt;&gt;""),AND($U12=$U13,$V13&lt;&gt;""))</formula>
    </cfRule>
  </conditionalFormatting>
  <conditionalFormatting sqref="L12:Q36">
    <cfRule type="expression" dxfId="5" priority="1">
      <formula>OR(AND($L12&lt;&gt;"",$L12=$N12),AND($O12&lt;&gt;"",$O12=$P12))</formula>
    </cfRule>
  </conditionalFormatting>
  <dataValidations count="2">
    <dataValidation type="whole" allowBlank="1" showInputMessage="1" showErrorMessage="1" sqref="AI12:AI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2" id="{8B24E735-0CED-4903-A5DF-9171DDB46E78}">
            <xm:f>$F41&gt;3*Calc1!$F$14</xm:f>
            <x14:dxf>
              <numFmt numFmtId="165" formatCode=";;;"/>
            </x14:dxf>
          </x14:cfRule>
          <xm:sqref>F41:H58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31"/>
  <sheetViews>
    <sheetView showGridLines="0" showRowColHeaders="0" workbookViewId="0">
      <selection activeCell="J1" sqref="J1"/>
    </sheetView>
  </sheetViews>
  <sheetFormatPr baseColWidth="10" defaultColWidth="0" defaultRowHeight="12.75" x14ac:dyDescent="0.2"/>
  <cols>
    <col min="1" max="1" width="11.42578125" customWidth="1"/>
    <col min="2" max="2" width="19.28515625" hidden="1" customWidth="1"/>
    <col min="3" max="3" width="11.42578125" hidden="1" customWidth="1"/>
    <col min="4" max="4" width="7" style="70"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89"/>
      <c r="F1" s="813" t="str">
        <f>$E$35</f>
        <v>Choose language</v>
      </c>
      <c r="G1" s="813"/>
      <c r="H1" s="813"/>
      <c r="I1" s="106"/>
      <c r="J1" s="108" t="s">
        <v>114</v>
      </c>
      <c r="K1" s="174" t="str">
        <f>_xlfn.UNICHAR(8592)</f>
        <v>←</v>
      </c>
      <c r="L1" s="173" t="str">
        <f>$E$92</f>
        <v>Click here and choose language</v>
      </c>
    </row>
    <row r="2" spans="2:12" ht="11.25" customHeight="1" thickBot="1" x14ac:dyDescent="0.25">
      <c r="F2" s="998"/>
      <c r="G2" s="998"/>
      <c r="I2" s="71"/>
      <c r="J2" s="72"/>
    </row>
    <row r="3" spans="2:12" ht="13.5" thickTop="1" x14ac:dyDescent="0.2">
      <c r="B3" s="73" t="s">
        <v>114</v>
      </c>
      <c r="C3" s="74">
        <f>IF(AND($J$1&lt;&gt;B4,$J$1&lt;&gt;B5),1,0)</f>
        <v>1</v>
      </c>
      <c r="D3" s="999"/>
      <c r="E3" s="1001"/>
      <c r="F3" s="1002" t="s">
        <v>114</v>
      </c>
      <c r="G3" s="1004" t="s">
        <v>149</v>
      </c>
      <c r="H3" s="996" t="s">
        <v>113</v>
      </c>
      <c r="I3" s="75"/>
    </row>
    <row r="4" spans="2:12" ht="13.5" thickBot="1" x14ac:dyDescent="0.25">
      <c r="B4" s="73" t="s">
        <v>149</v>
      </c>
      <c r="C4" s="74">
        <f>IF($J$1=B4,1,0)</f>
        <v>0</v>
      </c>
      <c r="D4" s="1000"/>
      <c r="E4" s="1001"/>
      <c r="F4" s="1003"/>
      <c r="G4" s="1005"/>
      <c r="H4" s="997"/>
      <c r="I4" s="76"/>
      <c r="J4" s="77"/>
    </row>
    <row r="5" spans="2:12" ht="29.25" thickTop="1" x14ac:dyDescent="0.45">
      <c r="B5" s="73" t="s">
        <v>113</v>
      </c>
      <c r="C5" s="74">
        <f>IF($J$1=B5,1,0)</f>
        <v>0</v>
      </c>
      <c r="E5" s="73"/>
      <c r="F5" s="81" t="str">
        <f>$E$36</f>
        <v>Captions</v>
      </c>
      <c r="G5" s="82"/>
      <c r="H5" s="83"/>
      <c r="I5" s="76"/>
      <c r="J5" s="77"/>
    </row>
    <row r="6" spans="2:12" x14ac:dyDescent="0.2">
      <c r="E6" s="73" t="str">
        <f>IF($C$3,F6,IF($C$4,G6,IF($H6&lt;&gt;"",$H6,$F6)))</f>
        <v>Tie break prel. round</v>
      </c>
      <c r="F6" s="80" t="s">
        <v>349</v>
      </c>
      <c r="G6" s="78" t="s">
        <v>212</v>
      </c>
      <c r="H6" s="101"/>
    </row>
    <row r="7" spans="2:12" x14ac:dyDescent="0.2">
      <c r="E7" s="73" t="str">
        <f t="shared" ref="E7:E126" si="0">IF($C$3,F7,IF($C$4,G7,IF($H7&lt;&gt;"",$H7,$F7)))</f>
        <v>Direct comparisons</v>
      </c>
      <c r="F7" s="80" t="s">
        <v>115</v>
      </c>
      <c r="G7" s="78" t="s">
        <v>12</v>
      </c>
      <c r="H7" s="79"/>
    </row>
    <row r="8" spans="2:12" x14ac:dyDescent="0.2">
      <c r="E8" s="73" t="str">
        <f t="shared" si="0"/>
        <v>Your date</v>
      </c>
      <c r="F8" s="99" t="s">
        <v>144</v>
      </c>
      <c r="G8" s="98" t="s">
        <v>143</v>
      </c>
      <c r="H8" s="79"/>
    </row>
    <row r="9" spans="2:12" ht="15" customHeight="1" x14ac:dyDescent="0.45">
      <c r="E9" s="73" t="str">
        <f t="shared" si="0"/>
        <v>No.</v>
      </c>
      <c r="F9" s="96" t="s">
        <v>117</v>
      </c>
      <c r="G9" s="95" t="s">
        <v>0</v>
      </c>
      <c r="H9" s="79"/>
      <c r="I9" s="87"/>
    </row>
    <row r="10" spans="2:12" ht="15" customHeight="1" x14ac:dyDescent="0.45">
      <c r="E10" s="73" t="str">
        <f t="shared" si="0"/>
        <v>Participant or team</v>
      </c>
      <c r="F10" s="96" t="s">
        <v>118</v>
      </c>
      <c r="G10" s="95" t="s">
        <v>21</v>
      </c>
      <c r="H10" s="79"/>
      <c r="I10" s="87"/>
    </row>
    <row r="11" spans="2:12" ht="15" customHeight="1" x14ac:dyDescent="0.45">
      <c r="E11" s="73" t="str">
        <f t="shared" si="0"/>
        <v>Results</v>
      </c>
      <c r="F11" s="96" t="s">
        <v>119</v>
      </c>
      <c r="G11" s="95" t="s">
        <v>22</v>
      </c>
      <c r="H11" s="79"/>
      <c r="I11" s="87"/>
    </row>
    <row r="12" spans="2:12" ht="15" customHeight="1" x14ac:dyDescent="0.45">
      <c r="E12" s="73" t="str">
        <f t="shared" si="0"/>
        <v>Total table</v>
      </c>
      <c r="F12" s="96" t="s">
        <v>120</v>
      </c>
      <c r="G12" s="95" t="s">
        <v>13</v>
      </c>
      <c r="H12" s="79"/>
      <c r="I12" s="87"/>
    </row>
    <row r="13" spans="2:12" ht="15" customHeight="1" x14ac:dyDescent="0.45">
      <c r="E13" s="73" t="str">
        <f t="shared" si="0"/>
        <v>Total table (copy)</v>
      </c>
      <c r="F13" s="96" t="s">
        <v>121</v>
      </c>
      <c r="G13" s="95" t="s">
        <v>52</v>
      </c>
      <c r="H13" s="79"/>
      <c r="I13" s="87"/>
    </row>
    <row r="14" spans="2:12" ht="15" customHeight="1" x14ac:dyDescent="0.45">
      <c r="E14" s="73" t="str">
        <f t="shared" si="0"/>
        <v>Match pairing</v>
      </c>
      <c r="F14" s="96" t="s">
        <v>124</v>
      </c>
      <c r="G14" s="95" t="s">
        <v>1</v>
      </c>
      <c r="H14" s="79"/>
      <c r="I14" s="87"/>
    </row>
    <row r="15" spans="2:12" ht="15" customHeight="1" x14ac:dyDescent="0.45">
      <c r="E15" s="73" t="str">
        <f t="shared" si="0"/>
        <v>Result</v>
      </c>
      <c r="F15" s="96" t="s">
        <v>125</v>
      </c>
      <c r="G15" s="95" t="s">
        <v>2</v>
      </c>
      <c r="H15" s="79"/>
      <c r="I15" s="87"/>
    </row>
    <row r="16" spans="2:12" ht="15" customHeight="1" x14ac:dyDescent="0.45">
      <c r="E16" s="73" t="str">
        <f t="shared" si="0"/>
        <v>Group</v>
      </c>
      <c r="F16" s="96" t="s">
        <v>192</v>
      </c>
      <c r="G16" s="95" t="s">
        <v>191</v>
      </c>
      <c r="H16" s="79"/>
      <c r="I16" s="87"/>
    </row>
    <row r="17" spans="5:13" ht="15" customHeight="1" x14ac:dyDescent="0.45">
      <c r="E17" s="73" t="str">
        <f t="shared" si="0"/>
        <v>Grp</v>
      </c>
      <c r="F17" s="96" t="s">
        <v>193</v>
      </c>
      <c r="G17" s="95" t="s">
        <v>193</v>
      </c>
      <c r="H17" s="79"/>
      <c r="I17" s="87"/>
    </row>
    <row r="18" spans="5:13" ht="15" customHeight="1" x14ac:dyDescent="0.45">
      <c r="E18" s="73" t="str">
        <f t="shared" si="0"/>
        <v>Preliminary round</v>
      </c>
      <c r="F18" s="96" t="s">
        <v>208</v>
      </c>
      <c r="G18" s="95" t="s">
        <v>206</v>
      </c>
      <c r="H18" s="79"/>
      <c r="I18" s="87"/>
    </row>
    <row r="19" spans="5:13" ht="15" customHeight="1" x14ac:dyDescent="0.45">
      <c r="E19" s="73" t="str">
        <f t="shared" si="0"/>
        <v>Final round</v>
      </c>
      <c r="F19" s="96" t="s">
        <v>209</v>
      </c>
      <c r="G19" s="95" t="s">
        <v>207</v>
      </c>
      <c r="H19" s="79"/>
      <c r="I19" s="87"/>
    </row>
    <row r="20" spans="5:13" ht="15" x14ac:dyDescent="0.25">
      <c r="E20" s="73" t="str">
        <f t="shared" si="0"/>
        <v>Addit. Pause (min)</v>
      </c>
      <c r="F20" s="99" t="s">
        <v>215</v>
      </c>
      <c r="G20" s="98" t="s">
        <v>214</v>
      </c>
      <c r="H20" s="79"/>
      <c r="I20" s="88"/>
      <c r="J20" s="88"/>
      <c r="K20" s="88"/>
      <c r="L20" s="88"/>
      <c r="M20" s="88"/>
    </row>
    <row r="21" spans="5:13" ht="15" x14ac:dyDescent="0.25">
      <c r="E21" s="73" t="str">
        <f t="shared" si="0"/>
        <v>Pld</v>
      </c>
      <c r="F21" s="99" t="s">
        <v>103</v>
      </c>
      <c r="G21" s="98" t="s">
        <v>126</v>
      </c>
      <c r="H21" s="79"/>
      <c r="I21" s="88"/>
      <c r="J21" s="88"/>
      <c r="K21" s="88"/>
      <c r="L21" s="88"/>
      <c r="M21" s="88"/>
    </row>
    <row r="22" spans="5:13" ht="15" x14ac:dyDescent="0.25">
      <c r="E22" s="73" t="str">
        <f t="shared" si="0"/>
        <v>W</v>
      </c>
      <c r="F22" s="99" t="s">
        <v>104</v>
      </c>
      <c r="G22" s="98" t="s">
        <v>127</v>
      </c>
      <c r="H22" s="79"/>
      <c r="I22" s="88"/>
      <c r="J22" s="88"/>
      <c r="K22" s="88"/>
      <c r="L22" s="88"/>
      <c r="M22" s="88"/>
    </row>
    <row r="23" spans="5:13" ht="15" x14ac:dyDescent="0.25">
      <c r="E23" s="73" t="str">
        <f t="shared" si="0"/>
        <v>D</v>
      </c>
      <c r="F23" s="99" t="s">
        <v>105</v>
      </c>
      <c r="G23" s="98" t="s">
        <v>128</v>
      </c>
      <c r="H23" s="79"/>
      <c r="I23" s="88"/>
      <c r="J23" s="88"/>
      <c r="K23" s="88"/>
      <c r="L23" s="88"/>
      <c r="M23" s="88"/>
    </row>
    <row r="24" spans="5:13" ht="15" x14ac:dyDescent="0.25">
      <c r="E24" s="73" t="str">
        <f t="shared" si="0"/>
        <v>L</v>
      </c>
      <c r="F24" s="99" t="s">
        <v>106</v>
      </c>
      <c r="G24" s="98" t="s">
        <v>129</v>
      </c>
      <c r="H24" s="79"/>
      <c r="I24" s="88"/>
      <c r="J24" s="88"/>
      <c r="K24" s="88"/>
      <c r="L24" s="88"/>
      <c r="M24" s="88"/>
    </row>
    <row r="25" spans="5:13" ht="15" x14ac:dyDescent="0.25">
      <c r="E25" s="73" t="str">
        <f t="shared" si="0"/>
        <v>sets</v>
      </c>
      <c r="F25" s="99" t="s">
        <v>350</v>
      </c>
      <c r="G25" s="98" t="s">
        <v>351</v>
      </c>
      <c r="H25" s="79"/>
      <c r="I25" s="88"/>
      <c r="J25" s="88"/>
      <c r="K25" s="88"/>
      <c r="L25" s="88"/>
      <c r="M25" s="88"/>
    </row>
    <row r="26" spans="5:13" ht="15" x14ac:dyDescent="0.25">
      <c r="E26" s="73" t="str">
        <f t="shared" si="0"/>
        <v>Diff.</v>
      </c>
      <c r="F26" s="99" t="s">
        <v>3</v>
      </c>
      <c r="G26" s="98" t="s">
        <v>3</v>
      </c>
      <c r="H26" s="79"/>
      <c r="I26" s="88"/>
      <c r="J26" s="88"/>
      <c r="K26" s="88"/>
      <c r="L26" s="88"/>
      <c r="M26" s="88"/>
    </row>
    <row r="27" spans="5:13" ht="15" x14ac:dyDescent="0.25">
      <c r="E27" s="73" t="str">
        <f t="shared" si="0"/>
        <v>Pts</v>
      </c>
      <c r="F27" s="99" t="s">
        <v>110</v>
      </c>
      <c r="G27" s="98" t="s">
        <v>130</v>
      </c>
      <c r="H27" s="79"/>
      <c r="I27" s="88"/>
      <c r="J27" s="88"/>
      <c r="K27" s="88"/>
      <c r="L27" s="88"/>
      <c r="M27" s="88"/>
    </row>
    <row r="28" spans="5:13" ht="15" x14ac:dyDescent="0.25">
      <c r="E28" s="73" t="str">
        <f t="shared" si="0"/>
        <v>PF</v>
      </c>
      <c r="F28" s="99" t="s">
        <v>352</v>
      </c>
      <c r="G28" s="98" t="s">
        <v>353</v>
      </c>
      <c r="H28" s="79"/>
      <c r="I28" s="88"/>
      <c r="J28" s="88"/>
      <c r="K28" s="88"/>
      <c r="L28" s="88"/>
      <c r="M28" s="88"/>
    </row>
    <row r="29" spans="5:13" x14ac:dyDescent="0.2">
      <c r="E29" s="73" t="str">
        <f t="shared" si="0"/>
        <v>End of Tournament:</v>
      </c>
      <c r="F29" s="99" t="s">
        <v>292</v>
      </c>
      <c r="G29" s="98" t="s">
        <v>216</v>
      </c>
      <c r="H29" s="79"/>
    </row>
    <row r="30" spans="5:13" x14ac:dyDescent="0.2">
      <c r="E30" s="73" t="str">
        <f t="shared" si="0"/>
        <v>Participants and schedule</v>
      </c>
      <c r="F30" s="99" t="s">
        <v>131</v>
      </c>
      <c r="G30" s="98" t="s">
        <v>19</v>
      </c>
      <c r="H30" s="79"/>
    </row>
    <row r="31" spans="5:13" x14ac:dyDescent="0.2">
      <c r="E31" s="73" t="str">
        <f t="shared" si="0"/>
        <v>Participants</v>
      </c>
      <c r="F31" s="100" t="s">
        <v>132</v>
      </c>
      <c r="G31" s="98" t="s">
        <v>20</v>
      </c>
      <c r="H31" s="79"/>
    </row>
    <row r="32" spans="5:13" x14ac:dyDescent="0.2">
      <c r="E32" s="73" t="str">
        <f t="shared" si="0"/>
        <v>Schedule</v>
      </c>
      <c r="F32" s="100" t="s">
        <v>133</v>
      </c>
      <c r="G32" s="98" t="s">
        <v>23</v>
      </c>
      <c r="H32" s="79"/>
    </row>
    <row r="33" spans="5:8" x14ac:dyDescent="0.2">
      <c r="E33" s="73" t="str">
        <f t="shared" si="0"/>
        <v>Game no.</v>
      </c>
      <c r="F33" s="100" t="s">
        <v>134</v>
      </c>
      <c r="G33" s="98" t="s">
        <v>51</v>
      </c>
      <c r="H33" s="79"/>
    </row>
    <row r="34" spans="5:8" x14ac:dyDescent="0.2">
      <c r="E34" s="73" t="str">
        <f t="shared" si="0"/>
        <v>Pairings</v>
      </c>
      <c r="F34" s="100" t="s">
        <v>137</v>
      </c>
      <c r="G34" s="98" t="s">
        <v>53</v>
      </c>
      <c r="H34" s="79"/>
    </row>
    <row r="35" spans="5:8" x14ac:dyDescent="0.2">
      <c r="E35" s="73" t="str">
        <f t="shared" si="0"/>
        <v>Choose language</v>
      </c>
      <c r="F35" s="99" t="s">
        <v>112</v>
      </c>
      <c r="G35" s="98" t="s">
        <v>142</v>
      </c>
      <c r="H35" s="79"/>
    </row>
    <row r="36" spans="5:8" x14ac:dyDescent="0.2">
      <c r="E36" s="73" t="str">
        <f t="shared" si="0"/>
        <v>Captions</v>
      </c>
      <c r="F36" s="99" t="s">
        <v>116</v>
      </c>
      <c r="G36" s="98" t="s">
        <v>139</v>
      </c>
      <c r="H36" s="79"/>
    </row>
    <row r="37" spans="5:8" x14ac:dyDescent="0.2">
      <c r="E37" s="73" t="str">
        <f t="shared" si="0"/>
        <v>Messages</v>
      </c>
      <c r="F37" s="99" t="s">
        <v>140</v>
      </c>
      <c r="G37" s="98" t="s">
        <v>141</v>
      </c>
      <c r="H37" s="79"/>
    </row>
    <row r="38" spans="5:8" x14ac:dyDescent="0.2">
      <c r="E38" s="73" t="str">
        <f t="shared" si="0"/>
        <v>Your captions</v>
      </c>
      <c r="F38" s="99" t="s">
        <v>147</v>
      </c>
      <c r="G38" s="98" t="s">
        <v>146</v>
      </c>
      <c r="H38" s="79"/>
    </row>
    <row r="39" spans="5:8" x14ac:dyDescent="0.2">
      <c r="E39" s="73" t="str">
        <f t="shared" si="0"/>
        <v>Start:</v>
      </c>
      <c r="F39" s="99" t="s">
        <v>354</v>
      </c>
      <c r="G39" s="98" t="s">
        <v>355</v>
      </c>
      <c r="H39" s="79"/>
    </row>
    <row r="40" spans="5:8" x14ac:dyDescent="0.2">
      <c r="E40" s="73" t="str">
        <f t="shared" si="0"/>
        <v>End of preliminary round:</v>
      </c>
      <c r="F40" s="99" t="s">
        <v>217</v>
      </c>
      <c r="G40" s="98" t="s">
        <v>218</v>
      </c>
      <c r="H40" s="79"/>
    </row>
    <row r="41" spans="5:8" x14ac:dyDescent="0.2">
      <c r="E41" s="73" t="str">
        <f t="shared" si="0"/>
        <v>Playing times</v>
      </c>
      <c r="F41" s="99" t="s">
        <v>169</v>
      </c>
      <c r="G41" s="98" t="s">
        <v>168</v>
      </c>
      <c r="H41" s="79"/>
    </row>
    <row r="42" spans="5:8" x14ac:dyDescent="0.2">
      <c r="E42" s="73" t="str">
        <f t="shared" si="0"/>
        <v>Playing time per match:</v>
      </c>
      <c r="F42" s="99" t="s">
        <v>219</v>
      </c>
      <c r="G42" s="98" t="s">
        <v>220</v>
      </c>
      <c r="H42" s="79"/>
    </row>
    <row r="43" spans="5:8" x14ac:dyDescent="0.2">
      <c r="E43" s="73" t="str">
        <f t="shared" si="0"/>
        <v>Change time:</v>
      </c>
      <c r="F43" s="99" t="s">
        <v>221</v>
      </c>
      <c r="G43" s="98" t="s">
        <v>222</v>
      </c>
      <c r="H43" s="79"/>
    </row>
    <row r="44" spans="5:8" x14ac:dyDescent="0.2">
      <c r="E44" s="73" t="str">
        <f t="shared" si="0"/>
        <v>Number of fields:</v>
      </c>
      <c r="F44" s="99" t="s">
        <v>324</v>
      </c>
      <c r="G44" s="98" t="s">
        <v>323</v>
      </c>
      <c r="H44" s="79"/>
    </row>
    <row r="45" spans="5:8" x14ac:dyDescent="0.2">
      <c r="E45" s="73" t="str">
        <f t="shared" si="0"/>
        <v xml:space="preserve"> </v>
      </c>
      <c r="F45" s="99" t="s">
        <v>161</v>
      </c>
      <c r="G45" s="98" t="s">
        <v>160</v>
      </c>
      <c r="H45" s="79"/>
    </row>
    <row r="46" spans="5:8" x14ac:dyDescent="0.2">
      <c r="E46" s="73" t="str">
        <f t="shared" si="0"/>
        <v>Match against</v>
      </c>
      <c r="F46" s="99" t="s">
        <v>165</v>
      </c>
      <c r="G46" s="98" t="s">
        <v>164</v>
      </c>
      <c r="H46" s="79"/>
    </row>
    <row r="47" spans="5:8" x14ac:dyDescent="0.2">
      <c r="E47" s="73" t="str">
        <f t="shared" si="0"/>
        <v>Note</v>
      </c>
      <c r="F47" s="99" t="s">
        <v>166</v>
      </c>
      <c r="G47" s="98" t="s">
        <v>167</v>
      </c>
      <c r="H47" s="79"/>
    </row>
    <row r="48" spans="5:8" x14ac:dyDescent="0.2">
      <c r="E48" s="73" t="str">
        <f t="shared" si="0"/>
        <v>Field</v>
      </c>
      <c r="F48" s="99" t="s">
        <v>223</v>
      </c>
      <c r="G48" s="98" t="s">
        <v>325</v>
      </c>
      <c r="H48" s="79"/>
    </row>
    <row r="49" spans="5:8" x14ac:dyDescent="0.2">
      <c r="E49" s="73" t="str">
        <f t="shared" si="0"/>
        <v>Tie break</v>
      </c>
      <c r="F49" s="80" t="s">
        <v>356</v>
      </c>
      <c r="G49" s="78" t="s">
        <v>357</v>
      </c>
      <c r="H49" s="79"/>
    </row>
    <row r="50" spans="5:8" x14ac:dyDescent="0.2">
      <c r="E50" s="73" t="str">
        <f t="shared" si="0"/>
        <v>Matchups</v>
      </c>
      <c r="F50" s="96" t="s">
        <v>175</v>
      </c>
      <c r="G50" s="95" t="s">
        <v>176</v>
      </c>
      <c r="H50" s="79"/>
    </row>
    <row r="51" spans="5:8" x14ac:dyDescent="0.2">
      <c r="E51" s="73" t="str">
        <f t="shared" si="0"/>
        <v>Settings</v>
      </c>
      <c r="F51" s="96" t="s">
        <v>178</v>
      </c>
      <c r="G51" s="95" t="s">
        <v>177</v>
      </c>
      <c r="H51" s="79"/>
    </row>
    <row r="52" spans="5:8" x14ac:dyDescent="0.2">
      <c r="E52" s="73" t="str">
        <f t="shared" si="0"/>
        <v>Number of points for a win:</v>
      </c>
      <c r="F52" s="96" t="s">
        <v>180</v>
      </c>
      <c r="G52" s="95" t="s">
        <v>179</v>
      </c>
      <c r="H52" s="79"/>
    </row>
    <row r="53" spans="5:8" x14ac:dyDescent="0.2">
      <c r="E53" s="73" t="str">
        <f t="shared" si="0"/>
        <v>Semi-finals</v>
      </c>
      <c r="F53" s="96" t="s">
        <v>235</v>
      </c>
      <c r="G53" s="95" t="s">
        <v>232</v>
      </c>
      <c r="H53" s="79"/>
    </row>
    <row r="54" spans="5:8" x14ac:dyDescent="0.2">
      <c r="E54" s="73" t="str">
        <f t="shared" si="0"/>
        <v>Finals</v>
      </c>
      <c r="F54" s="96" t="s">
        <v>234</v>
      </c>
      <c r="G54" s="95" t="s">
        <v>233</v>
      </c>
      <c r="H54" s="79"/>
    </row>
    <row r="55" spans="5:8" x14ac:dyDescent="0.2">
      <c r="E55" s="73" t="str">
        <f t="shared" si="0"/>
        <v xml:space="preserve">Games for places </v>
      </c>
      <c r="F55" s="96" t="s">
        <v>237</v>
      </c>
      <c r="G55" s="95" t="s">
        <v>236</v>
      </c>
      <c r="H55" s="79"/>
    </row>
    <row r="56" spans="5:8" x14ac:dyDescent="0.2">
      <c r="E56" s="73" t="str">
        <f t="shared" si="0"/>
        <v>Preliminary round group</v>
      </c>
      <c r="F56" s="96" t="s">
        <v>239</v>
      </c>
      <c r="G56" s="95" t="s">
        <v>238</v>
      </c>
      <c r="H56" s="79"/>
    </row>
    <row r="57" spans="5:8" x14ac:dyDescent="0.2">
      <c r="E57" s="73" t="str">
        <f t="shared" si="0"/>
        <v>Third of group</v>
      </c>
      <c r="F57" s="96" t="s">
        <v>298</v>
      </c>
      <c r="G57" s="95" t="s">
        <v>297</v>
      </c>
      <c r="H57" s="79"/>
    </row>
    <row r="58" spans="5:8" x14ac:dyDescent="0.2">
      <c r="E58" s="73" t="str">
        <f t="shared" si="0"/>
        <v>Quarterfinals</v>
      </c>
      <c r="F58" s="96" t="s">
        <v>300</v>
      </c>
      <c r="G58" s="95" t="s">
        <v>299</v>
      </c>
      <c r="H58" s="79"/>
    </row>
    <row r="59" spans="5:8" x14ac:dyDescent="0.2">
      <c r="E59" s="73" t="str">
        <f t="shared" si="0"/>
        <v>Group winners</v>
      </c>
      <c r="F59" s="96" t="s">
        <v>312</v>
      </c>
      <c r="G59" s="95" t="s">
        <v>313</v>
      </c>
      <c r="H59" s="79"/>
    </row>
    <row r="60" spans="5:8" x14ac:dyDescent="0.2">
      <c r="E60" s="73" t="str">
        <f t="shared" si="0"/>
        <v>Runners-up</v>
      </c>
      <c r="F60" s="96" t="s">
        <v>314</v>
      </c>
      <c r="G60" s="95" t="s">
        <v>315</v>
      </c>
      <c r="H60" s="79"/>
    </row>
    <row r="61" spans="5:8" x14ac:dyDescent="0.2">
      <c r="E61" s="73" t="str">
        <f t="shared" si="0"/>
        <v>Third-place</v>
      </c>
      <c r="F61" s="96" t="s">
        <v>358</v>
      </c>
      <c r="G61" s="95" t="s">
        <v>297</v>
      </c>
      <c r="H61" s="79"/>
    </row>
    <row r="62" spans="5:8" x14ac:dyDescent="0.2">
      <c r="E62" s="73" t="str">
        <f t="shared" si="0"/>
        <v>Fourth-place</v>
      </c>
      <c r="F62" s="96" t="s">
        <v>359</v>
      </c>
      <c r="G62" s="95" t="s">
        <v>342</v>
      </c>
      <c r="H62" s="79"/>
    </row>
    <row r="63" spans="5:8" x14ac:dyDescent="0.2">
      <c r="E63" s="73" t="str">
        <f t="shared" si="0"/>
        <v>Fifth place</v>
      </c>
      <c r="F63" s="96" t="s">
        <v>360</v>
      </c>
      <c r="G63" s="95" t="s">
        <v>343</v>
      </c>
      <c r="H63" s="79"/>
    </row>
    <row r="64" spans="5:8" x14ac:dyDescent="0.2">
      <c r="E64" s="73" t="str">
        <f t="shared" si="0"/>
        <v>Sixth place</v>
      </c>
      <c r="F64" s="96" t="s">
        <v>361</v>
      </c>
      <c r="G64" s="95" t="s">
        <v>344</v>
      </c>
      <c r="H64" s="79"/>
    </row>
    <row r="65" spans="5:10" x14ac:dyDescent="0.2">
      <c r="E65" s="73" t="str">
        <f t="shared" si="0"/>
        <v xml:space="preserve">  (First-placed)</v>
      </c>
      <c r="F65" s="96" t="s">
        <v>399</v>
      </c>
      <c r="G65" s="95" t="s">
        <v>400</v>
      </c>
      <c r="H65" s="79"/>
    </row>
    <row r="66" spans="5:10" x14ac:dyDescent="0.2">
      <c r="E66" s="73" t="str">
        <f t="shared" si="0"/>
        <v xml:space="preserve">  (Second-placed)</v>
      </c>
      <c r="F66" s="96" t="s">
        <v>401</v>
      </c>
      <c r="G66" s="95" t="s">
        <v>402</v>
      </c>
      <c r="H66" s="79"/>
    </row>
    <row r="67" spans="5:10" x14ac:dyDescent="0.2">
      <c r="E67" s="73" t="str">
        <f t="shared" si="0"/>
        <v xml:space="preserve">  (Third-placed)</v>
      </c>
      <c r="F67" s="96" t="s">
        <v>403</v>
      </c>
      <c r="G67" s="95" t="s">
        <v>404</v>
      </c>
      <c r="H67" s="79"/>
    </row>
    <row r="68" spans="5:10" x14ac:dyDescent="0.2">
      <c r="E68" s="73" t="str">
        <f t="shared" si="0"/>
        <v xml:space="preserve">  (Fourth-placed)</v>
      </c>
      <c r="F68" s="96" t="s">
        <v>405</v>
      </c>
      <c r="G68" s="95" t="s">
        <v>406</v>
      </c>
      <c r="H68" s="79"/>
    </row>
    <row r="69" spans="5:10" x14ac:dyDescent="0.2">
      <c r="E69" s="73" t="str">
        <f t="shared" si="0"/>
        <v xml:space="preserve">  (Fifth-placed)</v>
      </c>
      <c r="F69" s="96" t="s">
        <v>407</v>
      </c>
      <c r="G69" s="95" t="s">
        <v>408</v>
      </c>
      <c r="H69" s="79"/>
    </row>
    <row r="70" spans="5:10" x14ac:dyDescent="0.2">
      <c r="E70" s="73" t="str">
        <f t="shared" si="0"/>
        <v xml:space="preserve">  (Sixth-placed)</v>
      </c>
      <c r="F70" s="96" t="s">
        <v>409</v>
      </c>
      <c r="G70" s="95" t="s">
        <v>410</v>
      </c>
      <c r="H70" s="79"/>
    </row>
    <row r="71" spans="5:10" x14ac:dyDescent="0.2">
      <c r="E71" s="73" t="str">
        <f t="shared" si="0"/>
        <v>Final</v>
      </c>
      <c r="F71" s="96" t="s">
        <v>230</v>
      </c>
      <c r="G71" s="95" t="s">
        <v>229</v>
      </c>
      <c r="H71" s="79"/>
    </row>
    <row r="72" spans="5:10" x14ac:dyDescent="0.2">
      <c r="E72" s="73" t="str">
        <f t="shared" si="0"/>
        <v>3rd place match</v>
      </c>
      <c r="F72" s="96" t="s">
        <v>362</v>
      </c>
      <c r="G72" s="95" t="s">
        <v>363</v>
      </c>
      <c r="H72" s="79"/>
    </row>
    <row r="73" spans="5:10" x14ac:dyDescent="0.2">
      <c r="E73" s="73" t="str">
        <f t="shared" si="0"/>
        <v xml:space="preserve">Final matches for places </v>
      </c>
      <c r="F73" s="96" t="s">
        <v>364</v>
      </c>
      <c r="G73" s="95" t="s">
        <v>365</v>
      </c>
      <c r="H73" s="79"/>
    </row>
    <row r="74" spans="5:10" x14ac:dyDescent="0.2">
      <c r="E74" s="73" t="str">
        <f t="shared" si="0"/>
        <v xml:space="preserve"> to </v>
      </c>
      <c r="F74" s="96" t="s">
        <v>366</v>
      </c>
      <c r="G74" s="95" t="s">
        <v>367</v>
      </c>
      <c r="H74" s="79"/>
    </row>
    <row r="75" spans="5:10" x14ac:dyDescent="0.2">
      <c r="E75" s="73" t="str">
        <f t="shared" si="0"/>
        <v>Semi-final matches</v>
      </c>
      <c r="F75" s="96" t="s">
        <v>368</v>
      </c>
      <c r="G75" s="95" t="s">
        <v>369</v>
      </c>
      <c r="H75" s="79"/>
    </row>
    <row r="76" spans="5:10" x14ac:dyDescent="0.2">
      <c r="E76" s="73" t="str">
        <f t="shared" si="0"/>
        <v xml:space="preserve">QF </v>
      </c>
      <c r="F76" s="96" t="s">
        <v>320</v>
      </c>
      <c r="G76" s="95" t="s">
        <v>319</v>
      </c>
      <c r="H76" s="79"/>
      <c r="J76" t="str">
        <f>$E$118</f>
        <v>(Abbreviation for 'quarterfinals')</v>
      </c>
    </row>
    <row r="77" spans="5:10" x14ac:dyDescent="0.2">
      <c r="E77" s="73" t="str">
        <f t="shared" si="0"/>
        <v xml:space="preserve">SF </v>
      </c>
      <c r="F77" s="96" t="s">
        <v>370</v>
      </c>
      <c r="G77" s="95" t="s">
        <v>371</v>
      </c>
      <c r="H77" s="79"/>
      <c r="J77" t="str">
        <f>$E$119</f>
        <v>(Abbreviation for 'semi-finals')</v>
      </c>
    </row>
    <row r="78" spans="5:10" x14ac:dyDescent="0.2">
      <c r="E78" s="73" t="str">
        <f t="shared" si="0"/>
        <v>1st set</v>
      </c>
      <c r="F78" s="96" t="s">
        <v>372</v>
      </c>
      <c r="G78" s="95" t="s">
        <v>373</v>
      </c>
      <c r="H78" s="79"/>
    </row>
    <row r="79" spans="5:10" x14ac:dyDescent="0.2">
      <c r="E79" s="73" t="str">
        <f t="shared" si="0"/>
        <v>2nd set</v>
      </c>
      <c r="F79" s="96" t="s">
        <v>374</v>
      </c>
      <c r="G79" s="95" t="s">
        <v>375</v>
      </c>
      <c r="H79" s="79"/>
    </row>
    <row r="80" spans="5:10" x14ac:dyDescent="0.2">
      <c r="E80" s="73" t="str">
        <f t="shared" si="0"/>
        <v>balls</v>
      </c>
      <c r="F80" s="96" t="s">
        <v>376</v>
      </c>
      <c r="G80" s="95" t="s">
        <v>377</v>
      </c>
      <c r="H80" s="79"/>
    </row>
    <row r="81" spans="5:8" x14ac:dyDescent="0.2">
      <c r="E81" s="73" t="str">
        <f t="shared" si="0"/>
        <v>3rd set</v>
      </c>
      <c r="F81" s="96" t="s">
        <v>378</v>
      </c>
      <c r="G81" s="95" t="s">
        <v>379</v>
      </c>
      <c r="H81" s="79"/>
    </row>
    <row r="82" spans="5:8" x14ac:dyDescent="0.2">
      <c r="E82" s="73" t="str">
        <f t="shared" si="0"/>
        <v>Winner</v>
      </c>
      <c r="F82" s="96" t="s">
        <v>380</v>
      </c>
      <c r="G82" s="95" t="s">
        <v>381</v>
      </c>
      <c r="H82" s="79"/>
    </row>
    <row r="83" spans="5:8" x14ac:dyDescent="0.2">
      <c r="E83" s="73" t="str">
        <f t="shared" si="0"/>
        <v>Tie break final round 1</v>
      </c>
      <c r="F83" s="96" t="s">
        <v>411</v>
      </c>
      <c r="G83" s="95" t="s">
        <v>412</v>
      </c>
      <c r="H83" s="79"/>
    </row>
    <row r="84" spans="5:8" x14ac:dyDescent="0.2">
      <c r="E84" s="73" t="str">
        <f t="shared" si="0"/>
        <v>Tie break final round 4</v>
      </c>
      <c r="F84" s="96" t="s">
        <v>382</v>
      </c>
      <c r="G84" s="95" t="s">
        <v>383</v>
      </c>
      <c r="H84" s="79"/>
    </row>
    <row r="85" spans="5:8" x14ac:dyDescent="0.2">
      <c r="E85" s="73" t="str">
        <f t="shared" si="0"/>
        <v>Results from the preliminary round</v>
      </c>
      <c r="F85" s="96" t="s">
        <v>413</v>
      </c>
      <c r="G85" s="95" t="s">
        <v>414</v>
      </c>
      <c r="H85" s="79"/>
    </row>
    <row r="86" spans="5:8" x14ac:dyDescent="0.2">
      <c r="E86" s="73" t="str">
        <f t="shared" si="0"/>
        <v>Quot.</v>
      </c>
      <c r="F86" s="80" t="s">
        <v>426</v>
      </c>
      <c r="G86" s="78" t="s">
        <v>426</v>
      </c>
      <c r="H86" s="79"/>
    </row>
    <row r="87" spans="5:8" ht="28.5" x14ac:dyDescent="0.45">
      <c r="E87" s="73"/>
      <c r="F87" s="84" t="str">
        <f>$E$37</f>
        <v>Messages</v>
      </c>
      <c r="G87" s="85"/>
      <c r="H87" s="86"/>
    </row>
    <row r="88" spans="5:8" ht="79.5" customHeight="1" x14ac:dyDescent="0.2">
      <c r="E88" s="73" t="str">
        <f t="shared" si="0"/>
        <v>If two or more teams cannot be distinguished and a decision is made, for example, through a penalty shootout or drawing lots, it is sufficient to enter a bonus point for the preferred team.</v>
      </c>
      <c r="F88" s="90" t="s">
        <v>227</v>
      </c>
      <c r="G88" s="91" t="s">
        <v>226</v>
      </c>
      <c r="H88" s="92"/>
    </row>
    <row r="89" spans="5:8" ht="51.75" customHeight="1" x14ac:dyDescent="0.2">
      <c r="E89" s="73" t="str">
        <f t="shared" si="0"/>
        <v>Double match pairings and matches against oneself
lead to incorrect values in the overall table!</v>
      </c>
      <c r="F89" s="97" t="s">
        <v>153</v>
      </c>
      <c r="G89" s="140" t="s">
        <v>55</v>
      </c>
      <c r="H89" s="92"/>
    </row>
    <row r="90" spans="5:8" ht="51.75" customHeight="1" x14ac:dyDescent="0.2">
      <c r="E90" s="73" t="str">
        <f t="shared" si="0"/>
        <v>Change of the fixtures only on the sheet 'Planning'! Just enter the results here!</v>
      </c>
      <c r="F90" s="97" t="s">
        <v>123</v>
      </c>
      <c r="G90" s="91" t="s">
        <v>122</v>
      </c>
      <c r="H90" s="92"/>
    </row>
    <row r="91" spans="5:8" ht="16.5" customHeight="1" x14ac:dyDescent="0.2">
      <c r="E91" s="73" t="str">
        <f t="shared" si="0"/>
        <v>Hint may be deleted   →</v>
      </c>
      <c r="F91" s="103" t="s">
        <v>148</v>
      </c>
      <c r="G91" s="102" t="s">
        <v>145</v>
      </c>
      <c r="H91" s="93"/>
    </row>
    <row r="92" spans="5:8" ht="20.25" customHeight="1" x14ac:dyDescent="0.2">
      <c r="E92" s="73" t="str">
        <f t="shared" si="0"/>
        <v>Click here and choose language</v>
      </c>
      <c r="F92" s="109" t="s">
        <v>151</v>
      </c>
      <c r="G92" s="107" t="s">
        <v>150</v>
      </c>
      <c r="H92" s="94"/>
    </row>
    <row r="93" spans="5:8" ht="32.25" customHeight="1" x14ac:dyDescent="0.2">
      <c r="E93" s="73" t="str">
        <f t="shared" si="0"/>
        <v>Duplicate names lead to
incorrect table values</v>
      </c>
      <c r="F93" s="166" t="s">
        <v>158</v>
      </c>
      <c r="G93" s="165" t="s">
        <v>54</v>
      </c>
      <c r="H93" s="94"/>
    </row>
    <row r="94" spans="5:8" ht="51.75" customHeight="1" x14ac:dyDescent="0.2">
      <c r="E94" s="73" t="str">
        <f t="shared" si="0"/>
        <v>Red font means that the ranking is not clear even with the direct comparison. A playoff match or drawing of lots must decide here.</v>
      </c>
      <c r="F94" s="267" t="s">
        <v>384</v>
      </c>
      <c r="G94" s="268" t="s">
        <v>385</v>
      </c>
      <c r="H94" s="93"/>
    </row>
    <row r="95" spans="5:8" ht="17.25" customHeight="1" x14ac:dyDescent="0.2">
      <c r="E95" s="73" t="str">
        <f t="shared" si="0"/>
        <v>Time conflict</v>
      </c>
      <c r="F95" s="269" t="s">
        <v>163</v>
      </c>
      <c r="G95" s="270" t="s">
        <v>162</v>
      </c>
      <c r="H95" s="271"/>
    </row>
    <row r="96" spans="5:8" ht="16.5" customHeight="1" x14ac:dyDescent="0.2">
      <c r="E96" s="73" t="str">
        <f t="shared" si="0"/>
        <v>-</v>
      </c>
      <c r="F96" s="272" t="s">
        <v>4</v>
      </c>
      <c r="G96" s="288" t="s">
        <v>213</v>
      </c>
      <c r="H96" s="271"/>
    </row>
    <row r="97" spans="5:8" ht="33" customHeight="1" x14ac:dyDescent="0.2">
      <c r="E97" s="73" t="str">
        <f t="shared" si="0"/>
        <v>Direct comparisons in case of a tie in points, goal difference and goals scored (FIFA mode)</v>
      </c>
      <c r="F97" s="277" t="s">
        <v>188</v>
      </c>
      <c r="G97" s="278" t="s">
        <v>185</v>
      </c>
      <c r="H97" s="274"/>
    </row>
    <row r="98" spans="5:8" ht="32.25" customHeight="1" x14ac:dyDescent="0.2">
      <c r="E98" s="73" t="str">
        <f t="shared" si="0"/>
        <v>Direct comparisons in case of a tie in points (UEFA mode)</v>
      </c>
      <c r="F98" s="277" t="s">
        <v>186</v>
      </c>
      <c r="G98" s="278" t="s">
        <v>187</v>
      </c>
      <c r="H98" s="274"/>
    </row>
    <row r="99" spans="5:8" ht="18" customHeight="1" x14ac:dyDescent="0.2">
      <c r="E99" s="73" t="str">
        <f t="shared" si="0"/>
        <v>Ball difference or ball quotient</v>
      </c>
      <c r="F99" s="280" t="s">
        <v>420</v>
      </c>
      <c r="G99" s="281" t="s">
        <v>421</v>
      </c>
      <c r="H99" s="282"/>
    </row>
    <row r="100" spans="5:8" ht="18" customHeight="1" x14ac:dyDescent="0.2">
      <c r="E100" s="73" t="str">
        <f t="shared" si="0"/>
        <v>Ball difference</v>
      </c>
      <c r="F100" s="280" t="s">
        <v>422</v>
      </c>
      <c r="G100" s="281" t="s">
        <v>423</v>
      </c>
      <c r="H100" s="282"/>
    </row>
    <row r="101" spans="5:8" ht="20.25" customHeight="1" x14ac:dyDescent="0.2">
      <c r="E101" s="73" t="str">
        <f t="shared" si="0"/>
        <v>Ball quotient</v>
      </c>
      <c r="F101" s="280" t="s">
        <v>424</v>
      </c>
      <c r="G101" s="281" t="s">
        <v>425</v>
      </c>
      <c r="H101" s="282"/>
    </row>
    <row r="102" spans="5:8" ht="18" customHeight="1" x14ac:dyDescent="0.2">
      <c r="E102" s="73" t="str">
        <f t="shared" si="0"/>
        <v>Abbreviations of the team names:</v>
      </c>
      <c r="F102" s="280" t="s">
        <v>259</v>
      </c>
      <c r="G102" s="281" t="s">
        <v>260</v>
      </c>
      <c r="H102" s="282"/>
    </row>
    <row r="103" spans="5:8" ht="17.25" customHeight="1" x14ac:dyDescent="0.2">
      <c r="E103" s="73" t="str">
        <f t="shared" si="0"/>
        <v>letters</v>
      </c>
      <c r="F103" s="280" t="s">
        <v>190</v>
      </c>
      <c r="G103" s="281" t="s">
        <v>189</v>
      </c>
      <c r="H103" s="282"/>
    </row>
    <row r="104" spans="5:8" ht="18" customHeight="1" x14ac:dyDescent="0.2">
      <c r="E104" s="73" t="str">
        <f t="shared" si="0"/>
        <v>Rank</v>
      </c>
      <c r="F104" s="280" t="s">
        <v>225</v>
      </c>
      <c r="G104" s="281" t="s">
        <v>224</v>
      </c>
      <c r="H104" s="282"/>
    </row>
    <row r="105" spans="5:8" ht="16.5" customHeight="1" x14ac:dyDescent="0.2">
      <c r="E105" s="73" t="str">
        <f t="shared" si="0"/>
        <v>3rd place</v>
      </c>
      <c r="F105" s="280" t="s">
        <v>231</v>
      </c>
      <c r="G105" s="281" t="s">
        <v>228</v>
      </c>
      <c r="H105" s="282"/>
    </row>
    <row r="106" spans="5:8" ht="17.25" customHeight="1" x14ac:dyDescent="0.2">
      <c r="E106" s="73" t="str">
        <f t="shared" si="0"/>
        <v>Final</v>
      </c>
      <c r="F106" s="280" t="s">
        <v>230</v>
      </c>
      <c r="G106" s="281" t="s">
        <v>229</v>
      </c>
      <c r="H106" s="282"/>
    </row>
    <row r="107" spans="5:8" ht="30.75" customHeight="1" x14ac:dyDescent="0.2">
      <c r="E107" s="73" t="str">
        <f t="shared" si="0"/>
        <v xml:space="preserve">Due to time conflicts, you can only play on a maximum of </v>
      </c>
      <c r="F107" s="277" t="s">
        <v>256</v>
      </c>
      <c r="G107" s="278" t="s">
        <v>257</v>
      </c>
      <c r="H107" s="282"/>
    </row>
    <row r="108" spans="5:8" ht="17.25" customHeight="1" x14ac:dyDescent="0.2">
      <c r="E108" s="73" t="str">
        <f t="shared" si="0"/>
        <v xml:space="preserve"> pitches at the same time.</v>
      </c>
      <c r="F108" s="277" t="s">
        <v>301</v>
      </c>
      <c r="G108" s="278" t="s">
        <v>258</v>
      </c>
      <c r="H108" s="282"/>
    </row>
    <row r="109" spans="5:8" ht="17.25" customHeight="1" x14ac:dyDescent="0.2">
      <c r="E109" s="73" t="str">
        <f t="shared" si="0"/>
        <v>End of tournament (final round 1):</v>
      </c>
      <c r="F109" s="280" t="s">
        <v>295</v>
      </c>
      <c r="G109" s="281" t="s">
        <v>293</v>
      </c>
      <c r="H109" s="282"/>
    </row>
    <row r="110" spans="5:8" ht="17.25" customHeight="1" x14ac:dyDescent="0.2">
      <c r="E110" s="73" t="str">
        <f t="shared" si="0"/>
        <v>End of tournament (final round 2):</v>
      </c>
      <c r="F110" s="280" t="s">
        <v>296</v>
      </c>
      <c r="G110" s="281" t="s">
        <v>294</v>
      </c>
      <c r="H110" s="282"/>
    </row>
    <row r="111" spans="5:8" ht="17.25" customHeight="1" x14ac:dyDescent="0.2">
      <c r="E111" s="73" t="str">
        <f t="shared" si="0"/>
        <v>End of tournament (final round 3):</v>
      </c>
      <c r="F111" s="280" t="s">
        <v>345</v>
      </c>
      <c r="G111" s="281" t="s">
        <v>347</v>
      </c>
      <c r="H111" s="282"/>
    </row>
    <row r="112" spans="5:8" ht="17.25" customHeight="1" x14ac:dyDescent="0.2">
      <c r="E112" s="73" t="str">
        <f t="shared" si="0"/>
        <v>End of tournament (final round 4):</v>
      </c>
      <c r="F112" s="280" t="s">
        <v>346</v>
      </c>
      <c r="G112" s="281" t="s">
        <v>348</v>
      </c>
      <c r="H112" s="282"/>
    </row>
    <row r="113" spans="5:8" ht="44.25" customHeight="1" x14ac:dyDescent="0.2">
      <c r="E113" s="73" t="str">
        <f t="shared" si="0"/>
        <v>Entering a bonus point
as a tie breaker on the
'PrelimRound' sheet</v>
      </c>
      <c r="F113" s="280" t="s">
        <v>386</v>
      </c>
      <c r="G113" s="281" t="s">
        <v>387</v>
      </c>
      <c r="H113" s="282"/>
    </row>
    <row r="114" spans="5:8" ht="48.75" customHeight="1" x14ac:dyDescent="0.2">
      <c r="E114" s="73" t="str">
        <f t="shared" si="0"/>
        <v>TIME CONFLICT
Too many pitches!</v>
      </c>
      <c r="F114" s="280" t="s">
        <v>388</v>
      </c>
      <c r="G114" s="281" t="s">
        <v>389</v>
      </c>
      <c r="H114" s="282"/>
    </row>
    <row r="115" spans="5:8" ht="17.25" customHeight="1" x14ac:dyDescent="0.2">
      <c r="E115" s="73" t="str">
        <f t="shared" si="0"/>
        <v xml:space="preserve">TIME CONFLICT for team </v>
      </c>
      <c r="F115" s="280" t="s">
        <v>307</v>
      </c>
      <c r="G115" s="281" t="s">
        <v>306</v>
      </c>
      <c r="H115" s="282"/>
    </row>
    <row r="116" spans="5:8" ht="17.25" customHeight="1" x14ac:dyDescent="0.2">
      <c r="E116" s="73" t="str">
        <f t="shared" si="0"/>
        <v xml:space="preserve">in matches </v>
      </c>
      <c r="F116" s="280" t="s">
        <v>311</v>
      </c>
      <c r="G116" s="281" t="s">
        <v>308</v>
      </c>
      <c r="H116" s="282"/>
    </row>
    <row r="117" spans="5:8" ht="17.25" customHeight="1" x14ac:dyDescent="0.2">
      <c r="E117" s="73" t="str">
        <f t="shared" si="0"/>
        <v xml:space="preserve"> and </v>
      </c>
      <c r="F117" s="280" t="s">
        <v>310</v>
      </c>
      <c r="G117" s="281" t="s">
        <v>309</v>
      </c>
      <c r="H117" s="282"/>
    </row>
    <row r="118" spans="5:8" ht="17.25" customHeight="1" x14ac:dyDescent="0.2">
      <c r="E118" s="73" t="str">
        <f t="shared" si="0"/>
        <v>(Abbreviation for 'quarterfinals')</v>
      </c>
      <c r="F118" s="280" t="s">
        <v>322</v>
      </c>
      <c r="G118" s="281" t="s">
        <v>321</v>
      </c>
      <c r="H118" s="282"/>
    </row>
    <row r="119" spans="5:8" ht="17.25" customHeight="1" x14ac:dyDescent="0.2">
      <c r="E119" s="73" t="str">
        <f t="shared" si="0"/>
        <v>(Abbreviation for 'semi-finals')</v>
      </c>
      <c r="F119" s="280" t="s">
        <v>390</v>
      </c>
      <c r="G119" s="281" t="s">
        <v>391</v>
      </c>
      <c r="H119" s="282"/>
    </row>
    <row r="120" spans="5:8" ht="17.25" customHeight="1" x14ac:dyDescent="0.2">
      <c r="E120" s="73" t="str">
        <f t="shared" si="0"/>
        <v>Team IDs</v>
      </c>
      <c r="F120" s="280" t="s">
        <v>416</v>
      </c>
      <c r="G120" s="281" t="s">
        <v>415</v>
      </c>
      <c r="H120" s="282"/>
    </row>
    <row r="121" spans="5:8" ht="17.25" customHeight="1" x14ac:dyDescent="0.2">
      <c r="E121" s="73" t="str">
        <f t="shared" si="0"/>
        <v>e.g.  A2 - A4</v>
      </c>
      <c r="F121" s="280" t="s">
        <v>418</v>
      </c>
      <c r="G121" s="281" t="s">
        <v>417</v>
      </c>
      <c r="H121" s="282"/>
    </row>
    <row r="122" spans="5:8" ht="17.25" customHeight="1" x14ac:dyDescent="0.2">
      <c r="E122" s="73" t="str">
        <f t="shared" si="0"/>
        <v>Display in the crosstabs of the preliminary round:</v>
      </c>
      <c r="F122" s="280" t="s">
        <v>429</v>
      </c>
      <c r="G122" s="281" t="s">
        <v>430</v>
      </c>
      <c r="H122" s="282"/>
    </row>
    <row r="123" spans="5:8" ht="17.25" customHeight="1" x14ac:dyDescent="0.2">
      <c r="E123" s="73" t="str">
        <f t="shared" si="0"/>
        <v>Ball points</v>
      </c>
      <c r="F123" s="280" t="s">
        <v>431</v>
      </c>
      <c r="G123" s="281" t="s">
        <v>432</v>
      </c>
      <c r="H123" s="282"/>
    </row>
    <row r="124" spans="5:8" ht="17.25" customHeight="1" x14ac:dyDescent="0.2">
      <c r="E124" s="73" t="str">
        <f t="shared" si="0"/>
        <v>Set points</v>
      </c>
      <c r="F124" s="280" t="s">
        <v>433</v>
      </c>
      <c r="G124" s="281" t="s">
        <v>434</v>
      </c>
      <c r="H124" s="282"/>
    </row>
    <row r="125" spans="5:8" ht="17.25" customHeight="1" x14ac:dyDescent="0.2">
      <c r="E125" s="73" t="str">
        <f t="shared" si="0"/>
        <v>Referee</v>
      </c>
      <c r="F125" s="280" t="s">
        <v>444</v>
      </c>
      <c r="G125" s="281" t="s">
        <v>443</v>
      </c>
      <c r="H125" s="282"/>
    </row>
    <row r="126" spans="5:8" ht="18.75" customHeight="1" thickBot="1" x14ac:dyDescent="0.25">
      <c r="E126" s="73">
        <f t="shared" si="0"/>
        <v>0</v>
      </c>
      <c r="F126" s="275"/>
      <c r="G126" s="273"/>
      <c r="H126" s="276"/>
    </row>
    <row r="127" spans="5:8" ht="13.5" thickTop="1" x14ac:dyDescent="0.2"/>
    <row r="131" spans="9:9" hidden="1" x14ac:dyDescent="0.2">
      <c r="I131" s="104"/>
    </row>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H20"/>
  <sheetViews>
    <sheetView showGridLines="0" showRowColHeaders="0" topLeftCell="A2" workbookViewId="0">
      <selection activeCell="B7" sqref="B7"/>
    </sheetView>
  </sheetViews>
  <sheetFormatPr baseColWidth="10" defaultColWidth="0" defaultRowHeight="12.75" zeroHeight="1" x14ac:dyDescent="0.2"/>
  <cols>
    <col min="1" max="1" width="11.42578125" style="283" customWidth="1"/>
    <col min="2" max="2" width="37.140625" customWidth="1"/>
    <col min="3" max="3" width="7.28515625" customWidth="1"/>
    <col min="4" max="4" width="15" customWidth="1"/>
    <col min="5" max="5" width="11.42578125" customWidth="1"/>
    <col min="6" max="7" width="11.42578125" hidden="1" customWidth="1"/>
    <col min="8" max="8" width="13.5703125" hidden="1" customWidth="1"/>
    <col min="9" max="16384" width="11.42578125" hidden="1"/>
  </cols>
  <sheetData>
    <row r="1" spans="1:8" ht="43.5" customHeight="1" x14ac:dyDescent="0.4">
      <c r="B1" s="1006" t="str">
        <f>Language!$E$51</f>
        <v>Settings</v>
      </c>
      <c r="C1" s="1006"/>
      <c r="D1" s="1006"/>
    </row>
    <row r="2" spans="1:8" x14ac:dyDescent="0.2"/>
    <row r="3" spans="1:8" x14ac:dyDescent="0.2"/>
    <row r="4" spans="1:8" x14ac:dyDescent="0.2"/>
    <row r="5" spans="1:8" x14ac:dyDescent="0.2">
      <c r="A5" s="287" t="s">
        <v>6</v>
      </c>
      <c r="B5" s="286" t="str">
        <f>Language!E99</f>
        <v>Ball difference or ball quotient</v>
      </c>
      <c r="C5" s="279"/>
    </row>
    <row r="6" spans="1:8" x14ac:dyDescent="0.2">
      <c r="B6" s="279"/>
      <c r="C6" s="279"/>
      <c r="F6" s="764" t="s">
        <v>419</v>
      </c>
      <c r="G6" s="191" t="s">
        <v>427</v>
      </c>
      <c r="H6" s="191" t="s">
        <v>428</v>
      </c>
    </row>
    <row r="7" spans="1:8" ht="21.75" customHeight="1" x14ac:dyDescent="0.2">
      <c r="B7" s="284" t="s">
        <v>422</v>
      </c>
      <c r="C7" s="279"/>
      <c r="F7" s="762">
        <v>499</v>
      </c>
      <c r="G7" s="2" t="b">
        <f>(Settings!$B$7=Language!$E$100)</f>
        <v>1</v>
      </c>
      <c r="H7" s="765">
        <v>3</v>
      </c>
    </row>
    <row r="8" spans="1:8" x14ac:dyDescent="0.2"/>
    <row r="9" spans="1:8" x14ac:dyDescent="0.2"/>
    <row r="10" spans="1:8" x14ac:dyDescent="0.2"/>
    <row r="11" spans="1:8" x14ac:dyDescent="0.2">
      <c r="A11" s="287" t="s">
        <v>7</v>
      </c>
      <c r="B11" s="285" t="str">
        <f>Language!$E$102</f>
        <v>Abbreviations of the team names:</v>
      </c>
      <c r="C11" s="255">
        <v>7</v>
      </c>
      <c r="D11" t="str">
        <f>" "&amp;Language!$E$103</f>
        <v xml:space="preserve"> letters</v>
      </c>
    </row>
    <row r="12" spans="1:8" x14ac:dyDescent="0.2"/>
    <row r="13" spans="1:8" x14ac:dyDescent="0.2"/>
    <row r="14" spans="1:8" x14ac:dyDescent="0.2"/>
    <row r="15" spans="1:8" x14ac:dyDescent="0.2">
      <c r="A15" s="287" t="s">
        <v>8</v>
      </c>
      <c r="B15" s="285" t="str">
        <f>Language!E122</f>
        <v>Display in the crosstabs of the preliminary round:</v>
      </c>
    </row>
    <row r="16" spans="1:8" x14ac:dyDescent="0.2">
      <c r="G16" s="764" t="s">
        <v>435</v>
      </c>
    </row>
    <row r="17" spans="2:7" ht="21.75" customHeight="1" x14ac:dyDescent="0.2">
      <c r="B17" s="284" t="s">
        <v>431</v>
      </c>
      <c r="G17" s="768">
        <f>IF(Settings!$B$17=Language!$E$123,3,10)</f>
        <v>3</v>
      </c>
    </row>
    <row r="18" spans="2:7" x14ac:dyDescent="0.2"/>
    <row r="19" spans="2:7" x14ac:dyDescent="0.2"/>
    <row r="20" spans="2:7" x14ac:dyDescent="0.2"/>
  </sheetData>
  <sheetProtection sheet="1" selectLockedCells="1"/>
  <mergeCells count="1">
    <mergeCell ref="B1:D1"/>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400244CF-378A-41D6-977C-30F67A3A961B}">
          <x14:formula1>
            <xm:f>Language!$E$100:$E$101</xm:f>
          </x14:formula1>
          <xm:sqref>B7</xm:sqref>
        </x14:dataValidation>
        <x14:dataValidation type="list" allowBlank="1" showInputMessage="1" showErrorMessage="1" xr:uid="{4C28D7AC-2ECD-4068-BEBE-3278DCE37AFC}">
          <x14:formula1>
            <xm:f>Language!$E$123:$E$124</xm:f>
          </x14:formula1>
          <xm:sqref>B17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18"/>
  <sheetViews>
    <sheetView showGridLines="0" showRowColHeaders="0" workbookViewId="0"/>
  </sheetViews>
  <sheetFormatPr baseColWidth="10" defaultColWidth="0" defaultRowHeight="12.75" zeroHeight="1"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3"/>
    </row>
    <row r="2" spans="1:13" x14ac:dyDescent="0.2">
      <c r="B2" s="105" t="s">
        <v>135</v>
      </c>
      <c r="M2" s="105" t="s">
        <v>136</v>
      </c>
    </row>
    <row r="3" spans="1:13" x14ac:dyDescent="0.2"/>
    <row r="4" spans="1:13" x14ac:dyDescent="0.2"/>
    <row r="5" spans="1:13" x14ac:dyDescent="0.2"/>
    <row r="6" spans="1:13" x14ac:dyDescent="0.2"/>
    <row r="7" spans="1:13" x14ac:dyDescent="0.2"/>
    <row r="8" spans="1:13" x14ac:dyDescent="0.2"/>
    <row r="9" spans="1:13" x14ac:dyDescent="0.2"/>
    <row r="10" spans="1:13" x14ac:dyDescent="0.2"/>
    <row r="11" spans="1:13" x14ac:dyDescent="0.2"/>
    <row r="12" spans="1:13" x14ac:dyDescent="0.2"/>
    <row r="13" spans="1:13" x14ac:dyDescent="0.2"/>
    <row r="14" spans="1:13" x14ac:dyDescent="0.2"/>
    <row r="15" spans="1:13" x14ac:dyDescent="0.2"/>
    <row r="16" spans="1:13"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4:20" x14ac:dyDescent="0.2">
      <c r="D113" s="1007"/>
      <c r="E113" s="1008"/>
      <c r="F113" s="1008"/>
      <c r="G113" s="1008"/>
      <c r="H113" s="1008"/>
      <c r="I113" s="1009"/>
      <c r="O113" s="1007"/>
      <c r="P113" s="1008"/>
      <c r="Q113" s="1008"/>
      <c r="R113" s="1008"/>
      <c r="S113" s="1008"/>
      <c r="T113" s="1009"/>
    </row>
    <row r="114" spans="4:20" x14ac:dyDescent="0.2">
      <c r="D114" s="1010" t="s">
        <v>138</v>
      </c>
      <c r="E114" s="1011"/>
      <c r="F114" s="1011"/>
      <c r="G114" s="1011"/>
      <c r="H114" s="1011"/>
      <c r="I114" s="1012"/>
      <c r="O114" s="1010" t="s">
        <v>57</v>
      </c>
      <c r="P114" s="1011"/>
      <c r="Q114" s="1011"/>
      <c r="R114" s="1011"/>
      <c r="S114" s="1011"/>
      <c r="T114" s="1012"/>
    </row>
    <row r="115" spans="4:20" x14ac:dyDescent="0.2">
      <c r="D115" s="1013" t="s">
        <v>56</v>
      </c>
      <c r="E115" s="1014"/>
      <c r="F115" s="1014"/>
      <c r="G115" s="1014"/>
      <c r="H115" s="1014"/>
      <c r="I115" s="1015"/>
      <c r="O115" s="1013" t="s">
        <v>56</v>
      </c>
      <c r="P115" s="1014"/>
      <c r="Q115" s="1014"/>
      <c r="R115" s="1014"/>
      <c r="S115" s="1014"/>
      <c r="T115" s="1015"/>
    </row>
    <row r="116" spans="4:20" x14ac:dyDescent="0.2">
      <c r="D116" s="1016"/>
      <c r="E116" s="1017"/>
      <c r="F116" s="1017"/>
      <c r="G116" s="1017"/>
      <c r="H116" s="1017"/>
      <c r="I116" s="1018"/>
      <c r="O116" s="1016"/>
      <c r="P116" s="1017"/>
      <c r="Q116" s="1017"/>
      <c r="R116" s="1017"/>
      <c r="S116" s="1017"/>
      <c r="T116" s="1018"/>
    </row>
    <row r="117" spans="4:20" x14ac:dyDescent="0.2"/>
    <row r="118" spans="4:20" x14ac:dyDescent="0.2"/>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5" s="2" customFormat="1" x14ac:dyDescent="0.2"/>
    <row r="2" spans="1:45" s="2" customFormat="1" x14ac:dyDescent="0.2">
      <c r="B2" s="12"/>
      <c r="C2" s="12"/>
      <c r="D2" s="12"/>
      <c r="E2" s="12"/>
      <c r="F2" s="1"/>
      <c r="G2" s="1"/>
      <c r="H2" s="1"/>
      <c r="I2" s="1"/>
      <c r="J2" s="1" t="s">
        <v>397</v>
      </c>
      <c r="K2" s="1"/>
      <c r="L2" s="1"/>
      <c r="M2" s="1"/>
      <c r="N2" s="12"/>
      <c r="O2" s="1"/>
      <c r="P2" s="1"/>
      <c r="Q2" s="1"/>
      <c r="W2" s="2" t="s">
        <v>152</v>
      </c>
    </row>
    <row r="3" spans="1:45" s="2" customFormat="1" ht="13.5" customHeight="1" thickBot="1" x14ac:dyDescent="0.25">
      <c r="B3" s="1"/>
      <c r="C3" s="12"/>
      <c r="D3" s="12"/>
      <c r="E3" s="12"/>
      <c r="F3" s="12"/>
      <c r="G3" s="69" t="s">
        <v>107</v>
      </c>
      <c r="H3" s="69" t="s">
        <v>108</v>
      </c>
      <c r="I3" s="763" t="s">
        <v>109</v>
      </c>
      <c r="J3" s="763" t="s">
        <v>110</v>
      </c>
      <c r="K3" s="763" t="s">
        <v>103</v>
      </c>
      <c r="L3" s="27" t="s">
        <v>104</v>
      </c>
      <c r="M3" s="27" t="s">
        <v>105</v>
      </c>
      <c r="N3" s="27" t="s">
        <v>106</v>
      </c>
      <c r="O3" s="110">
        <f t="shared" ref="O3:V3" ca="1" si="0">IF(9-COUNTIF(O$17:O$25,"")&gt;1,O$16,99999)</f>
        <v>99999</v>
      </c>
      <c r="P3" s="111">
        <f t="shared" ca="1" si="0"/>
        <v>99999</v>
      </c>
      <c r="Q3" s="111">
        <f t="shared" ca="1" si="0"/>
        <v>99999</v>
      </c>
      <c r="R3" s="111">
        <f t="shared" ca="1" si="0"/>
        <v>99999</v>
      </c>
      <c r="S3" s="111">
        <f t="shared" ca="1" si="0"/>
        <v>99999</v>
      </c>
      <c r="T3" s="111">
        <f t="shared" ca="1" si="0"/>
        <v>99999</v>
      </c>
      <c r="U3" s="111">
        <f t="shared" ca="1" si="0"/>
        <v>99999</v>
      </c>
      <c r="V3" s="111">
        <f t="shared" ca="1" si="0"/>
        <v>99999</v>
      </c>
      <c r="W3" s="1025">
        <f ca="1">IF($O$4&lt;10,$O$4,0)</f>
        <v>0</v>
      </c>
      <c r="X3" s="1026"/>
      <c r="Y3" s="1026"/>
      <c r="Z3" s="1026"/>
      <c r="AA3" s="1026"/>
      <c r="AB3" s="1025">
        <f ca="1">IF($P$4&lt;10,$P$4,0)</f>
        <v>0</v>
      </c>
      <c r="AC3" s="1026"/>
      <c r="AD3" s="1026"/>
      <c r="AE3" s="1026"/>
      <c r="AF3" s="1026"/>
      <c r="AG3" s="1025">
        <f ca="1">IF($Q$4&lt;10,$Q$4,0)</f>
        <v>0</v>
      </c>
      <c r="AH3" s="1026"/>
      <c r="AI3" s="1026"/>
      <c r="AJ3" s="1026"/>
      <c r="AK3" s="1026"/>
      <c r="AL3" s="1025">
        <f ca="1">IF($R$4&lt;10,$R$4,0)</f>
        <v>0</v>
      </c>
      <c r="AM3" s="1026"/>
      <c r="AN3" s="1026"/>
      <c r="AO3" s="1026"/>
      <c r="AP3" s="1026"/>
      <c r="AR3" s="27" t="s">
        <v>441</v>
      </c>
      <c r="AS3" s="27" t="s">
        <v>442</v>
      </c>
    </row>
    <row r="4" spans="1:45" s="2" customFormat="1" ht="12.75" thickTop="1" x14ac:dyDescent="0.2">
      <c r="A4" s="254"/>
      <c r="B4" s="1">
        <v>1</v>
      </c>
      <c r="C4" s="20">
        <f t="shared" ref="C4:C12" ca="1" si="1">RANK(D4,$D$4:$D$12,1)</f>
        <v>5</v>
      </c>
      <c r="D4" s="12">
        <f t="shared" ref="D4:D12" ca="1" si="2">E4+ROW()/1000+(F4="")*10</f>
        <v>5.0039999999999996</v>
      </c>
      <c r="E4" s="266">
        <f t="shared" ref="E4:E12" ca="1" si="3">IF($AI$15,RANK(AH17,AH$17:AH$25,1),RANK(X17,X$17:X$25,1))</f>
        <v>5</v>
      </c>
      <c r="F4" s="1" t="str">
        <f>$Q64</f>
        <v>1. FC Riedwald</v>
      </c>
      <c r="G4" s="1">
        <f t="shared" ref="G4:G12" ca="1" si="4">SUMIFS($X$64:$X$135,$V$64:$V$135,$F4)+SUMIFS($Y$64:$Y$135,$W$64:$W$135,$F4)+SUMIFS($AG$64:$AG$135,$V$64:$V$135,$F4)+SUMIFS($AH$64:$AH$135,$W$64:$W$135,$F4)</f>
        <v>163</v>
      </c>
      <c r="H4" s="1">
        <f t="shared" ref="H4:H12" ca="1" si="5">SUMIFS($Y$64:$Y$135,$V$64:$V$135,$F4)+SUMIFS($X$64:$X$135,$W$64:$W$135,$F4)+SUMIFS($AH$64:$AH$135,$V$64:$V$135,$F4)+SUMIFS($AG$64:$AG$135,$W$64:$W$135,$F4)</f>
        <v>190</v>
      </c>
      <c r="I4" s="12">
        <f ca="1">IF(Settings!$G$7,G4-H4,IF(H4=0,IF(G4=0,0,Settings!$F$7),G4/H4))</f>
        <v>-27</v>
      </c>
      <c r="J4" s="1">
        <f ca="1">SUMPRODUCT(($V$64:$V$135=F4)*$AE$64:$AE$135*$AA$64:$AA$135)+SUMPRODUCT(($W$64:$W$135=F4)*$AF$64:$AF$135*$AA$64:$AA$135)</f>
        <v>3</v>
      </c>
      <c r="K4" s="1">
        <f t="shared" ref="K4:K12" ca="1" si="6">SUMPRODUCT(($V$64:$V$135=F4)*$AA$64:$AA$135)+SUMPRODUCT(($W$64:$W$135=F4)*$AA$64:$AA$135)</f>
        <v>4</v>
      </c>
      <c r="L4" s="1">
        <f t="shared" ref="L4:L12" ca="1" si="7">K4-M4-N4</f>
        <v>0</v>
      </c>
      <c r="M4" s="1">
        <f t="shared" ref="M4:M12" ca="1" si="8">SUMPRODUCT(($V$64:$W$135=F4)*($AE$64:$AE$135=$AF$64:$AF$135)*$AA$64:$AA$135)</f>
        <v>3</v>
      </c>
      <c r="N4" s="1">
        <f t="shared" ref="N4:N12" ca="1" si="9">SUMPRODUCT(($V$64:$V$135=F4)*($AE$64:$AE$135&lt;$AF$64:$AF$135)*$AA$64:$AA$135)+SUMPRODUCT(($W$64:$W$135=F4)*($AE$64:$AE$135&gt;$AF$64:$AF$135)*$AA$64:$AA$135)</f>
        <v>1</v>
      </c>
      <c r="O4" s="119">
        <f ca="1">SMALL($O$3:$V$3,1)</f>
        <v>99999</v>
      </c>
      <c r="P4" s="119">
        <f ca="1">SMALL($O$3:$V$3,2)</f>
        <v>99999</v>
      </c>
      <c r="Q4" s="119">
        <f ca="1">SMALL($O$3:$V$3,3)</f>
        <v>99999</v>
      </c>
      <c r="R4" s="119">
        <f ca="1">SMALL($O$3:$V$3,4)</f>
        <v>99999</v>
      </c>
      <c r="V4" s="1"/>
      <c r="W4" s="588" t="str">
        <f t="shared" ref="W4:W12" ca="1" si="10">IFERROR(INDEX($O$17:$V$25,ROW(A1),$W$3),"")</f>
        <v/>
      </c>
      <c r="X4" s="589" t="str">
        <f t="shared" ref="X4:X12" ca="1" si="11">INDEX($W$4:$W$12,MATCH(ROW(A1),$AA$4:$AA$12,0))</f>
        <v/>
      </c>
      <c r="Y4" s="590">
        <f t="shared" ref="Y4:Y12" ca="1" si="12">IF($W4="",99999,VLOOKUP($W4,$C$17:$Z$25,24,0))</f>
        <v>99999</v>
      </c>
      <c r="Z4" s="591">
        <f t="shared" ref="Z4:Z12" ca="1" si="13">RANK(Y4,Y$4:Y$12,1)+INDEX($E$4:$E$12,MATCH(W4,$F$4:$F$12,0))/100+ROW()/10000</f>
        <v>1.0604</v>
      </c>
      <c r="AA4" s="592">
        <f t="shared" ref="AA4:AA12" ca="1" si="14">RANK($Z4,$Z$4:$Z$12,1)</f>
        <v>1</v>
      </c>
      <c r="AB4" s="593" t="str">
        <f t="shared" ref="AB4:AB12" ca="1" si="15">IFERROR(INDEX($O$17:$V$25,ROW(A1),$AB$3),"")</f>
        <v/>
      </c>
      <c r="AC4" s="594" t="str">
        <f t="shared" ref="AC4:AC12" ca="1" si="16">INDEX($AB$4:$AB$12,MATCH(ROW(A1),$AF$4:$AF$12,0))</f>
        <v/>
      </c>
      <c r="AD4" s="595">
        <f t="shared" ref="AD4:AD12" ca="1" si="17">IF($AB4="",99999,VLOOKUP($AB4,$C$17:$Z$25,24,0))</f>
        <v>99999</v>
      </c>
      <c r="AE4" s="591">
        <f t="shared" ref="AE4:AE12" ca="1" si="18">RANK(AD4,AD$4:AD$12,1)+INDEX($E$4:$E$12,MATCH(AB4,$F$4:$F$12,0))/100+ROW()/10000</f>
        <v>1.0604</v>
      </c>
      <c r="AF4" s="591">
        <f t="shared" ref="AF4:AF12" ca="1" si="19">RANK($AE4,$AE$4:$AE$12,1)</f>
        <v>1</v>
      </c>
      <c r="AG4" s="593" t="str">
        <f t="shared" ref="AG4:AG12" ca="1" si="20">IFERROR(INDEX($O$17:$V$25,ROW(C1),$AG$3),"")</f>
        <v/>
      </c>
      <c r="AH4" s="594" t="str">
        <f t="shared" ref="AH4:AH12" ca="1" si="21">INDEX($AG$4:$AG$12,MATCH(ROW(A1),$AK$4:$AK$12,0))</f>
        <v/>
      </c>
      <c r="AI4" s="595">
        <f t="shared" ref="AI4:AI12" ca="1" si="22">IF($AG4="",99999,VLOOKUP($AG4,$C$17:$Z$25,24,0))</f>
        <v>99999</v>
      </c>
      <c r="AJ4" s="591">
        <f t="shared" ref="AJ4:AJ12" ca="1" si="23">RANK(AI4,AI$4:AI$12,1)+INDEX($E$4:$E$12,MATCH(AG4,$F$4:$F$12,0))/100+ROW()/10000</f>
        <v>1.0604</v>
      </c>
      <c r="AK4" s="596">
        <f t="shared" ref="AK4:AK12" ca="1" si="24">RANK($AJ4,$AJ$4:$AJ$12,1)</f>
        <v>1</v>
      </c>
      <c r="AL4" s="594" t="str">
        <f t="shared" ref="AL4:AL12" ca="1" si="25">IFERROR(INDEX($O$17:$V$25,ROW(E1),$AL$3),"")</f>
        <v/>
      </c>
      <c r="AM4" s="594" t="str">
        <f t="shared" ref="AM4:AM12" ca="1" si="26">INDEX($AL$4:$AL$12,MATCH(ROW(A1),$AP$4:$AP$12,0))</f>
        <v/>
      </c>
      <c r="AN4" s="595">
        <f t="shared" ref="AN4:AN12" ca="1" si="27">IF($AL4="",99999,VLOOKUP($AL4,$C$17:$Z$25,24,0))</f>
        <v>99999</v>
      </c>
      <c r="AO4" s="591">
        <f t="shared" ref="AO4:AO12" ca="1" si="28">RANK(AN4,AN$4:AN$12,1)+INDEX($E$4:$E$12,MATCH(AL4,$F$4:$F$12,0))/100+ROW()/10000</f>
        <v>1.0604</v>
      </c>
      <c r="AP4" s="596">
        <f t="shared" ref="AP4:AP12" ca="1" si="29">RANK($AO4,$AO$4:$AO$12,1)</f>
        <v>1</v>
      </c>
      <c r="AR4" s="1">
        <f ca="1">IF(Settings!$G$7,$I4,ROUND($I4,Settings!$H$7))</f>
        <v>-27</v>
      </c>
      <c r="AS4" s="1">
        <f ca="1">SUMPRODUCT(($W$64:$W$135=F4)*$AE$64:$AE$135*$AA$64:$AA$135)+SUMPRODUCT(($V$64:$V$135=F4)*$AF$64:$AF$135*$AA$64:$AA$135)</f>
        <v>5</v>
      </c>
    </row>
    <row r="5" spans="1:45" s="2" customFormat="1" x14ac:dyDescent="0.2">
      <c r="A5" s="254"/>
      <c r="B5" s="1">
        <v>2</v>
      </c>
      <c r="C5" s="21">
        <f t="shared" ca="1" si="1"/>
        <v>1</v>
      </c>
      <c r="D5" s="12">
        <f t="shared" ca="1" si="2"/>
        <v>1.0049999999999999</v>
      </c>
      <c r="E5" s="266">
        <f t="shared" ca="1" si="3"/>
        <v>1</v>
      </c>
      <c r="F5" s="1" t="str">
        <f t="shared" ref="F5:F12" si="30">$Q65</f>
        <v>FC Barcelona</v>
      </c>
      <c r="G5" s="1">
        <f t="shared" ca="1" si="4"/>
        <v>187</v>
      </c>
      <c r="H5" s="1">
        <f t="shared" ca="1" si="5"/>
        <v>162</v>
      </c>
      <c r="I5" s="12">
        <f ca="1">IF(Settings!$G$7,G5-H5,IF(H5=0,IF(G5=0,0,Settings!$F$7),G5/H5))</f>
        <v>25</v>
      </c>
      <c r="J5" s="1">
        <f t="shared" ref="J5:J12" ca="1" si="31">SUMPRODUCT(($V$64:$V$135=F5)*$AE$64:$AE$135*$AA$64:$AA$135)+SUMPRODUCT(($W$64:$W$135=F5)*$AF$64:$AF$135*$AA$64:$AA$135)</f>
        <v>6</v>
      </c>
      <c r="K5" s="1">
        <f t="shared" ca="1" si="6"/>
        <v>4</v>
      </c>
      <c r="L5" s="1">
        <f t="shared" ca="1" si="7"/>
        <v>2</v>
      </c>
      <c r="M5" s="1">
        <f t="shared" ca="1" si="8"/>
        <v>2</v>
      </c>
      <c r="N5" s="1">
        <f t="shared" ca="1" si="9"/>
        <v>0</v>
      </c>
      <c r="O5" s="23"/>
      <c r="P5" s="24"/>
      <c r="V5" s="1"/>
      <c r="W5" s="593" t="str">
        <f t="shared" ca="1" si="10"/>
        <v/>
      </c>
      <c r="X5" s="594" t="str">
        <f t="shared" ca="1" si="11"/>
        <v/>
      </c>
      <c r="Y5" s="591">
        <f t="shared" ca="1" si="12"/>
        <v>99999</v>
      </c>
      <c r="Z5" s="591">
        <f t="shared" ca="1" si="13"/>
        <v>1.0605</v>
      </c>
      <c r="AA5" s="596">
        <f t="shared" ca="1" si="14"/>
        <v>2</v>
      </c>
      <c r="AB5" s="593" t="str">
        <f t="shared" ca="1" si="15"/>
        <v/>
      </c>
      <c r="AC5" s="594" t="str">
        <f t="shared" ca="1" si="16"/>
        <v/>
      </c>
      <c r="AD5" s="595">
        <f t="shared" ca="1" si="17"/>
        <v>99999</v>
      </c>
      <c r="AE5" s="591">
        <f t="shared" ca="1" si="18"/>
        <v>1.0605</v>
      </c>
      <c r="AF5" s="591">
        <f t="shared" ca="1" si="19"/>
        <v>2</v>
      </c>
      <c r="AG5" s="593" t="str">
        <f t="shared" ca="1" si="20"/>
        <v/>
      </c>
      <c r="AH5" s="594" t="str">
        <f t="shared" ca="1" si="21"/>
        <v/>
      </c>
      <c r="AI5" s="595">
        <f t="shared" ca="1" si="22"/>
        <v>99999</v>
      </c>
      <c r="AJ5" s="591">
        <f t="shared" ca="1" si="23"/>
        <v>1.0605</v>
      </c>
      <c r="AK5" s="596">
        <f t="shared" ca="1" si="24"/>
        <v>2</v>
      </c>
      <c r="AL5" s="594" t="str">
        <f t="shared" ca="1" si="25"/>
        <v/>
      </c>
      <c r="AM5" s="594" t="str">
        <f t="shared" ca="1" si="26"/>
        <v/>
      </c>
      <c r="AN5" s="595">
        <f t="shared" ca="1" si="27"/>
        <v>99999</v>
      </c>
      <c r="AO5" s="591">
        <f t="shared" ca="1" si="28"/>
        <v>1.0605</v>
      </c>
      <c r="AP5" s="596">
        <f t="shared" ca="1" si="29"/>
        <v>2</v>
      </c>
      <c r="AR5" s="1">
        <f ca="1">IF(Settings!$G$7,$I5,ROUND($I5,Settings!$H$7))</f>
        <v>25</v>
      </c>
      <c r="AS5" s="1">
        <f t="shared" ref="AS5:AS12" ca="1" si="32">SUMPRODUCT(($W$64:$W$135=F5)*$AE$64:$AE$135*$AA$64:$AA$135)+SUMPRODUCT(($V$64:$V$135=F5)*$AF$64:$AF$135*$AA$64:$AA$135)</f>
        <v>2</v>
      </c>
    </row>
    <row r="6" spans="1:45" s="2" customFormat="1" x14ac:dyDescent="0.2">
      <c r="A6" s="254"/>
      <c r="B6" s="1">
        <v>3</v>
      </c>
      <c r="C6" s="21">
        <f t="shared" ca="1" si="1"/>
        <v>2</v>
      </c>
      <c r="D6" s="12">
        <f t="shared" ca="1" si="2"/>
        <v>2.0059999999999998</v>
      </c>
      <c r="E6" s="266">
        <f t="shared" ca="1" si="3"/>
        <v>2</v>
      </c>
      <c r="F6" s="1" t="str">
        <f t="shared" si="30"/>
        <v>Eintracht Frankfurt</v>
      </c>
      <c r="G6" s="1">
        <f t="shared" ca="1" si="4"/>
        <v>176</v>
      </c>
      <c r="H6" s="1">
        <f t="shared" ca="1" si="5"/>
        <v>173</v>
      </c>
      <c r="I6" s="12">
        <f ca="1">IF(Settings!$G$7,G6-H6,IF(H6=0,IF(G6=0,0,Settings!$F$7),G6/H6))</f>
        <v>3</v>
      </c>
      <c r="J6" s="1">
        <f t="shared" ca="1" si="31"/>
        <v>4</v>
      </c>
      <c r="K6" s="1">
        <f t="shared" ca="1" si="6"/>
        <v>4</v>
      </c>
      <c r="L6" s="1">
        <f t="shared" ca="1" si="7"/>
        <v>1</v>
      </c>
      <c r="M6" s="1">
        <f t="shared" ca="1" si="8"/>
        <v>2</v>
      </c>
      <c r="N6" s="1">
        <f t="shared" ca="1" si="9"/>
        <v>1</v>
      </c>
      <c r="O6" s="23"/>
      <c r="P6" s="24"/>
      <c r="V6" s="1"/>
      <c r="W6" s="593" t="str">
        <f t="shared" ca="1" si="10"/>
        <v/>
      </c>
      <c r="X6" s="594" t="str">
        <f t="shared" ca="1" si="11"/>
        <v/>
      </c>
      <c r="Y6" s="591">
        <f t="shared" ca="1" si="12"/>
        <v>99999</v>
      </c>
      <c r="Z6" s="591">
        <f t="shared" ca="1" si="13"/>
        <v>1.0606</v>
      </c>
      <c r="AA6" s="596">
        <f t="shared" ca="1" si="14"/>
        <v>3</v>
      </c>
      <c r="AB6" s="593" t="str">
        <f t="shared" ca="1" si="15"/>
        <v/>
      </c>
      <c r="AC6" s="594" t="str">
        <f t="shared" ca="1" si="16"/>
        <v/>
      </c>
      <c r="AD6" s="595">
        <f t="shared" ca="1" si="17"/>
        <v>99999</v>
      </c>
      <c r="AE6" s="591">
        <f t="shared" ca="1" si="18"/>
        <v>1.0606</v>
      </c>
      <c r="AF6" s="591">
        <f t="shared" ca="1" si="19"/>
        <v>3</v>
      </c>
      <c r="AG6" s="593" t="str">
        <f t="shared" ca="1" si="20"/>
        <v/>
      </c>
      <c r="AH6" s="594" t="str">
        <f t="shared" ca="1" si="21"/>
        <v/>
      </c>
      <c r="AI6" s="595">
        <f t="shared" ca="1" si="22"/>
        <v>99999</v>
      </c>
      <c r="AJ6" s="591">
        <f t="shared" ca="1" si="23"/>
        <v>1.0606</v>
      </c>
      <c r="AK6" s="596">
        <f t="shared" ca="1" si="24"/>
        <v>3</v>
      </c>
      <c r="AL6" s="594" t="str">
        <f t="shared" ca="1" si="25"/>
        <v/>
      </c>
      <c r="AM6" s="594" t="str">
        <f t="shared" ca="1" si="26"/>
        <v/>
      </c>
      <c r="AN6" s="595">
        <f t="shared" ca="1" si="27"/>
        <v>99999</v>
      </c>
      <c r="AO6" s="591">
        <f t="shared" ca="1" si="28"/>
        <v>1.0606</v>
      </c>
      <c r="AP6" s="596">
        <f t="shared" ca="1" si="29"/>
        <v>3</v>
      </c>
      <c r="AR6" s="1">
        <f ca="1">IF(Settings!$G$7,$I6,ROUND($I6,Settings!$H$7))</f>
        <v>3</v>
      </c>
      <c r="AS6" s="1">
        <f t="shared" ca="1" si="32"/>
        <v>4</v>
      </c>
    </row>
    <row r="7" spans="1:45" s="2" customFormat="1" x14ac:dyDescent="0.2">
      <c r="A7" s="254"/>
      <c r="B7" s="1">
        <v>4</v>
      </c>
      <c r="C7" s="21">
        <f t="shared" ca="1" si="1"/>
        <v>4</v>
      </c>
      <c r="D7" s="12">
        <f t="shared" ca="1" si="2"/>
        <v>4.0069999999999997</v>
      </c>
      <c r="E7" s="266">
        <f t="shared" ca="1" si="3"/>
        <v>4</v>
      </c>
      <c r="F7" s="1" t="str">
        <f t="shared" si="30"/>
        <v>Maibach 1822 eV</v>
      </c>
      <c r="G7" s="1">
        <f t="shared" ca="1" si="4"/>
        <v>174</v>
      </c>
      <c r="H7" s="1">
        <f t="shared" ca="1" si="5"/>
        <v>174</v>
      </c>
      <c r="I7" s="12">
        <f ca="1">IF(Settings!$G$7,G7-H7,IF(H7=0,IF(G7=0,0,Settings!$F$7),G7/H7))</f>
        <v>0</v>
      </c>
      <c r="J7" s="1">
        <f t="shared" ca="1" si="31"/>
        <v>3</v>
      </c>
      <c r="K7" s="1">
        <f t="shared" ca="1" si="6"/>
        <v>4</v>
      </c>
      <c r="L7" s="1">
        <f t="shared" ca="1" si="7"/>
        <v>1</v>
      </c>
      <c r="M7" s="1">
        <f t="shared" ca="1" si="8"/>
        <v>1</v>
      </c>
      <c r="N7" s="1">
        <f t="shared" ca="1" si="9"/>
        <v>2</v>
      </c>
      <c r="O7" s="23"/>
      <c r="P7" s="24"/>
      <c r="V7" s="1"/>
      <c r="W7" s="593" t="str">
        <f t="shared" ca="1" si="10"/>
        <v/>
      </c>
      <c r="X7" s="594" t="str">
        <f t="shared" ca="1" si="11"/>
        <v/>
      </c>
      <c r="Y7" s="591">
        <f t="shared" ca="1" si="12"/>
        <v>99999</v>
      </c>
      <c r="Z7" s="591">
        <f t="shared" ca="1" si="13"/>
        <v>1.0607</v>
      </c>
      <c r="AA7" s="596">
        <f t="shared" ca="1" si="14"/>
        <v>4</v>
      </c>
      <c r="AB7" s="593" t="str">
        <f t="shared" ca="1" si="15"/>
        <v/>
      </c>
      <c r="AC7" s="594" t="str">
        <f t="shared" ca="1" si="16"/>
        <v/>
      </c>
      <c r="AD7" s="595">
        <f t="shared" ca="1" si="17"/>
        <v>99999</v>
      </c>
      <c r="AE7" s="591">
        <f t="shared" ca="1" si="18"/>
        <v>1.0607</v>
      </c>
      <c r="AF7" s="591">
        <f t="shared" ca="1" si="19"/>
        <v>4</v>
      </c>
      <c r="AG7" s="593" t="str">
        <f t="shared" ca="1" si="20"/>
        <v/>
      </c>
      <c r="AH7" s="594" t="str">
        <f t="shared" ca="1" si="21"/>
        <v/>
      </c>
      <c r="AI7" s="595">
        <f t="shared" ca="1" si="22"/>
        <v>99999</v>
      </c>
      <c r="AJ7" s="591">
        <f t="shared" ca="1" si="23"/>
        <v>1.0607</v>
      </c>
      <c r="AK7" s="596">
        <f t="shared" ca="1" si="24"/>
        <v>4</v>
      </c>
      <c r="AL7" s="594" t="str">
        <f t="shared" ca="1" si="25"/>
        <v/>
      </c>
      <c r="AM7" s="594" t="str">
        <f t="shared" ca="1" si="26"/>
        <v/>
      </c>
      <c r="AN7" s="595">
        <f t="shared" ca="1" si="27"/>
        <v>99999</v>
      </c>
      <c r="AO7" s="591">
        <f t="shared" ca="1" si="28"/>
        <v>1.0607</v>
      </c>
      <c r="AP7" s="596">
        <f t="shared" ca="1" si="29"/>
        <v>4</v>
      </c>
      <c r="AR7" s="1">
        <f ca="1">IF(Settings!$G$7,$I7,ROUND($I7,Settings!$H$7))</f>
        <v>0</v>
      </c>
      <c r="AS7" s="1">
        <f t="shared" ca="1" si="32"/>
        <v>5</v>
      </c>
    </row>
    <row r="8" spans="1:45" s="2" customFormat="1" x14ac:dyDescent="0.2">
      <c r="A8" s="254"/>
      <c r="B8" s="1">
        <v>5</v>
      </c>
      <c r="C8" s="21">
        <f t="shared" ca="1" si="1"/>
        <v>3</v>
      </c>
      <c r="D8" s="12">
        <f t="shared" ca="1" si="2"/>
        <v>3.008</v>
      </c>
      <c r="E8" s="266">
        <f t="shared" ca="1" si="3"/>
        <v>3</v>
      </c>
      <c r="F8" s="1" t="str">
        <f t="shared" si="30"/>
        <v>VFB Essenheim</v>
      </c>
      <c r="G8" s="1">
        <f t="shared" ca="1" si="4"/>
        <v>180</v>
      </c>
      <c r="H8" s="1">
        <f t="shared" ca="1" si="5"/>
        <v>181</v>
      </c>
      <c r="I8" s="12">
        <f ca="1">IF(Settings!$G$7,G8-H8,IF(H8=0,IF(G8=0,0,Settings!$F$7),G8/H8))</f>
        <v>-1</v>
      </c>
      <c r="J8" s="1">
        <f t="shared" ca="1" si="31"/>
        <v>4</v>
      </c>
      <c r="K8" s="1">
        <f t="shared" ca="1" si="6"/>
        <v>4</v>
      </c>
      <c r="L8" s="1">
        <f t="shared" ca="1" si="7"/>
        <v>1</v>
      </c>
      <c r="M8" s="1">
        <f t="shared" ca="1" si="8"/>
        <v>2</v>
      </c>
      <c r="N8" s="1">
        <f t="shared" ca="1" si="9"/>
        <v>1</v>
      </c>
      <c r="P8" s="24"/>
      <c r="W8" s="593" t="str">
        <f t="shared" ca="1" si="10"/>
        <v/>
      </c>
      <c r="X8" s="594" t="str">
        <f t="shared" ca="1" si="11"/>
        <v/>
      </c>
      <c r="Y8" s="591">
        <f t="shared" ca="1" si="12"/>
        <v>99999</v>
      </c>
      <c r="Z8" s="591">
        <f t="shared" ca="1" si="13"/>
        <v>1.0608</v>
      </c>
      <c r="AA8" s="596">
        <f t="shared" ca="1" si="14"/>
        <v>5</v>
      </c>
      <c r="AB8" s="593" t="str">
        <f t="shared" ca="1" si="15"/>
        <v/>
      </c>
      <c r="AC8" s="594" t="str">
        <f t="shared" ca="1" si="16"/>
        <v/>
      </c>
      <c r="AD8" s="595">
        <f t="shared" ca="1" si="17"/>
        <v>99999</v>
      </c>
      <c r="AE8" s="591">
        <f t="shared" ca="1" si="18"/>
        <v>1.0608</v>
      </c>
      <c r="AF8" s="591">
        <f t="shared" ca="1" si="19"/>
        <v>5</v>
      </c>
      <c r="AG8" s="593" t="str">
        <f t="shared" ca="1" si="20"/>
        <v/>
      </c>
      <c r="AH8" s="594" t="str">
        <f t="shared" ca="1" si="21"/>
        <v/>
      </c>
      <c r="AI8" s="595">
        <f t="shared" ca="1" si="22"/>
        <v>99999</v>
      </c>
      <c r="AJ8" s="591">
        <f t="shared" ca="1" si="23"/>
        <v>1.0608</v>
      </c>
      <c r="AK8" s="596">
        <f t="shared" ca="1" si="24"/>
        <v>5</v>
      </c>
      <c r="AL8" s="594" t="str">
        <f t="shared" ca="1" si="25"/>
        <v/>
      </c>
      <c r="AM8" s="594" t="str">
        <f t="shared" ca="1" si="26"/>
        <v/>
      </c>
      <c r="AN8" s="595">
        <f t="shared" ca="1" si="27"/>
        <v>99999</v>
      </c>
      <c r="AO8" s="591">
        <f t="shared" ca="1" si="28"/>
        <v>1.0608</v>
      </c>
      <c r="AP8" s="596">
        <f t="shared" ca="1" si="29"/>
        <v>5</v>
      </c>
      <c r="AR8" s="1">
        <f ca="1">IF(Settings!$G$7,$I8,ROUND($I8,Settings!$H$7))</f>
        <v>-1</v>
      </c>
      <c r="AS8" s="1">
        <f t="shared" ca="1" si="32"/>
        <v>4</v>
      </c>
    </row>
    <row r="9" spans="1:45" s="2" customFormat="1" x14ac:dyDescent="0.2">
      <c r="A9" s="254"/>
      <c r="B9" s="1">
        <v>6</v>
      </c>
      <c r="C9" s="21">
        <f t="shared" ca="1" si="1"/>
        <v>6</v>
      </c>
      <c r="D9" s="12">
        <f t="shared" ca="1" si="2"/>
        <v>16.009</v>
      </c>
      <c r="E9" s="266">
        <f t="shared" ca="1" si="3"/>
        <v>6</v>
      </c>
      <c r="F9" s="1" t="str">
        <f t="shared" si="30"/>
        <v/>
      </c>
      <c r="G9" s="1">
        <f t="shared" ca="1" si="4"/>
        <v>0</v>
      </c>
      <c r="H9" s="1">
        <f t="shared" ca="1" si="5"/>
        <v>0</v>
      </c>
      <c r="I9" s="12">
        <f ca="1">IF(Settings!$G$7,G9-H9,IF(H9=0,IF(G9=0,0,Settings!$F$7),G9/H9))</f>
        <v>0</v>
      </c>
      <c r="J9" s="1">
        <f t="shared" ca="1" si="31"/>
        <v>0</v>
      </c>
      <c r="K9" s="1">
        <f t="shared" ca="1" si="6"/>
        <v>0</v>
      </c>
      <c r="L9" s="1">
        <f t="shared" ca="1" si="7"/>
        <v>0</v>
      </c>
      <c r="M9" s="1">
        <f t="shared" ca="1" si="8"/>
        <v>0</v>
      </c>
      <c r="N9" s="1">
        <f t="shared" ca="1" si="9"/>
        <v>0</v>
      </c>
      <c r="P9" s="24"/>
      <c r="W9" s="593" t="str">
        <f t="shared" ca="1" si="10"/>
        <v/>
      </c>
      <c r="X9" s="594" t="str">
        <f t="shared" ca="1" si="11"/>
        <v/>
      </c>
      <c r="Y9" s="591">
        <f t="shared" ca="1" si="12"/>
        <v>99999</v>
      </c>
      <c r="Z9" s="591">
        <f t="shared" ca="1" si="13"/>
        <v>1.0609</v>
      </c>
      <c r="AA9" s="596">
        <f t="shared" ca="1" si="14"/>
        <v>6</v>
      </c>
      <c r="AB9" s="593" t="str">
        <f t="shared" ca="1" si="15"/>
        <v/>
      </c>
      <c r="AC9" s="594" t="str">
        <f t="shared" ca="1" si="16"/>
        <v/>
      </c>
      <c r="AD9" s="595">
        <f t="shared" ca="1" si="17"/>
        <v>99999</v>
      </c>
      <c r="AE9" s="591">
        <f t="shared" ca="1" si="18"/>
        <v>1.0609</v>
      </c>
      <c r="AF9" s="591">
        <f t="shared" ca="1" si="19"/>
        <v>6</v>
      </c>
      <c r="AG9" s="593" t="str">
        <f t="shared" ca="1" si="20"/>
        <v/>
      </c>
      <c r="AH9" s="594" t="str">
        <f t="shared" ca="1" si="21"/>
        <v/>
      </c>
      <c r="AI9" s="595">
        <f t="shared" ca="1" si="22"/>
        <v>99999</v>
      </c>
      <c r="AJ9" s="591">
        <f t="shared" ca="1" si="23"/>
        <v>1.0609</v>
      </c>
      <c r="AK9" s="596">
        <f t="shared" ca="1" si="24"/>
        <v>6</v>
      </c>
      <c r="AL9" s="594" t="str">
        <f t="shared" ca="1" si="25"/>
        <v/>
      </c>
      <c r="AM9" s="594" t="str">
        <f t="shared" ca="1" si="26"/>
        <v/>
      </c>
      <c r="AN9" s="595">
        <f t="shared" ca="1" si="27"/>
        <v>99999</v>
      </c>
      <c r="AO9" s="591">
        <f t="shared" ca="1" si="28"/>
        <v>1.0609</v>
      </c>
      <c r="AP9" s="596">
        <f t="shared" ca="1" si="29"/>
        <v>6</v>
      </c>
      <c r="AR9" s="1">
        <f ca="1">IF(Settings!$G$7,$I9,ROUND($I9,Settings!$H$7))</f>
        <v>0</v>
      </c>
      <c r="AS9" s="1">
        <f t="shared" ca="1" si="32"/>
        <v>0</v>
      </c>
    </row>
    <row r="10" spans="1:45" s="2" customFormat="1" x14ac:dyDescent="0.2">
      <c r="A10" s="254"/>
      <c r="B10" s="1">
        <v>7</v>
      </c>
      <c r="C10" s="21">
        <f t="shared" ca="1" si="1"/>
        <v>7</v>
      </c>
      <c r="D10" s="12">
        <f t="shared" ca="1" si="2"/>
        <v>16.009999999999998</v>
      </c>
      <c r="E10" s="266">
        <f t="shared" ca="1" si="3"/>
        <v>6</v>
      </c>
      <c r="F10" s="1" t="str">
        <f t="shared" si="30"/>
        <v/>
      </c>
      <c r="G10" s="1">
        <f t="shared" ca="1" si="4"/>
        <v>0</v>
      </c>
      <c r="H10" s="1">
        <f t="shared" ca="1" si="5"/>
        <v>0</v>
      </c>
      <c r="I10" s="12">
        <f ca="1">IF(Settings!$G$7,G10-H10,IF(H10=0,IF(G10=0,0,Settings!$F$7),G10/H10))</f>
        <v>0</v>
      </c>
      <c r="J10" s="1">
        <f t="shared" ca="1" si="31"/>
        <v>0</v>
      </c>
      <c r="K10" s="1">
        <f t="shared" ca="1" si="6"/>
        <v>0</v>
      </c>
      <c r="L10" s="1">
        <f t="shared" ca="1" si="7"/>
        <v>0</v>
      </c>
      <c r="M10" s="1">
        <f t="shared" ca="1" si="8"/>
        <v>0</v>
      </c>
      <c r="N10" s="1">
        <f t="shared" ca="1" si="9"/>
        <v>0</v>
      </c>
      <c r="P10" s="24"/>
      <c r="W10" s="593" t="str">
        <f t="shared" ca="1" si="10"/>
        <v/>
      </c>
      <c r="X10" s="594" t="str">
        <f t="shared" ca="1" si="11"/>
        <v/>
      </c>
      <c r="Y10" s="591">
        <f t="shared" ca="1" si="12"/>
        <v>99999</v>
      </c>
      <c r="Z10" s="591">
        <f t="shared" ca="1" si="13"/>
        <v>1.0609999999999999</v>
      </c>
      <c r="AA10" s="596">
        <f t="shared" ca="1" si="14"/>
        <v>7</v>
      </c>
      <c r="AB10" s="593" t="str">
        <f t="shared" ca="1" si="15"/>
        <v/>
      </c>
      <c r="AC10" s="594" t="str">
        <f t="shared" ca="1" si="16"/>
        <v/>
      </c>
      <c r="AD10" s="595">
        <f t="shared" ca="1" si="17"/>
        <v>99999</v>
      </c>
      <c r="AE10" s="591">
        <f t="shared" ca="1" si="18"/>
        <v>1.0609999999999999</v>
      </c>
      <c r="AF10" s="591">
        <f t="shared" ca="1" si="19"/>
        <v>7</v>
      </c>
      <c r="AG10" s="593" t="str">
        <f t="shared" ca="1" si="20"/>
        <v/>
      </c>
      <c r="AH10" s="594" t="str">
        <f t="shared" ca="1" si="21"/>
        <v/>
      </c>
      <c r="AI10" s="595">
        <f t="shared" ca="1" si="22"/>
        <v>99999</v>
      </c>
      <c r="AJ10" s="591">
        <f t="shared" ca="1" si="23"/>
        <v>1.0609999999999999</v>
      </c>
      <c r="AK10" s="596">
        <f t="shared" ca="1" si="24"/>
        <v>7</v>
      </c>
      <c r="AL10" s="594" t="str">
        <f t="shared" ca="1" si="25"/>
        <v/>
      </c>
      <c r="AM10" s="594" t="str">
        <f t="shared" ca="1" si="26"/>
        <v/>
      </c>
      <c r="AN10" s="595">
        <f t="shared" ca="1" si="27"/>
        <v>99999</v>
      </c>
      <c r="AO10" s="591">
        <f t="shared" ca="1" si="28"/>
        <v>1.0609999999999999</v>
      </c>
      <c r="AP10" s="596">
        <f t="shared" ca="1" si="29"/>
        <v>7</v>
      </c>
      <c r="AR10" s="1">
        <f ca="1">IF(Settings!$G$7,$I10,ROUND($I10,Settings!$H$7))</f>
        <v>0</v>
      </c>
      <c r="AS10" s="1">
        <f t="shared" ca="1" si="32"/>
        <v>0</v>
      </c>
    </row>
    <row r="11" spans="1:45" s="2" customFormat="1" x14ac:dyDescent="0.2">
      <c r="A11" s="254"/>
      <c r="B11" s="1">
        <v>8</v>
      </c>
      <c r="C11" s="21">
        <f t="shared" ca="1" si="1"/>
        <v>8</v>
      </c>
      <c r="D11" s="12">
        <f t="shared" ca="1" si="2"/>
        <v>16.010999999999999</v>
      </c>
      <c r="E11" s="266">
        <f t="shared" ca="1" si="3"/>
        <v>6</v>
      </c>
      <c r="F11" s="1" t="str">
        <f t="shared" si="30"/>
        <v/>
      </c>
      <c r="G11" s="1">
        <f t="shared" ca="1" si="4"/>
        <v>0</v>
      </c>
      <c r="H11" s="1">
        <f t="shared" ca="1" si="5"/>
        <v>0</v>
      </c>
      <c r="I11" s="12">
        <f ca="1">IF(Settings!$G$7,G11-H11,IF(H11=0,IF(G11=0,0,Settings!$F$7),G11/H11))</f>
        <v>0</v>
      </c>
      <c r="J11" s="1">
        <f t="shared" ca="1" si="31"/>
        <v>0</v>
      </c>
      <c r="K11" s="1">
        <f t="shared" ca="1" si="6"/>
        <v>0</v>
      </c>
      <c r="L11" s="1">
        <f t="shared" ca="1" si="7"/>
        <v>0</v>
      </c>
      <c r="M11" s="1">
        <f t="shared" ca="1" si="8"/>
        <v>0</v>
      </c>
      <c r="N11" s="1">
        <f t="shared" ca="1" si="9"/>
        <v>0</v>
      </c>
      <c r="O11" s="12"/>
      <c r="P11" s="12"/>
      <c r="Q11" s="12"/>
      <c r="R11" s="12"/>
      <c r="S11" s="12"/>
      <c r="T11" s="12"/>
      <c r="U11" s="12"/>
      <c r="V11" s="12"/>
      <c r="W11" s="593" t="str">
        <f t="shared" ca="1" si="10"/>
        <v/>
      </c>
      <c r="X11" s="594" t="str">
        <f t="shared" ca="1" si="11"/>
        <v/>
      </c>
      <c r="Y11" s="591">
        <f t="shared" ca="1" si="12"/>
        <v>99999</v>
      </c>
      <c r="Z11" s="591">
        <f t="shared" ca="1" si="13"/>
        <v>1.0611000000000002</v>
      </c>
      <c r="AA11" s="596">
        <f t="shared" ca="1" si="14"/>
        <v>8</v>
      </c>
      <c r="AB11" s="593" t="str">
        <f t="shared" ca="1" si="15"/>
        <v/>
      </c>
      <c r="AC11" s="594" t="str">
        <f t="shared" ca="1" si="16"/>
        <v/>
      </c>
      <c r="AD11" s="595">
        <f t="shared" ca="1" si="17"/>
        <v>99999</v>
      </c>
      <c r="AE11" s="591">
        <f t="shared" ca="1" si="18"/>
        <v>1.0611000000000002</v>
      </c>
      <c r="AF11" s="591">
        <f t="shared" ca="1" si="19"/>
        <v>8</v>
      </c>
      <c r="AG11" s="593" t="str">
        <f t="shared" ca="1" si="20"/>
        <v/>
      </c>
      <c r="AH11" s="594" t="str">
        <f t="shared" ca="1" si="21"/>
        <v/>
      </c>
      <c r="AI11" s="595">
        <f t="shared" ca="1" si="22"/>
        <v>99999</v>
      </c>
      <c r="AJ11" s="591">
        <f t="shared" ca="1" si="23"/>
        <v>1.0611000000000002</v>
      </c>
      <c r="AK11" s="596">
        <f t="shared" ca="1" si="24"/>
        <v>8</v>
      </c>
      <c r="AL11" s="594" t="str">
        <f t="shared" ca="1" si="25"/>
        <v/>
      </c>
      <c r="AM11" s="594" t="str">
        <f t="shared" ca="1" si="26"/>
        <v/>
      </c>
      <c r="AN11" s="595">
        <f t="shared" ca="1" si="27"/>
        <v>99999</v>
      </c>
      <c r="AO11" s="591">
        <f t="shared" ca="1" si="28"/>
        <v>1.0611000000000002</v>
      </c>
      <c r="AP11" s="596">
        <f t="shared" ca="1" si="29"/>
        <v>8</v>
      </c>
      <c r="AR11" s="1">
        <f ca="1">IF(Settings!$G$7,$I11,ROUND($I11,Settings!$H$7))</f>
        <v>0</v>
      </c>
      <c r="AS11" s="1">
        <f t="shared" ca="1" si="32"/>
        <v>0</v>
      </c>
    </row>
    <row r="12" spans="1:45" s="2" customFormat="1" ht="12.75" thickBot="1" x14ac:dyDescent="0.25">
      <c r="A12" s="254"/>
      <c r="B12" s="1">
        <v>9</v>
      </c>
      <c r="C12" s="22">
        <f t="shared" ca="1" si="1"/>
        <v>9</v>
      </c>
      <c r="D12" s="12">
        <f t="shared" ca="1" si="2"/>
        <v>16.012</v>
      </c>
      <c r="E12" s="266">
        <f t="shared" ca="1" si="3"/>
        <v>6</v>
      </c>
      <c r="F12" s="1" t="str">
        <f t="shared" si="30"/>
        <v/>
      </c>
      <c r="G12" s="1">
        <f t="shared" ca="1" si="4"/>
        <v>0</v>
      </c>
      <c r="H12" s="1">
        <f t="shared" ca="1" si="5"/>
        <v>0</v>
      </c>
      <c r="I12" s="12">
        <f ca="1">IF(Settings!$G$7,G12-H12,IF(H12=0,IF(G12=0,0,Settings!$F$7),G12/H12))</f>
        <v>0</v>
      </c>
      <c r="J12" s="1">
        <f t="shared" ca="1" si="31"/>
        <v>0</v>
      </c>
      <c r="K12" s="28">
        <f t="shared" ca="1" si="6"/>
        <v>0</v>
      </c>
      <c r="L12" s="1">
        <f t="shared" ca="1" si="7"/>
        <v>0</v>
      </c>
      <c r="M12" s="1">
        <f t="shared" ca="1" si="8"/>
        <v>0</v>
      </c>
      <c r="N12" s="1">
        <f t="shared" ca="1" si="9"/>
        <v>0</v>
      </c>
      <c r="O12" s="1"/>
      <c r="P12" s="1"/>
      <c r="Q12" s="1"/>
      <c r="R12" s="1"/>
      <c r="S12" s="1"/>
      <c r="T12" s="1"/>
      <c r="U12" s="1"/>
      <c r="V12" s="1"/>
      <c r="W12" s="597" t="str">
        <f t="shared" ca="1" si="10"/>
        <v/>
      </c>
      <c r="X12" s="598" t="str">
        <f t="shared" ca="1" si="11"/>
        <v/>
      </c>
      <c r="Y12" s="599">
        <f t="shared" ca="1" si="12"/>
        <v>99999</v>
      </c>
      <c r="Z12" s="599">
        <f t="shared" ca="1" si="13"/>
        <v>1.0612000000000001</v>
      </c>
      <c r="AA12" s="600">
        <f t="shared" ca="1" si="14"/>
        <v>9</v>
      </c>
      <c r="AB12" s="597" t="str">
        <f t="shared" ca="1" si="15"/>
        <v/>
      </c>
      <c r="AC12" s="598" t="str">
        <f t="shared" ca="1" si="16"/>
        <v/>
      </c>
      <c r="AD12" s="601">
        <f t="shared" ca="1" si="17"/>
        <v>99999</v>
      </c>
      <c r="AE12" s="599">
        <f t="shared" ca="1" si="18"/>
        <v>1.0612000000000001</v>
      </c>
      <c r="AF12" s="599">
        <f t="shared" ca="1" si="19"/>
        <v>9</v>
      </c>
      <c r="AG12" s="597" t="str">
        <f t="shared" ca="1" si="20"/>
        <v/>
      </c>
      <c r="AH12" s="598" t="str">
        <f t="shared" ca="1" si="21"/>
        <v/>
      </c>
      <c r="AI12" s="601">
        <f t="shared" ca="1" si="22"/>
        <v>99999</v>
      </c>
      <c r="AJ12" s="599">
        <f t="shared" ca="1" si="23"/>
        <v>1.0612000000000001</v>
      </c>
      <c r="AK12" s="600">
        <f t="shared" ca="1" si="24"/>
        <v>9</v>
      </c>
      <c r="AL12" s="598" t="str">
        <f t="shared" ca="1" si="25"/>
        <v/>
      </c>
      <c r="AM12" s="598" t="str">
        <f t="shared" ca="1" si="26"/>
        <v/>
      </c>
      <c r="AN12" s="601">
        <f t="shared" ca="1" si="27"/>
        <v>99999</v>
      </c>
      <c r="AO12" s="599">
        <f t="shared" ca="1" si="28"/>
        <v>1.0612000000000001</v>
      </c>
      <c r="AP12" s="600">
        <f t="shared" ca="1" si="29"/>
        <v>9</v>
      </c>
      <c r="AR12" s="1">
        <f ca="1">IF(Settings!$G$7,$I12,ROUND($I12,Settings!$H$7))</f>
        <v>0</v>
      </c>
      <c r="AS12" s="1">
        <f t="shared" ca="1" si="32"/>
        <v>0</v>
      </c>
    </row>
    <row r="13" spans="1:45" s="2" customFormat="1" ht="12.75" thickTop="1" x14ac:dyDescent="0.2">
      <c r="B13" s="12">
        <f>$F$13*($F$13-1)</f>
        <v>20</v>
      </c>
      <c r="C13" s="12"/>
      <c r="D13" s="12"/>
      <c r="E13" s="12"/>
      <c r="F13" s="12">
        <f>9-COUNTBLANK($F$4:$F$12)</f>
        <v>5</v>
      </c>
      <c r="G13" s="12"/>
      <c r="H13" s="12"/>
      <c r="I13" s="12"/>
      <c r="J13" s="12"/>
      <c r="K13" s="27">
        <f ca="1">QUOTIENT(SUM(K4:K12),2)</f>
        <v>10</v>
      </c>
      <c r="L13" s="1"/>
      <c r="M13" s="1"/>
      <c r="N13" s="1"/>
      <c r="O13" s="1"/>
      <c r="P13" s="1"/>
      <c r="Q13" s="1"/>
      <c r="R13" s="1"/>
      <c r="S13" s="1"/>
      <c r="T13" s="1"/>
      <c r="U13" s="1"/>
      <c r="V13" s="1"/>
      <c r="Y13" s="1"/>
      <c r="Z13" s="1"/>
    </row>
    <row r="14" spans="1:45" s="2" customFormat="1" x14ac:dyDescent="0.2">
      <c r="B14" s="13">
        <f>MAX($B$13,Calc2!$B$13,Calc3!$B$13)/2*3</f>
        <v>30</v>
      </c>
      <c r="D14" s="1" t="s">
        <v>272</v>
      </c>
      <c r="F14" s="13">
        <f>MAX($F$13,Calc2!$F$13,Calc3!$F$13)</f>
        <v>5</v>
      </c>
      <c r="O14" s="1"/>
      <c r="P14" s="1"/>
      <c r="Q14" s="1"/>
      <c r="R14" s="1"/>
      <c r="S14" s="1"/>
      <c r="T14" s="1"/>
      <c r="U14" s="1"/>
      <c r="V14" s="1"/>
      <c r="W14" s="1"/>
      <c r="Y14" s="1"/>
      <c r="Z14" s="1"/>
    </row>
    <row r="15" spans="1:45" s="2" customFormat="1" x14ac:dyDescent="0.2">
      <c r="O15" s="11"/>
      <c r="AD15" s="1027" t="s">
        <v>184</v>
      </c>
      <c r="AE15" s="1028"/>
      <c r="AF15" s="1028"/>
      <c r="AG15" s="1028"/>
      <c r="AH15" s="1029"/>
      <c r="AI15" s="2" t="b">
        <v>0</v>
      </c>
      <c r="AK15" s="254"/>
    </row>
    <row r="16" spans="1:45"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398</v>
      </c>
      <c r="M16" s="25" t="s">
        <v>96</v>
      </c>
      <c r="N16" s="25"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$Q64</f>
        <v>1. FC Riedwald</v>
      </c>
      <c r="D17" s="1">
        <f t="shared" ref="D17:D25" ca="1" si="33">K4</f>
        <v>4</v>
      </c>
      <c r="E17" s="1">
        <f t="shared" ref="E17:E25" ca="1" si="34">L4</f>
        <v>0</v>
      </c>
      <c r="F17" s="1">
        <f t="shared" ref="F17:F25" ca="1" si="35">M4</f>
        <v>3</v>
      </c>
      <c r="G17" s="1">
        <f t="shared" ref="G17:G25" ca="1" si="36">N4</f>
        <v>1</v>
      </c>
      <c r="H17" s="1">
        <f t="shared" ref="H17:K25" ca="1" si="37">G4</f>
        <v>163</v>
      </c>
      <c r="I17" s="1">
        <f t="shared" ca="1" si="37"/>
        <v>190</v>
      </c>
      <c r="J17" s="12">
        <f t="shared" ca="1" si="37"/>
        <v>-27</v>
      </c>
      <c r="K17" s="1">
        <f t="shared" ca="1" si="37"/>
        <v>3</v>
      </c>
      <c r="L17" s="29">
        <f t="shared" ref="L17:L25" ca="1" si="38">K17*$F$64+(J17+$H$65)*$F$65</f>
        <v>3473000</v>
      </c>
      <c r="M17" s="13">
        <f t="shared" ref="M17:M25" ca="1" si="39">IF($AI$15,COUNTIF($K$17:$K$25,K17),COUNTIF($L$17:$L$25,L17))</f>
        <v>1</v>
      </c>
      <c r="N17" s="13">
        <f t="array" aca="1" ref="N17" ca="1">IF($AI$15,SUM(($K$17:$K$25&gt;=K17)/COUNTIF($K$17:$K$25,$K$17:$K$25)),SUM(($L$17:$L$25&gt;=L17)/COUNTIF($L$17:$L$25,$L$17:$L$25)))</f>
        <v>5</v>
      </c>
      <c r="O17" s="52" t="str">
        <f t="shared" ref="O17:O25" ca="1" si="40">IF(AND(M17&gt;1,N17=1),C17,"")</f>
        <v/>
      </c>
      <c r="P17" s="53" t="str">
        <f t="shared" ref="P17:P25" ca="1" si="41">IF(AND(M17&gt;1,N17=2),C17,"")</f>
        <v/>
      </c>
      <c r="Q17" s="53" t="str">
        <f t="shared" ref="Q17:Q25" ca="1" si="42">IF(AND(M17&gt;1,N17=3),C17,"")</f>
        <v/>
      </c>
      <c r="R17" s="53" t="str">
        <f t="shared" ref="R17:R25" ca="1" si="43">IF(AND(M17&gt;1,N17=4),C17,"")</f>
        <v/>
      </c>
      <c r="S17" s="53" t="str">
        <f t="shared" ref="S17:S25" ca="1" si="44">IF(AND(M17&gt;1,N17=5),C17,"")</f>
        <v/>
      </c>
      <c r="T17" s="53" t="str">
        <f t="shared" ref="T17:T25" ca="1" si="45">IF(AND($M17&gt;1,$N17=6),$C17,"")</f>
        <v/>
      </c>
      <c r="U17" s="53" t="str">
        <f t="shared" ref="U17:U25" ca="1" si="46">IF(AND($M17&gt;1,$N17=7),$C17,"")</f>
        <v/>
      </c>
      <c r="V17" s="54" t="str">
        <f t="shared" ref="V17:V25" ca="1" si="47">IF(AND($M17&gt;1,$N17=8),$C17,"")</f>
        <v/>
      </c>
      <c r="W17" s="62">
        <f t="shared" ref="W17:W25" ca="1" si="48">AA17*$F$64+(AB17+$H$65)*$F$65</f>
        <v>500000</v>
      </c>
      <c r="X17" s="20">
        <f t="shared" ref="X17:X25" ca="1" si="49">RANK($L17,$L$17:$L$25)+RANK($W17,$W$17:$W$25)/100+(9-$Y17)/10000</f>
        <v>5.0108999999999995</v>
      </c>
      <c r="Y17" s="12">
        <f>PreliminaryRound!$AQ12</f>
        <v>0</v>
      </c>
      <c r="Z17" s="1">
        <f t="shared" ref="Z17:Z25" ca="1" si="50">RANK($W17,$W$17:$W$25)+(9-$Y17)/10</f>
        <v>1.9</v>
      </c>
      <c r="AA17" s="1">
        <f t="shared" ref="AA17:AA25" ca="1" si="51">SUM(E30:BP30)</f>
        <v>0</v>
      </c>
      <c r="AB17" s="1">
        <f t="shared" ref="AB17:AB25" ca="1" si="52">SUM(E41:BP41)</f>
        <v>0</v>
      </c>
      <c r="AC17" s="1"/>
      <c r="AD17" s="260">
        <f t="shared" ref="AD17:AD25" ca="1" si="53">RANK($K17,$K$17:$K$25)</f>
        <v>4</v>
      </c>
      <c r="AE17" s="29">
        <f t="shared" ref="AE17:AE25" ca="1" si="54">(J17+$H$65)*$F$65</f>
        <v>473000</v>
      </c>
      <c r="AF17" s="1">
        <f t="shared" ref="AF17:AF25" ca="1" si="55">RANK($AE17,$AE$17:$AE$25)</f>
        <v>9</v>
      </c>
      <c r="AG17" s="1">
        <f t="shared" ref="AG17:AG25" ca="1" si="56">RANK($W17,$W$17:$W$25)</f>
        <v>1</v>
      </c>
      <c r="AH17" s="262">
        <f t="shared" ref="AH17:AH25" ca="1" si="57">AD17+AG17/100+AF17/10000+(10-Y17)/1000000</f>
        <v>4.0109099999999991</v>
      </c>
      <c r="AI17" s="1"/>
    </row>
    <row r="18" spans="2:80" s="2" customFormat="1" x14ac:dyDescent="0.2">
      <c r="C18" s="2" t="str">
        <f t="shared" ref="C18:C25" si="58">$Q65</f>
        <v>FC Barcelona</v>
      </c>
      <c r="D18" s="1">
        <f t="shared" ca="1" si="33"/>
        <v>4</v>
      </c>
      <c r="E18" s="1">
        <f t="shared" ca="1" si="34"/>
        <v>2</v>
      </c>
      <c r="F18" s="1">
        <f t="shared" ca="1" si="35"/>
        <v>2</v>
      </c>
      <c r="G18" s="1">
        <f t="shared" ca="1" si="36"/>
        <v>0</v>
      </c>
      <c r="H18" s="1">
        <f t="shared" ca="1" si="37"/>
        <v>187</v>
      </c>
      <c r="I18" s="1">
        <f t="shared" ca="1" si="37"/>
        <v>162</v>
      </c>
      <c r="J18" s="12">
        <f t="shared" ca="1" si="37"/>
        <v>25</v>
      </c>
      <c r="K18" s="1">
        <f t="shared" ca="1" si="37"/>
        <v>6</v>
      </c>
      <c r="L18" s="29">
        <f t="shared" ca="1" si="38"/>
        <v>6525000</v>
      </c>
      <c r="M18" s="13">
        <f t="shared" ca="1" si="39"/>
        <v>1</v>
      </c>
      <c r="N18" s="13">
        <f t="array" aca="1" ref="N18" ca="1">IF($AI$15,SUM(($K$17:$K$25&gt;=K18)/COUNTIF($K$17:$K$25,$K$17:$K$25)),SUM(($L$17:$L$25&gt;=L18)/COUNTIF($L$17:$L$25,$L$17:$L$25)))</f>
        <v>1</v>
      </c>
      <c r="O18" s="5" t="str">
        <f t="shared" ca="1" si="40"/>
        <v/>
      </c>
      <c r="P18" s="3" t="str">
        <f t="shared" ca="1" si="41"/>
        <v/>
      </c>
      <c r="Q18" s="3" t="str">
        <f t="shared" ca="1" si="42"/>
        <v/>
      </c>
      <c r="R18" s="3" t="str">
        <f t="shared" ca="1" si="43"/>
        <v/>
      </c>
      <c r="S18" s="3" t="str">
        <f t="shared" ca="1" si="44"/>
        <v/>
      </c>
      <c r="T18" s="3" t="str">
        <f t="shared" ca="1" si="45"/>
        <v/>
      </c>
      <c r="U18" s="3" t="str">
        <f t="shared" ca="1" si="46"/>
        <v/>
      </c>
      <c r="V18" s="55" t="str">
        <f t="shared" ca="1" si="47"/>
        <v/>
      </c>
      <c r="W18" s="62">
        <f t="shared" ca="1" si="48"/>
        <v>500000</v>
      </c>
      <c r="X18" s="21">
        <f t="shared" ca="1" si="49"/>
        <v>1.0108999999999999</v>
      </c>
      <c r="Y18" s="12">
        <f>PreliminaryRound!$AQ13</f>
        <v>0</v>
      </c>
      <c r="Z18" s="1">
        <f t="shared" ca="1" si="50"/>
        <v>1.9</v>
      </c>
      <c r="AA18" s="1">
        <f t="shared" ca="1" si="51"/>
        <v>0</v>
      </c>
      <c r="AB18" s="1">
        <f t="shared" ca="1" si="52"/>
        <v>0</v>
      </c>
      <c r="AC18" s="1"/>
      <c r="AD18" s="260">
        <f t="shared" ca="1" si="53"/>
        <v>1</v>
      </c>
      <c r="AE18" s="29">
        <f t="shared" ca="1" si="54"/>
        <v>525000</v>
      </c>
      <c r="AF18" s="1">
        <f t="shared" ca="1" si="55"/>
        <v>1</v>
      </c>
      <c r="AG18" s="1">
        <f t="shared" ca="1" si="56"/>
        <v>1</v>
      </c>
      <c r="AH18" s="263">
        <f t="shared" ca="1" si="57"/>
        <v>1.0101100000000001</v>
      </c>
      <c r="AI18" s="1"/>
    </row>
    <row r="19" spans="2:80" s="2" customFormat="1" x14ac:dyDescent="0.2">
      <c r="C19" s="2" t="str">
        <f t="shared" si="58"/>
        <v>Eintracht Frankfurt</v>
      </c>
      <c r="D19" s="1">
        <f t="shared" ca="1" si="33"/>
        <v>4</v>
      </c>
      <c r="E19" s="1">
        <f t="shared" ca="1" si="34"/>
        <v>1</v>
      </c>
      <c r="F19" s="1">
        <f t="shared" ca="1" si="35"/>
        <v>2</v>
      </c>
      <c r="G19" s="1">
        <f t="shared" ca="1" si="36"/>
        <v>1</v>
      </c>
      <c r="H19" s="1">
        <f t="shared" ca="1" si="37"/>
        <v>176</v>
      </c>
      <c r="I19" s="1">
        <f t="shared" ca="1" si="37"/>
        <v>173</v>
      </c>
      <c r="J19" s="12">
        <f t="shared" ca="1" si="37"/>
        <v>3</v>
      </c>
      <c r="K19" s="1">
        <f t="shared" ca="1" si="37"/>
        <v>4</v>
      </c>
      <c r="L19" s="29">
        <f t="shared" ca="1" si="38"/>
        <v>4503000</v>
      </c>
      <c r="M19" s="13">
        <f t="shared" ca="1" si="39"/>
        <v>1</v>
      </c>
      <c r="N19" s="13">
        <f t="array" aca="1" ref="N19" ca="1">IF($AI$15,SUM(($K$17:$K$25&gt;=K19)/COUNTIF($K$17:$K$25,$K$17:$K$25)),SUM(($L$17:$L$25&gt;=L19)/COUNTIF($L$17:$L$25,$L$17:$L$25)))</f>
        <v>2</v>
      </c>
      <c r="O19" s="5" t="str">
        <f t="shared" ca="1" si="40"/>
        <v/>
      </c>
      <c r="P19" s="3" t="str">
        <f t="shared" ca="1" si="41"/>
        <v/>
      </c>
      <c r="Q19" s="3" t="str">
        <f t="shared" ca="1" si="42"/>
        <v/>
      </c>
      <c r="R19" s="3" t="str">
        <f t="shared" ca="1" si="43"/>
        <v/>
      </c>
      <c r="S19" s="3" t="str">
        <f t="shared" ca="1" si="44"/>
        <v/>
      </c>
      <c r="T19" s="3" t="str">
        <f t="shared" ca="1" si="45"/>
        <v/>
      </c>
      <c r="U19" s="3" t="str">
        <f t="shared" ca="1" si="46"/>
        <v/>
      </c>
      <c r="V19" s="55" t="str">
        <f t="shared" ca="1" si="47"/>
        <v/>
      </c>
      <c r="W19" s="62">
        <f t="shared" ca="1" si="48"/>
        <v>500000</v>
      </c>
      <c r="X19" s="21">
        <f t="shared" ca="1" si="49"/>
        <v>2.0108999999999999</v>
      </c>
      <c r="Y19" s="12">
        <f>PreliminaryRound!$AQ14</f>
        <v>0</v>
      </c>
      <c r="Z19" s="1">
        <f t="shared" ca="1" si="50"/>
        <v>1.9</v>
      </c>
      <c r="AA19" s="1">
        <f t="shared" ca="1" si="51"/>
        <v>0</v>
      </c>
      <c r="AB19" s="1">
        <f t="shared" ca="1" si="52"/>
        <v>0</v>
      </c>
      <c r="AC19" s="1"/>
      <c r="AD19" s="260">
        <f t="shared" ca="1" si="53"/>
        <v>2</v>
      </c>
      <c r="AE19" s="29">
        <f t="shared" ca="1" si="54"/>
        <v>503000</v>
      </c>
      <c r="AF19" s="1">
        <f t="shared" ca="1" si="55"/>
        <v>2</v>
      </c>
      <c r="AG19" s="1">
        <f t="shared" ca="1" si="56"/>
        <v>1</v>
      </c>
      <c r="AH19" s="263">
        <f t="shared" ca="1" si="57"/>
        <v>2.0102099999999998</v>
      </c>
      <c r="AI19" s="1"/>
    </row>
    <row r="20" spans="2:80" s="2" customFormat="1" x14ac:dyDescent="0.2">
      <c r="C20" s="2" t="str">
        <f t="shared" si="58"/>
        <v>Maibach 1822 eV</v>
      </c>
      <c r="D20" s="1">
        <f t="shared" ca="1" si="33"/>
        <v>4</v>
      </c>
      <c r="E20" s="1">
        <f t="shared" ca="1" si="34"/>
        <v>1</v>
      </c>
      <c r="F20" s="1">
        <f t="shared" ca="1" si="35"/>
        <v>1</v>
      </c>
      <c r="G20" s="1">
        <f t="shared" ca="1" si="36"/>
        <v>2</v>
      </c>
      <c r="H20" s="1">
        <f t="shared" ca="1" si="37"/>
        <v>174</v>
      </c>
      <c r="I20" s="1">
        <f t="shared" ca="1" si="37"/>
        <v>174</v>
      </c>
      <c r="J20" s="12">
        <f t="shared" ca="1" si="37"/>
        <v>0</v>
      </c>
      <c r="K20" s="1">
        <f t="shared" ca="1" si="37"/>
        <v>3</v>
      </c>
      <c r="L20" s="29">
        <f t="shared" ca="1" si="38"/>
        <v>3500000</v>
      </c>
      <c r="M20" s="13">
        <f t="shared" ca="1" si="39"/>
        <v>1</v>
      </c>
      <c r="N20" s="13">
        <f t="array" aca="1" ref="N20" ca="1">IF($AI$15,SUM(($K$17:$K$25&gt;=K20)/COUNTIF($K$17:$K$25,$K$17:$K$25)),SUM(($L$17:$L$25&gt;=L20)/COUNTIF($L$17:$L$25,$L$17:$L$25)))</f>
        <v>4</v>
      </c>
      <c r="O20" s="5" t="str">
        <f t="shared" ca="1" si="40"/>
        <v/>
      </c>
      <c r="P20" s="3" t="str">
        <f t="shared" ca="1" si="41"/>
        <v/>
      </c>
      <c r="Q20" s="3" t="str">
        <f t="shared" ca="1" si="42"/>
        <v/>
      </c>
      <c r="R20" s="3" t="str">
        <f t="shared" ca="1" si="43"/>
        <v/>
      </c>
      <c r="S20" s="3" t="str">
        <f t="shared" ca="1" si="44"/>
        <v/>
      </c>
      <c r="T20" s="3" t="str">
        <f t="shared" ca="1" si="45"/>
        <v/>
      </c>
      <c r="U20" s="3" t="str">
        <f t="shared" ca="1" si="46"/>
        <v/>
      </c>
      <c r="V20" s="55" t="str">
        <f t="shared" ca="1" si="47"/>
        <v/>
      </c>
      <c r="W20" s="62">
        <f t="shared" ca="1" si="48"/>
        <v>500000</v>
      </c>
      <c r="X20" s="21">
        <f t="shared" ca="1" si="49"/>
        <v>4.0108999999999995</v>
      </c>
      <c r="Y20" s="12">
        <f>PreliminaryRound!$AQ15</f>
        <v>0</v>
      </c>
      <c r="Z20" s="1">
        <f t="shared" ca="1" si="50"/>
        <v>1.9</v>
      </c>
      <c r="AA20" s="1">
        <f t="shared" ca="1" si="51"/>
        <v>0</v>
      </c>
      <c r="AB20" s="1">
        <f t="shared" ca="1" si="52"/>
        <v>0</v>
      </c>
      <c r="AC20" s="1"/>
      <c r="AD20" s="260">
        <f t="shared" ca="1" si="53"/>
        <v>4</v>
      </c>
      <c r="AE20" s="29">
        <f t="shared" ca="1" si="54"/>
        <v>500000</v>
      </c>
      <c r="AF20" s="1">
        <f t="shared" ca="1" si="55"/>
        <v>3</v>
      </c>
      <c r="AG20" s="1">
        <f t="shared" ca="1" si="56"/>
        <v>1</v>
      </c>
      <c r="AH20" s="263">
        <f t="shared" ca="1" si="57"/>
        <v>4.0103099999999996</v>
      </c>
      <c r="AI20" s="1"/>
    </row>
    <row r="21" spans="2:80" s="2" customFormat="1" x14ac:dyDescent="0.2">
      <c r="C21" s="2" t="str">
        <f t="shared" si="58"/>
        <v>VFB Essenheim</v>
      </c>
      <c r="D21" s="1">
        <f t="shared" ca="1" si="33"/>
        <v>4</v>
      </c>
      <c r="E21" s="1">
        <f t="shared" ca="1" si="34"/>
        <v>1</v>
      </c>
      <c r="F21" s="1">
        <f t="shared" ca="1" si="35"/>
        <v>2</v>
      </c>
      <c r="G21" s="1">
        <f t="shared" ca="1" si="36"/>
        <v>1</v>
      </c>
      <c r="H21" s="1">
        <f t="shared" ca="1" si="37"/>
        <v>180</v>
      </c>
      <c r="I21" s="1">
        <f t="shared" ca="1" si="37"/>
        <v>181</v>
      </c>
      <c r="J21" s="12">
        <f t="shared" ca="1" si="37"/>
        <v>-1</v>
      </c>
      <c r="K21" s="1">
        <f t="shared" ca="1" si="37"/>
        <v>4</v>
      </c>
      <c r="L21" s="29">
        <f t="shared" ca="1" si="38"/>
        <v>4499000</v>
      </c>
      <c r="M21" s="13">
        <f t="shared" ca="1" si="39"/>
        <v>1</v>
      </c>
      <c r="N21" s="13">
        <f t="array" aca="1" ref="N21" ca="1">IF($AI$15,SUM(($K$17:$K$25&gt;=K21)/COUNTIF($K$17:$K$25,$K$17:$K$25)),SUM(($L$17:$L$25&gt;=L21)/COUNTIF($L$17:$L$25,$L$17:$L$25)))</f>
        <v>3</v>
      </c>
      <c r="O21" s="5" t="str">
        <f t="shared" ca="1" si="40"/>
        <v/>
      </c>
      <c r="P21" s="3" t="str">
        <f t="shared" ca="1" si="41"/>
        <v/>
      </c>
      <c r="Q21" s="3" t="str">
        <f t="shared" ca="1" si="42"/>
        <v/>
      </c>
      <c r="R21" s="3" t="str">
        <f t="shared" ca="1" si="43"/>
        <v/>
      </c>
      <c r="S21" s="3" t="str">
        <f t="shared" ca="1" si="44"/>
        <v/>
      </c>
      <c r="T21" s="3" t="str">
        <f t="shared" ca="1" si="45"/>
        <v/>
      </c>
      <c r="U21" s="3" t="str">
        <f t="shared" ca="1" si="46"/>
        <v/>
      </c>
      <c r="V21" s="55" t="str">
        <f t="shared" ca="1" si="47"/>
        <v/>
      </c>
      <c r="W21" s="62">
        <f t="shared" ca="1" si="48"/>
        <v>500000</v>
      </c>
      <c r="X21" s="21">
        <f t="shared" ca="1" si="49"/>
        <v>3.0108999999999999</v>
      </c>
      <c r="Y21" s="12">
        <f>PreliminaryRound!$AQ16</f>
        <v>0</v>
      </c>
      <c r="Z21" s="1">
        <f t="shared" ca="1" si="50"/>
        <v>1.9</v>
      </c>
      <c r="AA21" s="1">
        <f t="shared" ca="1" si="51"/>
        <v>0</v>
      </c>
      <c r="AB21" s="1">
        <f t="shared" ca="1" si="52"/>
        <v>0</v>
      </c>
      <c r="AC21" s="1"/>
      <c r="AD21" s="260">
        <f t="shared" ca="1" si="53"/>
        <v>2</v>
      </c>
      <c r="AE21" s="29">
        <f t="shared" ca="1" si="54"/>
        <v>499000</v>
      </c>
      <c r="AF21" s="1">
        <f t="shared" ca="1" si="55"/>
        <v>8</v>
      </c>
      <c r="AG21" s="1">
        <f t="shared" ca="1" si="56"/>
        <v>1</v>
      </c>
      <c r="AH21" s="263">
        <f t="shared" ca="1" si="57"/>
        <v>2.0108099999999998</v>
      </c>
      <c r="AI21" s="1"/>
    </row>
    <row r="22" spans="2:80" s="2" customFormat="1" x14ac:dyDescent="0.2">
      <c r="C22" s="2" t="str">
        <f t="shared" si="58"/>
        <v/>
      </c>
      <c r="D22" s="1">
        <f t="shared" ca="1" si="33"/>
        <v>0</v>
      </c>
      <c r="E22" s="1">
        <f t="shared" ca="1" si="34"/>
        <v>0</v>
      </c>
      <c r="F22" s="1">
        <f t="shared" ca="1" si="35"/>
        <v>0</v>
      </c>
      <c r="G22" s="1">
        <f t="shared" ca="1" si="36"/>
        <v>0</v>
      </c>
      <c r="H22" s="1">
        <f t="shared" ca="1" si="37"/>
        <v>0</v>
      </c>
      <c r="I22" s="1">
        <f t="shared" ca="1" si="37"/>
        <v>0</v>
      </c>
      <c r="J22" s="12">
        <f t="shared" ca="1" si="37"/>
        <v>0</v>
      </c>
      <c r="K22" s="1">
        <f t="shared" ca="1" si="37"/>
        <v>0</v>
      </c>
      <c r="L22" s="29">
        <f t="shared" ca="1" si="38"/>
        <v>500000</v>
      </c>
      <c r="M22" s="13">
        <f t="shared" ca="1" si="39"/>
        <v>4</v>
      </c>
      <c r="N22" s="13">
        <f t="array" aca="1" ref="N22" ca="1">IF($AI$15,SUM(($K$17:$K$25&gt;=K22)/COUNTIF($K$17:$K$25,$K$17:$K$25)),SUM(($L$17:$L$25&gt;=L22)/COUNTIF($L$17:$L$25,$L$17:$L$25)))</f>
        <v>6</v>
      </c>
      <c r="O22" s="5" t="str">
        <f t="shared" ca="1" si="40"/>
        <v/>
      </c>
      <c r="P22" s="3" t="str">
        <f t="shared" ca="1" si="41"/>
        <v/>
      </c>
      <c r="Q22" s="3" t="str">
        <f t="shared" ca="1" si="42"/>
        <v/>
      </c>
      <c r="R22" s="3" t="str">
        <f t="shared" ca="1" si="43"/>
        <v/>
      </c>
      <c r="S22" s="3" t="str">
        <f t="shared" ca="1" si="44"/>
        <v/>
      </c>
      <c r="T22" s="3" t="str">
        <f t="shared" ca="1" si="45"/>
        <v/>
      </c>
      <c r="U22" s="3" t="str">
        <f t="shared" ca="1" si="46"/>
        <v/>
      </c>
      <c r="V22" s="55" t="str">
        <f t="shared" ca="1" si="47"/>
        <v/>
      </c>
      <c r="W22" s="62">
        <f t="shared" ca="1" si="48"/>
        <v>500000</v>
      </c>
      <c r="X22" s="21">
        <f t="shared" ca="1" si="49"/>
        <v>6.0108999999999995</v>
      </c>
      <c r="Y22" s="12">
        <f>PreliminaryRound!$AQ17</f>
        <v>0</v>
      </c>
      <c r="Z22" s="1">
        <f t="shared" ca="1" si="50"/>
        <v>1.9</v>
      </c>
      <c r="AA22" s="1">
        <f t="shared" ca="1" si="51"/>
        <v>0</v>
      </c>
      <c r="AB22" s="1">
        <f t="shared" ca="1" si="52"/>
        <v>0</v>
      </c>
      <c r="AC22" s="1"/>
      <c r="AD22" s="260">
        <f t="shared" ca="1" si="53"/>
        <v>6</v>
      </c>
      <c r="AE22" s="29">
        <f t="shared" ca="1" si="54"/>
        <v>500000</v>
      </c>
      <c r="AF22" s="1">
        <f t="shared" ca="1" si="55"/>
        <v>3</v>
      </c>
      <c r="AG22" s="1">
        <f t="shared" ca="1" si="56"/>
        <v>1</v>
      </c>
      <c r="AH22" s="263">
        <f t="shared" ca="1" si="57"/>
        <v>6.0103099999999996</v>
      </c>
      <c r="AI22" s="1"/>
    </row>
    <row r="23" spans="2:80" s="2" customFormat="1" x14ac:dyDescent="0.2">
      <c r="C23" s="2" t="str">
        <f t="shared" si="58"/>
        <v/>
      </c>
      <c r="D23" s="1">
        <f t="shared" ca="1" si="33"/>
        <v>0</v>
      </c>
      <c r="E23" s="1">
        <f t="shared" ca="1" si="34"/>
        <v>0</v>
      </c>
      <c r="F23" s="1">
        <f t="shared" ca="1" si="35"/>
        <v>0</v>
      </c>
      <c r="G23" s="1">
        <f t="shared" ca="1" si="36"/>
        <v>0</v>
      </c>
      <c r="H23" s="1">
        <f t="shared" ca="1" si="37"/>
        <v>0</v>
      </c>
      <c r="I23" s="1">
        <f t="shared" ca="1" si="37"/>
        <v>0</v>
      </c>
      <c r="J23" s="12">
        <f t="shared" ca="1" si="37"/>
        <v>0</v>
      </c>
      <c r="K23" s="1">
        <f t="shared" ca="1" si="37"/>
        <v>0</v>
      </c>
      <c r="L23" s="29">
        <f t="shared" ca="1" si="38"/>
        <v>500000</v>
      </c>
      <c r="M23" s="13">
        <f t="shared" ca="1" si="39"/>
        <v>4</v>
      </c>
      <c r="N23" s="13">
        <f t="array" aca="1" ref="N23" ca="1">IF($AI$15,SUM(($K$17:$K$25&gt;=K23)/COUNTIF($K$17:$K$25,$K$17:$K$25)),SUM(($L$17:$L$25&gt;=L23)/COUNTIF($L$17:$L$25,$L$17:$L$25)))</f>
        <v>6</v>
      </c>
      <c r="O23" s="5" t="str">
        <f t="shared" ca="1" si="40"/>
        <v/>
      </c>
      <c r="P23" s="3" t="str">
        <f t="shared" ca="1" si="41"/>
        <v/>
      </c>
      <c r="Q23" s="3" t="str">
        <f t="shared" ca="1" si="42"/>
        <v/>
      </c>
      <c r="R23" s="3" t="str">
        <f t="shared" ca="1" si="43"/>
        <v/>
      </c>
      <c r="S23" s="3" t="str">
        <f t="shared" ca="1" si="44"/>
        <v/>
      </c>
      <c r="T23" s="3" t="str">
        <f t="shared" ca="1" si="45"/>
        <v/>
      </c>
      <c r="U23" s="3" t="str">
        <f t="shared" ca="1" si="46"/>
        <v/>
      </c>
      <c r="V23" s="55" t="str">
        <f t="shared" ca="1" si="47"/>
        <v/>
      </c>
      <c r="W23" s="62">
        <f t="shared" ca="1" si="48"/>
        <v>500000</v>
      </c>
      <c r="X23" s="21">
        <f t="shared" ca="1" si="49"/>
        <v>6.0108999999999995</v>
      </c>
      <c r="Y23" s="12">
        <v>0</v>
      </c>
      <c r="Z23" s="1">
        <f t="shared" ca="1" si="50"/>
        <v>1.9</v>
      </c>
      <c r="AA23" s="1">
        <f t="shared" ca="1" si="51"/>
        <v>0</v>
      </c>
      <c r="AB23" s="1">
        <f t="shared" ca="1" si="52"/>
        <v>0</v>
      </c>
      <c r="AC23" s="1"/>
      <c r="AD23" s="260">
        <f t="shared" ca="1" si="53"/>
        <v>6</v>
      </c>
      <c r="AE23" s="29">
        <f t="shared" ca="1" si="54"/>
        <v>500000</v>
      </c>
      <c r="AF23" s="1">
        <f t="shared" ca="1" si="55"/>
        <v>3</v>
      </c>
      <c r="AG23" s="1">
        <f t="shared" ca="1" si="56"/>
        <v>1</v>
      </c>
      <c r="AH23" s="263">
        <f t="shared" ca="1" si="57"/>
        <v>6.0103099999999996</v>
      </c>
      <c r="AI23" s="1"/>
    </row>
    <row r="24" spans="2:80" s="2" customFormat="1" x14ac:dyDescent="0.2">
      <c r="C24" s="2" t="str">
        <f t="shared" si="58"/>
        <v/>
      </c>
      <c r="D24" s="1">
        <f t="shared" ca="1" si="33"/>
        <v>0</v>
      </c>
      <c r="E24" s="1">
        <f t="shared" ca="1" si="34"/>
        <v>0</v>
      </c>
      <c r="F24" s="1">
        <f t="shared" ca="1" si="35"/>
        <v>0</v>
      </c>
      <c r="G24" s="1">
        <f t="shared" ca="1" si="36"/>
        <v>0</v>
      </c>
      <c r="H24" s="1">
        <f t="shared" ca="1" si="37"/>
        <v>0</v>
      </c>
      <c r="I24" s="1">
        <f t="shared" ca="1" si="37"/>
        <v>0</v>
      </c>
      <c r="J24" s="12">
        <f t="shared" ca="1" si="37"/>
        <v>0</v>
      </c>
      <c r="K24" s="1">
        <f t="shared" ca="1" si="37"/>
        <v>0</v>
      </c>
      <c r="L24" s="29">
        <f t="shared" ca="1" si="38"/>
        <v>500000</v>
      </c>
      <c r="M24" s="13">
        <f t="shared" ca="1" si="39"/>
        <v>4</v>
      </c>
      <c r="N24" s="13">
        <f t="array" aca="1" ref="N24" ca="1">IF($AI$15,SUM(($K$17:$K$25&gt;=K24)/COUNTIF($K$17:$K$25,$K$17:$K$25)),SUM(($L$17:$L$25&gt;=L24)/COUNTIF($L$17:$L$25,$L$17:$L$25)))</f>
        <v>6</v>
      </c>
      <c r="O24" s="5" t="str">
        <f t="shared" ca="1" si="40"/>
        <v/>
      </c>
      <c r="P24" s="3" t="str">
        <f t="shared" ca="1" si="41"/>
        <v/>
      </c>
      <c r="Q24" s="3" t="str">
        <f t="shared" ca="1" si="42"/>
        <v/>
      </c>
      <c r="R24" s="3" t="str">
        <f t="shared" ca="1" si="43"/>
        <v/>
      </c>
      <c r="S24" s="3" t="str">
        <f t="shared" ca="1" si="44"/>
        <v/>
      </c>
      <c r="T24" s="3" t="str">
        <f t="shared" ca="1" si="45"/>
        <v/>
      </c>
      <c r="U24" s="3" t="str">
        <f t="shared" ca="1" si="46"/>
        <v/>
      </c>
      <c r="V24" s="55" t="str">
        <f t="shared" ca="1" si="47"/>
        <v/>
      </c>
      <c r="W24" s="62">
        <f t="shared" ca="1" si="48"/>
        <v>500000</v>
      </c>
      <c r="X24" s="21">
        <f t="shared" ca="1" si="49"/>
        <v>6.0108999999999995</v>
      </c>
      <c r="Y24" s="12">
        <v>0</v>
      </c>
      <c r="Z24" s="1">
        <f t="shared" ca="1" si="50"/>
        <v>1.9</v>
      </c>
      <c r="AA24" s="1">
        <f t="shared" ca="1" si="51"/>
        <v>0</v>
      </c>
      <c r="AB24" s="1">
        <f t="shared" ca="1" si="52"/>
        <v>0</v>
      </c>
      <c r="AC24" s="1"/>
      <c r="AD24" s="260">
        <f t="shared" ca="1" si="53"/>
        <v>6</v>
      </c>
      <c r="AE24" s="29">
        <f t="shared" ca="1" si="54"/>
        <v>500000</v>
      </c>
      <c r="AF24" s="1">
        <f t="shared" ca="1" si="55"/>
        <v>3</v>
      </c>
      <c r="AG24" s="1">
        <f t="shared" ca="1" si="56"/>
        <v>1</v>
      </c>
      <c r="AH24" s="263">
        <f t="shared" ca="1" si="57"/>
        <v>6.0103099999999996</v>
      </c>
      <c r="AI24" s="1"/>
    </row>
    <row r="25" spans="2:80" s="2" customFormat="1" ht="12.75" thickBot="1" x14ac:dyDescent="0.25">
      <c r="C25" s="2" t="str">
        <f t="shared" si="58"/>
        <v/>
      </c>
      <c r="D25" s="1">
        <f t="shared" ca="1" si="33"/>
        <v>0</v>
      </c>
      <c r="E25" s="1">
        <f t="shared" ca="1" si="34"/>
        <v>0</v>
      </c>
      <c r="F25" s="1">
        <f t="shared" ca="1" si="35"/>
        <v>0</v>
      </c>
      <c r="G25" s="1">
        <f t="shared" ca="1" si="36"/>
        <v>0</v>
      </c>
      <c r="H25" s="1">
        <f t="shared" ca="1" si="37"/>
        <v>0</v>
      </c>
      <c r="I25" s="1">
        <f t="shared" ca="1" si="37"/>
        <v>0</v>
      </c>
      <c r="J25" s="12">
        <f t="shared" ca="1" si="37"/>
        <v>0</v>
      </c>
      <c r="K25" s="1">
        <f t="shared" ca="1" si="37"/>
        <v>0</v>
      </c>
      <c r="L25" s="29">
        <f t="shared" ca="1" si="38"/>
        <v>500000</v>
      </c>
      <c r="M25" s="13">
        <f t="shared" ca="1" si="39"/>
        <v>4</v>
      </c>
      <c r="N25" s="13">
        <f t="array" aca="1" ref="N25" ca="1">IF($AI$15,SUM(($K$17:$K$25&gt;=K25)/COUNTIF($K$17:$K$25,$K$17:$K$25)),SUM(($L$17:$L$25&gt;=L25)/COUNTIF($L$17:$L$25,$L$17:$L$25)))</f>
        <v>6</v>
      </c>
      <c r="O25" s="56" t="str">
        <f t="shared" ca="1" si="40"/>
        <v/>
      </c>
      <c r="P25" s="57" t="str">
        <f t="shared" ca="1" si="41"/>
        <v/>
      </c>
      <c r="Q25" s="57" t="str">
        <f t="shared" ca="1" si="42"/>
        <v/>
      </c>
      <c r="R25" s="57" t="str">
        <f t="shared" ca="1" si="43"/>
        <v/>
      </c>
      <c r="S25" s="57" t="str">
        <f t="shared" ca="1" si="44"/>
        <v/>
      </c>
      <c r="T25" s="57" t="str">
        <f t="shared" ca="1" si="45"/>
        <v/>
      </c>
      <c r="U25" s="57" t="str">
        <f t="shared" ca="1" si="46"/>
        <v/>
      </c>
      <c r="V25" s="58" t="str">
        <f t="shared" ca="1" si="47"/>
        <v/>
      </c>
      <c r="W25" s="62">
        <f t="shared" ca="1" si="48"/>
        <v>500000</v>
      </c>
      <c r="X25" s="22">
        <f t="shared" ca="1" si="49"/>
        <v>6.0108999999999995</v>
      </c>
      <c r="Y25" s="12">
        <v>0</v>
      </c>
      <c r="Z25" s="1">
        <f t="shared" ca="1" si="50"/>
        <v>1.9</v>
      </c>
      <c r="AA25" s="1">
        <f t="shared" ca="1" si="51"/>
        <v>0</v>
      </c>
      <c r="AB25" s="1">
        <f t="shared" ca="1" si="52"/>
        <v>0</v>
      </c>
      <c r="AC25" s="1"/>
      <c r="AD25" s="260">
        <f t="shared" ca="1" si="53"/>
        <v>6</v>
      </c>
      <c r="AE25" s="29">
        <f t="shared" ca="1" si="54"/>
        <v>500000</v>
      </c>
      <c r="AF25" s="1">
        <f t="shared" ca="1" si="55"/>
        <v>3</v>
      </c>
      <c r="AG25" s="1">
        <f t="shared" ca="1" si="56"/>
        <v>1</v>
      </c>
      <c r="AH25" s="264">
        <f t="shared" ca="1" si="57"/>
        <v>6.0103099999999996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1"/>
    </row>
    <row r="30" spans="2:80" s="2" customFormat="1" x14ac:dyDescent="0.2">
      <c r="C30" s="2" t="str">
        <f>$Q64</f>
        <v>1. FC Riedwald</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si="59">F4</f>
        <v>1. FC Riedwald</v>
      </c>
      <c r="BS30" s="6"/>
      <c r="BT30" s="7">
        <f t="shared" ref="BT30:CA30" ca="1" si="60">SUMIFS($X$64:$X$135,$V$64:$V$135,$BR30,$W$64:$W$135,BT$29)+SUMIFS($Y$64:$Y$135,$W$64:$W$135,$BR30,$V$64:$V$135,BT$29)+SUMIFS($AG$64:$AG$135,$V$64:$V$135,$BR30,$W$64:$W$135,BT$29)+SUMIFS($AH$64:$AH$135,$W$64:$W$135,$BR30,$V$64:$V$135,BT$29)</f>
        <v>44</v>
      </c>
      <c r="BU30" s="7">
        <f t="shared" ca="1" si="60"/>
        <v>42</v>
      </c>
      <c r="BV30" s="7">
        <f t="shared" ca="1" si="60"/>
        <v>29</v>
      </c>
      <c r="BW30" s="7">
        <f t="shared" ca="1" si="60"/>
        <v>48</v>
      </c>
      <c r="BX30" s="7">
        <f t="shared" ca="1" si="60"/>
        <v>0</v>
      </c>
      <c r="BY30" s="7">
        <f t="shared" ca="1" si="60"/>
        <v>0</v>
      </c>
      <c r="BZ30" s="7">
        <f t="shared" ca="1" si="60"/>
        <v>0</v>
      </c>
      <c r="CA30" s="7">
        <f t="shared" ca="1" si="60"/>
        <v>0</v>
      </c>
      <c r="CB30" s="3"/>
    </row>
    <row r="31" spans="2:80" s="2" customFormat="1" x14ac:dyDescent="0.2">
      <c r="C31" s="2" t="str">
        <f t="shared" ref="C31:C38" si="61">$Q65</f>
        <v>FC Barcelona</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si="59"/>
        <v>FC Barcelona</v>
      </c>
      <c r="BS31" s="8">
        <f t="shared" ref="BS31:BS38" ca="1" si="62">SUMIFS($X$64:$X$135,$V$64:$V$135,$BR31,$W$64:$W$135,BS$29)+SUMIFS($Y$64:$Y$135,$W$64:$W$135,$BR31,$V$64:$V$135,BS$29)+SUMIFS($AG$64:$AG$135,$V$64:$V$135,$BR31,$W$64:$W$135,BS$29)+SUMIFS($AH$64:$AH$135,$W$64:$W$135,$BR31,$V$64:$V$135,BS$29)</f>
        <v>48</v>
      </c>
      <c r="BT31" s="6"/>
      <c r="BU31" s="7">
        <f t="shared" ref="BU31:CA31" ca="1" si="63">SUMIFS($X$64:$X$135,$V$64:$V$135,$BR31,$W$64:$W$135,BU$29)+SUMIFS($Y$64:$Y$135,$W$64:$W$135,$BR31,$V$64:$V$135,BU$29)+SUMIFS($AG$64:$AG$135,$V$64:$V$135,$BR31,$W$64:$W$135,BU$29)+SUMIFS($AH$64:$AH$135,$W$64:$W$135,$BR31,$V$64:$V$135,BU$29)</f>
        <v>39</v>
      </c>
      <c r="BV31" s="7">
        <f t="shared" ca="1" si="63"/>
        <v>50</v>
      </c>
      <c r="BW31" s="7">
        <f t="shared" ca="1" si="63"/>
        <v>50</v>
      </c>
      <c r="BX31" s="7">
        <f t="shared" ca="1" si="63"/>
        <v>0</v>
      </c>
      <c r="BY31" s="7">
        <f t="shared" ca="1" si="63"/>
        <v>0</v>
      </c>
      <c r="BZ31" s="7">
        <f t="shared" ca="1" si="63"/>
        <v>0</v>
      </c>
      <c r="CA31" s="7">
        <f t="shared" ca="1" si="63"/>
        <v>0</v>
      </c>
      <c r="CB31" s="3"/>
    </row>
    <row r="32" spans="2:80" s="2" customFormat="1" x14ac:dyDescent="0.2">
      <c r="C32" s="2" t="str">
        <f t="shared" si="61"/>
        <v>Eintracht Frankfurt</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si="59"/>
        <v>Eintracht Frankfurt</v>
      </c>
      <c r="BS32" s="8">
        <f t="shared" ca="1" si="62"/>
        <v>44</v>
      </c>
      <c r="BT32" s="8">
        <f t="shared" ref="BT32:BT38" ca="1" si="64">SUMIFS($X$64:$X$135,$V$64:$V$135,$BR32,$W$64:$W$135,BT$29)+SUMIFS($Y$64:$Y$135,$W$64:$W$135,$BR32,$V$64:$V$135,BT$29)+SUMIFS($AG$64:$AG$135,$V$64:$V$135,$BR32,$W$64:$W$135,BT$29)+SUMIFS($AH$64:$AH$135,$W$64:$W$135,$BR32,$V$64:$V$135,BT$29)</f>
        <v>44</v>
      </c>
      <c r="BU32" s="6"/>
      <c r="BV32" s="7">
        <f t="shared" ref="BV32:CA32" ca="1" si="65">SUMIFS($X$64:$X$135,$V$64:$V$135,$BR32,$W$64:$W$135,BV$29)+SUMIFS($Y$64:$Y$135,$W$64:$W$135,$BR32,$V$64:$V$135,BV$29)+SUMIFS($AG$64:$AG$135,$V$64:$V$135,$BR32,$W$64:$W$135,BV$29)+SUMIFS($AH$64:$AH$135,$W$64:$W$135,$BR32,$V$64:$V$135,BV$29)</f>
        <v>50</v>
      </c>
      <c r="BW32" s="7">
        <f t="shared" ca="1" si="65"/>
        <v>38</v>
      </c>
      <c r="BX32" s="7">
        <f t="shared" ca="1" si="65"/>
        <v>0</v>
      </c>
      <c r="BY32" s="7">
        <f t="shared" ca="1" si="65"/>
        <v>0</v>
      </c>
      <c r="BZ32" s="7">
        <f t="shared" ca="1" si="65"/>
        <v>0</v>
      </c>
      <c r="CA32" s="7">
        <f t="shared" ca="1" si="65"/>
        <v>0</v>
      </c>
      <c r="CB32" s="3"/>
    </row>
    <row r="33" spans="2:80" s="2" customFormat="1" x14ac:dyDescent="0.2">
      <c r="C33" s="2" t="str">
        <f t="shared" si="61"/>
        <v>Maibach 1822 eV</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59"/>
        <v>Maibach 1822 eV</v>
      </c>
      <c r="BS33" s="8">
        <f t="shared" ca="1" si="62"/>
        <v>50</v>
      </c>
      <c r="BT33" s="8">
        <f t="shared" ca="1" si="64"/>
        <v>37</v>
      </c>
      <c r="BU33" s="8">
        <f t="shared" ref="BU33:BU38" ca="1" si="66">SUMIFS($X$64:$X$135,$V$64:$V$135,$BR33,$W$64:$W$135,BU$29)+SUMIFS($Y$64:$Y$135,$W$64:$W$135,$BR33,$V$64:$V$135,BU$29)+SUMIFS($AG$64:$AG$135,$V$64:$V$135,$BR33,$W$64:$W$135,BU$29)+SUMIFS($AH$64:$AH$135,$W$64:$W$135,$BR33,$V$64:$V$135,BU$29)</f>
        <v>42</v>
      </c>
      <c r="BV33" s="6"/>
      <c r="BW33" s="7">
        <f ca="1">SUMIFS($X$64:$X$135,$V$64:$V$135,$BR33,$W$64:$W$135,BW$29)+SUMIFS($Y$64:$Y$135,$W$64:$W$135,$BR33,$V$64:$V$135,BW$29)+SUMIFS($AG$64:$AG$135,$V$64:$V$135,$BR33,$W$64:$W$135,BW$29)+SUMIFS($AH$64:$AH$135,$W$64:$W$135,$BR33,$V$64:$V$135,BW$29)</f>
        <v>45</v>
      </c>
      <c r="BX33" s="7">
        <f ca="1">SUMIFS($X$64:$X$135,$V$64:$V$135,$BR33,$W$64:$W$135,BX$29)+SUMIFS($Y$64:$Y$135,$W$64:$W$135,$BR33,$V$64:$V$135,BX$29)+SUMIFS($AG$64:$AG$135,$V$64:$V$135,$BR33,$W$64:$W$135,BX$29)+SUMIFS($AH$64:$AH$135,$W$64:$W$135,$BR33,$V$64:$V$135,BX$29)</f>
        <v>0</v>
      </c>
      <c r="BY33" s="7">
        <f ca="1">SUMIFS($X$64:$X$135,$V$64:$V$135,$BR33,$W$64:$W$135,BY$29)+SUMIFS($Y$64:$Y$135,$W$64:$W$135,$BR33,$V$64:$V$135,BY$29)+SUMIFS($AG$64:$AG$135,$V$64:$V$135,$BR33,$W$64:$W$135,BY$29)+SUMIFS($AH$64:$AH$135,$W$64:$W$135,$BR33,$V$64:$V$135,BY$29)</f>
        <v>0</v>
      </c>
      <c r="BZ33" s="7">
        <f ca="1">SUMIFS($X$64:$X$135,$V$64:$V$135,$BR33,$W$64:$W$135,BZ$29)+SUMIFS($Y$64:$Y$135,$W$64:$W$135,$BR33,$V$64:$V$135,BZ$29)+SUMIFS($AG$64:$AG$135,$V$64:$V$135,$BR33,$W$64:$W$135,BZ$29)+SUMIFS($AH$64:$AH$135,$W$64:$W$135,$BR33,$V$64:$V$135,BZ$29)</f>
        <v>0</v>
      </c>
      <c r="CA33" s="7">
        <f ca="1">SUMIFS($X$64:$X$135,$V$64:$V$135,$BR33,$W$64:$W$135,CA$29)+SUMIFS($Y$64:$Y$135,$W$64:$W$135,$BR33,$V$64:$V$135,CA$29)+SUMIFS($AG$64:$AG$135,$V$64:$V$135,$BR33,$W$64:$W$135,CA$29)+SUMIFS($AH$64:$AH$135,$W$64:$W$135,$BR33,$V$64:$V$135,CA$29)</f>
        <v>0</v>
      </c>
      <c r="CB33" s="3"/>
    </row>
    <row r="34" spans="2:80" s="2" customFormat="1" x14ac:dyDescent="0.2">
      <c r="C34" s="2" t="str">
        <f t="shared" si="61"/>
        <v>VFB Essenheim</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59"/>
        <v>VFB Essenheim</v>
      </c>
      <c r="BS34" s="8">
        <f t="shared" ca="1" si="62"/>
        <v>48</v>
      </c>
      <c r="BT34" s="8">
        <f t="shared" ca="1" si="64"/>
        <v>37</v>
      </c>
      <c r="BU34" s="8">
        <f t="shared" ca="1" si="66"/>
        <v>50</v>
      </c>
      <c r="BV34" s="8">
        <f ca="1">SUMIFS($X$64:$X$135,$V$64:$V$135,$BR34,$W$64:$W$135,BV$29)+SUMIFS($Y$64:$Y$135,$W$64:$W$135,$BR34,$V$64:$V$135,BV$29)+SUMIFS($AG$64:$AG$135,$V$64:$V$135,$BR34,$W$64:$W$135,BV$29)+SUMIFS($AH$64:$AH$135,$W$64:$W$135,$BR34,$V$64:$V$135,BV$29)</f>
        <v>45</v>
      </c>
      <c r="BW34" s="6"/>
      <c r="BX34" s="7">
        <f ca="1">SUMIFS($X$64:$X$135,$V$64:$V$135,$BR34,$W$64:$W$135,BX$29)+SUMIFS($Y$64:$Y$135,$W$64:$W$135,$BR34,$V$64:$V$135,BX$29)+SUMIFS($AG$64:$AG$135,$V$64:$V$135,$BR34,$W$64:$W$135,BX$29)+SUMIFS($AH$64:$AH$135,$W$64:$W$135,$BR34,$V$64:$V$135,BX$29)</f>
        <v>0</v>
      </c>
      <c r="BY34" s="7">
        <f ca="1">SUMIFS($X$64:$X$135,$V$64:$V$135,$BR34,$W$64:$W$135,BY$29)+SUMIFS($Y$64:$Y$135,$W$64:$W$135,$BR34,$V$64:$V$135,BY$29)+SUMIFS($AG$64:$AG$135,$V$64:$V$135,$BR34,$W$64:$W$135,BY$29)+SUMIFS($AH$64:$AH$135,$W$64:$W$135,$BR34,$V$64:$V$135,BY$29)</f>
        <v>0</v>
      </c>
      <c r="BZ34" s="7">
        <f ca="1">SUMIFS($X$64:$X$135,$V$64:$V$135,$BR34,$W$64:$W$135,BZ$29)+SUMIFS($Y$64:$Y$135,$W$64:$W$135,$BR34,$V$64:$V$135,BZ$29)+SUMIFS($AG$64:$AG$135,$V$64:$V$135,$BR34,$W$64:$W$135,BZ$29)+SUMIFS($AH$64:$AH$135,$W$64:$W$135,$BR34,$V$64:$V$135,BZ$29)</f>
        <v>0</v>
      </c>
      <c r="CA34" s="7">
        <f ca="1">SUMIFS($X$64:$X$135,$V$64:$V$135,$BR34,$W$64:$W$135,CA$29)+SUMIFS($Y$64:$Y$135,$W$64:$W$135,$BR34,$V$64:$V$135,CA$29)+SUMIFS($AG$64:$AG$135,$V$64:$V$135,$BR34,$W$64:$W$135,CA$29)+SUMIFS($AH$64:$AH$135,$W$64:$W$135,$BR34,$V$64:$V$135,CA$29)</f>
        <v>0</v>
      </c>
      <c r="CB34" s="3"/>
    </row>
    <row r="35" spans="2:80" s="2" customFormat="1" x14ac:dyDescent="0.2">
      <c r="C35" s="2" t="str">
        <f t="shared" si="61"/>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59"/>
        <v/>
      </c>
      <c r="BS35" s="8">
        <f t="shared" ca="1" si="62"/>
        <v>0</v>
      </c>
      <c r="BT35" s="8">
        <f t="shared" ca="1" si="64"/>
        <v>0</v>
      </c>
      <c r="BU35" s="8">
        <f t="shared" ca="1" si="66"/>
        <v>0</v>
      </c>
      <c r="BV35" s="8">
        <f ca="1">SUMIFS($X$64:$X$135,$V$64:$V$135,$BR35,$W$64:$W$135,BV$29)+SUMIFS($Y$64:$Y$135,$W$64:$W$135,$BR35,$V$64:$V$135,BV$29)+SUMIFS($AG$64:$AG$135,$V$64:$V$135,$BR35,$W$64:$W$135,BV$29)+SUMIFS($AH$64:$AH$135,$W$64:$W$135,$BR35,$V$64:$V$135,BV$29)</f>
        <v>0</v>
      </c>
      <c r="BW35" s="8">
        <f ca="1">SUMIFS($X$64:$X$135,$V$64:$V$135,$BR35,$W$64:$W$135,BW$29)+SUMIFS($Y$64:$Y$135,$W$64:$W$135,$BR35,$V$64:$V$135,BW$29)+SUMIFS($AG$64:$AG$135,$V$64:$V$135,$BR35,$W$64:$W$135,BW$29)+SUMIFS($AH$64:$AH$135,$W$64:$W$135,$BR35,$V$64:$V$135,BW$29)</f>
        <v>0</v>
      </c>
      <c r="BX35" s="6"/>
      <c r="BY35" s="7">
        <f ca="1">SUMIFS($X$64:$X$135,$V$64:$V$135,$BR35,$W$64:$W$135,BY$29)+SUMIFS($Y$64:$Y$135,$W$64:$W$135,$BR35,$V$64:$V$135,BY$29)+SUMIFS($AG$64:$AG$135,$V$64:$V$135,$BR35,$W$64:$W$135,BY$29)+SUMIFS($AH$64:$AH$135,$W$64:$W$135,$BR35,$V$64:$V$135,BY$29)</f>
        <v>0</v>
      </c>
      <c r="BZ35" s="7">
        <f ca="1">SUMIFS($X$64:$X$135,$V$64:$V$135,$BR35,$W$64:$W$135,BZ$29)+SUMIFS($Y$64:$Y$135,$W$64:$W$135,$BR35,$V$64:$V$135,BZ$29)+SUMIFS($AG$64:$AG$135,$V$64:$V$135,$BR35,$W$64:$W$135,BZ$29)+SUMIFS($AH$64:$AH$135,$W$64:$W$135,$BR35,$V$64:$V$135,BZ$29)</f>
        <v>0</v>
      </c>
      <c r="CA35" s="7">
        <f ca="1">SUMIFS($X$64:$X$135,$V$64:$V$135,$BR35,$W$64:$W$135,CA$29)+SUMIFS($Y$64:$Y$135,$W$64:$W$135,$BR35,$V$64:$V$135,CA$29)+SUMIFS($AG$64:$AG$135,$V$64:$V$135,$BR35,$W$64:$W$135,CA$29)+SUMIFS($AH$64:$AH$135,$W$64:$W$135,$BR35,$V$64:$V$135,CA$29)</f>
        <v>0</v>
      </c>
      <c r="CB35" s="3"/>
    </row>
    <row r="36" spans="2:80" s="2" customFormat="1" x14ac:dyDescent="0.2">
      <c r="C36" s="2" t="str">
        <f t="shared" si="61"/>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59"/>
        <v/>
      </c>
      <c r="BS36" s="8">
        <f t="shared" ca="1" si="62"/>
        <v>0</v>
      </c>
      <c r="BT36" s="8">
        <f t="shared" ca="1" si="64"/>
        <v>0</v>
      </c>
      <c r="BU36" s="8">
        <f t="shared" ca="1" si="66"/>
        <v>0</v>
      </c>
      <c r="BV36" s="8">
        <f ca="1">SUMIFS($X$64:$X$135,$V$64:$V$135,$BR36,$W$64:$W$135,BV$29)+SUMIFS($Y$64:$Y$135,$W$64:$W$135,$BR36,$V$64:$V$135,BV$29)+SUMIFS($AG$64:$AG$135,$V$64:$V$135,$BR36,$W$64:$W$135,BV$29)+SUMIFS($AH$64:$AH$135,$W$64:$W$135,$BR36,$V$64:$V$135,BV$29)</f>
        <v>0</v>
      </c>
      <c r="BW36" s="8">
        <f ca="1">SUMIFS($X$64:$X$135,$V$64:$V$135,$BR36,$W$64:$W$135,BW$29)+SUMIFS($Y$64:$Y$135,$W$64:$W$135,$BR36,$V$64:$V$135,BW$29)+SUMIFS($AG$64:$AG$135,$V$64:$V$135,$BR36,$W$64:$W$135,BW$29)+SUMIFS($AH$64:$AH$135,$W$64:$W$135,$BR36,$V$64:$V$135,BW$29)</f>
        <v>0</v>
      </c>
      <c r="BX36" s="8">
        <f ca="1">SUMIFS($X$64:$X$135,$V$64:$V$135,$BR36,$W$64:$W$135,BX$29)+SUMIFS($Y$64:$Y$135,$W$64:$W$135,$BR36,$V$64:$V$135,BX$29)+SUMIFS($AG$64:$AG$135,$V$64:$V$135,$BR36,$W$64:$W$135,BX$29)+SUMIFS($AH$64:$AH$135,$W$64:$W$135,$BR36,$V$64:$V$135,BX$29)</f>
        <v>0</v>
      </c>
      <c r="BY36" s="6"/>
      <c r="BZ36" s="7">
        <f ca="1">SUMIFS($X$64:$X$135,$V$64:$V$135,$BR36,$W$64:$W$135,BZ$29)+SUMIFS($Y$64:$Y$135,$W$64:$W$135,$BR36,$V$64:$V$135,BZ$29)+SUMIFS($AG$64:$AG$135,$V$64:$V$135,$BR36,$W$64:$W$135,BZ$29)+SUMIFS($AH$64:$AH$135,$W$64:$W$135,$BR36,$V$64:$V$135,BZ$29)</f>
        <v>0</v>
      </c>
      <c r="CA36" s="7">
        <f ca="1">SUMIFS($X$64:$X$135,$V$64:$V$135,$BR36,$W$64:$W$135,CA$29)+SUMIFS($Y$64:$Y$135,$W$64:$W$135,$BR36,$V$64:$V$135,CA$29)+SUMIFS($AG$64:$AG$135,$V$64:$V$135,$BR36,$W$64:$W$135,CA$29)+SUMIFS($AH$64:$AH$135,$W$64:$W$135,$BR36,$V$64:$V$135,CA$29)</f>
        <v>0</v>
      </c>
      <c r="CB36" s="3"/>
    </row>
    <row r="37" spans="2:80" s="2" customFormat="1" x14ac:dyDescent="0.2">
      <c r="C37" s="2" t="str">
        <f t="shared" si="61"/>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59"/>
        <v/>
      </c>
      <c r="BS37" s="8">
        <f t="shared" ca="1" si="62"/>
        <v>0</v>
      </c>
      <c r="BT37" s="8">
        <f t="shared" ca="1" si="64"/>
        <v>0</v>
      </c>
      <c r="BU37" s="8">
        <f t="shared" ca="1" si="66"/>
        <v>0</v>
      </c>
      <c r="BV37" s="8">
        <f ca="1">SUMIFS($X$64:$X$135,$V$64:$V$135,$BR37,$W$64:$W$135,BV$29)+SUMIFS($Y$64:$Y$135,$W$64:$W$135,$BR37,$V$64:$V$135,BV$29)+SUMIFS($AG$64:$AG$135,$V$64:$V$135,$BR37,$W$64:$W$135,BV$29)+SUMIFS($AH$64:$AH$135,$W$64:$W$135,$BR37,$V$64:$V$135,BV$29)</f>
        <v>0</v>
      </c>
      <c r="BW37" s="8">
        <f ca="1">SUMIFS($X$64:$X$135,$V$64:$V$135,$BR37,$W$64:$W$135,BW$29)+SUMIFS($Y$64:$Y$135,$W$64:$W$135,$BR37,$V$64:$V$135,BW$29)+SUMIFS($AG$64:$AG$135,$V$64:$V$135,$BR37,$W$64:$W$135,BW$29)+SUMIFS($AH$64:$AH$135,$W$64:$W$135,$BR37,$V$64:$V$135,BW$29)</f>
        <v>0</v>
      </c>
      <c r="BX37" s="8">
        <f ca="1">SUMIFS($X$64:$X$135,$V$64:$V$135,$BR37,$W$64:$W$135,BX$29)+SUMIFS($Y$64:$Y$135,$W$64:$W$135,$BR37,$V$64:$V$135,BX$29)+SUMIFS($AG$64:$AG$135,$V$64:$V$135,$BR37,$W$64:$W$135,BX$29)+SUMIFS($AH$64:$AH$135,$W$64:$W$135,$BR37,$V$64:$V$135,BX$29)</f>
        <v>0</v>
      </c>
      <c r="BY37" s="8">
        <f ca="1">SUMIFS($X$64:$X$135,$V$64:$V$135,$BR37,$W$64:$W$135,BY$29)+SUMIFS($Y$64:$Y$135,$W$64:$W$135,$BR37,$V$64:$V$135,BY$29)+SUMIFS($AG$64:$AG$135,$V$64:$V$135,$BR37,$W$64:$W$135,BY$29)+SUMIFS($AH$64:$AH$135,$W$64:$W$135,$BR37,$V$64:$V$135,BY$29)</f>
        <v>0</v>
      </c>
      <c r="BZ37" s="6"/>
      <c r="CA37" s="7">
        <f ca="1">SUMIFS($X$64:$X$135,$V$64:$V$135,$BR37,$W$64:$W$135,CA$29)+SUMIFS($Y$64:$Y$135,$W$64:$W$135,$BR37,$V$64:$V$135,CA$29)+SUMIFS($AG$64:$AG$135,$V$64:$V$135,$BR37,$W$64:$W$135,CA$29)+SUMIFS($AH$64:$AH$135,$W$64:$W$135,$BR37,$V$64:$V$135,CA$29)</f>
        <v>0</v>
      </c>
      <c r="CB37" s="3"/>
    </row>
    <row r="38" spans="2:80" s="2" customFormat="1" x14ac:dyDescent="0.2">
      <c r="C38" s="2" t="str">
        <f t="shared" si="61"/>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59"/>
        <v/>
      </c>
      <c r="BS38" s="8">
        <f t="shared" ca="1" si="62"/>
        <v>0</v>
      </c>
      <c r="BT38" s="8">
        <f t="shared" ca="1" si="64"/>
        <v>0</v>
      </c>
      <c r="BU38" s="8">
        <f t="shared" ca="1" si="66"/>
        <v>0</v>
      </c>
      <c r="BV38" s="8">
        <f ca="1">SUMIFS($X$64:$X$135,$V$64:$V$135,$BR38,$W$64:$W$135,BV$29)+SUMIFS($Y$64:$Y$135,$W$64:$W$135,$BR38,$V$64:$V$135,BV$29)+SUMIFS($AG$64:$AG$135,$V$64:$V$135,$BR38,$W$64:$W$135,BV$29)+SUMIFS($AH$64:$AH$135,$W$64:$W$135,$BR38,$V$64:$V$135,BV$29)</f>
        <v>0</v>
      </c>
      <c r="BW38" s="8">
        <f ca="1">SUMIFS($X$64:$X$135,$V$64:$V$135,$BR38,$W$64:$W$135,BW$29)+SUMIFS($Y$64:$Y$135,$W$64:$W$135,$BR38,$V$64:$V$135,BW$29)+SUMIFS($AG$64:$AG$135,$V$64:$V$135,$BR38,$W$64:$W$135,BW$29)+SUMIFS($AH$64:$AH$135,$W$64:$W$135,$BR38,$V$64:$V$135,BW$29)</f>
        <v>0</v>
      </c>
      <c r="BX38" s="8">
        <f ca="1">SUMIFS($X$64:$X$135,$V$64:$V$135,$BR38,$W$64:$W$135,BX$29)+SUMIFS($Y$64:$Y$135,$W$64:$W$135,$BR38,$V$64:$V$135,BX$29)+SUMIFS($AG$64:$AG$135,$V$64:$V$135,$BR38,$W$64:$W$135,BX$29)+SUMIFS($AH$64:$AH$135,$W$64:$W$135,$BR38,$V$64:$V$135,BX$29)</f>
        <v>0</v>
      </c>
      <c r="BY38" s="8">
        <f ca="1">SUMIFS($X$64:$X$135,$V$64:$V$135,$BR38,$W$64:$W$135,BY$29)+SUMIFS($Y$64:$Y$135,$W$64:$W$135,$BR38,$V$64:$V$135,BY$29)+SUMIFS($AG$64:$AG$135,$V$64:$V$135,$BR38,$W$64:$W$135,BY$29)+SUMIFS($AH$64:$AH$135,$W$64:$W$135,$BR38,$V$64:$V$135,BY$29)</f>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si="67">F4</f>
        <v>1. FC Riedwald</v>
      </c>
      <c r="BS41" s="6"/>
      <c r="BT41" s="7">
        <f ca="1">BT30-BS31</f>
        <v>-4</v>
      </c>
      <c r="BU41" s="7">
        <f ca="1">BU30-BS32</f>
        <v>-2</v>
      </c>
      <c r="BV41" s="7">
        <f ca="1">BV30-BS33</f>
        <v>-21</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si="67"/>
        <v>FC Barcelona</v>
      </c>
      <c r="BS42" s="8">
        <f ca="1">IF(BT41="","",-1*BT41)</f>
        <v>4</v>
      </c>
      <c r="BT42" s="6"/>
      <c r="BU42" s="7">
        <f ca="1">BU31-BT32</f>
        <v>-5</v>
      </c>
      <c r="BV42" s="7">
        <f ca="1">BV31-BT33</f>
        <v>13</v>
      </c>
      <c r="BW42" s="7">
        <f ca="1">BW31-BT34</f>
        <v>13</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si="67"/>
        <v>Eintracht Frankfurt</v>
      </c>
      <c r="BS43" s="8">
        <f ca="1">IF(BU41="","",-1*BU41)</f>
        <v>2</v>
      </c>
      <c r="BT43" s="8">
        <f ca="1">IF(BU42="","",-1*BU42)</f>
        <v>5</v>
      </c>
      <c r="BU43" s="6"/>
      <c r="BV43" s="7">
        <f ca="1">BV32-BU33</f>
        <v>8</v>
      </c>
      <c r="BW43" s="7">
        <f ca="1">BW32-BU34</f>
        <v>-12</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67"/>
        <v>Maibach 1822 eV</v>
      </c>
      <c r="BS44" s="8">
        <f ca="1">IF(BV41="","",-1*BV41)</f>
        <v>21</v>
      </c>
      <c r="BT44" s="8">
        <f ca="1">IF(BV42="","",-1*BV42)</f>
        <v>-13</v>
      </c>
      <c r="BU44" s="8">
        <f ca="1">IF(BV43="","",-1*BV43)</f>
        <v>-8</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67"/>
        <v>VFB Essenheim</v>
      </c>
      <c r="BS45" s="8">
        <f ca="1">IF(BW41="","",-1*BW41)</f>
        <v>0</v>
      </c>
      <c r="BT45" s="8">
        <f ca="1">IF(BW42="","",-1*BW42)</f>
        <v>-13</v>
      </c>
      <c r="BU45" s="8">
        <f ca="1">IF(BW43="","",-1*BW43)</f>
        <v>12</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67"/>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67"/>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67"/>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67"/>
        <v/>
      </c>
      <c r="BS49" s="8">
        <f ca="1">IF(CA41="","",-1*CA41)</f>
        <v>0</v>
      </c>
      <c r="BT49" s="8">
        <f ca="1">IF(CA42="","",-1*CA42)</f>
        <v>0</v>
      </c>
      <c r="BU49" s="8">
        <f ca="1">IF(CA43="","",-1*CA43)</f>
        <v>0</v>
      </c>
      <c r="BV49" s="8">
        <f ca="1">IF(CA44="","",-1*CA44)</f>
        <v>0</v>
      </c>
      <c r="BW49" s="8">
        <f ca="1">IF(CA45="","",-1*CA45)</f>
        <v>0</v>
      </c>
      <c r="BX49" s="8">
        <f ca="1">IF(CA46="","",-1*CA46)</f>
        <v>0</v>
      </c>
      <c r="BY49" s="8">
        <f ca="1">IF(CA47="","",-1*CA47)</f>
        <v>0</v>
      </c>
      <c r="BZ49" s="8">
        <f ca="1">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si="68">F4</f>
        <v>1. FC Riedwald</v>
      </c>
      <c r="BS52" s="6"/>
      <c r="BT52" s="7">
        <f t="shared" ref="BT52:CA52" ca="1" si="69">SUMIFS($AE$64:$AE$135,$V$64:$V$135,$BR52,$W$64:$W$135,BT$51)+SUMIFS($AF$64:$AF$135,$W$64:$W$135,$BR52,$V$64:$V$135,BT$51)</f>
        <v>1</v>
      </c>
      <c r="BU52" s="7">
        <f t="shared" ca="1" si="69"/>
        <v>1</v>
      </c>
      <c r="BV52" s="7">
        <f t="shared" ca="1" si="69"/>
        <v>0</v>
      </c>
      <c r="BW52" s="7">
        <f t="shared" ca="1" si="69"/>
        <v>1</v>
      </c>
      <c r="BX52" s="7">
        <f t="shared" ca="1" si="69"/>
        <v>0</v>
      </c>
      <c r="BY52" s="7">
        <f t="shared" ca="1" si="69"/>
        <v>0</v>
      </c>
      <c r="BZ52" s="7">
        <f t="shared" ca="1" si="69"/>
        <v>0</v>
      </c>
      <c r="CA52" s="7">
        <f t="shared" ca="1" si="69"/>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si="68"/>
        <v>FC Barcelona</v>
      </c>
      <c r="BS53" s="8">
        <f t="shared" ref="BS53:BS60" ca="1" si="70">SUMIFS($AE$64:$AE$135,$V$64:$V$135,$BR53,$W$64:$W$135,BS$51)+SUMIFS($AF$64:$AF$135,$W$64:$W$135,$BR53,$V$64:$V$135,BS$51)</f>
        <v>1</v>
      </c>
      <c r="BT53" s="6"/>
      <c r="BU53" s="7">
        <f t="shared" ref="BU53:CA53" ca="1" si="71">SUMIFS($AE$64:$AE$135,$V$64:$V$135,$BR53,$W$64:$W$135,BU$51)+SUMIFS($AF$64:$AF$135,$W$64:$W$135,$BR53,$V$64:$V$135,BU$51)</f>
        <v>1</v>
      </c>
      <c r="BV53" s="7">
        <f t="shared" ca="1" si="71"/>
        <v>2</v>
      </c>
      <c r="BW53" s="7">
        <f t="shared" ca="1" si="71"/>
        <v>2</v>
      </c>
      <c r="BX53" s="7">
        <f t="shared" ca="1" si="71"/>
        <v>0</v>
      </c>
      <c r="BY53" s="7">
        <f t="shared" ca="1" si="71"/>
        <v>0</v>
      </c>
      <c r="BZ53" s="7">
        <f t="shared" ca="1" si="71"/>
        <v>0</v>
      </c>
      <c r="CA53" s="7">
        <f t="shared" ca="1" si="7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si="68"/>
        <v>Eintracht Frankfurt</v>
      </c>
      <c r="BS54" s="8">
        <f t="shared" ca="1" si="70"/>
        <v>1</v>
      </c>
      <c r="BT54" s="8">
        <f t="shared" ref="BT54:BT60" ca="1" si="72">SUMIFS($AE$64:$AE$135,$V$64:$V$135,$BR54,$W$64:$W$135,BT$51)+SUMIFS($AF$64:$AF$135,$W$64:$W$135,$BR54,$V$64:$V$135,BT$51)</f>
        <v>1</v>
      </c>
      <c r="BU54" s="6"/>
      <c r="BV54" s="7">
        <f t="shared" ref="BV54:CA54" ca="1" si="73">SUMIFS($AE$64:$AE$135,$V$64:$V$135,$BR54,$W$64:$W$135,BV$51)+SUMIFS($AF$64:$AF$135,$W$64:$W$135,$BR54,$V$64:$V$135,BV$51)</f>
        <v>2</v>
      </c>
      <c r="BW54" s="7">
        <f t="shared" ca="1" si="73"/>
        <v>0</v>
      </c>
      <c r="BX54" s="7">
        <f t="shared" ca="1" si="73"/>
        <v>0</v>
      </c>
      <c r="BY54" s="7">
        <f t="shared" ca="1" si="73"/>
        <v>0</v>
      </c>
      <c r="BZ54" s="7">
        <f t="shared" ca="1" si="73"/>
        <v>0</v>
      </c>
      <c r="CA54" s="7">
        <f t="shared" ca="1" si="73"/>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68"/>
        <v>Maibach 1822 eV</v>
      </c>
      <c r="BS55" s="8">
        <f t="shared" ca="1" si="70"/>
        <v>2</v>
      </c>
      <c r="BT55" s="8">
        <f t="shared" ca="1" si="72"/>
        <v>0</v>
      </c>
      <c r="BU55" s="8">
        <f t="shared" ref="BU55:BU60" ca="1" si="74">SUMIFS($AE$64:$AE$135,$V$64:$V$135,$BR55,$W$64:$W$135,BU$51)+SUMIFS($AF$64:$AF$135,$W$64:$W$135,$BR55,$V$64:$V$135,BU$51)</f>
        <v>0</v>
      </c>
      <c r="BV55" s="6"/>
      <c r="BW55" s="7">
        <f ca="1">SUMIFS($AE$64:$AE$135,$V$64:$V$135,$BR55,$W$64:$W$135,BW$51)+SUMIFS($AF$64:$AF$135,$W$64:$W$135,$BR55,$V$64:$V$135,BW$51)</f>
        <v>1</v>
      </c>
      <c r="BX55" s="7">
        <f ca="1">SUMIFS($AE$64:$AE$135,$V$64:$V$135,$BR55,$W$64:$W$135,BX$51)+SUMIFS($AF$64:$AF$135,$W$64:$W$135,$BR55,$V$64:$V$135,BX$51)</f>
        <v>0</v>
      </c>
      <c r="BY55" s="7">
        <f ca="1">SUMIFS($AE$64:$AE$135,$V$64:$V$135,$BR55,$W$64:$W$135,BY$51)+SUMIFS($AF$64:$AF$135,$W$64:$W$135,$BR55,$V$64:$V$135,BY$51)</f>
        <v>0</v>
      </c>
      <c r="BZ55" s="7">
        <f ca="1">SUMIFS($AE$64:$AE$135,$V$64:$V$135,$BR55,$W$64:$W$135,BZ$51)+SUMIFS($AF$64:$AF$135,$W$64:$W$135,$BR55,$V$64:$V$135,BZ$51)</f>
        <v>0</v>
      </c>
      <c r="CA55" s="7">
        <f ca="1">SUMIFS($AE$64:$AE$135,$V$64:$V$135,$BR55,$W$64:$W$135,CA$51)+SUMIFS($AF$64:$AF$135,$W$64:$W$135,$BR55,$V$64:$V$135,CA$51)</f>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68"/>
        <v>VFB Essenheim</v>
      </c>
      <c r="BS56" s="8">
        <f t="shared" ca="1" si="70"/>
        <v>1</v>
      </c>
      <c r="BT56" s="8">
        <f t="shared" ca="1" si="72"/>
        <v>0</v>
      </c>
      <c r="BU56" s="8">
        <f t="shared" ca="1" si="74"/>
        <v>2</v>
      </c>
      <c r="BV56" s="8">
        <f ca="1">SUMIFS($AE$64:$AE$135,$V$64:$V$135,$BR56,$W$64:$W$135,BV$51)+SUMIFS($AF$64:$AF$135,$W$64:$W$135,$BR56,$V$64:$V$135,BV$51)</f>
        <v>1</v>
      </c>
      <c r="BW56" s="6"/>
      <c r="BX56" s="7">
        <f ca="1">SUMIFS($AE$64:$AE$135,$V$64:$V$135,$BR56,$W$64:$W$135,BX$51)+SUMIFS($AF$64:$AF$135,$W$64:$W$135,$BR56,$V$64:$V$135,BX$51)</f>
        <v>0</v>
      </c>
      <c r="BY56" s="7">
        <f ca="1">SUMIFS($AE$64:$AE$135,$V$64:$V$135,$BR56,$W$64:$W$135,BY$51)+SUMIFS($AF$64:$AF$135,$W$64:$W$135,$BR56,$V$64:$V$135,BY$51)</f>
        <v>0</v>
      </c>
      <c r="BZ56" s="7">
        <f ca="1">SUMIFS($AE$64:$AE$135,$V$64:$V$135,$BR56,$W$64:$W$135,BZ$51)+SUMIFS($AF$64:$AF$135,$W$64:$W$135,$BR56,$V$64:$V$135,BZ$51)</f>
        <v>0</v>
      </c>
      <c r="CA56" s="7">
        <f ca="1">SUMIFS($AE$64:$AE$135,$V$64:$V$135,$BR56,$W$64:$W$135,CA$51)+SUMIFS($AF$64:$AF$135,$W$64:$W$135,$BR56,$V$64:$V$135,CA$51)</f>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68"/>
        <v/>
      </c>
      <c r="BS57" s="8">
        <f t="shared" ca="1" si="70"/>
        <v>0</v>
      </c>
      <c r="BT57" s="8">
        <f t="shared" ca="1" si="72"/>
        <v>0</v>
      </c>
      <c r="BU57" s="8">
        <f t="shared" ca="1" si="74"/>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ca="1">SUMIFS($AE$64:$AE$135,$V$64:$V$135,$BR57,$W$64:$W$135,BZ$51)+SUMIFS($AF$64:$AF$135,$W$64:$W$135,$BR57,$V$64:$V$135,BZ$51)</f>
        <v>0</v>
      </c>
      <c r="CA57" s="7">
        <f ca="1">SUMIFS($AE$64:$AE$135,$V$64:$V$135,$BR57,$W$64:$W$135,CA$51)+SUMIFS($AF$64:$AF$135,$W$64:$W$135,$BR57,$V$64:$V$135,CA$51)</f>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68"/>
        <v/>
      </c>
      <c r="BS58" s="8">
        <f t="shared" ca="1" si="70"/>
        <v>0</v>
      </c>
      <c r="BT58" s="8">
        <f t="shared" ca="1" si="72"/>
        <v>0</v>
      </c>
      <c r="BU58" s="8">
        <f t="shared" ca="1" si="74"/>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ca="1">SUMIFS($AE$64:$AE$135,$V$64:$V$135,$BR58,$W$64:$W$135,BZ$51)+SUMIFS($AF$64:$AF$135,$W$64:$W$135,$BR58,$V$64:$V$135,BZ$51)</f>
        <v>0</v>
      </c>
      <c r="CA58" s="7">
        <f ca="1">SUMIFS($AE$64:$AE$135,$V$64:$V$135,$BR58,$W$64:$W$135,CA$51)+SUMIFS($AF$64:$AF$135,$W$64:$W$135,$BR58,$V$64:$V$135,CA$51)</f>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68"/>
        <v/>
      </c>
      <c r="BS59" s="8">
        <f t="shared" ca="1" si="70"/>
        <v>0</v>
      </c>
      <c r="BT59" s="8">
        <f t="shared" ca="1" si="72"/>
        <v>0</v>
      </c>
      <c r="BU59" s="8">
        <f t="shared" ca="1" si="74"/>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68"/>
        <v/>
      </c>
      <c r="BS60" s="8">
        <f t="shared" ca="1" si="70"/>
        <v>0</v>
      </c>
      <c r="BT60" s="8">
        <f t="shared" ca="1" si="72"/>
        <v>0</v>
      </c>
      <c r="BU60" s="8">
        <f t="shared" ca="1" si="74"/>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164" t="s">
        <v>157</v>
      </c>
      <c r="AD63" s="163" t="s">
        <v>155</v>
      </c>
      <c r="AE63" s="1024" t="s">
        <v>395</v>
      </c>
      <c r="AF63" s="1024"/>
      <c r="AG63" s="1030" t="s">
        <v>374</v>
      </c>
      <c r="AH63" s="1030"/>
      <c r="AI63" s="26" t="s">
        <v>396</v>
      </c>
      <c r="AJ63" s="3"/>
      <c r="AK63" s="3"/>
      <c r="AL63" s="3"/>
      <c r="AM63" s="3"/>
      <c r="AN63" s="3"/>
      <c r="AO63" s="3"/>
      <c r="AP63" s="3"/>
      <c r="AQ63" s="3"/>
      <c r="AR63" s="3"/>
    </row>
    <row r="64" spans="5:80" s="2" customFormat="1" ht="14.25" thickTop="1" thickBot="1" x14ac:dyDescent="0.25">
      <c r="F64" s="192">
        <v>1000000</v>
      </c>
      <c r="G64" s="193" t="s">
        <v>110</v>
      </c>
      <c r="P64" s="44" t="s">
        <v>6</v>
      </c>
      <c r="Q64" s="59" t="str">
        <f>IF(Planning!$C$7="","",Planning!$C$7)</f>
        <v>1. FC Riedwald</v>
      </c>
      <c r="U64" s="65" t="s">
        <v>6</v>
      </c>
      <c r="V64" s="39" t="str">
        <f ca="1">Planning!$L6</f>
        <v>VFB Essenheim</v>
      </c>
      <c r="W64" s="32" t="str">
        <f ca="1">Planning!$N6</f>
        <v>FC Barcelona</v>
      </c>
      <c r="X64" s="32">
        <f ca="1">IF($AA64=1,PreliminaryRound!$I12,"")</f>
        <v>19</v>
      </c>
      <c r="Y64" s="33">
        <f ca="1">IF($AA64=1,PreliminaryRound!$K12,"")</f>
        <v>25</v>
      </c>
      <c r="Z64" s="31" t="str">
        <f t="shared" ref="Z64:Z108" ca="1" si="75">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IF(Planning!$C$9="","",Planning!$C$9)</f>
        <v>FC Barcelona</v>
      </c>
      <c r="U65" s="66" t="s">
        <v>7</v>
      </c>
      <c r="V65" s="40" t="str">
        <f ca="1">Planning!$L7</f>
        <v>FC Grönlingen</v>
      </c>
      <c r="W65" s="12" t="str">
        <f ca="1">Planning!$N7</f>
        <v>Inter Mailand</v>
      </c>
      <c r="X65" s="12">
        <f ca="1">IF($AA65=1,PreliminaryRound!$I13,"")</f>
        <v>25</v>
      </c>
      <c r="Y65" s="35">
        <f ca="1">IF($AA65=1,PreliminaryRound!$K13,"")</f>
        <v>20</v>
      </c>
      <c r="Z65" s="34" t="str">
        <f t="shared" ca="1" si="75"/>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76">IF($AA65=0,0,IF($X65&gt;$Y65,1,0)+IF($AG65&gt;$AH65,1,0))</f>
        <v>1</v>
      </c>
      <c r="AF65" s="143">
        <f t="shared" ref="AF65:AF108" ca="1" si="77">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IF(Planning!$C$11="","",Planning!$C$11)</f>
        <v>Eintracht Frankfurt</v>
      </c>
      <c r="U66" s="66" t="s">
        <v>8</v>
      </c>
      <c r="V66" s="40" t="str">
        <f ca="1">Planning!$L8</f>
        <v>1. FC Nürnberg</v>
      </c>
      <c r="W66" s="12" t="str">
        <f ca="1">Planning!$N8</f>
        <v>Real Madrid</v>
      </c>
      <c r="X66" s="12">
        <f ca="1">IF($AA66=1,PreliminaryRound!$I14,"")</f>
        <v>25</v>
      </c>
      <c r="Y66" s="35">
        <f ca="1">IF($AA66=1,PreliminaryRound!$K14,"")</f>
        <v>21</v>
      </c>
      <c r="Z66" s="34" t="str">
        <f t="shared" ca="1" si="75"/>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76"/>
        <v>2</v>
      </c>
      <c r="AF66" s="143">
        <f t="shared" ca="1" si="77"/>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t="s">
        <v>9</v>
      </c>
      <c r="Q67" s="60" t="str">
        <f>IF(Planning!$C$13="","",Planning!$C$13)</f>
        <v>Maibach 1822 eV</v>
      </c>
      <c r="U67" s="66" t="s">
        <v>9</v>
      </c>
      <c r="V67" s="40" t="str">
        <f ca="1">Planning!$L9</f>
        <v>Eintracht Frankfurt</v>
      </c>
      <c r="W67" s="12" t="str">
        <f ca="1">Planning!$N9</f>
        <v>Maibach 1822 eV</v>
      </c>
      <c r="X67" s="12">
        <f ca="1">IF($AA67=1,PreliminaryRound!$I15,"")</f>
        <v>25</v>
      </c>
      <c r="Y67" s="35">
        <f ca="1">IF($AA67=1,PreliminaryRound!$K15,"")</f>
        <v>22</v>
      </c>
      <c r="Z67" s="34" t="str">
        <f t="shared" ca="1" si="75"/>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76"/>
        <v>2</v>
      </c>
      <c r="AF67" s="143">
        <f t="shared" ca="1" si="77"/>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t="s">
        <v>10</v>
      </c>
      <c r="Q68" s="60" t="str">
        <f>IF(Planning!$C$15="","",Planning!$C$15)</f>
        <v>VFB Essenheim</v>
      </c>
      <c r="U68" s="66" t="s">
        <v>10</v>
      </c>
      <c r="V68" s="40" t="str">
        <f ca="1">Planning!$L10</f>
        <v>SSV Wildbach</v>
      </c>
      <c r="W68" s="12" t="str">
        <f ca="1">Planning!$N10</f>
        <v>Manchester City</v>
      </c>
      <c r="X68" s="12">
        <f ca="1">IF($AA68=1,PreliminaryRound!$I16,"")</f>
        <v>25</v>
      </c>
      <c r="Y68" s="35">
        <f ca="1">IF($AA68=1,PreliminaryRound!$K16,"")</f>
        <v>23</v>
      </c>
      <c r="Z68" s="34" t="str">
        <f t="shared" ca="1" si="75"/>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76"/>
        <v>2</v>
      </c>
      <c r="AF68" s="143">
        <f t="shared" ca="1" si="77"/>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t="s">
        <v>11</v>
      </c>
      <c r="Q69" s="60" t="str">
        <f>IF(Planning!$C$17="","",Planning!$C$17)</f>
        <v/>
      </c>
      <c r="U69" s="66" t="s">
        <v>11</v>
      </c>
      <c r="V69" s="40" t="str">
        <f ca="1">Planning!$L11</f>
        <v>Borussia Dortmund</v>
      </c>
      <c r="W69" s="12" t="str">
        <f ca="1">Planning!$N11</f>
        <v>FSV Rauen</v>
      </c>
      <c r="X69" s="12">
        <f ca="1">IF($AA69=1,PreliminaryRound!$I17,"")</f>
        <v>25</v>
      </c>
      <c r="Y69" s="35">
        <f ca="1">IF($AA69=1,PreliminaryRound!$K17,"")</f>
        <v>17</v>
      </c>
      <c r="Z69" s="34" t="str">
        <f t="shared" ca="1" si="75"/>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76"/>
        <v>2</v>
      </c>
      <c r="AF69" s="143">
        <f t="shared" ca="1" si="77"/>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75"/>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76"/>
        <v>1</v>
      </c>
      <c r="AF70" s="143">
        <f t="shared" ca="1" si="77"/>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75"/>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76"/>
        <v>1</v>
      </c>
      <c r="AF71" s="143">
        <f t="shared" ca="1" si="77"/>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75"/>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76"/>
        <v>1</v>
      </c>
      <c r="AF72" s="143">
        <f t="shared" ca="1" si="77"/>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75"/>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76"/>
        <v>1</v>
      </c>
      <c r="AF73" s="143">
        <f t="shared" ca="1" si="77"/>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t="shared" ca="1" si="75"/>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76"/>
        <v>1</v>
      </c>
      <c r="AF74" s="143">
        <f t="shared" ca="1" si="77"/>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ca="1" si="75"/>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76"/>
        <v>1</v>
      </c>
      <c r="AF75" s="143">
        <f t="shared" ca="1" si="77"/>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75"/>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76"/>
        <v>0</v>
      </c>
      <c r="AF76" s="143">
        <f t="shared" ca="1" si="77"/>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75"/>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76"/>
        <v>1</v>
      </c>
      <c r="AF77" s="143">
        <f t="shared" ca="1" si="77"/>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75"/>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76"/>
        <v>1</v>
      </c>
      <c r="AF78" s="143">
        <f t="shared" ca="1" si="77"/>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75"/>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76"/>
        <v>0</v>
      </c>
      <c r="AF79" s="143">
        <f t="shared" ca="1" si="77"/>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75"/>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76"/>
        <v>2</v>
      </c>
      <c r="AF80" s="143">
        <f t="shared" ca="1" si="77"/>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75"/>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76"/>
        <v>2</v>
      </c>
      <c r="AF81" s="143">
        <f t="shared" ca="1" si="77"/>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75"/>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76"/>
        <v>2</v>
      </c>
      <c r="AF82" s="143">
        <f t="shared" ca="1" si="77"/>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75"/>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76"/>
        <v>2</v>
      </c>
      <c r="AF83" s="143">
        <f t="shared" ca="1" si="77"/>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75"/>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76"/>
        <v>1</v>
      </c>
      <c r="AF84" s="143">
        <f t="shared" ca="1" si="77"/>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75"/>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76"/>
        <v>1</v>
      </c>
      <c r="AF85" s="143">
        <f t="shared" ca="1" si="77"/>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75"/>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76"/>
        <v>1</v>
      </c>
      <c r="AF86" s="143">
        <f t="shared" ca="1" si="77"/>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75"/>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76"/>
        <v>2</v>
      </c>
      <c r="AF87" s="143">
        <f t="shared" ca="1" si="77"/>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75"/>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76"/>
        <v>1</v>
      </c>
      <c r="AF88" s="143">
        <f t="shared" ca="1" si="77"/>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75"/>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76"/>
        <v>1</v>
      </c>
      <c r="AF89" s="143">
        <f t="shared" ca="1" si="77"/>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75"/>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76"/>
        <v>1</v>
      </c>
      <c r="AF90" s="143">
        <f t="shared" ca="1" si="77"/>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75"/>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76"/>
        <v>1</v>
      </c>
      <c r="AF91" s="143">
        <f t="shared" ca="1" si="77"/>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75"/>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76"/>
        <v>0</v>
      </c>
      <c r="AF92" s="143">
        <f t="shared" ca="1" si="77"/>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75"/>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76"/>
        <v>1</v>
      </c>
      <c r="AF93" s="143">
        <f t="shared" ca="1" si="77"/>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75"/>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76"/>
        <v>0</v>
      </c>
      <c r="AF94" s="143">
        <f t="shared" ca="1" si="77"/>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75"/>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76"/>
        <v>0</v>
      </c>
      <c r="AF95" s="143">
        <f t="shared" ca="1" si="77"/>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75"/>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76"/>
        <v>0</v>
      </c>
      <c r="AF96" s="143">
        <f t="shared" ca="1" si="77"/>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75"/>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76"/>
        <v>0</v>
      </c>
      <c r="AF97" s="143">
        <f t="shared" ca="1" si="77"/>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75"/>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76"/>
        <v>0</v>
      </c>
      <c r="AF98" s="143">
        <f t="shared" ca="1" si="77"/>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75"/>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76"/>
        <v>0</v>
      </c>
      <c r="AF99" s="143">
        <f t="shared" ca="1" si="77"/>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75"/>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76"/>
        <v>0</v>
      </c>
      <c r="AF100" s="143">
        <f t="shared" ca="1" si="77"/>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75"/>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76"/>
        <v>0</v>
      </c>
      <c r="AF101" s="143">
        <f t="shared" ca="1" si="77"/>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75"/>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76"/>
        <v>0</v>
      </c>
      <c r="AF102" s="143">
        <f t="shared" ca="1" si="77"/>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75"/>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76"/>
        <v>0</v>
      </c>
      <c r="AF103" s="143">
        <f t="shared" ca="1" si="77"/>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75"/>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76"/>
        <v>0</v>
      </c>
      <c r="AF104" s="143">
        <f t="shared" ca="1" si="77"/>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75"/>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76"/>
        <v>0</v>
      </c>
      <c r="AF105" s="143">
        <f t="shared" ca="1" si="77"/>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75"/>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76"/>
        <v>0</v>
      </c>
      <c r="AF106" s="143">
        <f t="shared" ca="1" si="77"/>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75"/>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76"/>
        <v>0</v>
      </c>
      <c r="AF107" s="143">
        <f t="shared" ca="1" si="77"/>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75"/>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76"/>
        <v>0</v>
      </c>
      <c r="AF108" s="143">
        <f t="shared" ca="1" si="77"/>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t="shared" ref="Z136:Z180" ca="1" si="78">W64&amp;V64</f>
        <v>FC BarcelonaVFB Essenheim</v>
      </c>
      <c r="AA136" s="32">
        <f t="shared" ref="AA136:AA180" ca="1" si="79">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t="shared" ca="1" si="78"/>
        <v>Inter MailandFC Grönlingen</v>
      </c>
      <c r="AA137" s="12">
        <f t="shared" ca="1" si="79"/>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ca="1" si="78"/>
        <v>Real Madrid1. FC Nürnberg</v>
      </c>
      <c r="AA138" s="12">
        <f t="shared" ca="1" si="79"/>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78"/>
        <v>Maibach 1822 eVEintracht Frankfurt</v>
      </c>
      <c r="AA139" s="12">
        <f t="shared" ca="1" si="79"/>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78"/>
        <v>Manchester CitySSV Wildbach</v>
      </c>
      <c r="AA140" s="12">
        <f t="shared" ca="1" si="79"/>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78"/>
        <v>FSV RauenBorussia Dortmund</v>
      </c>
      <c r="AA141" s="12">
        <f t="shared" ca="1" si="79"/>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78"/>
        <v>1. FC RiedwaldVFB Essenheim</v>
      </c>
      <c r="AA142" s="12">
        <f t="shared" ca="1" si="79"/>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78"/>
        <v>Mainz 05FC Grönlingen</v>
      </c>
      <c r="AA143" s="12">
        <f t="shared" ca="1" si="79"/>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78"/>
        <v>Kickers Rodendorf1. FC Nürnberg</v>
      </c>
      <c r="AA144" s="12">
        <f t="shared" ca="1" si="79"/>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78"/>
        <v>Eintracht FrankfurtFC Barcelona</v>
      </c>
      <c r="AA145" s="12">
        <f t="shared" ca="1" si="79"/>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78"/>
        <v>SSV WildbachInter Mailand</v>
      </c>
      <c r="AA146" s="12">
        <f t="shared" ca="1" si="79"/>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78"/>
        <v>Borussia DortmundReal Madrid</v>
      </c>
      <c r="AA147" s="12">
        <f t="shared" ca="1" si="79"/>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78"/>
        <v>Maibach 1822 eV1. FC Riedwald</v>
      </c>
      <c r="AA148" s="12">
        <f t="shared" ca="1" si="79"/>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78"/>
        <v>Manchester CityMainz 05</v>
      </c>
      <c r="AA149" s="12">
        <f t="shared" ca="1" si="79"/>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78"/>
        <v>FSV RauenKickers Rodendorf</v>
      </c>
      <c r="AA150" s="12">
        <f t="shared" ca="1" si="79"/>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78"/>
        <v>VFB EssenheimEintracht Frankfurt</v>
      </c>
      <c r="AA151" s="12">
        <f t="shared" ca="1" si="79"/>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78"/>
        <v>FC GrönlingenSSV Wildbach</v>
      </c>
      <c r="AA152" s="12">
        <f t="shared" ca="1" si="79"/>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78"/>
        <v>1. FC NürnbergBorussia Dortmund</v>
      </c>
      <c r="AA153" s="12">
        <f t="shared" ca="1" si="79"/>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78"/>
        <v>Maibach 1822 eVFC Barcelona</v>
      </c>
      <c r="AA154" s="12">
        <f t="shared" ca="1" si="79"/>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78"/>
        <v>Manchester CityInter Mailand</v>
      </c>
      <c r="AA155" s="12">
        <f t="shared" ca="1" si="79"/>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78"/>
        <v>FSV RauenReal Madrid</v>
      </c>
      <c r="AA156" s="12">
        <f t="shared" ca="1" si="79"/>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78"/>
        <v>1. FC RiedwaldEintracht Frankfurt</v>
      </c>
      <c r="AA157" s="12">
        <f t="shared" ca="1" si="79"/>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78"/>
        <v>Mainz 05SSV Wildbach</v>
      </c>
      <c r="AA158" s="12">
        <f t="shared" ca="1" si="79"/>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78"/>
        <v>Kickers RodendorfBorussia Dortmund</v>
      </c>
      <c r="AA159" s="12">
        <f t="shared" ca="1" si="79"/>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78"/>
        <v>VFB EssenheimMaibach 1822 eV</v>
      </c>
      <c r="AA160" s="12">
        <f t="shared" ca="1" si="79"/>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78"/>
        <v>FC GrönlingenManchester City</v>
      </c>
      <c r="AA161" s="12">
        <f t="shared" ca="1" si="79"/>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78"/>
        <v>1. FC NürnbergFSV Rauen</v>
      </c>
      <c r="AA162" s="12">
        <f t="shared" ca="1" si="79"/>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78"/>
        <v>FC Barcelona1. FC Riedwald</v>
      </c>
      <c r="AA163" s="12">
        <f t="shared" ca="1" si="79"/>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78"/>
        <v>Inter MailandMainz 05</v>
      </c>
      <c r="AA164" s="12">
        <f t="shared" ca="1" si="79"/>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78"/>
        <v>Real MadridKickers Rodendorf</v>
      </c>
      <c r="AA165" s="12">
        <f t="shared" ca="1" si="79"/>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78"/>
        <v/>
      </c>
      <c r="AA166" s="12">
        <f t="shared" ca="1" si="79"/>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78"/>
        <v/>
      </c>
      <c r="AA167" s="12">
        <f t="shared" ca="1" si="79"/>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78"/>
        <v/>
      </c>
      <c r="AA168" s="12">
        <f t="shared" ca="1" si="79"/>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78"/>
        <v/>
      </c>
      <c r="AA169" s="12">
        <f t="shared" ca="1" si="79"/>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78"/>
        <v/>
      </c>
      <c r="AA170" s="12">
        <f t="shared" ca="1" si="79"/>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78"/>
        <v/>
      </c>
      <c r="AA171" s="12">
        <f t="shared" ca="1" si="79"/>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78"/>
        <v/>
      </c>
      <c r="AA172" s="12">
        <f t="shared" ca="1" si="79"/>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78"/>
        <v/>
      </c>
      <c r="AA173" s="12">
        <f t="shared" ca="1" si="79"/>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78"/>
        <v/>
      </c>
      <c r="AA174" s="12">
        <f t="shared" ca="1" si="79"/>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78"/>
        <v/>
      </c>
      <c r="AA175" s="12">
        <f t="shared" ca="1" si="79"/>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78"/>
        <v/>
      </c>
      <c r="AA176" s="12">
        <f t="shared" ca="1" si="79"/>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78"/>
        <v/>
      </c>
      <c r="AA177" s="12">
        <f t="shared" ca="1" si="79"/>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78"/>
        <v/>
      </c>
      <c r="AA178" s="12">
        <f t="shared" ca="1" si="79"/>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78"/>
        <v/>
      </c>
      <c r="AA179" s="12">
        <f t="shared" ca="1" si="79"/>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78"/>
        <v/>
      </c>
      <c r="AA180" s="686">
        <f t="shared" ca="1" si="79"/>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E63:AF63"/>
    <mergeCell ref="W3:AA3"/>
    <mergeCell ref="AB3:AF3"/>
    <mergeCell ref="AG3:AK3"/>
    <mergeCell ref="AL3:AP3"/>
    <mergeCell ref="AD15:AH15"/>
    <mergeCell ref="AG63:AH63"/>
    <mergeCell ref="X63:Y63"/>
    <mergeCell ref="BI29:BP29"/>
    <mergeCell ref="AS29:AZ29"/>
    <mergeCell ref="BA29:BH29"/>
    <mergeCell ref="E29:L29"/>
    <mergeCell ref="M29:T29"/>
    <mergeCell ref="U29:AB29"/>
    <mergeCell ref="AC29:AJ29"/>
    <mergeCell ref="AK29:AR29"/>
  </mergeCells>
  <phoneticPr fontId="3" type="noConversion"/>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5" s="2" customFormat="1" x14ac:dyDescent="0.2"/>
    <row r="2" spans="1:45" s="2" customFormat="1" x14ac:dyDescent="0.2">
      <c r="B2" s="12"/>
      <c r="C2" s="12"/>
      <c r="D2" s="12"/>
      <c r="E2" s="12"/>
      <c r="F2" s="1"/>
      <c r="G2" s="1"/>
      <c r="H2" s="1"/>
      <c r="I2" s="1"/>
      <c r="J2" s="1" t="s">
        <v>397</v>
      </c>
      <c r="K2" s="1"/>
      <c r="L2" s="1"/>
      <c r="M2" s="1"/>
      <c r="N2" s="12"/>
      <c r="O2" s="1"/>
      <c r="P2" s="1"/>
      <c r="Q2" s="1"/>
      <c r="W2" s="2" t="s">
        <v>152</v>
      </c>
    </row>
    <row r="3" spans="1:45"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f t="shared" ref="O3:V3" ca="1" si="0">IF(9-COUNTIF(O$17:O$25,"")&gt;1,O$16,99999)</f>
        <v>99999</v>
      </c>
      <c r="P3" s="111">
        <f t="shared" ca="1" si="0"/>
        <v>99999</v>
      </c>
      <c r="Q3" s="111">
        <f t="shared" ca="1" si="0"/>
        <v>99999</v>
      </c>
      <c r="R3" s="111">
        <f t="shared" ca="1" si="0"/>
        <v>99999</v>
      </c>
      <c r="S3" s="111">
        <f t="shared" ca="1" si="0"/>
        <v>99999</v>
      </c>
      <c r="T3" s="111">
        <f t="shared" ca="1" si="0"/>
        <v>99999</v>
      </c>
      <c r="U3" s="111">
        <f t="shared" ca="1" si="0"/>
        <v>99999</v>
      </c>
      <c r="V3" s="111">
        <f t="shared" ca="1" si="0"/>
        <v>99999</v>
      </c>
      <c r="W3" s="1025">
        <f ca="1">IF($O$4&lt;10,$O$4,0)</f>
        <v>0</v>
      </c>
      <c r="X3" s="1026"/>
      <c r="Y3" s="1026"/>
      <c r="Z3" s="1026"/>
      <c r="AA3" s="1026"/>
      <c r="AB3" s="1025">
        <f ca="1">IF($P$4&lt;10,$P$4,0)</f>
        <v>0</v>
      </c>
      <c r="AC3" s="1026"/>
      <c r="AD3" s="1026"/>
      <c r="AE3" s="1026"/>
      <c r="AF3" s="1026"/>
      <c r="AG3" s="1025">
        <f ca="1">IF($Q$4&lt;10,$Q$4,0)</f>
        <v>0</v>
      </c>
      <c r="AH3" s="1026"/>
      <c r="AI3" s="1026"/>
      <c r="AJ3" s="1026"/>
      <c r="AK3" s="1026"/>
      <c r="AL3" s="1025">
        <f ca="1">IF($R$4&lt;10,$R$4,0)</f>
        <v>0</v>
      </c>
      <c r="AM3" s="1026"/>
      <c r="AN3" s="1026"/>
      <c r="AO3" s="1026"/>
      <c r="AP3" s="1026"/>
      <c r="AR3" s="27" t="s">
        <v>441</v>
      </c>
      <c r="AS3" s="27" t="s">
        <v>442</v>
      </c>
    </row>
    <row r="4" spans="1:45" s="2" customFormat="1" ht="12.75" thickTop="1" x14ac:dyDescent="0.2">
      <c r="A4" s="254"/>
      <c r="B4" s="1">
        <v>1</v>
      </c>
      <c r="C4" s="20">
        <f t="shared" ref="C4:C12" ca="1" si="1">RANK(D4,$D$4:$D$12,1)</f>
        <v>4</v>
      </c>
      <c r="D4" s="12">
        <f t="shared" ref="D4:D12" ca="1" si="2">E4+ROW()/1000+(F4="")*10</f>
        <v>4.0039999999999996</v>
      </c>
      <c r="E4" s="266">
        <f t="shared" ref="E4:E12" ca="1" si="3">IF($AI$15,RANK(AH17,AH$17:AH$25,1),RANK(X17,X$17:X$25,1))</f>
        <v>4</v>
      </c>
      <c r="F4" s="1" t="str">
        <f>$Q64</f>
        <v>Mainz 05</v>
      </c>
      <c r="G4" s="1">
        <f t="shared" ref="G4:G12" ca="1" si="4">SUMIFS($X$64:$X$135,$V$64:$V$135,$F4)+SUMIFS($Y$64:$Y$135,$W$64:$W$135,$F4)+SUMIFS($AG$64:$AG$135,$V$64:$V$135,$F4)+SUMIFS($AH$64:$AH$135,$W$64:$W$135,$F4)</f>
        <v>156</v>
      </c>
      <c r="H4" s="1">
        <f t="shared" ref="H4:H12" ca="1" si="5">SUMIFS($Y$64:$Y$135,$V$64:$V$135,$F4)+SUMIFS($X$64:$X$135,$W$64:$W$135,$F4)+SUMIFS($AH$64:$AH$135,$V$64:$V$135,$F4)+SUMIFS($AG$64:$AG$135,$W$64:$W$135,$F4)</f>
        <v>184</v>
      </c>
      <c r="I4" s="12">
        <f ca="1">IF(Settings!$G$7,G4-H4,IF(H4=0,IF(G4=0,0,Settings!$F$7),G4/H4))</f>
        <v>-28</v>
      </c>
      <c r="J4" s="1">
        <f ca="1">SUMPRODUCT(($V$64:$V$135=F4)*$AE$64:$AE$135*$AA$64:$AA$135)+SUMPRODUCT(($W$64:$W$135=F4)*$AF$64:$AF$135*$AA$64:$AA$135)</f>
        <v>3</v>
      </c>
      <c r="K4" s="1">
        <f t="shared" ref="K4:K12" ca="1" si="6">SUMPRODUCT(($V$64:$V$135=F4)*$AA$64:$AA$135)+SUMPRODUCT(($W$64:$W$135=F4)*$AA$64:$AA$135)</f>
        <v>4</v>
      </c>
      <c r="L4" s="1">
        <f t="shared" ref="L4:L12" ca="1" si="7">K4-M4-N4</f>
        <v>0</v>
      </c>
      <c r="M4" s="1">
        <f t="shared" ref="M4:M12" ca="1" si="8">SUMPRODUCT(($V$64:$W$135=F4)*($AE$64:$AE$135=$AF$64:$AF$135)*$AA$64:$AA$135)</f>
        <v>3</v>
      </c>
      <c r="N4" s="1">
        <f t="shared" ref="N4:N12" ca="1" si="9">SUMPRODUCT(($V$64:$V$135=F4)*($AE$64:$AE$135&lt;$AF$64:$AF$135)*$AA$64:$AA$135)+SUMPRODUCT(($W$64:$W$135=F4)*($AE$64:$AE$135&gt;$AF$64:$AF$135)*$AA$64:$AA$135)</f>
        <v>1</v>
      </c>
      <c r="O4" s="119">
        <f ca="1">SMALL($O$3:$V$3,1)</f>
        <v>99999</v>
      </c>
      <c r="P4" s="119">
        <f ca="1">SMALL($O$3:$V$3,2)</f>
        <v>99999</v>
      </c>
      <c r="Q4" s="119">
        <f ca="1">SMALL($O$3:$V$3,3)</f>
        <v>99999</v>
      </c>
      <c r="R4" s="119">
        <f ca="1">SMALL($O$3:$V$3,4)</f>
        <v>99999</v>
      </c>
      <c r="V4" s="1"/>
      <c r="W4" s="588" t="str">
        <f t="shared" ref="W4:W12" ca="1" si="10">IFERROR(INDEX($O$17:$V$25,ROW(A1),$W$3),"")</f>
        <v/>
      </c>
      <c r="X4" s="589" t="str">
        <f t="shared" ref="X4:X12" ca="1" si="11">INDEX($W$4:$W$12,MATCH(ROW(A1),$AA$4:$AA$12,0))</f>
        <v/>
      </c>
      <c r="Y4" s="590">
        <f t="shared" ref="Y4:Y12" ca="1" si="12">IF($W4="",99999,VLOOKUP($W4,$C$17:$Z$25,24,0))</f>
        <v>99999</v>
      </c>
      <c r="Z4" s="591">
        <f t="shared" ref="Z4:Z12" ca="1" si="13">RANK(Y4,Y$4:Y$12,1)+INDEX($E$4:$E$12,MATCH(W4,$F$4:$F$12,0))/100+ROW()/10000</f>
        <v>1.0604</v>
      </c>
      <c r="AA4" s="592">
        <f t="shared" ref="AA4:AA12" ca="1" si="14">RANK($Z4,$Z$4:$Z$12,1)</f>
        <v>1</v>
      </c>
      <c r="AB4" s="593" t="str">
        <f t="shared" ref="AB4:AB12" ca="1" si="15">IFERROR(INDEX($O$17:$V$25,ROW(A1),$AB$3),"")</f>
        <v/>
      </c>
      <c r="AC4" s="594" t="str">
        <f t="shared" ref="AC4:AC12" ca="1" si="16">INDEX($AB$4:$AB$12,MATCH(ROW(A1),$AF$4:$AF$12,0))</f>
        <v/>
      </c>
      <c r="AD4" s="595">
        <f t="shared" ref="AD4:AD12" ca="1" si="17">IF($AB4="",99999,VLOOKUP($AB4,$C$17:$Z$25,24,0))</f>
        <v>99999</v>
      </c>
      <c r="AE4" s="591">
        <f t="shared" ref="AE4:AE12" ca="1" si="18">RANK(AD4,AD$4:AD$12,1)+INDEX($E$4:$E$12,MATCH(AB4,$F$4:$F$12,0))/100+ROW()/10000</f>
        <v>1.0604</v>
      </c>
      <c r="AF4" s="591">
        <f t="shared" ref="AF4:AF12" ca="1" si="19">RANK($AE4,$AE$4:$AE$12,1)</f>
        <v>1</v>
      </c>
      <c r="AG4" s="593" t="str">
        <f t="shared" ref="AG4:AG12" ca="1" si="20">IFERROR(INDEX($O$17:$V$25,ROW(C1),$AG$3),"")</f>
        <v/>
      </c>
      <c r="AH4" s="594" t="str">
        <f t="shared" ref="AH4:AH12" ca="1" si="21">INDEX($AG$4:$AG$12,MATCH(ROW(A1),$AK$4:$AK$12,0))</f>
        <v/>
      </c>
      <c r="AI4" s="595">
        <f t="shared" ref="AI4:AI12" ca="1" si="22">IF($AG4="",99999,VLOOKUP($AG4,$C$17:$Z$25,24,0))</f>
        <v>99999</v>
      </c>
      <c r="AJ4" s="591">
        <f t="shared" ref="AJ4:AJ12" ca="1" si="23">RANK(AI4,AI$4:AI$12,1)+INDEX($E$4:$E$12,MATCH(AG4,$F$4:$F$12,0))/100+ROW()/10000</f>
        <v>1.0604</v>
      </c>
      <c r="AK4" s="596">
        <f t="shared" ref="AK4:AK12" ca="1" si="24">RANK($AJ4,$AJ$4:$AJ$12,1)</f>
        <v>1</v>
      </c>
      <c r="AL4" s="594" t="str">
        <f t="shared" ref="AL4:AL12" ca="1" si="25">IFERROR(INDEX($O$17:$V$25,ROW(E1),$AL$3),"")</f>
        <v/>
      </c>
      <c r="AM4" s="594" t="str">
        <f t="shared" ref="AM4:AM12" ca="1" si="26">INDEX($AL$4:$AL$12,MATCH(ROW(A1),$AP$4:$AP$12,0))</f>
        <v/>
      </c>
      <c r="AN4" s="595">
        <f t="shared" ref="AN4:AN12" ca="1" si="27">IF($AL4="",99999,VLOOKUP($AL4,$C$17:$Z$25,24,0))</f>
        <v>99999</v>
      </c>
      <c r="AO4" s="591">
        <f t="shared" ref="AO4:AO12" ca="1" si="28">RANK(AN4,AN$4:AN$12,1)+INDEX($E$4:$E$12,MATCH(AL4,$F$4:$F$12,0))/100+ROW()/10000</f>
        <v>1.0604</v>
      </c>
      <c r="AP4" s="596">
        <f t="shared" ref="AP4:AP12" ca="1" si="29">RANK($AO4,$AO$4:$AO$12,1)</f>
        <v>1</v>
      </c>
      <c r="AR4" s="1">
        <f ca="1">IF(Settings!$G$7,$I4,ROUND($I4,Settings!$H$7))</f>
        <v>-28</v>
      </c>
      <c r="AS4" s="1">
        <f ca="1">SUMPRODUCT(($W$64:$W$135=F4)*$AE$64:$AE$135*$AA$64:$AA$135)+SUMPRODUCT(($V$64:$V$135=F4)*$AF$64:$AF$135*$AA$64:$AA$135)</f>
        <v>5</v>
      </c>
    </row>
    <row r="5" spans="1:45" s="2" customFormat="1" x14ac:dyDescent="0.2">
      <c r="A5" s="254"/>
      <c r="B5" s="1">
        <v>2</v>
      </c>
      <c r="C5" s="21">
        <f t="shared" ca="1" si="1"/>
        <v>1</v>
      </c>
      <c r="D5" s="12">
        <f t="shared" ca="1" si="2"/>
        <v>1.0049999999999999</v>
      </c>
      <c r="E5" s="266">
        <f t="shared" ca="1" si="3"/>
        <v>1</v>
      </c>
      <c r="F5" s="1" t="str">
        <f t="shared" ref="F5:F12" si="30">$Q65</f>
        <v>Inter Mailand</v>
      </c>
      <c r="G5" s="1">
        <f t="shared" ca="1" si="4"/>
        <v>192</v>
      </c>
      <c r="H5" s="1">
        <f t="shared" ca="1" si="5"/>
        <v>148</v>
      </c>
      <c r="I5" s="12">
        <f ca="1">IF(Settings!$G$7,G5-H5,IF(H5=0,IF(G5=0,0,Settings!$F$7),G5/H5))</f>
        <v>44</v>
      </c>
      <c r="J5" s="1">
        <f t="shared" ref="J5:J12" ca="1" si="31">SUMPRODUCT(($V$64:$V$135=F5)*$AE$64:$AE$135*$AA$64:$AA$135)+SUMPRODUCT(($W$64:$W$135=F5)*$AF$64:$AF$135*$AA$64:$AA$135)</f>
        <v>6</v>
      </c>
      <c r="K5" s="1">
        <f t="shared" ca="1" si="6"/>
        <v>4</v>
      </c>
      <c r="L5" s="1">
        <f t="shared" ca="1" si="7"/>
        <v>2</v>
      </c>
      <c r="M5" s="1">
        <f t="shared" ca="1" si="8"/>
        <v>2</v>
      </c>
      <c r="N5" s="1">
        <f t="shared" ca="1" si="9"/>
        <v>0</v>
      </c>
      <c r="O5" s="23"/>
      <c r="P5" s="24"/>
      <c r="V5" s="1"/>
      <c r="W5" s="593" t="str">
        <f t="shared" ca="1" si="10"/>
        <v/>
      </c>
      <c r="X5" s="594" t="str">
        <f t="shared" ca="1" si="11"/>
        <v/>
      </c>
      <c r="Y5" s="591">
        <f t="shared" ca="1" si="12"/>
        <v>99999</v>
      </c>
      <c r="Z5" s="591">
        <f t="shared" ca="1" si="13"/>
        <v>1.0605</v>
      </c>
      <c r="AA5" s="596">
        <f t="shared" ca="1" si="14"/>
        <v>2</v>
      </c>
      <c r="AB5" s="593" t="str">
        <f t="shared" ca="1" si="15"/>
        <v/>
      </c>
      <c r="AC5" s="594" t="str">
        <f t="shared" ca="1" si="16"/>
        <v/>
      </c>
      <c r="AD5" s="595">
        <f t="shared" ca="1" si="17"/>
        <v>99999</v>
      </c>
      <c r="AE5" s="591">
        <f t="shared" ca="1" si="18"/>
        <v>1.0605</v>
      </c>
      <c r="AF5" s="591">
        <f t="shared" ca="1" si="19"/>
        <v>2</v>
      </c>
      <c r="AG5" s="593" t="str">
        <f t="shared" ca="1" si="20"/>
        <v/>
      </c>
      <c r="AH5" s="594" t="str">
        <f t="shared" ca="1" si="21"/>
        <v/>
      </c>
      <c r="AI5" s="595">
        <f t="shared" ca="1" si="22"/>
        <v>99999</v>
      </c>
      <c r="AJ5" s="591">
        <f t="shared" ca="1" si="23"/>
        <v>1.0605</v>
      </c>
      <c r="AK5" s="596">
        <f t="shared" ca="1" si="24"/>
        <v>2</v>
      </c>
      <c r="AL5" s="594" t="str">
        <f t="shared" ca="1" si="25"/>
        <v/>
      </c>
      <c r="AM5" s="594" t="str">
        <f t="shared" ca="1" si="26"/>
        <v/>
      </c>
      <c r="AN5" s="595">
        <f t="shared" ca="1" si="27"/>
        <v>99999</v>
      </c>
      <c r="AO5" s="591">
        <f t="shared" ca="1" si="28"/>
        <v>1.0605</v>
      </c>
      <c r="AP5" s="596">
        <f t="shared" ca="1" si="29"/>
        <v>2</v>
      </c>
      <c r="AR5" s="1">
        <f ca="1">IF(Settings!$G$7,$I5,ROUND($I5,Settings!$H$7))</f>
        <v>44</v>
      </c>
      <c r="AS5" s="1">
        <f t="shared" ref="AS5:AS12" ca="1" si="32">SUMPRODUCT(($W$64:$W$135=F5)*$AE$64:$AE$135*$AA$64:$AA$135)+SUMPRODUCT(($V$64:$V$135=F5)*$AF$64:$AF$135*$AA$64:$AA$135)</f>
        <v>2</v>
      </c>
    </row>
    <row r="6" spans="1:45" s="2" customFormat="1" x14ac:dyDescent="0.2">
      <c r="A6" s="254"/>
      <c r="B6" s="1">
        <v>3</v>
      </c>
      <c r="C6" s="21">
        <f t="shared" ca="1" si="1"/>
        <v>2</v>
      </c>
      <c r="D6" s="12">
        <f t="shared" ca="1" si="2"/>
        <v>2.0059999999999998</v>
      </c>
      <c r="E6" s="266">
        <f t="shared" ca="1" si="3"/>
        <v>2</v>
      </c>
      <c r="F6" s="1" t="str">
        <f t="shared" si="30"/>
        <v>SSV Wildbach</v>
      </c>
      <c r="G6" s="1">
        <f t="shared" ca="1" si="4"/>
        <v>187</v>
      </c>
      <c r="H6" s="1">
        <f t="shared" ca="1" si="5"/>
        <v>171</v>
      </c>
      <c r="I6" s="12">
        <f ca="1">IF(Settings!$G$7,G6-H6,IF(H6=0,IF(G6=0,0,Settings!$F$7),G6/H6))</f>
        <v>16</v>
      </c>
      <c r="J6" s="1">
        <f t="shared" ca="1" si="31"/>
        <v>6</v>
      </c>
      <c r="K6" s="1">
        <f t="shared" ca="1" si="6"/>
        <v>4</v>
      </c>
      <c r="L6" s="1">
        <f t="shared" ca="1" si="7"/>
        <v>2</v>
      </c>
      <c r="M6" s="1">
        <f t="shared" ca="1" si="8"/>
        <v>2</v>
      </c>
      <c r="N6" s="1">
        <f t="shared" ca="1" si="9"/>
        <v>0</v>
      </c>
      <c r="O6" s="23"/>
      <c r="P6" s="24"/>
      <c r="V6" s="1"/>
      <c r="W6" s="593" t="str">
        <f t="shared" ca="1" si="10"/>
        <v/>
      </c>
      <c r="X6" s="594" t="str">
        <f t="shared" ca="1" si="11"/>
        <v/>
      </c>
      <c r="Y6" s="591">
        <f t="shared" ca="1" si="12"/>
        <v>99999</v>
      </c>
      <c r="Z6" s="591">
        <f t="shared" ca="1" si="13"/>
        <v>1.0606</v>
      </c>
      <c r="AA6" s="596">
        <f t="shared" ca="1" si="14"/>
        <v>3</v>
      </c>
      <c r="AB6" s="593" t="str">
        <f t="shared" ca="1" si="15"/>
        <v/>
      </c>
      <c r="AC6" s="594" t="str">
        <f t="shared" ca="1" si="16"/>
        <v/>
      </c>
      <c r="AD6" s="595">
        <f t="shared" ca="1" si="17"/>
        <v>99999</v>
      </c>
      <c r="AE6" s="591">
        <f t="shared" ca="1" si="18"/>
        <v>1.0606</v>
      </c>
      <c r="AF6" s="591">
        <f t="shared" ca="1" si="19"/>
        <v>3</v>
      </c>
      <c r="AG6" s="593" t="str">
        <f t="shared" ca="1" si="20"/>
        <v/>
      </c>
      <c r="AH6" s="594" t="str">
        <f t="shared" ca="1" si="21"/>
        <v/>
      </c>
      <c r="AI6" s="595">
        <f t="shared" ca="1" si="22"/>
        <v>99999</v>
      </c>
      <c r="AJ6" s="591">
        <f t="shared" ca="1" si="23"/>
        <v>1.0606</v>
      </c>
      <c r="AK6" s="596">
        <f t="shared" ca="1" si="24"/>
        <v>3</v>
      </c>
      <c r="AL6" s="594" t="str">
        <f t="shared" ca="1" si="25"/>
        <v/>
      </c>
      <c r="AM6" s="594" t="str">
        <f t="shared" ca="1" si="26"/>
        <v/>
      </c>
      <c r="AN6" s="595">
        <f t="shared" ca="1" si="27"/>
        <v>99999</v>
      </c>
      <c r="AO6" s="591">
        <f t="shared" ca="1" si="28"/>
        <v>1.0606</v>
      </c>
      <c r="AP6" s="596">
        <f t="shared" ca="1" si="29"/>
        <v>3</v>
      </c>
      <c r="AR6" s="1">
        <f ca="1">IF(Settings!$G$7,$I6,ROUND($I6,Settings!$H$7))</f>
        <v>16</v>
      </c>
      <c r="AS6" s="1">
        <f t="shared" ca="1" si="32"/>
        <v>2</v>
      </c>
    </row>
    <row r="7" spans="1:45" s="2" customFormat="1" x14ac:dyDescent="0.2">
      <c r="A7" s="254"/>
      <c r="B7" s="1">
        <v>4</v>
      </c>
      <c r="C7" s="21">
        <f t="shared" ca="1" si="1"/>
        <v>5</v>
      </c>
      <c r="D7" s="12">
        <f t="shared" ca="1" si="2"/>
        <v>5.0069999999999997</v>
      </c>
      <c r="E7" s="266">
        <f t="shared" ca="1" si="3"/>
        <v>5</v>
      </c>
      <c r="F7" s="1" t="str">
        <f t="shared" si="30"/>
        <v>Manchester City</v>
      </c>
      <c r="G7" s="1">
        <f t="shared" ca="1" si="4"/>
        <v>160</v>
      </c>
      <c r="H7" s="1">
        <f t="shared" ca="1" si="5"/>
        <v>185</v>
      </c>
      <c r="I7" s="12">
        <f ca="1">IF(Settings!$G$7,G7-H7,IF(H7=0,IF(G7=0,0,Settings!$F$7),G7/H7))</f>
        <v>-25</v>
      </c>
      <c r="J7" s="1">
        <f t="shared" ca="1" si="31"/>
        <v>2</v>
      </c>
      <c r="K7" s="1">
        <f t="shared" ca="1" si="6"/>
        <v>4</v>
      </c>
      <c r="L7" s="1">
        <f t="shared" ca="1" si="7"/>
        <v>0</v>
      </c>
      <c r="M7" s="1">
        <f t="shared" ca="1" si="8"/>
        <v>2</v>
      </c>
      <c r="N7" s="1">
        <f t="shared" ca="1" si="9"/>
        <v>2</v>
      </c>
      <c r="O7" s="23"/>
      <c r="P7" s="24"/>
      <c r="V7" s="1"/>
      <c r="W7" s="593" t="str">
        <f t="shared" ca="1" si="10"/>
        <v/>
      </c>
      <c r="X7" s="594" t="str">
        <f t="shared" ca="1" si="11"/>
        <v/>
      </c>
      <c r="Y7" s="591">
        <f t="shared" ca="1" si="12"/>
        <v>99999</v>
      </c>
      <c r="Z7" s="591">
        <f t="shared" ca="1" si="13"/>
        <v>1.0607</v>
      </c>
      <c r="AA7" s="596">
        <f t="shared" ca="1" si="14"/>
        <v>4</v>
      </c>
      <c r="AB7" s="593" t="str">
        <f t="shared" ca="1" si="15"/>
        <v/>
      </c>
      <c r="AC7" s="594" t="str">
        <f t="shared" ca="1" si="16"/>
        <v/>
      </c>
      <c r="AD7" s="595">
        <f t="shared" ca="1" si="17"/>
        <v>99999</v>
      </c>
      <c r="AE7" s="591">
        <f t="shared" ca="1" si="18"/>
        <v>1.0607</v>
      </c>
      <c r="AF7" s="591">
        <f t="shared" ca="1" si="19"/>
        <v>4</v>
      </c>
      <c r="AG7" s="593" t="str">
        <f t="shared" ca="1" si="20"/>
        <v/>
      </c>
      <c r="AH7" s="594" t="str">
        <f t="shared" ca="1" si="21"/>
        <v/>
      </c>
      <c r="AI7" s="595">
        <f t="shared" ca="1" si="22"/>
        <v>99999</v>
      </c>
      <c r="AJ7" s="591">
        <f t="shared" ca="1" si="23"/>
        <v>1.0607</v>
      </c>
      <c r="AK7" s="596">
        <f t="shared" ca="1" si="24"/>
        <v>4</v>
      </c>
      <c r="AL7" s="594" t="str">
        <f t="shared" ca="1" si="25"/>
        <v/>
      </c>
      <c r="AM7" s="594" t="str">
        <f t="shared" ca="1" si="26"/>
        <v/>
      </c>
      <c r="AN7" s="595">
        <f t="shared" ca="1" si="27"/>
        <v>99999</v>
      </c>
      <c r="AO7" s="591">
        <f t="shared" ca="1" si="28"/>
        <v>1.0607</v>
      </c>
      <c r="AP7" s="596">
        <f t="shared" ca="1" si="29"/>
        <v>4</v>
      </c>
      <c r="AR7" s="1">
        <f ca="1">IF(Settings!$G$7,$I7,ROUND($I7,Settings!$H$7))</f>
        <v>-25</v>
      </c>
      <c r="AS7" s="1">
        <f t="shared" ca="1" si="32"/>
        <v>6</v>
      </c>
    </row>
    <row r="8" spans="1:45" s="2" customFormat="1" x14ac:dyDescent="0.2">
      <c r="A8" s="254"/>
      <c r="B8" s="1">
        <v>5</v>
      </c>
      <c r="C8" s="21">
        <f t="shared" ca="1" si="1"/>
        <v>3</v>
      </c>
      <c r="D8" s="12">
        <f t="shared" ca="1" si="2"/>
        <v>3.008</v>
      </c>
      <c r="E8" s="266">
        <f t="shared" ca="1" si="3"/>
        <v>3</v>
      </c>
      <c r="F8" s="1" t="str">
        <f t="shared" si="30"/>
        <v>FC Grönlingen</v>
      </c>
      <c r="G8" s="1">
        <f t="shared" ca="1" si="4"/>
        <v>174</v>
      </c>
      <c r="H8" s="1">
        <f t="shared" ca="1" si="5"/>
        <v>181</v>
      </c>
      <c r="I8" s="12">
        <f ca="1">IF(Settings!$G$7,G8-H8,IF(H8=0,IF(G8=0,0,Settings!$F$7),G8/H8))</f>
        <v>-7</v>
      </c>
      <c r="J8" s="1">
        <f t="shared" ca="1" si="31"/>
        <v>3</v>
      </c>
      <c r="K8" s="1">
        <f t="shared" ca="1" si="6"/>
        <v>4</v>
      </c>
      <c r="L8" s="1">
        <f t="shared" ca="1" si="7"/>
        <v>0</v>
      </c>
      <c r="M8" s="1">
        <f t="shared" ca="1" si="8"/>
        <v>3</v>
      </c>
      <c r="N8" s="1">
        <f t="shared" ca="1" si="9"/>
        <v>1</v>
      </c>
      <c r="P8" s="24"/>
      <c r="W8" s="593" t="str">
        <f t="shared" ca="1" si="10"/>
        <v/>
      </c>
      <c r="X8" s="594" t="str">
        <f t="shared" ca="1" si="11"/>
        <v/>
      </c>
      <c r="Y8" s="591">
        <f t="shared" ca="1" si="12"/>
        <v>99999</v>
      </c>
      <c r="Z8" s="591">
        <f t="shared" ca="1" si="13"/>
        <v>1.0608</v>
      </c>
      <c r="AA8" s="596">
        <f t="shared" ca="1" si="14"/>
        <v>5</v>
      </c>
      <c r="AB8" s="593" t="str">
        <f t="shared" ca="1" si="15"/>
        <v/>
      </c>
      <c r="AC8" s="594" t="str">
        <f t="shared" ca="1" si="16"/>
        <v/>
      </c>
      <c r="AD8" s="595">
        <f t="shared" ca="1" si="17"/>
        <v>99999</v>
      </c>
      <c r="AE8" s="591">
        <f t="shared" ca="1" si="18"/>
        <v>1.0608</v>
      </c>
      <c r="AF8" s="591">
        <f t="shared" ca="1" si="19"/>
        <v>5</v>
      </c>
      <c r="AG8" s="593" t="str">
        <f t="shared" ca="1" si="20"/>
        <v/>
      </c>
      <c r="AH8" s="594" t="str">
        <f t="shared" ca="1" si="21"/>
        <v/>
      </c>
      <c r="AI8" s="595">
        <f t="shared" ca="1" si="22"/>
        <v>99999</v>
      </c>
      <c r="AJ8" s="591">
        <f t="shared" ca="1" si="23"/>
        <v>1.0608</v>
      </c>
      <c r="AK8" s="596">
        <f t="shared" ca="1" si="24"/>
        <v>5</v>
      </c>
      <c r="AL8" s="594" t="str">
        <f t="shared" ca="1" si="25"/>
        <v/>
      </c>
      <c r="AM8" s="594" t="str">
        <f t="shared" ca="1" si="26"/>
        <v/>
      </c>
      <c r="AN8" s="595">
        <f t="shared" ca="1" si="27"/>
        <v>99999</v>
      </c>
      <c r="AO8" s="591">
        <f t="shared" ca="1" si="28"/>
        <v>1.0608</v>
      </c>
      <c r="AP8" s="596">
        <f t="shared" ca="1" si="29"/>
        <v>5</v>
      </c>
      <c r="AR8" s="1">
        <f ca="1">IF(Settings!$G$7,$I8,ROUND($I8,Settings!$H$7))</f>
        <v>-7</v>
      </c>
      <c r="AS8" s="1">
        <f t="shared" ca="1" si="32"/>
        <v>5</v>
      </c>
    </row>
    <row r="9" spans="1:45" s="2" customFormat="1" x14ac:dyDescent="0.2">
      <c r="A9" s="254"/>
      <c r="B9" s="1">
        <v>6</v>
      </c>
      <c r="C9" s="21">
        <f t="shared" ca="1" si="1"/>
        <v>6</v>
      </c>
      <c r="D9" s="12">
        <f t="shared" ca="1" si="2"/>
        <v>16.009</v>
      </c>
      <c r="E9" s="266">
        <f t="shared" ca="1" si="3"/>
        <v>6</v>
      </c>
      <c r="F9" s="1" t="str">
        <f t="shared" si="30"/>
        <v/>
      </c>
      <c r="G9" s="1">
        <f t="shared" ca="1" si="4"/>
        <v>0</v>
      </c>
      <c r="H9" s="1">
        <f t="shared" ca="1" si="5"/>
        <v>0</v>
      </c>
      <c r="I9" s="12">
        <f ca="1">IF(Settings!$G$7,G9-H9,IF(H9=0,IF(G9=0,0,Settings!$F$7),G9/H9))</f>
        <v>0</v>
      </c>
      <c r="J9" s="1">
        <f t="shared" ca="1" si="31"/>
        <v>0</v>
      </c>
      <c r="K9" s="1">
        <f t="shared" ca="1" si="6"/>
        <v>0</v>
      </c>
      <c r="L9" s="1">
        <f t="shared" ca="1" si="7"/>
        <v>0</v>
      </c>
      <c r="M9" s="1">
        <f t="shared" ca="1" si="8"/>
        <v>0</v>
      </c>
      <c r="N9" s="1">
        <f t="shared" ca="1" si="9"/>
        <v>0</v>
      </c>
      <c r="P9" s="24"/>
      <c r="W9" s="593" t="str">
        <f t="shared" ca="1" si="10"/>
        <v/>
      </c>
      <c r="X9" s="594" t="str">
        <f t="shared" ca="1" si="11"/>
        <v/>
      </c>
      <c r="Y9" s="591">
        <f t="shared" ca="1" si="12"/>
        <v>99999</v>
      </c>
      <c r="Z9" s="591">
        <f t="shared" ca="1" si="13"/>
        <v>1.0609</v>
      </c>
      <c r="AA9" s="596">
        <f t="shared" ca="1" si="14"/>
        <v>6</v>
      </c>
      <c r="AB9" s="593" t="str">
        <f t="shared" ca="1" si="15"/>
        <v/>
      </c>
      <c r="AC9" s="594" t="str">
        <f t="shared" ca="1" si="16"/>
        <v/>
      </c>
      <c r="AD9" s="595">
        <f t="shared" ca="1" si="17"/>
        <v>99999</v>
      </c>
      <c r="AE9" s="591">
        <f t="shared" ca="1" si="18"/>
        <v>1.0609</v>
      </c>
      <c r="AF9" s="591">
        <f t="shared" ca="1" si="19"/>
        <v>6</v>
      </c>
      <c r="AG9" s="593" t="str">
        <f t="shared" ca="1" si="20"/>
        <v/>
      </c>
      <c r="AH9" s="594" t="str">
        <f t="shared" ca="1" si="21"/>
        <v/>
      </c>
      <c r="AI9" s="595">
        <f t="shared" ca="1" si="22"/>
        <v>99999</v>
      </c>
      <c r="AJ9" s="591">
        <f t="shared" ca="1" si="23"/>
        <v>1.0609</v>
      </c>
      <c r="AK9" s="596">
        <f t="shared" ca="1" si="24"/>
        <v>6</v>
      </c>
      <c r="AL9" s="594" t="str">
        <f t="shared" ca="1" si="25"/>
        <v/>
      </c>
      <c r="AM9" s="594" t="str">
        <f t="shared" ca="1" si="26"/>
        <v/>
      </c>
      <c r="AN9" s="595">
        <f t="shared" ca="1" si="27"/>
        <v>99999</v>
      </c>
      <c r="AO9" s="591">
        <f t="shared" ca="1" si="28"/>
        <v>1.0609</v>
      </c>
      <c r="AP9" s="596">
        <f t="shared" ca="1" si="29"/>
        <v>6</v>
      </c>
      <c r="AR9" s="1">
        <f ca="1">IF(Settings!$G$7,$I9,ROUND($I9,Settings!$H$7))</f>
        <v>0</v>
      </c>
      <c r="AS9" s="1">
        <f t="shared" ca="1" si="32"/>
        <v>0</v>
      </c>
    </row>
    <row r="10" spans="1:45" s="2" customFormat="1" x14ac:dyDescent="0.2">
      <c r="A10" s="254"/>
      <c r="B10" s="1">
        <v>7</v>
      </c>
      <c r="C10" s="21">
        <f t="shared" ca="1" si="1"/>
        <v>7</v>
      </c>
      <c r="D10" s="12">
        <f t="shared" ca="1" si="2"/>
        <v>16.009999999999998</v>
      </c>
      <c r="E10" s="266">
        <f t="shared" ca="1" si="3"/>
        <v>6</v>
      </c>
      <c r="F10" s="1" t="str">
        <f t="shared" si="30"/>
        <v/>
      </c>
      <c r="G10" s="1">
        <f t="shared" ca="1" si="4"/>
        <v>0</v>
      </c>
      <c r="H10" s="1">
        <f t="shared" ca="1" si="5"/>
        <v>0</v>
      </c>
      <c r="I10" s="12">
        <f ca="1">IF(Settings!$G$7,G10-H10,IF(H10=0,IF(G10=0,0,Settings!$F$7),G10/H10))</f>
        <v>0</v>
      </c>
      <c r="J10" s="1">
        <f t="shared" ca="1" si="31"/>
        <v>0</v>
      </c>
      <c r="K10" s="1">
        <f t="shared" ca="1" si="6"/>
        <v>0</v>
      </c>
      <c r="L10" s="1">
        <f t="shared" ca="1" si="7"/>
        <v>0</v>
      </c>
      <c r="M10" s="1">
        <f t="shared" ca="1" si="8"/>
        <v>0</v>
      </c>
      <c r="N10" s="1">
        <f t="shared" ca="1" si="9"/>
        <v>0</v>
      </c>
      <c r="P10" s="24"/>
      <c r="W10" s="593" t="str">
        <f t="shared" ca="1" si="10"/>
        <v/>
      </c>
      <c r="X10" s="594" t="str">
        <f t="shared" ca="1" si="11"/>
        <v/>
      </c>
      <c r="Y10" s="591">
        <f t="shared" ca="1" si="12"/>
        <v>99999</v>
      </c>
      <c r="Z10" s="591">
        <f t="shared" ca="1" si="13"/>
        <v>1.0609999999999999</v>
      </c>
      <c r="AA10" s="596">
        <f t="shared" ca="1" si="14"/>
        <v>7</v>
      </c>
      <c r="AB10" s="593" t="str">
        <f t="shared" ca="1" si="15"/>
        <v/>
      </c>
      <c r="AC10" s="594" t="str">
        <f t="shared" ca="1" si="16"/>
        <v/>
      </c>
      <c r="AD10" s="595">
        <f t="shared" ca="1" si="17"/>
        <v>99999</v>
      </c>
      <c r="AE10" s="591">
        <f t="shared" ca="1" si="18"/>
        <v>1.0609999999999999</v>
      </c>
      <c r="AF10" s="591">
        <f t="shared" ca="1" si="19"/>
        <v>7</v>
      </c>
      <c r="AG10" s="593" t="str">
        <f t="shared" ca="1" si="20"/>
        <v/>
      </c>
      <c r="AH10" s="594" t="str">
        <f t="shared" ca="1" si="21"/>
        <v/>
      </c>
      <c r="AI10" s="595">
        <f t="shared" ca="1" si="22"/>
        <v>99999</v>
      </c>
      <c r="AJ10" s="591">
        <f t="shared" ca="1" si="23"/>
        <v>1.0609999999999999</v>
      </c>
      <c r="AK10" s="596">
        <f t="shared" ca="1" si="24"/>
        <v>7</v>
      </c>
      <c r="AL10" s="594" t="str">
        <f t="shared" ca="1" si="25"/>
        <v/>
      </c>
      <c r="AM10" s="594" t="str">
        <f t="shared" ca="1" si="26"/>
        <v/>
      </c>
      <c r="AN10" s="595">
        <f t="shared" ca="1" si="27"/>
        <v>99999</v>
      </c>
      <c r="AO10" s="591">
        <f t="shared" ca="1" si="28"/>
        <v>1.0609999999999999</v>
      </c>
      <c r="AP10" s="596">
        <f t="shared" ca="1" si="29"/>
        <v>7</v>
      </c>
      <c r="AR10" s="1">
        <f ca="1">IF(Settings!$G$7,$I10,ROUND($I10,Settings!$H$7))</f>
        <v>0</v>
      </c>
      <c r="AS10" s="1">
        <f t="shared" ca="1" si="32"/>
        <v>0</v>
      </c>
    </row>
    <row r="11" spans="1:45" s="2" customFormat="1" x14ac:dyDescent="0.2">
      <c r="A11" s="254"/>
      <c r="B11" s="1">
        <v>8</v>
      </c>
      <c r="C11" s="21">
        <f t="shared" ca="1" si="1"/>
        <v>8</v>
      </c>
      <c r="D11" s="12">
        <f t="shared" ca="1" si="2"/>
        <v>16.010999999999999</v>
      </c>
      <c r="E11" s="266">
        <f t="shared" ca="1" si="3"/>
        <v>6</v>
      </c>
      <c r="F11" s="1" t="str">
        <f t="shared" si="30"/>
        <v/>
      </c>
      <c r="G11" s="1">
        <f t="shared" ca="1" si="4"/>
        <v>0</v>
      </c>
      <c r="H11" s="1">
        <f t="shared" ca="1" si="5"/>
        <v>0</v>
      </c>
      <c r="I11" s="12">
        <f ca="1">IF(Settings!$G$7,G11-H11,IF(H11=0,IF(G11=0,0,Settings!$F$7),G11/H11))</f>
        <v>0</v>
      </c>
      <c r="J11" s="1">
        <f t="shared" ca="1" si="31"/>
        <v>0</v>
      </c>
      <c r="K11" s="1">
        <f t="shared" ca="1" si="6"/>
        <v>0</v>
      </c>
      <c r="L11" s="1">
        <f t="shared" ca="1" si="7"/>
        <v>0</v>
      </c>
      <c r="M11" s="1">
        <f t="shared" ca="1" si="8"/>
        <v>0</v>
      </c>
      <c r="N11" s="1">
        <f t="shared" ca="1" si="9"/>
        <v>0</v>
      </c>
      <c r="O11" s="12"/>
      <c r="P11" s="12"/>
      <c r="Q11" s="12"/>
      <c r="R11" s="12"/>
      <c r="S11" s="12"/>
      <c r="T11" s="12"/>
      <c r="U11" s="12"/>
      <c r="V11" s="12"/>
      <c r="W11" s="593" t="str">
        <f t="shared" ca="1" si="10"/>
        <v/>
      </c>
      <c r="X11" s="594" t="str">
        <f t="shared" ca="1" si="11"/>
        <v/>
      </c>
      <c r="Y11" s="591">
        <f t="shared" ca="1" si="12"/>
        <v>99999</v>
      </c>
      <c r="Z11" s="591">
        <f t="shared" ca="1" si="13"/>
        <v>1.0611000000000002</v>
      </c>
      <c r="AA11" s="596">
        <f t="shared" ca="1" si="14"/>
        <v>8</v>
      </c>
      <c r="AB11" s="593" t="str">
        <f t="shared" ca="1" si="15"/>
        <v/>
      </c>
      <c r="AC11" s="594" t="str">
        <f t="shared" ca="1" si="16"/>
        <v/>
      </c>
      <c r="AD11" s="595">
        <f t="shared" ca="1" si="17"/>
        <v>99999</v>
      </c>
      <c r="AE11" s="591">
        <f t="shared" ca="1" si="18"/>
        <v>1.0611000000000002</v>
      </c>
      <c r="AF11" s="591">
        <f t="shared" ca="1" si="19"/>
        <v>8</v>
      </c>
      <c r="AG11" s="593" t="str">
        <f t="shared" ca="1" si="20"/>
        <v/>
      </c>
      <c r="AH11" s="594" t="str">
        <f t="shared" ca="1" si="21"/>
        <v/>
      </c>
      <c r="AI11" s="595">
        <f t="shared" ca="1" si="22"/>
        <v>99999</v>
      </c>
      <c r="AJ11" s="591">
        <f t="shared" ca="1" si="23"/>
        <v>1.0611000000000002</v>
      </c>
      <c r="AK11" s="596">
        <f t="shared" ca="1" si="24"/>
        <v>8</v>
      </c>
      <c r="AL11" s="594" t="str">
        <f t="shared" ca="1" si="25"/>
        <v/>
      </c>
      <c r="AM11" s="594" t="str">
        <f t="shared" ca="1" si="26"/>
        <v/>
      </c>
      <c r="AN11" s="595">
        <f t="shared" ca="1" si="27"/>
        <v>99999</v>
      </c>
      <c r="AO11" s="591">
        <f t="shared" ca="1" si="28"/>
        <v>1.0611000000000002</v>
      </c>
      <c r="AP11" s="596">
        <f t="shared" ca="1" si="29"/>
        <v>8</v>
      </c>
      <c r="AR11" s="1">
        <f ca="1">IF(Settings!$G$7,$I11,ROUND($I11,Settings!$H$7))</f>
        <v>0</v>
      </c>
      <c r="AS11" s="1">
        <f t="shared" ca="1" si="32"/>
        <v>0</v>
      </c>
    </row>
    <row r="12" spans="1:45" s="2" customFormat="1" ht="12.75" thickBot="1" x14ac:dyDescent="0.25">
      <c r="A12" s="254"/>
      <c r="B12" s="1">
        <v>9</v>
      </c>
      <c r="C12" s="22">
        <f t="shared" ca="1" si="1"/>
        <v>9</v>
      </c>
      <c r="D12" s="12">
        <f t="shared" ca="1" si="2"/>
        <v>16.012</v>
      </c>
      <c r="E12" s="266">
        <f t="shared" ca="1" si="3"/>
        <v>6</v>
      </c>
      <c r="F12" s="1" t="str">
        <f t="shared" si="30"/>
        <v/>
      </c>
      <c r="G12" s="1">
        <f t="shared" ca="1" si="4"/>
        <v>0</v>
      </c>
      <c r="H12" s="1">
        <f t="shared" ca="1" si="5"/>
        <v>0</v>
      </c>
      <c r="I12" s="12">
        <f ca="1">IF(Settings!$G$7,G12-H12,IF(H12=0,IF(G12=0,0,Settings!$F$7),G12/H12))</f>
        <v>0</v>
      </c>
      <c r="J12" s="1">
        <f t="shared" ca="1" si="31"/>
        <v>0</v>
      </c>
      <c r="K12" s="28">
        <f t="shared" ca="1" si="6"/>
        <v>0</v>
      </c>
      <c r="L12" s="1">
        <f t="shared" ca="1" si="7"/>
        <v>0</v>
      </c>
      <c r="M12" s="1">
        <f t="shared" ca="1" si="8"/>
        <v>0</v>
      </c>
      <c r="N12" s="1">
        <f t="shared" ca="1" si="9"/>
        <v>0</v>
      </c>
      <c r="O12" s="1"/>
      <c r="P12" s="1"/>
      <c r="Q12" s="1"/>
      <c r="R12" s="1"/>
      <c r="S12" s="1"/>
      <c r="T12" s="1"/>
      <c r="U12" s="1"/>
      <c r="V12" s="1"/>
      <c r="W12" s="597" t="str">
        <f t="shared" ca="1" si="10"/>
        <v/>
      </c>
      <c r="X12" s="598" t="str">
        <f t="shared" ca="1" si="11"/>
        <v/>
      </c>
      <c r="Y12" s="599">
        <f t="shared" ca="1" si="12"/>
        <v>99999</v>
      </c>
      <c r="Z12" s="599">
        <f t="shared" ca="1" si="13"/>
        <v>1.0612000000000001</v>
      </c>
      <c r="AA12" s="600">
        <f t="shared" ca="1" si="14"/>
        <v>9</v>
      </c>
      <c r="AB12" s="597" t="str">
        <f t="shared" ca="1" si="15"/>
        <v/>
      </c>
      <c r="AC12" s="598" t="str">
        <f t="shared" ca="1" si="16"/>
        <v/>
      </c>
      <c r="AD12" s="601">
        <f t="shared" ca="1" si="17"/>
        <v>99999</v>
      </c>
      <c r="AE12" s="599">
        <f t="shared" ca="1" si="18"/>
        <v>1.0612000000000001</v>
      </c>
      <c r="AF12" s="599">
        <f t="shared" ca="1" si="19"/>
        <v>9</v>
      </c>
      <c r="AG12" s="597" t="str">
        <f t="shared" ca="1" si="20"/>
        <v/>
      </c>
      <c r="AH12" s="598" t="str">
        <f t="shared" ca="1" si="21"/>
        <v/>
      </c>
      <c r="AI12" s="601">
        <f t="shared" ca="1" si="22"/>
        <v>99999</v>
      </c>
      <c r="AJ12" s="599">
        <f t="shared" ca="1" si="23"/>
        <v>1.0612000000000001</v>
      </c>
      <c r="AK12" s="600">
        <f t="shared" ca="1" si="24"/>
        <v>9</v>
      </c>
      <c r="AL12" s="598" t="str">
        <f t="shared" ca="1" si="25"/>
        <v/>
      </c>
      <c r="AM12" s="598" t="str">
        <f t="shared" ca="1" si="26"/>
        <v/>
      </c>
      <c r="AN12" s="601">
        <f t="shared" ca="1" si="27"/>
        <v>99999</v>
      </c>
      <c r="AO12" s="599">
        <f t="shared" ca="1" si="28"/>
        <v>1.0612000000000001</v>
      </c>
      <c r="AP12" s="600">
        <f t="shared" ca="1" si="29"/>
        <v>9</v>
      </c>
      <c r="AR12" s="1">
        <f ca="1">IF(Settings!$G$7,$I12,ROUND($I12,Settings!$H$7))</f>
        <v>0</v>
      </c>
      <c r="AS12" s="1">
        <f t="shared" ca="1" si="32"/>
        <v>0</v>
      </c>
    </row>
    <row r="13" spans="1:45" s="2" customFormat="1" ht="12.75" thickTop="1" x14ac:dyDescent="0.2">
      <c r="B13" s="12">
        <f>$F$13*($F$13-1)</f>
        <v>20</v>
      </c>
      <c r="C13" s="12"/>
      <c r="D13" s="12"/>
      <c r="E13" s="12"/>
      <c r="F13" s="12">
        <f>9-COUNTBLANK($F$4:$F$12)</f>
        <v>5</v>
      </c>
      <c r="G13" s="12"/>
      <c r="H13" s="12"/>
      <c r="I13" s="12"/>
      <c r="J13" s="12"/>
      <c r="K13" s="27">
        <f ca="1">QUOTIENT(SUM(K4:K12),2)</f>
        <v>10</v>
      </c>
      <c r="L13" s="1"/>
      <c r="M13" s="1"/>
      <c r="N13" s="1"/>
      <c r="O13" s="1"/>
      <c r="P13" s="1"/>
      <c r="Q13" s="1"/>
      <c r="R13" s="1"/>
      <c r="S13" s="1"/>
      <c r="T13" s="1"/>
      <c r="U13" s="1"/>
      <c r="V13" s="1"/>
      <c r="Y13" s="1"/>
      <c r="Z13" s="1"/>
    </row>
    <row r="14" spans="1:45" s="2" customFormat="1" x14ac:dyDescent="0.2">
      <c r="B14" s="12"/>
      <c r="C14" s="3"/>
      <c r="D14" s="12"/>
      <c r="E14" s="3"/>
      <c r="F14" s="12"/>
      <c r="O14" s="1"/>
      <c r="P14" s="1"/>
      <c r="Q14" s="1"/>
      <c r="R14" s="1"/>
      <c r="S14" s="1"/>
      <c r="T14" s="1"/>
      <c r="U14" s="1"/>
      <c r="V14" s="1"/>
      <c r="W14" s="1"/>
      <c r="Y14" s="1"/>
      <c r="Z14" s="1"/>
    </row>
    <row r="15" spans="1:45" s="2" customFormat="1" x14ac:dyDescent="0.2">
      <c r="O15" s="11"/>
      <c r="AD15" s="1027" t="s">
        <v>184</v>
      </c>
      <c r="AE15" s="1028"/>
      <c r="AF15" s="1028"/>
      <c r="AG15" s="1028"/>
      <c r="AH15" s="1029"/>
      <c r="AI15" s="2" t="b">
        <v>0</v>
      </c>
      <c r="AK15" s="254"/>
    </row>
    <row r="16" spans="1:45" s="2" customFormat="1" ht="15.75" thickBot="1" x14ac:dyDescent="0.25">
      <c r="B16" s="12" t="s">
        <v>5</v>
      </c>
      <c r="C16" s="694" t="s">
        <v>97</v>
      </c>
      <c r="D16" s="694" t="s">
        <v>103</v>
      </c>
      <c r="E16" s="694" t="s">
        <v>104</v>
      </c>
      <c r="F16" s="694" t="s">
        <v>105</v>
      </c>
      <c r="G16" s="694" t="s">
        <v>106</v>
      </c>
      <c r="H16" s="694" t="s">
        <v>107</v>
      </c>
      <c r="I16" s="694" t="s">
        <v>108</v>
      </c>
      <c r="J16" s="694" t="s">
        <v>109</v>
      </c>
      <c r="K16" s="694"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$Q64</f>
        <v>Mainz 05</v>
      </c>
      <c r="D17" s="1">
        <f t="shared" ref="D17:G25" ca="1" si="33">K4</f>
        <v>4</v>
      </c>
      <c r="E17" s="1">
        <f t="shared" ca="1" si="33"/>
        <v>0</v>
      </c>
      <c r="F17" s="1">
        <f t="shared" ca="1" si="33"/>
        <v>3</v>
      </c>
      <c r="G17" s="1">
        <f t="shared" ca="1" si="33"/>
        <v>1</v>
      </c>
      <c r="H17" s="1">
        <f t="shared" ref="H17:K25" ca="1" si="34">G4</f>
        <v>156</v>
      </c>
      <c r="I17" s="1">
        <f t="shared" ca="1" si="34"/>
        <v>184</v>
      </c>
      <c r="J17" s="12">
        <f t="shared" ca="1" si="34"/>
        <v>-28</v>
      </c>
      <c r="K17" s="1">
        <f t="shared" ca="1" si="34"/>
        <v>3</v>
      </c>
      <c r="L17" s="29">
        <f ca="1">K17*$F$64+(J17+$H$65)*$F$65</f>
        <v>3472000</v>
      </c>
      <c r="M17" s="13">
        <f ca="1">IF($AI$15,COUNTIF($K$17:$K$25,K17),COUNTIF($L$17:$L$25,L17))</f>
        <v>1</v>
      </c>
      <c r="N17" s="13">
        <f t="array" aca="1" ref="N17" ca="1">IF($AI$15,SUM(($K$17:$K$25&gt;=K17)/COUNTIF($K$17:$K$25,$K$17:$K$25)),SUM(($L$17:$L$25&gt;=L17)/COUNTIF($L$17:$L$25,$L$17:$L$25)))</f>
        <v>4</v>
      </c>
      <c r="O17" s="52" t="str">
        <f t="shared" ref="O17:O25" ca="1" si="35">IF(AND(M17&gt;1,N17=1),C17,"")</f>
        <v/>
      </c>
      <c r="P17" s="53" t="str">
        <f t="shared" ref="P17:P25" ca="1" si="36">IF(AND(M17&gt;1,N17=2),C17,"")</f>
        <v/>
      </c>
      <c r="Q17" s="53" t="str">
        <f t="shared" ref="Q17:Q25" ca="1" si="37">IF(AND(M17&gt;1,N17=3),C17,"")</f>
        <v/>
      </c>
      <c r="R17" s="53" t="str">
        <f t="shared" ref="R17:R25" ca="1" si="38">IF(AND(M17&gt;1,N17=4),C17,"")</f>
        <v/>
      </c>
      <c r="S17" s="53" t="str">
        <f t="shared" ref="S17:S25" ca="1" si="39">IF(AND(M17&gt;1,N17=5),C17,"")</f>
        <v/>
      </c>
      <c r="T17" s="53" t="str">
        <f t="shared" ref="T17:T25" ca="1" si="40">IF(AND($M17&gt;1,$N17=6),$C17,"")</f>
        <v/>
      </c>
      <c r="U17" s="53" t="str">
        <f t="shared" ref="U17:U25" ca="1" si="41">IF(AND($M17&gt;1,$N17=7),$C17,"")</f>
        <v/>
      </c>
      <c r="V17" s="54" t="str">
        <f t="shared" ref="V17:V25" ca="1" si="42">IF(AND($M17&gt;1,$N17=8),$C17,"")</f>
        <v/>
      </c>
      <c r="W17" s="62">
        <f ca="1">AA17*$F$64+(AB17+$H$65)*$F$65</f>
        <v>500000</v>
      </c>
      <c r="X17" s="20">
        <f ca="1">RANK($L17,$L$17:$L$25)+RANK($W17,$W$17:$W$25)/100+(9-$Y17)/10000</f>
        <v>4.0108999999999995</v>
      </c>
      <c r="Y17" s="12">
        <f>PreliminaryRound!$AQ12</f>
        <v>0</v>
      </c>
      <c r="Z17" s="1">
        <f ca="1">RANK($W17,$W$17:$W$25)+(9-$Y17)/10</f>
        <v>1.9</v>
      </c>
      <c r="AA17" s="1">
        <f ca="1">SUM(E30:BP30)</f>
        <v>0</v>
      </c>
      <c r="AB17" s="1">
        <f ca="1">SUM(E41:BP41)</f>
        <v>0</v>
      </c>
      <c r="AC17" s="1"/>
      <c r="AD17" s="260">
        <f ca="1">RANK($K17,$K$17:$K$25)</f>
        <v>3</v>
      </c>
      <c r="AE17" s="29">
        <f ca="1">(J17+$H$65)*$F$65</f>
        <v>472000</v>
      </c>
      <c r="AF17" s="1">
        <f ca="1">RANK($AE17,$AE$17:$AE$25)</f>
        <v>9</v>
      </c>
      <c r="AG17" s="1">
        <f ca="1">RANK($W17,$W$17:$W$25)</f>
        <v>1</v>
      </c>
      <c r="AH17" s="262">
        <f ca="1">AD17+AG17/100+AF17/10000+(10-Y17)/1000000</f>
        <v>3.01091</v>
      </c>
      <c r="AI17" s="1"/>
    </row>
    <row r="18" spans="2:80" s="2" customFormat="1" x14ac:dyDescent="0.2">
      <c r="C18" s="2" t="str">
        <f t="shared" ref="C18:C25" si="43">$Q65</f>
        <v>Inter Mailand</v>
      </c>
      <c r="D18" s="1">
        <f t="shared" ca="1" si="33"/>
        <v>4</v>
      </c>
      <c r="E18" s="1">
        <f t="shared" ca="1" si="33"/>
        <v>2</v>
      </c>
      <c r="F18" s="1">
        <f t="shared" ca="1" si="33"/>
        <v>2</v>
      </c>
      <c r="G18" s="1">
        <f t="shared" ca="1" si="33"/>
        <v>0</v>
      </c>
      <c r="H18" s="1">
        <f t="shared" ca="1" si="34"/>
        <v>192</v>
      </c>
      <c r="I18" s="1">
        <f t="shared" ca="1" si="34"/>
        <v>148</v>
      </c>
      <c r="J18" s="12">
        <f t="shared" ca="1" si="34"/>
        <v>44</v>
      </c>
      <c r="K18" s="1">
        <f t="shared" ca="1" si="34"/>
        <v>6</v>
      </c>
      <c r="L18" s="29">
        <f t="shared" ref="L18:L25" ca="1" si="44">K18*$F$64+(J18+$H$65)*$F$65</f>
        <v>6544000</v>
      </c>
      <c r="M18" s="13">
        <f t="shared" ref="M18:M25" ca="1" si="45">IF($AI$15,COUNTIF($K$17:$K$25,K18),COUNTIF($L$17:$L$25,L18))</f>
        <v>1</v>
      </c>
      <c r="N18" s="13">
        <f t="array" aca="1" ref="N18" ca="1">IF($AI$15,SUM(($K$17:$K$25&gt;=K18)/COUNTIF($K$17:$K$25,$K$17:$K$25)),SUM(($L$17:$L$25&gt;=L18)/COUNTIF($L$17:$L$25,$L$17:$L$25)))</f>
        <v>1</v>
      </c>
      <c r="O18" s="5" t="str">
        <f t="shared" ca="1" si="35"/>
        <v/>
      </c>
      <c r="P18" s="3" t="str">
        <f t="shared" ca="1" si="36"/>
        <v/>
      </c>
      <c r="Q18" s="3" t="str">
        <f t="shared" ca="1" si="37"/>
        <v/>
      </c>
      <c r="R18" s="3" t="str">
        <f t="shared" ca="1" si="38"/>
        <v/>
      </c>
      <c r="S18" s="3" t="str">
        <f t="shared" ca="1" si="39"/>
        <v/>
      </c>
      <c r="T18" s="3" t="str">
        <f t="shared" ca="1" si="40"/>
        <v/>
      </c>
      <c r="U18" s="3" t="str">
        <f t="shared" ca="1" si="41"/>
        <v/>
      </c>
      <c r="V18" s="55" t="str">
        <f t="shared" ca="1" si="42"/>
        <v/>
      </c>
      <c r="W18" s="62">
        <f t="shared" ref="W18:W25" ca="1" si="46">AA18*$F$64+(AB18+$H$65)*$F$65</f>
        <v>500000</v>
      </c>
      <c r="X18" s="21">
        <f t="shared" ref="X18:X25" ca="1" si="47">RANK($L18,$L$17:$L$25)+RANK($W18,$W$17:$W$25)/100+(9-$Y18)/10000</f>
        <v>1.0108999999999999</v>
      </c>
      <c r="Y18" s="12">
        <f>PreliminaryRound!$AQ13</f>
        <v>0</v>
      </c>
      <c r="Z18" s="1">
        <f t="shared" ref="Z18:Z25" ca="1" si="48">RANK($W18,$W$17:$W$25)+(9-$Y18)/10</f>
        <v>1.9</v>
      </c>
      <c r="AA18" s="1">
        <f t="shared" ref="AA18:AA25" ca="1" si="49">SUM(E31:BP31)</f>
        <v>0</v>
      </c>
      <c r="AB18" s="1">
        <f t="shared" ref="AB18:AB25" ca="1" si="50">SUM(E42:BP42)</f>
        <v>0</v>
      </c>
      <c r="AC18" s="1"/>
      <c r="AD18" s="260">
        <f t="shared" ref="AD18:AD25" ca="1" si="51">RANK($K18,$K$17:$K$25)</f>
        <v>1</v>
      </c>
      <c r="AE18" s="29">
        <f t="shared" ref="AE18:AE25" ca="1" si="52">(J18+$H$65)*$F$65</f>
        <v>544000</v>
      </c>
      <c r="AF18" s="1">
        <f t="shared" ref="AF18:AF25" ca="1" si="53">RANK($AE18,$AE$17:$AE$25)</f>
        <v>1</v>
      </c>
      <c r="AG18" s="1">
        <f t="shared" ref="AG18:AG25" ca="1" si="54">RANK($W18,$W$17:$W$25)</f>
        <v>1</v>
      </c>
      <c r="AH18" s="263">
        <f t="shared" ref="AH18:AH25" ca="1" si="55">AD18+AG18/100+AF18/10000+(10-Y18)/1000000</f>
        <v>1.0101100000000001</v>
      </c>
      <c r="AI18" s="1"/>
    </row>
    <row r="19" spans="2:80" s="2" customFormat="1" x14ac:dyDescent="0.2">
      <c r="C19" s="2" t="str">
        <f t="shared" si="43"/>
        <v>SSV Wildbach</v>
      </c>
      <c r="D19" s="1">
        <f t="shared" ca="1" si="33"/>
        <v>4</v>
      </c>
      <c r="E19" s="1">
        <f t="shared" ca="1" si="33"/>
        <v>2</v>
      </c>
      <c r="F19" s="1">
        <f t="shared" ca="1" si="33"/>
        <v>2</v>
      </c>
      <c r="G19" s="1">
        <f t="shared" ca="1" si="33"/>
        <v>0</v>
      </c>
      <c r="H19" s="1">
        <f t="shared" ca="1" si="34"/>
        <v>187</v>
      </c>
      <c r="I19" s="1">
        <f t="shared" ca="1" si="34"/>
        <v>171</v>
      </c>
      <c r="J19" s="12">
        <f t="shared" ca="1" si="34"/>
        <v>16</v>
      </c>
      <c r="K19" s="1">
        <f t="shared" ca="1" si="34"/>
        <v>6</v>
      </c>
      <c r="L19" s="29">
        <f t="shared" ca="1" si="44"/>
        <v>6516000</v>
      </c>
      <c r="M19" s="13">
        <f t="shared" ca="1" si="45"/>
        <v>1</v>
      </c>
      <c r="N19" s="13">
        <f t="array" aca="1" ref="N19" ca="1">IF($AI$15,SUM(($K$17:$K$25&gt;=K19)/COUNTIF($K$17:$K$25,$K$17:$K$25)),SUM(($L$17:$L$25&gt;=L19)/COUNTIF($L$17:$L$25,$L$17:$L$25)))</f>
        <v>2</v>
      </c>
      <c r="O19" s="5" t="str">
        <f t="shared" ca="1" si="35"/>
        <v/>
      </c>
      <c r="P19" s="3" t="str">
        <f t="shared" ca="1" si="36"/>
        <v/>
      </c>
      <c r="Q19" s="3" t="str">
        <f t="shared" ca="1" si="37"/>
        <v/>
      </c>
      <c r="R19" s="3" t="str">
        <f t="shared" ca="1" si="38"/>
        <v/>
      </c>
      <c r="S19" s="3" t="str">
        <f t="shared" ca="1" si="39"/>
        <v/>
      </c>
      <c r="T19" s="3" t="str">
        <f t="shared" ca="1" si="40"/>
        <v/>
      </c>
      <c r="U19" s="3" t="str">
        <f t="shared" ca="1" si="41"/>
        <v/>
      </c>
      <c r="V19" s="55" t="str">
        <f t="shared" ca="1" si="42"/>
        <v/>
      </c>
      <c r="W19" s="62">
        <f t="shared" ca="1" si="46"/>
        <v>500000</v>
      </c>
      <c r="X19" s="21">
        <f t="shared" ca="1" si="47"/>
        <v>2.0108999999999999</v>
      </c>
      <c r="Y19" s="12">
        <f>PreliminaryRound!$AQ14</f>
        <v>0</v>
      </c>
      <c r="Z19" s="1">
        <f t="shared" ca="1" si="48"/>
        <v>1.9</v>
      </c>
      <c r="AA19" s="1">
        <f t="shared" ca="1" si="49"/>
        <v>0</v>
      </c>
      <c r="AB19" s="1">
        <f t="shared" ca="1" si="50"/>
        <v>0</v>
      </c>
      <c r="AC19" s="1"/>
      <c r="AD19" s="260">
        <f t="shared" ca="1" si="51"/>
        <v>1</v>
      </c>
      <c r="AE19" s="29">
        <f t="shared" ca="1" si="52"/>
        <v>516000</v>
      </c>
      <c r="AF19" s="1">
        <f t="shared" ca="1" si="53"/>
        <v>2</v>
      </c>
      <c r="AG19" s="1">
        <f t="shared" ca="1" si="54"/>
        <v>1</v>
      </c>
      <c r="AH19" s="263">
        <f t="shared" ca="1" si="55"/>
        <v>1.0102100000000001</v>
      </c>
      <c r="AI19" s="1"/>
    </row>
    <row r="20" spans="2:80" s="2" customFormat="1" x14ac:dyDescent="0.2">
      <c r="C20" s="2" t="str">
        <f t="shared" si="43"/>
        <v>Manchester City</v>
      </c>
      <c r="D20" s="1">
        <f t="shared" ca="1" si="33"/>
        <v>4</v>
      </c>
      <c r="E20" s="1">
        <f t="shared" ca="1" si="33"/>
        <v>0</v>
      </c>
      <c r="F20" s="1">
        <f t="shared" ca="1" si="33"/>
        <v>2</v>
      </c>
      <c r="G20" s="1">
        <f t="shared" ca="1" si="33"/>
        <v>2</v>
      </c>
      <c r="H20" s="1">
        <f t="shared" ca="1" si="34"/>
        <v>160</v>
      </c>
      <c r="I20" s="1">
        <f t="shared" ca="1" si="34"/>
        <v>185</v>
      </c>
      <c r="J20" s="12">
        <f t="shared" ca="1" si="34"/>
        <v>-25</v>
      </c>
      <c r="K20" s="1">
        <f t="shared" ca="1" si="34"/>
        <v>2</v>
      </c>
      <c r="L20" s="29">
        <f t="shared" ca="1" si="44"/>
        <v>2475000</v>
      </c>
      <c r="M20" s="13">
        <f t="shared" ca="1" si="45"/>
        <v>1</v>
      </c>
      <c r="N20" s="13">
        <f t="array" aca="1" ref="N20" ca="1">IF($AI$15,SUM(($K$17:$K$25&gt;=K20)/COUNTIF($K$17:$K$25,$K$17:$K$25)),SUM(($L$17:$L$25&gt;=L20)/COUNTIF($L$17:$L$25,$L$17:$L$25)))</f>
        <v>5</v>
      </c>
      <c r="O20" s="5" t="str">
        <f t="shared" ca="1" si="35"/>
        <v/>
      </c>
      <c r="P20" s="3" t="str">
        <f t="shared" ca="1" si="36"/>
        <v/>
      </c>
      <c r="Q20" s="3" t="str">
        <f t="shared" ca="1" si="37"/>
        <v/>
      </c>
      <c r="R20" s="3" t="str">
        <f t="shared" ca="1" si="38"/>
        <v/>
      </c>
      <c r="S20" s="3" t="str">
        <f t="shared" ca="1" si="39"/>
        <v/>
      </c>
      <c r="T20" s="3" t="str">
        <f t="shared" ca="1" si="40"/>
        <v/>
      </c>
      <c r="U20" s="3" t="str">
        <f t="shared" ca="1" si="41"/>
        <v/>
      </c>
      <c r="V20" s="55" t="str">
        <f t="shared" ca="1" si="42"/>
        <v/>
      </c>
      <c r="W20" s="62">
        <f t="shared" ca="1" si="46"/>
        <v>500000</v>
      </c>
      <c r="X20" s="21">
        <f t="shared" ca="1" si="47"/>
        <v>5.0108999999999995</v>
      </c>
      <c r="Y20" s="12">
        <f>PreliminaryRound!$AQ15</f>
        <v>0</v>
      </c>
      <c r="Z20" s="1">
        <f t="shared" ca="1" si="48"/>
        <v>1.9</v>
      </c>
      <c r="AA20" s="1">
        <f t="shared" ca="1" si="49"/>
        <v>0</v>
      </c>
      <c r="AB20" s="1">
        <f t="shared" ca="1" si="50"/>
        <v>0</v>
      </c>
      <c r="AC20" s="1"/>
      <c r="AD20" s="260">
        <f t="shared" ca="1" si="51"/>
        <v>5</v>
      </c>
      <c r="AE20" s="29">
        <f t="shared" ca="1" si="52"/>
        <v>475000</v>
      </c>
      <c r="AF20" s="1">
        <f t="shared" ca="1" si="53"/>
        <v>8</v>
      </c>
      <c r="AG20" s="1">
        <f t="shared" ca="1" si="54"/>
        <v>1</v>
      </c>
      <c r="AH20" s="263">
        <f t="shared" ca="1" si="55"/>
        <v>5.0108099999999993</v>
      </c>
      <c r="AI20" s="1"/>
    </row>
    <row r="21" spans="2:80" s="2" customFormat="1" x14ac:dyDescent="0.2">
      <c r="C21" s="2" t="str">
        <f t="shared" si="43"/>
        <v>FC Grönlingen</v>
      </c>
      <c r="D21" s="1">
        <f t="shared" ca="1" si="33"/>
        <v>4</v>
      </c>
      <c r="E21" s="1">
        <f t="shared" ca="1" si="33"/>
        <v>0</v>
      </c>
      <c r="F21" s="1">
        <f t="shared" ca="1" si="33"/>
        <v>3</v>
      </c>
      <c r="G21" s="1">
        <f t="shared" ca="1" si="33"/>
        <v>1</v>
      </c>
      <c r="H21" s="1">
        <f t="shared" ca="1" si="34"/>
        <v>174</v>
      </c>
      <c r="I21" s="1">
        <f t="shared" ca="1" si="34"/>
        <v>181</v>
      </c>
      <c r="J21" s="12">
        <f t="shared" ca="1" si="34"/>
        <v>-7</v>
      </c>
      <c r="K21" s="1">
        <f t="shared" ca="1" si="34"/>
        <v>3</v>
      </c>
      <c r="L21" s="29">
        <f t="shared" ca="1" si="44"/>
        <v>3493000</v>
      </c>
      <c r="M21" s="13">
        <f t="shared" ca="1" si="45"/>
        <v>1</v>
      </c>
      <c r="N21" s="13">
        <f t="array" aca="1" ref="N21" ca="1">IF($AI$15,SUM(($K$17:$K$25&gt;=K21)/COUNTIF($K$17:$K$25,$K$17:$K$25)),SUM(($L$17:$L$25&gt;=L21)/COUNTIF($L$17:$L$25,$L$17:$L$25)))</f>
        <v>3</v>
      </c>
      <c r="O21" s="5" t="str">
        <f t="shared" ca="1" si="35"/>
        <v/>
      </c>
      <c r="P21" s="3" t="str">
        <f t="shared" ca="1" si="36"/>
        <v/>
      </c>
      <c r="Q21" s="3" t="str">
        <f t="shared" ca="1" si="37"/>
        <v/>
      </c>
      <c r="R21" s="3" t="str">
        <f t="shared" ca="1" si="38"/>
        <v/>
      </c>
      <c r="S21" s="3" t="str">
        <f t="shared" ca="1" si="39"/>
        <v/>
      </c>
      <c r="T21" s="3" t="str">
        <f t="shared" ca="1" si="40"/>
        <v/>
      </c>
      <c r="U21" s="3" t="str">
        <f t="shared" ca="1" si="41"/>
        <v/>
      </c>
      <c r="V21" s="55" t="str">
        <f t="shared" ca="1" si="42"/>
        <v/>
      </c>
      <c r="W21" s="62">
        <f t="shared" ca="1" si="46"/>
        <v>500000</v>
      </c>
      <c r="X21" s="21">
        <f t="shared" ca="1" si="47"/>
        <v>3.0108999999999999</v>
      </c>
      <c r="Y21" s="12">
        <f>PreliminaryRound!$AQ16</f>
        <v>0</v>
      </c>
      <c r="Z21" s="1">
        <f t="shared" ca="1" si="48"/>
        <v>1.9</v>
      </c>
      <c r="AA21" s="1">
        <f t="shared" ca="1" si="49"/>
        <v>0</v>
      </c>
      <c r="AB21" s="1">
        <f t="shared" ca="1" si="50"/>
        <v>0</v>
      </c>
      <c r="AC21" s="1"/>
      <c r="AD21" s="260">
        <f t="shared" ca="1" si="51"/>
        <v>3</v>
      </c>
      <c r="AE21" s="29">
        <f t="shared" ca="1" si="52"/>
        <v>493000</v>
      </c>
      <c r="AF21" s="1">
        <f t="shared" ca="1" si="53"/>
        <v>7</v>
      </c>
      <c r="AG21" s="1">
        <f t="shared" ca="1" si="54"/>
        <v>1</v>
      </c>
      <c r="AH21" s="263">
        <f t="shared" ca="1" si="55"/>
        <v>3.01071</v>
      </c>
      <c r="AI21" s="1"/>
    </row>
    <row r="22" spans="2:80" s="2" customFormat="1" x14ac:dyDescent="0.2">
      <c r="C22" s="2" t="str">
        <f t="shared" si="43"/>
        <v/>
      </c>
      <c r="D22" s="1">
        <f t="shared" ca="1" si="33"/>
        <v>0</v>
      </c>
      <c r="E22" s="1">
        <f t="shared" ca="1" si="33"/>
        <v>0</v>
      </c>
      <c r="F22" s="1">
        <f t="shared" ca="1" si="33"/>
        <v>0</v>
      </c>
      <c r="G22" s="1">
        <f t="shared" ca="1" si="33"/>
        <v>0</v>
      </c>
      <c r="H22" s="1">
        <f t="shared" ca="1" si="34"/>
        <v>0</v>
      </c>
      <c r="I22" s="1">
        <f t="shared" ca="1" si="34"/>
        <v>0</v>
      </c>
      <c r="J22" s="12">
        <f t="shared" ca="1" si="34"/>
        <v>0</v>
      </c>
      <c r="K22" s="1">
        <f t="shared" ca="1" si="34"/>
        <v>0</v>
      </c>
      <c r="L22" s="29">
        <f t="shared" ca="1" si="44"/>
        <v>500000</v>
      </c>
      <c r="M22" s="13">
        <f t="shared" ca="1" si="45"/>
        <v>4</v>
      </c>
      <c r="N22" s="13">
        <f t="array" aca="1" ref="N22" ca="1">IF($AI$15,SUM(($K$17:$K$25&gt;=K22)/COUNTIF($K$17:$K$25,$K$17:$K$25)),SUM(($L$17:$L$25&gt;=L22)/COUNTIF($L$17:$L$25,$L$17:$L$25)))</f>
        <v>6</v>
      </c>
      <c r="O22" s="5" t="str">
        <f t="shared" ca="1" si="35"/>
        <v/>
      </c>
      <c r="P22" s="3" t="str">
        <f t="shared" ca="1" si="36"/>
        <v/>
      </c>
      <c r="Q22" s="3" t="str">
        <f t="shared" ca="1" si="37"/>
        <v/>
      </c>
      <c r="R22" s="3" t="str">
        <f t="shared" ca="1" si="38"/>
        <v/>
      </c>
      <c r="S22" s="3" t="str">
        <f t="shared" ca="1" si="39"/>
        <v/>
      </c>
      <c r="T22" s="3" t="str">
        <f t="shared" ca="1" si="40"/>
        <v/>
      </c>
      <c r="U22" s="3" t="str">
        <f t="shared" ca="1" si="41"/>
        <v/>
      </c>
      <c r="V22" s="55" t="str">
        <f t="shared" ca="1" si="42"/>
        <v/>
      </c>
      <c r="W22" s="62">
        <f t="shared" ca="1" si="46"/>
        <v>500000</v>
      </c>
      <c r="X22" s="21">
        <f t="shared" ca="1" si="47"/>
        <v>6.0108999999999995</v>
      </c>
      <c r="Y22" s="12">
        <f>PreliminaryRound!$AQ17</f>
        <v>0</v>
      </c>
      <c r="Z22" s="1">
        <f t="shared" ca="1" si="48"/>
        <v>1.9</v>
      </c>
      <c r="AA22" s="1">
        <f t="shared" ca="1" si="49"/>
        <v>0</v>
      </c>
      <c r="AB22" s="1">
        <f t="shared" ca="1" si="50"/>
        <v>0</v>
      </c>
      <c r="AC22" s="1"/>
      <c r="AD22" s="260">
        <f t="shared" ca="1" si="51"/>
        <v>6</v>
      </c>
      <c r="AE22" s="29">
        <f t="shared" ca="1" si="52"/>
        <v>500000</v>
      </c>
      <c r="AF22" s="1">
        <f t="shared" ca="1" si="53"/>
        <v>3</v>
      </c>
      <c r="AG22" s="1">
        <f t="shared" ca="1" si="54"/>
        <v>1</v>
      </c>
      <c r="AH22" s="263">
        <f t="shared" ca="1" si="55"/>
        <v>6.0103099999999996</v>
      </c>
      <c r="AI22" s="1"/>
    </row>
    <row r="23" spans="2:80" s="2" customFormat="1" x14ac:dyDescent="0.2">
      <c r="C23" s="2" t="str">
        <f t="shared" si="43"/>
        <v/>
      </c>
      <c r="D23" s="1">
        <f t="shared" ca="1" si="33"/>
        <v>0</v>
      </c>
      <c r="E23" s="1">
        <f t="shared" ca="1" si="33"/>
        <v>0</v>
      </c>
      <c r="F23" s="1">
        <f t="shared" ca="1" si="33"/>
        <v>0</v>
      </c>
      <c r="G23" s="1">
        <f t="shared" ca="1" si="33"/>
        <v>0</v>
      </c>
      <c r="H23" s="1">
        <f t="shared" ca="1" si="34"/>
        <v>0</v>
      </c>
      <c r="I23" s="1">
        <f t="shared" ca="1" si="34"/>
        <v>0</v>
      </c>
      <c r="J23" s="12">
        <f t="shared" ca="1" si="34"/>
        <v>0</v>
      </c>
      <c r="K23" s="1">
        <f t="shared" ca="1" si="34"/>
        <v>0</v>
      </c>
      <c r="L23" s="29">
        <f t="shared" ca="1" si="44"/>
        <v>500000</v>
      </c>
      <c r="M23" s="13">
        <f t="shared" ca="1" si="45"/>
        <v>4</v>
      </c>
      <c r="N23" s="13">
        <f t="array" aca="1" ref="N23" ca="1">IF($AI$15,SUM(($K$17:$K$25&gt;=K23)/COUNTIF($K$17:$K$25,$K$17:$K$25)),SUM(($L$17:$L$25&gt;=L23)/COUNTIF($L$17:$L$25,$L$17:$L$25)))</f>
        <v>6</v>
      </c>
      <c r="O23" s="5" t="str">
        <f t="shared" ca="1" si="35"/>
        <v/>
      </c>
      <c r="P23" s="3" t="str">
        <f t="shared" ca="1" si="36"/>
        <v/>
      </c>
      <c r="Q23" s="3" t="str">
        <f t="shared" ca="1" si="37"/>
        <v/>
      </c>
      <c r="R23" s="3" t="str">
        <f t="shared" ca="1" si="38"/>
        <v/>
      </c>
      <c r="S23" s="3" t="str">
        <f t="shared" ca="1" si="39"/>
        <v/>
      </c>
      <c r="T23" s="3" t="str">
        <f t="shared" ca="1" si="40"/>
        <v/>
      </c>
      <c r="U23" s="3" t="str">
        <f t="shared" ca="1" si="41"/>
        <v/>
      </c>
      <c r="V23" s="55" t="str">
        <f t="shared" ca="1" si="42"/>
        <v/>
      </c>
      <c r="W23" s="62">
        <f t="shared" ca="1" si="46"/>
        <v>500000</v>
      </c>
      <c r="X23" s="21">
        <f t="shared" ca="1" si="47"/>
        <v>6.0108999999999995</v>
      </c>
      <c r="Y23" s="12">
        <v>0</v>
      </c>
      <c r="Z23" s="1">
        <f t="shared" ca="1" si="48"/>
        <v>1.9</v>
      </c>
      <c r="AA23" s="1">
        <f t="shared" ca="1" si="49"/>
        <v>0</v>
      </c>
      <c r="AB23" s="1">
        <f t="shared" ca="1" si="50"/>
        <v>0</v>
      </c>
      <c r="AC23" s="1"/>
      <c r="AD23" s="260">
        <f t="shared" ca="1" si="51"/>
        <v>6</v>
      </c>
      <c r="AE23" s="29">
        <f t="shared" ca="1" si="52"/>
        <v>500000</v>
      </c>
      <c r="AF23" s="1">
        <f t="shared" ca="1" si="53"/>
        <v>3</v>
      </c>
      <c r="AG23" s="1">
        <f t="shared" ca="1" si="54"/>
        <v>1</v>
      </c>
      <c r="AH23" s="263">
        <f t="shared" ca="1" si="55"/>
        <v>6.0103099999999996</v>
      </c>
      <c r="AI23" s="1"/>
    </row>
    <row r="24" spans="2:80" s="2" customFormat="1" x14ac:dyDescent="0.2">
      <c r="C24" s="2" t="str">
        <f t="shared" si="43"/>
        <v/>
      </c>
      <c r="D24" s="1">
        <f t="shared" ca="1" si="33"/>
        <v>0</v>
      </c>
      <c r="E24" s="1">
        <f t="shared" ca="1" si="33"/>
        <v>0</v>
      </c>
      <c r="F24" s="1">
        <f t="shared" ca="1" si="33"/>
        <v>0</v>
      </c>
      <c r="G24" s="1">
        <f t="shared" ca="1" si="33"/>
        <v>0</v>
      </c>
      <c r="H24" s="1">
        <f t="shared" ca="1" si="34"/>
        <v>0</v>
      </c>
      <c r="I24" s="1">
        <f t="shared" ca="1" si="34"/>
        <v>0</v>
      </c>
      <c r="J24" s="12">
        <f t="shared" ca="1" si="34"/>
        <v>0</v>
      </c>
      <c r="K24" s="1">
        <f t="shared" ca="1" si="34"/>
        <v>0</v>
      </c>
      <c r="L24" s="29">
        <f t="shared" ca="1" si="44"/>
        <v>500000</v>
      </c>
      <c r="M24" s="13">
        <f t="shared" ca="1" si="45"/>
        <v>4</v>
      </c>
      <c r="N24" s="13">
        <f t="array" aca="1" ref="N24" ca="1">IF($AI$15,SUM(($K$17:$K$25&gt;=K24)/COUNTIF($K$17:$K$25,$K$17:$K$25)),SUM(($L$17:$L$25&gt;=L24)/COUNTIF($L$17:$L$25,$L$17:$L$25)))</f>
        <v>6</v>
      </c>
      <c r="O24" s="5" t="str">
        <f t="shared" ca="1" si="35"/>
        <v/>
      </c>
      <c r="P24" s="3" t="str">
        <f t="shared" ca="1" si="36"/>
        <v/>
      </c>
      <c r="Q24" s="3" t="str">
        <f t="shared" ca="1" si="37"/>
        <v/>
      </c>
      <c r="R24" s="3" t="str">
        <f t="shared" ca="1" si="38"/>
        <v/>
      </c>
      <c r="S24" s="3" t="str">
        <f t="shared" ca="1" si="39"/>
        <v/>
      </c>
      <c r="T24" s="3" t="str">
        <f t="shared" ca="1" si="40"/>
        <v/>
      </c>
      <c r="U24" s="3" t="str">
        <f t="shared" ca="1" si="41"/>
        <v/>
      </c>
      <c r="V24" s="55" t="str">
        <f t="shared" ca="1" si="42"/>
        <v/>
      </c>
      <c r="W24" s="62">
        <f t="shared" ca="1" si="46"/>
        <v>500000</v>
      </c>
      <c r="X24" s="21">
        <f t="shared" ca="1" si="47"/>
        <v>6.0108999999999995</v>
      </c>
      <c r="Y24" s="12">
        <v>0</v>
      </c>
      <c r="Z24" s="1">
        <f t="shared" ca="1" si="48"/>
        <v>1.9</v>
      </c>
      <c r="AA24" s="1">
        <f t="shared" ca="1" si="49"/>
        <v>0</v>
      </c>
      <c r="AB24" s="1">
        <f t="shared" ca="1" si="50"/>
        <v>0</v>
      </c>
      <c r="AC24" s="1"/>
      <c r="AD24" s="260">
        <f t="shared" ca="1" si="51"/>
        <v>6</v>
      </c>
      <c r="AE24" s="29">
        <f t="shared" ca="1" si="52"/>
        <v>500000</v>
      </c>
      <c r="AF24" s="1">
        <f t="shared" ca="1" si="53"/>
        <v>3</v>
      </c>
      <c r="AG24" s="1">
        <f t="shared" ca="1" si="54"/>
        <v>1</v>
      </c>
      <c r="AH24" s="263">
        <f t="shared" ca="1" si="55"/>
        <v>6.0103099999999996</v>
      </c>
      <c r="AI24" s="1"/>
    </row>
    <row r="25" spans="2:80" s="2" customFormat="1" ht="12.75" thickBot="1" x14ac:dyDescent="0.25">
      <c r="C25" s="2" t="str">
        <f t="shared" si="43"/>
        <v/>
      </c>
      <c r="D25" s="1">
        <f t="shared" ca="1" si="33"/>
        <v>0</v>
      </c>
      <c r="E25" s="1">
        <f t="shared" ca="1" si="33"/>
        <v>0</v>
      </c>
      <c r="F25" s="1">
        <f t="shared" ca="1" si="33"/>
        <v>0</v>
      </c>
      <c r="G25" s="1">
        <f t="shared" ca="1" si="33"/>
        <v>0</v>
      </c>
      <c r="H25" s="1">
        <f t="shared" ca="1" si="34"/>
        <v>0</v>
      </c>
      <c r="I25" s="1">
        <f t="shared" ca="1" si="34"/>
        <v>0</v>
      </c>
      <c r="J25" s="12">
        <f t="shared" ca="1" si="34"/>
        <v>0</v>
      </c>
      <c r="K25" s="1">
        <f t="shared" ca="1" si="34"/>
        <v>0</v>
      </c>
      <c r="L25" s="29">
        <f t="shared" ca="1" si="44"/>
        <v>500000</v>
      </c>
      <c r="M25" s="13">
        <f t="shared" ca="1" si="45"/>
        <v>4</v>
      </c>
      <c r="N25" s="13">
        <f t="array" aca="1" ref="N25" ca="1">IF($AI$15,SUM(($K$17:$K$25&gt;=K25)/COUNTIF($K$17:$K$25,$K$17:$K$25)),SUM(($L$17:$L$25&gt;=L25)/COUNTIF($L$17:$L$25,$L$17:$L$25)))</f>
        <v>6</v>
      </c>
      <c r="O25" s="56" t="str">
        <f t="shared" ca="1" si="35"/>
        <v/>
      </c>
      <c r="P25" s="57" t="str">
        <f t="shared" ca="1" si="36"/>
        <v/>
      </c>
      <c r="Q25" s="57" t="str">
        <f t="shared" ca="1" si="37"/>
        <v/>
      </c>
      <c r="R25" s="57" t="str">
        <f t="shared" ca="1" si="38"/>
        <v/>
      </c>
      <c r="S25" s="57" t="str">
        <f t="shared" ca="1" si="39"/>
        <v/>
      </c>
      <c r="T25" s="57" t="str">
        <f t="shared" ca="1" si="40"/>
        <v/>
      </c>
      <c r="U25" s="57" t="str">
        <f t="shared" ca="1" si="41"/>
        <v/>
      </c>
      <c r="V25" s="58" t="str">
        <f t="shared" ca="1" si="42"/>
        <v/>
      </c>
      <c r="W25" s="62">
        <f t="shared" ca="1" si="46"/>
        <v>500000</v>
      </c>
      <c r="X25" s="22">
        <f t="shared" ca="1" si="47"/>
        <v>6.0108999999999995</v>
      </c>
      <c r="Y25" s="12">
        <v>0</v>
      </c>
      <c r="Z25" s="1">
        <f t="shared" ca="1" si="48"/>
        <v>1.9</v>
      </c>
      <c r="AA25" s="1">
        <f t="shared" ca="1" si="49"/>
        <v>0</v>
      </c>
      <c r="AB25" s="1">
        <f t="shared" ca="1" si="50"/>
        <v>0</v>
      </c>
      <c r="AC25" s="1"/>
      <c r="AD25" s="260">
        <f t="shared" ca="1" si="51"/>
        <v>6</v>
      </c>
      <c r="AE25" s="29">
        <f t="shared" ca="1" si="52"/>
        <v>500000</v>
      </c>
      <c r="AF25" s="1">
        <f t="shared" ca="1" si="53"/>
        <v>3</v>
      </c>
      <c r="AG25" s="1">
        <f t="shared" ca="1" si="54"/>
        <v>1</v>
      </c>
      <c r="AH25" s="264">
        <f t="shared" ca="1" si="55"/>
        <v>6.0103099999999996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1"/>
    </row>
    <row r="30" spans="2:80" s="2" customFormat="1" x14ac:dyDescent="0.2">
      <c r="C30" s="2" t="str">
        <f>$Q64</f>
        <v>Mainz 05</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si="56">F4</f>
        <v>Mainz 05</v>
      </c>
      <c r="BS30" s="6"/>
      <c r="BT30" s="7">
        <f t="shared" ref="BT30:CA37" ca="1" si="57">SUMIFS($X$64:$X$135,$V$64:$V$135,$BR30,$W$64:$W$135,BT$29)+SUMIFS($Y$64:$Y$135,$W$64:$W$135,$BR30,$V$64:$V$135,BT$29)+SUMIFS($AG$64:$AG$135,$V$64:$V$135,$BR30,$W$64:$W$135,BT$29)+SUMIFS($AH$64:$AH$135,$W$64:$W$135,$BR30,$V$64:$V$135,BT$29)</f>
        <v>34</v>
      </c>
      <c r="BU30" s="7">
        <f t="shared" ca="1" si="57"/>
        <v>41</v>
      </c>
      <c r="BV30" s="7">
        <f t="shared" ca="1" si="57"/>
        <v>39</v>
      </c>
      <c r="BW30" s="7">
        <f t="shared" ca="1" si="57"/>
        <v>42</v>
      </c>
      <c r="BX30" s="7">
        <f t="shared" ca="1" si="57"/>
        <v>0</v>
      </c>
      <c r="BY30" s="7">
        <f t="shared" ca="1" si="57"/>
        <v>0</v>
      </c>
      <c r="BZ30" s="7">
        <f t="shared" ca="1" si="57"/>
        <v>0</v>
      </c>
      <c r="CA30" s="7">
        <f t="shared" ca="1" si="57"/>
        <v>0</v>
      </c>
      <c r="CB30" s="3"/>
    </row>
    <row r="31" spans="2:80" s="2" customFormat="1" x14ac:dyDescent="0.2">
      <c r="C31" s="2" t="str">
        <f t="shared" ref="C31:C38" si="58">$Q65</f>
        <v>Inter Mailand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si="56"/>
        <v>Inter Mailand</v>
      </c>
      <c r="BS31" s="8">
        <f ca="1">SUMIFS($X$64:$X$135,$V$64:$V$135,$BR31,$W$64:$W$135,BS$29)+SUMIFS($Y$64:$Y$135,$W$64:$W$135,$BR31,$V$64:$V$135,BS$29)+SUMIFS($AG$64:$AG$135,$V$64:$V$135,$BR31,$W$64:$W$135,BS$29)+SUMIFS($AH$64:$AH$135,$W$64:$W$135,$BR31,$V$64:$V$135,BS$29)</f>
        <v>50</v>
      </c>
      <c r="BT31" s="6"/>
      <c r="BU31" s="7">
        <f ca="1">SUMIFS($X$64:$X$135,$V$64:$V$135,$BR31,$W$64:$W$135,BU$29)+SUMIFS($Y$64:$Y$135,$W$64:$W$135,$BR31,$V$64:$V$135,BU$29)+SUMIFS($AG$64:$AG$135,$V$64:$V$135,$BR31,$W$64:$W$135,BU$29)+SUMIFS($AH$64:$AH$135,$W$64:$W$135,$BR31,$V$64:$V$135,BU$29)</f>
        <v>47</v>
      </c>
      <c r="BV31" s="7">
        <f t="shared" ca="1" si="57"/>
        <v>50</v>
      </c>
      <c r="BW31" s="7">
        <f t="shared" ca="1" si="57"/>
        <v>45</v>
      </c>
      <c r="BX31" s="7">
        <f t="shared" ca="1" si="57"/>
        <v>0</v>
      </c>
      <c r="BY31" s="7">
        <f t="shared" ca="1" si="57"/>
        <v>0</v>
      </c>
      <c r="BZ31" s="7">
        <f t="shared" ca="1" si="57"/>
        <v>0</v>
      </c>
      <c r="CA31" s="7">
        <f t="shared" ca="1" si="57"/>
        <v>0</v>
      </c>
      <c r="CB31" s="3"/>
    </row>
    <row r="32" spans="2:80" s="2" customFormat="1" x14ac:dyDescent="0.2">
      <c r="C32" s="2" t="str">
        <f t="shared" si="58"/>
        <v>SSV Wildbach</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si="56"/>
        <v>SSV Wildbach</v>
      </c>
      <c r="BS32" s="8">
        <f t="shared" ref="BS32:BY38" ca="1" si="59">SUMIFS($X$64:$X$135,$V$64:$V$135,$BR32,$W$64:$W$135,BS$29)+SUMIFS($Y$64:$Y$135,$W$64:$W$135,$BR32,$V$64:$V$135,BS$29)+SUMIFS($AG$64:$AG$135,$V$64:$V$135,$BR32,$W$64:$W$135,BS$29)+SUMIFS($AH$64:$AH$135,$W$64:$W$135,$BR32,$V$64:$V$135,BS$29)</f>
        <v>42</v>
      </c>
      <c r="BT32" s="8">
        <f t="shared" ca="1" si="59"/>
        <v>45</v>
      </c>
      <c r="BU32" s="6"/>
      <c r="BV32" s="7">
        <f t="shared" ca="1" si="57"/>
        <v>50</v>
      </c>
      <c r="BW32" s="7">
        <f t="shared" ca="1" si="57"/>
        <v>50</v>
      </c>
      <c r="BX32" s="7">
        <f t="shared" ca="1" si="57"/>
        <v>0</v>
      </c>
      <c r="BY32" s="7">
        <f t="shared" ca="1" si="57"/>
        <v>0</v>
      </c>
      <c r="BZ32" s="7">
        <f t="shared" ca="1" si="57"/>
        <v>0</v>
      </c>
      <c r="CA32" s="7">
        <f t="shared" ca="1" si="57"/>
        <v>0</v>
      </c>
      <c r="CB32" s="3"/>
    </row>
    <row r="33" spans="2:80" s="2" customFormat="1" x14ac:dyDescent="0.2">
      <c r="C33" s="2" t="str">
        <f t="shared" si="58"/>
        <v>Manchester City</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56"/>
        <v>Manchester City</v>
      </c>
      <c r="BS33" s="8">
        <f t="shared" ca="1" si="59"/>
        <v>48</v>
      </c>
      <c r="BT33" s="8">
        <f t="shared" ca="1" si="59"/>
        <v>24</v>
      </c>
      <c r="BU33" s="8">
        <f t="shared" ca="1" si="59"/>
        <v>44</v>
      </c>
      <c r="BV33" s="6"/>
      <c r="BW33" s="7">
        <f t="shared" ca="1" si="57"/>
        <v>44</v>
      </c>
      <c r="BX33" s="7">
        <f t="shared" ca="1" si="57"/>
        <v>0</v>
      </c>
      <c r="BY33" s="7">
        <f t="shared" ca="1" si="57"/>
        <v>0</v>
      </c>
      <c r="BZ33" s="7">
        <f t="shared" ca="1" si="57"/>
        <v>0</v>
      </c>
      <c r="CA33" s="7">
        <f t="shared" ca="1" si="57"/>
        <v>0</v>
      </c>
      <c r="CB33" s="3"/>
    </row>
    <row r="34" spans="2:80" s="2" customFormat="1" x14ac:dyDescent="0.2">
      <c r="C34" s="2" t="str">
        <f t="shared" si="58"/>
        <v>FC Grönlingen</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56"/>
        <v>FC Grönlingen</v>
      </c>
      <c r="BS34" s="8">
        <f t="shared" ca="1" si="59"/>
        <v>44</v>
      </c>
      <c r="BT34" s="8">
        <f t="shared" ca="1" si="59"/>
        <v>45</v>
      </c>
      <c r="BU34" s="8">
        <f t="shared" ca="1" si="59"/>
        <v>39</v>
      </c>
      <c r="BV34" s="8">
        <f t="shared" ca="1" si="59"/>
        <v>46</v>
      </c>
      <c r="BW34" s="6"/>
      <c r="BX34" s="7">
        <f t="shared" ca="1" si="57"/>
        <v>0</v>
      </c>
      <c r="BY34" s="7">
        <f t="shared" ca="1" si="57"/>
        <v>0</v>
      </c>
      <c r="BZ34" s="7">
        <f t="shared" ca="1" si="57"/>
        <v>0</v>
      </c>
      <c r="CA34" s="7">
        <f t="shared" ca="1" si="57"/>
        <v>0</v>
      </c>
      <c r="CB34" s="3"/>
    </row>
    <row r="35" spans="2:80" s="2" customFormat="1" x14ac:dyDescent="0.2">
      <c r="C35" s="2" t="str">
        <f t="shared" si="58"/>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56"/>
        <v/>
      </c>
      <c r="BS35" s="8">
        <f t="shared" ca="1" si="59"/>
        <v>0</v>
      </c>
      <c r="BT35" s="8">
        <f t="shared" ca="1" si="59"/>
        <v>0</v>
      </c>
      <c r="BU35" s="8">
        <f t="shared" ca="1" si="59"/>
        <v>0</v>
      </c>
      <c r="BV35" s="8">
        <f t="shared" ca="1" si="59"/>
        <v>0</v>
      </c>
      <c r="BW35" s="8">
        <f t="shared" ca="1" si="59"/>
        <v>0</v>
      </c>
      <c r="BX35" s="6"/>
      <c r="BY35" s="7">
        <f t="shared" ca="1" si="57"/>
        <v>0</v>
      </c>
      <c r="BZ35" s="7">
        <f t="shared" ca="1" si="57"/>
        <v>0</v>
      </c>
      <c r="CA35" s="7">
        <f t="shared" ca="1" si="57"/>
        <v>0</v>
      </c>
      <c r="CB35" s="3"/>
    </row>
    <row r="36" spans="2:80" s="2" customFormat="1" x14ac:dyDescent="0.2">
      <c r="C36" s="2" t="str">
        <f t="shared" si="58"/>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56"/>
        <v/>
      </c>
      <c r="BS36" s="8">
        <f t="shared" ca="1" si="59"/>
        <v>0</v>
      </c>
      <c r="BT36" s="8">
        <f t="shared" ca="1" si="59"/>
        <v>0</v>
      </c>
      <c r="BU36" s="8">
        <f t="shared" ca="1" si="59"/>
        <v>0</v>
      </c>
      <c r="BV36" s="8">
        <f t="shared" ca="1" si="59"/>
        <v>0</v>
      </c>
      <c r="BW36" s="8">
        <f t="shared" ca="1" si="59"/>
        <v>0</v>
      </c>
      <c r="BX36" s="8">
        <f t="shared" ca="1" si="59"/>
        <v>0</v>
      </c>
      <c r="BY36" s="6"/>
      <c r="BZ36" s="7">
        <f t="shared" ca="1" si="57"/>
        <v>0</v>
      </c>
      <c r="CA36" s="7">
        <f t="shared" ca="1" si="57"/>
        <v>0</v>
      </c>
      <c r="CB36" s="3"/>
    </row>
    <row r="37" spans="2:80" s="2" customFormat="1" x14ac:dyDescent="0.2">
      <c r="C37" s="2" t="str">
        <f t="shared" si="58"/>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56"/>
        <v/>
      </c>
      <c r="BS37" s="8">
        <f t="shared" ca="1" si="59"/>
        <v>0</v>
      </c>
      <c r="BT37" s="8">
        <f t="shared" ca="1" si="59"/>
        <v>0</v>
      </c>
      <c r="BU37" s="8">
        <f t="shared" ca="1" si="59"/>
        <v>0</v>
      </c>
      <c r="BV37" s="8">
        <f t="shared" ca="1" si="59"/>
        <v>0</v>
      </c>
      <c r="BW37" s="8">
        <f t="shared" ca="1" si="59"/>
        <v>0</v>
      </c>
      <c r="BX37" s="8">
        <f t="shared" ca="1" si="59"/>
        <v>0</v>
      </c>
      <c r="BY37" s="8">
        <f t="shared" ca="1" si="59"/>
        <v>0</v>
      </c>
      <c r="BZ37" s="6"/>
      <c r="CA37" s="7">
        <f t="shared" ca="1" si="57"/>
        <v>0</v>
      </c>
      <c r="CB37" s="3"/>
    </row>
    <row r="38" spans="2:80" s="2" customFormat="1" x14ac:dyDescent="0.2">
      <c r="C38" s="2" t="str">
        <f t="shared" si="58"/>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56"/>
        <v/>
      </c>
      <c r="BS38" s="8">
        <f t="shared" ca="1" si="59"/>
        <v>0</v>
      </c>
      <c r="BT38" s="8">
        <f t="shared" ca="1" si="59"/>
        <v>0</v>
      </c>
      <c r="BU38" s="8">
        <f t="shared" ca="1" si="59"/>
        <v>0</v>
      </c>
      <c r="BV38" s="8">
        <f t="shared" ca="1" si="59"/>
        <v>0</v>
      </c>
      <c r="BW38" s="8">
        <f t="shared" ca="1" si="59"/>
        <v>0</v>
      </c>
      <c r="BX38" s="8">
        <f t="shared" ca="1" si="59"/>
        <v>0</v>
      </c>
      <c r="BY38" s="8">
        <f t="shared" ca="1" si="59"/>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si="60">F4</f>
        <v>Mainz 05</v>
      </c>
      <c r="BS41" s="6"/>
      <c r="BT41" s="7">
        <f ca="1">BT30-BS31</f>
        <v>-16</v>
      </c>
      <c r="BU41" s="7">
        <f ca="1">BU30-BS32</f>
        <v>-1</v>
      </c>
      <c r="BV41" s="7">
        <f ca="1">BV30-BS33</f>
        <v>-9</v>
      </c>
      <c r="BW41" s="7">
        <f ca="1">BW30-BS34</f>
        <v>-2</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si="60"/>
        <v>Inter Mailand</v>
      </c>
      <c r="BS42" s="8">
        <f ca="1">IF(BT41="","",-1*BT41)</f>
        <v>16</v>
      </c>
      <c r="BT42" s="6"/>
      <c r="BU42" s="7">
        <f ca="1">BU31-BT32</f>
        <v>2</v>
      </c>
      <c r="BV42" s="7">
        <f ca="1">BV31-BT33</f>
        <v>26</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si="60"/>
        <v>SSV Wildbach</v>
      </c>
      <c r="BS43" s="8">
        <f ca="1">IF(BU41="","",-1*BU41)</f>
        <v>1</v>
      </c>
      <c r="BT43" s="8">
        <f ca="1">IF(BU42="","",-1*BU42)</f>
        <v>-2</v>
      </c>
      <c r="BU43" s="6"/>
      <c r="BV43" s="7">
        <f ca="1">BV32-BU33</f>
        <v>6</v>
      </c>
      <c r="BW43" s="7">
        <f ca="1">BW32-BU34</f>
        <v>11</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60"/>
        <v>Manchester City</v>
      </c>
      <c r="BS44" s="8">
        <f ca="1">IF(BV41="","",-1*BV41)</f>
        <v>9</v>
      </c>
      <c r="BT44" s="8">
        <f ca="1">IF(BV42="","",-1*BV42)</f>
        <v>-26</v>
      </c>
      <c r="BU44" s="8">
        <f ca="1">IF(BV43="","",-1*BV43)</f>
        <v>-6</v>
      </c>
      <c r="BV44" s="6"/>
      <c r="BW44" s="7">
        <f ca="1">BW33-BV34</f>
        <v>-2</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60"/>
        <v>FC Grönlingen</v>
      </c>
      <c r="BS45" s="8">
        <f ca="1">IF(BW41="","",-1*BW41)</f>
        <v>2</v>
      </c>
      <c r="BT45" s="8">
        <f ca="1">IF(BW42="","",-1*BW42)</f>
        <v>0</v>
      </c>
      <c r="BU45" s="8">
        <f ca="1">IF(BW43="","",-1*BW43)</f>
        <v>-11</v>
      </c>
      <c r="BV45" s="8">
        <f ca="1">IF(BW44="","",-1*BW44)</f>
        <v>2</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60"/>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60"/>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60"/>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60"/>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61">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si="62">F4</f>
        <v>Mainz 05</v>
      </c>
      <c r="BS52" s="6"/>
      <c r="BT52" s="7">
        <f t="shared" ref="BT52:CA58" ca="1" si="63">SUMIFS($AE$64:$AE$135,$V$64:$V$135,$BR52,$W$64:$W$135,BT$51)+SUMIFS($AF$64:$AF$135,$W$64:$W$135,$BR52,$V$64:$V$135,BT$51)</f>
        <v>0</v>
      </c>
      <c r="BU52" s="7">
        <f t="shared" ca="1" si="63"/>
        <v>1</v>
      </c>
      <c r="BV52" s="7">
        <f t="shared" ca="1" si="63"/>
        <v>1</v>
      </c>
      <c r="BW52" s="7">
        <f t="shared" ca="1" si="63"/>
        <v>1</v>
      </c>
      <c r="BX52" s="7">
        <f t="shared" ca="1" si="63"/>
        <v>0</v>
      </c>
      <c r="BY52" s="7">
        <f t="shared" ca="1" si="63"/>
        <v>0</v>
      </c>
      <c r="BZ52" s="7">
        <f t="shared" ca="1" si="63"/>
        <v>0</v>
      </c>
      <c r="CA52" s="7">
        <f t="shared" ca="1" si="63"/>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si="62"/>
        <v>Inter Mailand</v>
      </c>
      <c r="BS53" s="8">
        <f t="shared" ref="BS53:BU60" ca="1" si="64">SUMIFS($AE$64:$AE$135,$V$64:$V$135,$BR53,$W$64:$W$135,BS$51)+SUMIFS($AF$64:$AF$135,$W$64:$W$135,$BR53,$V$64:$V$135,BS$51)</f>
        <v>2</v>
      </c>
      <c r="BT53" s="6"/>
      <c r="BU53" s="7">
        <f ca="1">SUMIFS($AE$64:$AE$135,$V$64:$V$135,$BR53,$W$64:$W$135,BU$51)+SUMIFS($AF$64:$AF$135,$W$64:$W$135,$BR53,$V$64:$V$135,BU$51)</f>
        <v>1</v>
      </c>
      <c r="BV53" s="7">
        <f ca="1">SUMIFS($AE$64:$AE$135,$V$64:$V$135,$BR53,$W$64:$W$135,BV$51)+SUMIFS($AF$64:$AF$135,$W$64:$W$135,$BR53,$V$64:$V$135,BV$51)</f>
        <v>2</v>
      </c>
      <c r="BW53" s="7">
        <f ca="1">SUMIFS($AE$64:$AE$135,$V$64:$V$135,$BR53,$W$64:$W$135,BW$51)+SUMIFS($AF$64:$AF$135,$W$64:$W$135,$BR53,$V$64:$V$135,BW$51)</f>
        <v>1</v>
      </c>
      <c r="BX53" s="7">
        <f ca="1">SUMIFS($AE$64:$AE$135,$V$64:$V$135,$BR53,$W$64:$W$135,BX$51)+SUMIFS($AF$64:$AF$135,$W$64:$W$135,$BR53,$V$64:$V$135,BX$51)</f>
        <v>0</v>
      </c>
      <c r="BY53" s="7">
        <f ca="1">SUMIFS($AE$64:$AE$135,$V$64:$V$135,$BR53,$W$64:$W$135,BY$51)+SUMIFS($AF$64:$AF$135,$W$64:$W$135,$BR53,$V$64:$V$135,BY$51)</f>
        <v>0</v>
      </c>
      <c r="BZ53" s="7">
        <f t="shared" ca="1" si="63"/>
        <v>0</v>
      </c>
      <c r="CA53" s="7">
        <f t="shared" ca="1" si="63"/>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si="62"/>
        <v>SSV Wildbach</v>
      </c>
      <c r="BS54" s="8">
        <f t="shared" ca="1" si="64"/>
        <v>1</v>
      </c>
      <c r="BT54" s="8">
        <f t="shared" ca="1" si="64"/>
        <v>1</v>
      </c>
      <c r="BU54" s="6"/>
      <c r="BV54" s="7">
        <f ca="1">SUMIFS($AE$64:$AE$135,$V$64:$V$135,$BR54,$W$64:$W$135,BV$51)+SUMIFS($AF$64:$AF$135,$W$64:$W$135,$BR54,$V$64:$V$135,BV$51)</f>
        <v>2</v>
      </c>
      <c r="BW54" s="7">
        <f ca="1">SUMIFS($AE$64:$AE$135,$V$64:$V$135,$BR54,$W$64:$W$135,BW$51)+SUMIFS($AF$64:$AF$135,$W$64:$W$135,$BR54,$V$64:$V$135,BW$51)</f>
        <v>2</v>
      </c>
      <c r="BX54" s="7">
        <f ca="1">SUMIFS($AE$64:$AE$135,$V$64:$V$135,$BR54,$W$64:$W$135,BX$51)+SUMIFS($AF$64:$AF$135,$W$64:$W$135,$BR54,$V$64:$V$135,BX$51)</f>
        <v>0</v>
      </c>
      <c r="BY54" s="7">
        <f ca="1">SUMIFS($AE$64:$AE$135,$V$64:$V$135,$BR54,$W$64:$W$135,BY$51)+SUMIFS($AF$64:$AF$135,$W$64:$W$135,$BR54,$V$64:$V$135,BY$51)</f>
        <v>0</v>
      </c>
      <c r="BZ54" s="7">
        <f t="shared" ca="1" si="63"/>
        <v>0</v>
      </c>
      <c r="CA54" s="7">
        <f t="shared" ca="1" si="63"/>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62"/>
        <v>Manchester City</v>
      </c>
      <c r="BS55" s="8">
        <f t="shared" ca="1" si="64"/>
        <v>1</v>
      </c>
      <c r="BT55" s="8">
        <f t="shared" ca="1" si="64"/>
        <v>0</v>
      </c>
      <c r="BU55" s="8">
        <f t="shared" ca="1" si="64"/>
        <v>0</v>
      </c>
      <c r="BV55" s="6"/>
      <c r="BW55" s="7">
        <f ca="1">SUMIFS($AE$64:$AE$135,$V$64:$V$135,$BR55,$W$64:$W$135,BW$51)+SUMIFS($AF$64:$AF$135,$W$64:$W$135,$BR55,$V$64:$V$135,BW$51)</f>
        <v>1</v>
      </c>
      <c r="BX55" s="7">
        <f ca="1">SUMIFS($AE$64:$AE$135,$V$64:$V$135,$BR55,$W$64:$W$135,BX$51)+SUMIFS($AF$64:$AF$135,$W$64:$W$135,$BR55,$V$64:$V$135,BX$51)</f>
        <v>0</v>
      </c>
      <c r="BY55" s="7">
        <f ca="1">SUMIFS($AE$64:$AE$135,$V$64:$V$135,$BR55,$W$64:$W$135,BY$51)+SUMIFS($AF$64:$AF$135,$W$64:$W$135,$BR55,$V$64:$V$135,BY$51)</f>
        <v>0</v>
      </c>
      <c r="BZ55" s="7">
        <f t="shared" ca="1" si="63"/>
        <v>0</v>
      </c>
      <c r="CA55" s="7">
        <f t="shared" ca="1" si="63"/>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62"/>
        <v>FC Grönlingen</v>
      </c>
      <c r="BS56" s="8">
        <f t="shared" ca="1" si="64"/>
        <v>1</v>
      </c>
      <c r="BT56" s="8">
        <f t="shared" ca="1" si="64"/>
        <v>1</v>
      </c>
      <c r="BU56" s="8">
        <f t="shared" ca="1" si="64"/>
        <v>0</v>
      </c>
      <c r="BV56" s="8">
        <f ca="1">SUMIFS($AE$64:$AE$135,$V$64:$V$135,$BR56,$W$64:$W$135,BV$51)+SUMIFS($AF$64:$AF$135,$W$64:$W$135,$BR56,$V$64:$V$135,BV$51)</f>
        <v>1</v>
      </c>
      <c r="BW56" s="6"/>
      <c r="BX56" s="7">
        <f ca="1">SUMIFS($AE$64:$AE$135,$V$64:$V$135,$BR56,$W$64:$W$135,BX$51)+SUMIFS($AF$64:$AF$135,$W$64:$W$135,$BR56,$V$64:$V$135,BX$51)</f>
        <v>0</v>
      </c>
      <c r="BY56" s="7">
        <f ca="1">SUMIFS($AE$64:$AE$135,$V$64:$V$135,$BR56,$W$64:$W$135,BY$51)+SUMIFS($AF$64:$AF$135,$W$64:$W$135,$BR56,$V$64:$V$135,BY$51)</f>
        <v>0</v>
      </c>
      <c r="BZ56" s="7">
        <f t="shared" ca="1" si="63"/>
        <v>0</v>
      </c>
      <c r="CA56" s="7">
        <f t="shared" ca="1" si="63"/>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62"/>
        <v/>
      </c>
      <c r="BS57" s="8">
        <f t="shared" ca="1" si="64"/>
        <v>0</v>
      </c>
      <c r="BT57" s="8">
        <f t="shared" ca="1" si="64"/>
        <v>0</v>
      </c>
      <c r="BU57" s="8">
        <f t="shared" ca="1" si="64"/>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63"/>
        <v>0</v>
      </c>
      <c r="CA57" s="7">
        <f t="shared" ca="1" si="63"/>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62"/>
        <v/>
      </c>
      <c r="BS58" s="8">
        <f t="shared" ca="1" si="64"/>
        <v>0</v>
      </c>
      <c r="BT58" s="8">
        <f t="shared" ca="1" si="64"/>
        <v>0</v>
      </c>
      <c r="BU58" s="8">
        <f t="shared" ca="1" si="64"/>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63"/>
        <v>0</v>
      </c>
      <c r="CA58" s="7">
        <f t="shared" ca="1" si="63"/>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62"/>
        <v/>
      </c>
      <c r="BS59" s="8">
        <f t="shared" ca="1" si="64"/>
        <v>0</v>
      </c>
      <c r="BT59" s="8">
        <f t="shared" ca="1" si="64"/>
        <v>0</v>
      </c>
      <c r="BU59" s="8">
        <f t="shared" ca="1" si="64"/>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62"/>
        <v/>
      </c>
      <c r="BS60" s="8">
        <f t="shared" ca="1" si="64"/>
        <v>0</v>
      </c>
      <c r="BT60" s="8">
        <f t="shared" ca="1" si="64"/>
        <v>0</v>
      </c>
      <c r="BU60" s="8">
        <f t="shared" ca="1" si="64"/>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3" t="s">
        <v>157</v>
      </c>
      <c r="AD63" s="163" t="s">
        <v>155</v>
      </c>
      <c r="AE63" s="1024" t="s">
        <v>395</v>
      </c>
      <c r="AF63" s="1024"/>
      <c r="AG63" s="1030" t="s">
        <v>374</v>
      </c>
      <c r="AH63" s="1030"/>
      <c r="AI63" s="694" t="s">
        <v>396</v>
      </c>
      <c r="AJ63" s="3"/>
      <c r="AK63" s="3"/>
      <c r="AL63" s="3"/>
      <c r="AM63" s="3"/>
      <c r="AN63" s="3"/>
      <c r="AO63" s="3"/>
      <c r="AP63" s="3"/>
      <c r="AQ63" s="3"/>
      <c r="AR63" s="3"/>
    </row>
    <row r="64" spans="5:80" s="2" customFormat="1" ht="14.25" thickTop="1" thickBot="1" x14ac:dyDescent="0.25">
      <c r="F64" s="192">
        <v>1000000</v>
      </c>
      <c r="G64" s="193" t="s">
        <v>110</v>
      </c>
      <c r="P64" s="44" t="s">
        <v>6</v>
      </c>
      <c r="Q64" s="59" t="str">
        <f>IF(Planning!$C$24="","",Planning!$C$24)</f>
        <v>Mainz 05</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689"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IF(Planning!$C$26="","",Planning!$C$26)</f>
        <v>Inter Mailand</v>
      </c>
      <c r="U65" s="66" t="s">
        <v>7</v>
      </c>
      <c r="V65" s="40" t="str">
        <f ca="1">Planning!$L7</f>
        <v>FC Grönlingen</v>
      </c>
      <c r="W65" s="12" t="str">
        <f ca="1">Planning!$N7</f>
        <v>Inter Mailand</v>
      </c>
      <c r="X65" s="12">
        <f ca="1">IF($AA65=1,PreliminaryRound!$I13,"")</f>
        <v>25</v>
      </c>
      <c r="Y65" s="35">
        <f ca="1">IF($AA65=1,PreliminaryRound!$K13,"")</f>
        <v>20</v>
      </c>
      <c r="Z65" s="34" t="str">
        <f t="shared" ref="Z65:Z73" ca="1" si="65">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66">IF($AA65=0,0,IF($X65&gt;$Y65,1,0)+IF($AG65&gt;$AH65,1,0))</f>
        <v>1</v>
      </c>
      <c r="AF65" s="143">
        <f t="shared" ref="AF65:AF108" ca="1" si="67">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IF(Planning!$C$28="","",Planning!$C$28)</f>
        <v>SSV Wildbach</v>
      </c>
      <c r="U66" s="66" t="s">
        <v>8</v>
      </c>
      <c r="V66" s="40" t="str">
        <f ca="1">Planning!$L8</f>
        <v>1. FC Nürnberg</v>
      </c>
      <c r="W66" s="12" t="str">
        <f ca="1">Planning!$N8</f>
        <v>Real Madrid</v>
      </c>
      <c r="X66" s="12">
        <f ca="1">IF($AA66=1,PreliminaryRound!$I14,"")</f>
        <v>25</v>
      </c>
      <c r="Y66" s="35">
        <f ca="1">IF($AA66=1,PreliminaryRound!$K14,"")</f>
        <v>21</v>
      </c>
      <c r="Z66" s="34" t="str">
        <f t="shared" ca="1" si="65"/>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66"/>
        <v>2</v>
      </c>
      <c r="AF66" s="143">
        <f t="shared" ca="1" si="67"/>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t="s">
        <v>9</v>
      </c>
      <c r="Q67" s="60" t="str">
        <f>IF(Planning!$C$30="","",Planning!$C$30)</f>
        <v>Manchester City</v>
      </c>
      <c r="U67" s="66" t="s">
        <v>9</v>
      </c>
      <c r="V67" s="40" t="str">
        <f ca="1">Planning!$L9</f>
        <v>Eintracht Frankfurt</v>
      </c>
      <c r="W67" s="12" t="str">
        <f ca="1">Planning!$N9</f>
        <v>Maibach 1822 eV</v>
      </c>
      <c r="X67" s="12">
        <f ca="1">IF($AA67=1,PreliminaryRound!$I15,"")</f>
        <v>25</v>
      </c>
      <c r="Y67" s="35">
        <f ca="1">IF($AA67=1,PreliminaryRound!$K15,"")</f>
        <v>22</v>
      </c>
      <c r="Z67" s="34" t="str">
        <f t="shared" ca="1" si="65"/>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66"/>
        <v>2</v>
      </c>
      <c r="AF67" s="143">
        <f t="shared" ca="1" si="67"/>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t="s">
        <v>10</v>
      </c>
      <c r="Q68" s="60" t="str">
        <f>IF(Planning!$C$32="","",Planning!$C$32)</f>
        <v>FC Grönlingen</v>
      </c>
      <c r="U68" s="66" t="s">
        <v>10</v>
      </c>
      <c r="V68" s="40" t="str">
        <f ca="1">Planning!$L10</f>
        <v>SSV Wildbach</v>
      </c>
      <c r="W68" s="12" t="str">
        <f ca="1">Planning!$N10</f>
        <v>Manchester City</v>
      </c>
      <c r="X68" s="12">
        <f ca="1">IF($AA68=1,PreliminaryRound!$I16,"")</f>
        <v>25</v>
      </c>
      <c r="Y68" s="35">
        <f ca="1">IF($AA68=1,PreliminaryRound!$K16,"")</f>
        <v>23</v>
      </c>
      <c r="Z68" s="34" t="str">
        <f t="shared" ca="1" si="65"/>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66"/>
        <v>2</v>
      </c>
      <c r="AF68" s="143">
        <f t="shared" ca="1" si="67"/>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t="s">
        <v>11</v>
      </c>
      <c r="Q69" s="60" t="str">
        <f>IF(Planning!$C$34="","",Planning!$C$34)</f>
        <v/>
      </c>
      <c r="U69" s="66" t="s">
        <v>11</v>
      </c>
      <c r="V69" s="40" t="str">
        <f ca="1">Planning!$L11</f>
        <v>Borussia Dortmund</v>
      </c>
      <c r="W69" s="12" t="str">
        <f ca="1">Planning!$N11</f>
        <v>FSV Rauen</v>
      </c>
      <c r="X69" s="12">
        <f ca="1">IF($AA69=1,PreliminaryRound!$I17,"")</f>
        <v>25</v>
      </c>
      <c r="Y69" s="35">
        <f ca="1">IF($AA69=1,PreliminaryRound!$K17,"")</f>
        <v>17</v>
      </c>
      <c r="Z69" s="34" t="str">
        <f t="shared" ca="1" si="65"/>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66"/>
        <v>2</v>
      </c>
      <c r="AF69" s="143">
        <f t="shared" ca="1" si="67"/>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65"/>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66"/>
        <v>1</v>
      </c>
      <c r="AF70" s="143">
        <f t="shared" ca="1" si="67"/>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65"/>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66"/>
        <v>1</v>
      </c>
      <c r="AF71" s="143">
        <f t="shared" ca="1" si="67"/>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65"/>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66"/>
        <v>1</v>
      </c>
      <c r="AF72" s="143">
        <f t="shared" ca="1" si="67"/>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65"/>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66"/>
        <v>1</v>
      </c>
      <c r="AF73" s="143">
        <f t="shared" ca="1" si="67"/>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66"/>
        <v>1</v>
      </c>
      <c r="AF74" s="143">
        <f t="shared" ca="1" si="67"/>
        <v>1</v>
      </c>
      <c r="AG74" s="148">
        <f ca="1">IF($AA74=1,PreliminaryRound!$L22,"")</f>
        <v>25</v>
      </c>
      <c r="AH74" s="143">
        <f ca="1">IF($AA74=1,PreliminaryRound!$N22,"")</f>
        <v>20</v>
      </c>
      <c r="AI74" s="691"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68">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66"/>
        <v>1</v>
      </c>
      <c r="AF75" s="143">
        <f t="shared" ca="1" si="67"/>
        <v>1</v>
      </c>
      <c r="AG75" s="148">
        <f ca="1">IF($AA75=1,PreliminaryRound!$L23,"")</f>
        <v>25</v>
      </c>
      <c r="AH75" s="143">
        <f ca="1">IF($AA75=1,PreliminaryRound!$N23,"")</f>
        <v>21</v>
      </c>
      <c r="AI75" s="691"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68"/>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66"/>
        <v>0</v>
      </c>
      <c r="AF76" s="143">
        <f t="shared" ca="1" si="67"/>
        <v>2</v>
      </c>
      <c r="AG76" s="148">
        <f ca="1">IF($AA76=1,PreliminaryRound!$L24,"")</f>
        <v>12</v>
      </c>
      <c r="AH76" s="143">
        <f ca="1">IF($AA76=1,PreliminaryRound!$N24,"")</f>
        <v>25</v>
      </c>
      <c r="AI76" s="691"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68"/>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66"/>
        <v>1</v>
      </c>
      <c r="AF77" s="143">
        <f t="shared" ca="1" si="67"/>
        <v>1</v>
      </c>
      <c r="AG77" s="148">
        <f ca="1">IF($AA77=1,PreliminaryRound!$L25,"")</f>
        <v>25</v>
      </c>
      <c r="AH77" s="143">
        <f ca="1">IF($AA77=1,PreliminaryRound!$N25,"")</f>
        <v>23</v>
      </c>
      <c r="AI77" s="691"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68"/>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66"/>
        <v>1</v>
      </c>
      <c r="AF78" s="143">
        <f t="shared" ca="1" si="67"/>
        <v>1</v>
      </c>
      <c r="AG78" s="148">
        <f ca="1">IF($AA78=1,PreliminaryRound!$L26,"")</f>
        <v>25</v>
      </c>
      <c r="AH78" s="143">
        <f ca="1">IF($AA78=1,PreliminaryRound!$N26,"")</f>
        <v>17</v>
      </c>
      <c r="AI78" s="691"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68"/>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66"/>
        <v>0</v>
      </c>
      <c r="AF79" s="143">
        <f t="shared" ca="1" si="67"/>
        <v>2</v>
      </c>
      <c r="AG79" s="148">
        <f ca="1">IF($AA79=1,PreliminaryRound!$L27,"")</f>
        <v>18</v>
      </c>
      <c r="AH79" s="143">
        <f ca="1">IF($AA79=1,PreliminaryRound!$N27,"")</f>
        <v>25</v>
      </c>
      <c r="AI79" s="691"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68"/>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66"/>
        <v>2</v>
      </c>
      <c r="AF80" s="143">
        <f t="shared" ca="1" si="67"/>
        <v>0</v>
      </c>
      <c r="AG80" s="148">
        <f ca="1">IF($AA80=1,PreliminaryRound!$L28,"")</f>
        <v>25</v>
      </c>
      <c r="AH80" s="143">
        <f ca="1">IF($AA80=1,PreliminaryRound!$N28,"")</f>
        <v>19</v>
      </c>
      <c r="AI80" s="691"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68"/>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66"/>
        <v>2</v>
      </c>
      <c r="AF81" s="143">
        <f t="shared" ca="1" si="67"/>
        <v>0</v>
      </c>
      <c r="AG81" s="148">
        <f ca="1">IF($AA81=1,PreliminaryRound!$L29,"")</f>
        <v>25</v>
      </c>
      <c r="AH81" s="143">
        <f ca="1">IF($AA81=1,PreliminaryRound!$N29,"")</f>
        <v>20</v>
      </c>
      <c r="AI81" s="691"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68"/>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66"/>
        <v>2</v>
      </c>
      <c r="AF82" s="143">
        <f t="shared" ca="1" si="67"/>
        <v>0</v>
      </c>
      <c r="AG82" s="148">
        <f ca="1">IF($AA82=1,PreliminaryRound!$L30,"")</f>
        <v>25</v>
      </c>
      <c r="AH82" s="143">
        <f ca="1">IF($AA82=1,PreliminaryRound!$N30,"")</f>
        <v>21</v>
      </c>
      <c r="AI82" s="691"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68"/>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66"/>
        <v>2</v>
      </c>
      <c r="AF83" s="143">
        <f t="shared" ca="1" si="67"/>
        <v>0</v>
      </c>
      <c r="AG83" s="148">
        <f ca="1">IF($AA83=1,PreliminaryRound!$L31,"")</f>
        <v>25</v>
      </c>
      <c r="AH83" s="143">
        <f ca="1">IF($AA83=1,PreliminaryRound!$N31,"")</f>
        <v>22</v>
      </c>
      <c r="AI83" s="691"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68"/>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66"/>
        <v>1</v>
      </c>
      <c r="AF84" s="143">
        <f t="shared" ca="1" si="67"/>
        <v>1</v>
      </c>
      <c r="AG84" s="148">
        <f ca="1">IF($AA84=1,PreliminaryRound!$L32,"")</f>
        <v>25</v>
      </c>
      <c r="AH84" s="143">
        <f ca="1">IF($AA84=1,PreliminaryRound!$N32,"")</f>
        <v>11</v>
      </c>
      <c r="AI84" s="691"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68"/>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66"/>
        <v>1</v>
      </c>
      <c r="AF85" s="143">
        <f t="shared" ca="1" si="67"/>
        <v>1</v>
      </c>
      <c r="AG85" s="148">
        <f ca="1">IF($AA85=1,PreliminaryRound!$L33,"")</f>
        <v>25</v>
      </c>
      <c r="AH85" s="143">
        <f ca="1">IF($AA85=1,PreliminaryRound!$N33,"")</f>
        <v>17</v>
      </c>
      <c r="AI85" s="691"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68"/>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66"/>
        <v>1</v>
      </c>
      <c r="AF86" s="143">
        <f t="shared" ca="1" si="67"/>
        <v>1</v>
      </c>
      <c r="AG86" s="148">
        <f ca="1">IF($AA86=1,PreliminaryRound!$L34,"")</f>
        <v>25</v>
      </c>
      <c r="AH86" s="143">
        <f ca="1">IF($AA86=1,PreliminaryRound!$N34,"")</f>
        <v>16</v>
      </c>
      <c r="AI86" s="691"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68"/>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66"/>
        <v>2</v>
      </c>
      <c r="AF87" s="143">
        <f t="shared" ca="1" si="67"/>
        <v>0</v>
      </c>
      <c r="AG87" s="148">
        <f ca="1">IF($AA87=1,PreliminaryRound!$L35,"")</f>
        <v>25</v>
      </c>
      <c r="AH87" s="143">
        <f ca="1">IF($AA87=1,PreliminaryRound!$N35,"")</f>
        <v>19</v>
      </c>
      <c r="AI87" s="691"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68"/>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66"/>
        <v>1</v>
      </c>
      <c r="AF88" s="143">
        <f t="shared" ca="1" si="67"/>
        <v>1</v>
      </c>
      <c r="AG88" s="148">
        <f ca="1">IF($AA88=1,PreliminaryRound!$L36,"")</f>
        <v>25</v>
      </c>
      <c r="AH88" s="143">
        <f ca="1">IF($AA88=1,PreliminaryRound!$N36,"")</f>
        <v>20</v>
      </c>
      <c r="AI88" s="691"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68"/>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66"/>
        <v>1</v>
      </c>
      <c r="AF89" s="143">
        <f t="shared" ca="1" si="67"/>
        <v>1</v>
      </c>
      <c r="AG89" s="148">
        <f ca="1">IF($AA89=1,PreliminaryRound!$L37,"")</f>
        <v>25</v>
      </c>
      <c r="AH89" s="143">
        <f ca="1">IF($AA89=1,PreliminaryRound!$N37,"")</f>
        <v>21</v>
      </c>
      <c r="AI89" s="691"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68"/>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66"/>
        <v>1</v>
      </c>
      <c r="AF90" s="143">
        <f t="shared" ca="1" si="67"/>
        <v>1</v>
      </c>
      <c r="AG90" s="148">
        <f ca="1">IF($AA90=1,PreliminaryRound!$L38,"")</f>
        <v>25</v>
      </c>
      <c r="AH90" s="143">
        <f ca="1">IF($AA90=1,PreliminaryRound!$N38,"")</f>
        <v>22</v>
      </c>
      <c r="AI90" s="691"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68"/>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66"/>
        <v>1</v>
      </c>
      <c r="AF91" s="143">
        <f t="shared" ca="1" si="67"/>
        <v>1</v>
      </c>
      <c r="AG91" s="148">
        <f ca="1">IF($AA91=1,PreliminaryRound!$L39,"")</f>
        <v>25</v>
      </c>
      <c r="AH91" s="143">
        <f ca="1">IF($AA91=1,PreliminaryRound!$N39,"")</f>
        <v>23</v>
      </c>
      <c r="AI91" s="691"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68"/>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66"/>
        <v>0</v>
      </c>
      <c r="AF92" s="143">
        <f t="shared" ca="1" si="67"/>
        <v>2</v>
      </c>
      <c r="AG92" s="148">
        <f ca="1">IF($AA92=1,PreliminaryRound!$L40,"")</f>
        <v>17</v>
      </c>
      <c r="AH92" s="143">
        <f ca="1">IF($AA92=1,PreliminaryRound!$N40,"")</f>
        <v>25</v>
      </c>
      <c r="AI92" s="691"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68"/>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66"/>
        <v>1</v>
      </c>
      <c r="AF93" s="143">
        <f t="shared" ca="1" si="67"/>
        <v>1</v>
      </c>
      <c r="AG93" s="148">
        <f ca="1">IF($AA93=1,PreliminaryRound!$L41,"")</f>
        <v>25</v>
      </c>
      <c r="AH93" s="143">
        <f ca="1">IF($AA93=1,PreliminaryRound!$N41,"")</f>
        <v>18</v>
      </c>
      <c r="AI93" s="691"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68"/>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66"/>
        <v>0</v>
      </c>
      <c r="AF94" s="143">
        <f t="shared" ca="1" si="67"/>
        <v>0</v>
      </c>
      <c r="AG94" s="148" t="str">
        <f ca="1">IF($AA94=1,PreliminaryRound!$L42,"")</f>
        <v/>
      </c>
      <c r="AH94" s="143" t="str">
        <f ca="1">IF($AA94=1,PreliminaryRound!$N42,"")</f>
        <v/>
      </c>
      <c r="AI94" s="691"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68"/>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66"/>
        <v>0</v>
      </c>
      <c r="AF95" s="143">
        <f t="shared" ca="1" si="67"/>
        <v>0</v>
      </c>
      <c r="AG95" s="148" t="str">
        <f ca="1">IF($AA95=1,PreliminaryRound!$L43,"")</f>
        <v/>
      </c>
      <c r="AH95" s="143" t="str">
        <f ca="1">IF($AA95=1,PreliminaryRound!$N43,"")</f>
        <v/>
      </c>
      <c r="AI95" s="691"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68"/>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66"/>
        <v>0</v>
      </c>
      <c r="AF96" s="143">
        <f t="shared" ca="1" si="67"/>
        <v>0</v>
      </c>
      <c r="AG96" s="148" t="str">
        <f ca="1">IF($AA96=1,PreliminaryRound!$L44,"")</f>
        <v/>
      </c>
      <c r="AH96" s="143" t="str">
        <f ca="1">IF($AA96=1,PreliminaryRound!$N44,"")</f>
        <v/>
      </c>
      <c r="AI96" s="691"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68"/>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66"/>
        <v>0</v>
      </c>
      <c r="AF97" s="143">
        <f t="shared" ca="1" si="67"/>
        <v>0</v>
      </c>
      <c r="AG97" s="148" t="str">
        <f ca="1">IF($AA97=1,PreliminaryRound!$L45,"")</f>
        <v/>
      </c>
      <c r="AH97" s="143" t="str">
        <f ca="1">IF($AA97=1,PreliminaryRound!$N45,"")</f>
        <v/>
      </c>
      <c r="AI97" s="691"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68"/>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66"/>
        <v>0</v>
      </c>
      <c r="AF98" s="143">
        <f t="shared" ca="1" si="67"/>
        <v>0</v>
      </c>
      <c r="AG98" s="148" t="str">
        <f ca="1">IF($AA98=1,PreliminaryRound!$L46,"")</f>
        <v/>
      </c>
      <c r="AH98" s="143" t="str">
        <f ca="1">IF($AA98=1,PreliminaryRound!$N46,"")</f>
        <v/>
      </c>
      <c r="AI98" s="691"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68"/>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66"/>
        <v>0</v>
      </c>
      <c r="AF99" s="143">
        <f t="shared" ca="1" si="67"/>
        <v>0</v>
      </c>
      <c r="AG99" s="148" t="str">
        <f ca="1">IF($AA99=1,PreliminaryRound!$L47,"")</f>
        <v/>
      </c>
      <c r="AH99" s="143" t="str">
        <f ca="1">IF($AA99=1,PreliminaryRound!$N47,"")</f>
        <v/>
      </c>
      <c r="AI99" s="691"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68"/>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66"/>
        <v>0</v>
      </c>
      <c r="AF100" s="143">
        <f t="shared" ca="1" si="67"/>
        <v>0</v>
      </c>
      <c r="AG100" s="148" t="str">
        <f ca="1">IF($AA100=1,PreliminaryRound!$L48,"")</f>
        <v/>
      </c>
      <c r="AH100" s="143" t="str">
        <f ca="1">IF($AA100=1,PreliminaryRound!$N48,"")</f>
        <v/>
      </c>
      <c r="AI100" s="691"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68"/>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66"/>
        <v>0</v>
      </c>
      <c r="AF101" s="143">
        <f t="shared" ca="1" si="67"/>
        <v>0</v>
      </c>
      <c r="AG101" s="148" t="str">
        <f ca="1">IF($AA101=1,PreliminaryRound!$L49,"")</f>
        <v/>
      </c>
      <c r="AH101" s="143" t="str">
        <f ca="1">IF($AA101=1,PreliminaryRound!$N49,"")</f>
        <v/>
      </c>
      <c r="AI101" s="691"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68"/>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66"/>
        <v>0</v>
      </c>
      <c r="AF102" s="143">
        <f t="shared" ca="1" si="67"/>
        <v>0</v>
      </c>
      <c r="AG102" s="148" t="str">
        <f ca="1">IF($AA102=1,PreliminaryRound!$L50,"")</f>
        <v/>
      </c>
      <c r="AH102" s="143" t="str">
        <f ca="1">IF($AA102=1,PreliminaryRound!$N50,"")</f>
        <v/>
      </c>
      <c r="AI102" s="691"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68"/>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66"/>
        <v>0</v>
      </c>
      <c r="AF103" s="143">
        <f t="shared" ca="1" si="67"/>
        <v>0</v>
      </c>
      <c r="AG103" s="148" t="str">
        <f ca="1">IF($AA103=1,PreliminaryRound!$L51,"")</f>
        <v/>
      </c>
      <c r="AH103" s="143" t="str">
        <f ca="1">IF($AA103=1,PreliminaryRound!$N51,"")</f>
        <v/>
      </c>
      <c r="AI103" s="691"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68"/>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66"/>
        <v>0</v>
      </c>
      <c r="AF104" s="143">
        <f t="shared" ca="1" si="67"/>
        <v>0</v>
      </c>
      <c r="AG104" s="148" t="str">
        <f ca="1">IF($AA104=1,PreliminaryRound!$L52,"")</f>
        <v/>
      </c>
      <c r="AH104" s="143" t="str">
        <f ca="1">IF($AA104=1,PreliminaryRound!$N52,"")</f>
        <v/>
      </c>
      <c r="AI104" s="691"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68"/>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66"/>
        <v>0</v>
      </c>
      <c r="AF105" s="143">
        <f t="shared" ca="1" si="67"/>
        <v>0</v>
      </c>
      <c r="AG105" s="148" t="str">
        <f ca="1">IF($AA105=1,PreliminaryRound!$L53,"")</f>
        <v/>
      </c>
      <c r="AH105" s="143" t="str">
        <f ca="1">IF($AA105=1,PreliminaryRound!$N53,"")</f>
        <v/>
      </c>
      <c r="AI105" s="691"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68"/>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66"/>
        <v>0</v>
      </c>
      <c r="AF106" s="143">
        <f t="shared" ca="1" si="67"/>
        <v>0</v>
      </c>
      <c r="AG106" s="148" t="str">
        <f ca="1">IF($AA106=1,PreliminaryRound!$L54,"")</f>
        <v/>
      </c>
      <c r="AH106" s="143" t="str">
        <f ca="1">IF($AA106=1,PreliminaryRound!$N54,"")</f>
        <v/>
      </c>
      <c r="AI106" s="691"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68"/>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66"/>
        <v>0</v>
      </c>
      <c r="AF107" s="143">
        <f t="shared" ca="1" si="67"/>
        <v>0</v>
      </c>
      <c r="AG107" s="148" t="str">
        <f ca="1">IF($AA107=1,PreliminaryRound!$L55,"")</f>
        <v/>
      </c>
      <c r="AH107" s="143" t="str">
        <f ca="1">IF($AA107=1,PreliminaryRound!$N55,"")</f>
        <v/>
      </c>
      <c r="AI107" s="691"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68"/>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66"/>
        <v>0</v>
      </c>
      <c r="AF108" s="143">
        <f t="shared" ca="1" si="67"/>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1"/>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1"/>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1"/>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1"/>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1"/>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1"/>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1"/>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1"/>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1"/>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1"/>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1"/>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1"/>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1"/>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1"/>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1"/>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1"/>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1"/>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1"/>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1"/>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1"/>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1"/>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1"/>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1"/>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1"/>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1"/>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692"/>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I136" s="2" t="str">
        <f ca="1">IF(AA64&gt;0,AF64&amp;Language!$E$96&amp;AE64,"")</f>
        <v>2-0</v>
      </c>
    </row>
    <row r="137" spans="2:35" x14ac:dyDescent="0.2">
      <c r="Y137" s="66" t="s">
        <v>7</v>
      </c>
      <c r="Z137" s="34" t="str">
        <f ca="1">W65&amp;V65</f>
        <v>Inter MailandFC Grönlingen</v>
      </c>
      <c r="AA137" s="12">
        <f t="shared" ref="AA137:AA180" ca="1" si="69">AA65</f>
        <v>1</v>
      </c>
      <c r="AB137" s="12" t="str">
        <f ca="1">IF(AA137&gt;0,(Y65+AH65)&amp;Language!$E$96&amp;(X65+AG65),"")</f>
        <v>45-45</v>
      </c>
      <c r="AC137" s="2"/>
      <c r="AD137" s="143"/>
      <c r="AI137" s="9" t="str">
        <f ca="1">IF(AA65&gt;0,AF65&amp;Language!$E$96&amp;AE65,"")</f>
        <v>1-1</v>
      </c>
    </row>
    <row r="138" spans="2:35" x14ac:dyDescent="0.2">
      <c r="Y138" s="66" t="s">
        <v>8</v>
      </c>
      <c r="Z138" s="34" t="str">
        <f t="shared" ref="Z138:Z180" ca="1" si="70">W66&amp;V66</f>
        <v>Real Madrid1. FC Nürnberg</v>
      </c>
      <c r="AA138" s="12">
        <f t="shared" ca="1" si="69"/>
        <v>1</v>
      </c>
      <c r="AB138" s="12" t="str">
        <f ca="1">IF(AA138&gt;0,(Y66+AH66)&amp;Language!$E$96&amp;(X66+AG66),"")</f>
        <v>40-50</v>
      </c>
      <c r="AC138" s="2"/>
      <c r="AD138" s="143"/>
      <c r="AI138" s="9" t="str">
        <f ca="1">IF(AA66&gt;0,AF66&amp;Language!$E$96&amp;AE66,"")</f>
        <v>0-2</v>
      </c>
    </row>
    <row r="139" spans="2:35" x14ac:dyDescent="0.2">
      <c r="Y139" s="66" t="s">
        <v>9</v>
      </c>
      <c r="Z139" s="34" t="str">
        <f t="shared" ca="1" si="70"/>
        <v>Maibach 1822 eVEintracht Frankfurt</v>
      </c>
      <c r="AA139" s="12">
        <f t="shared" ca="1" si="69"/>
        <v>1</v>
      </c>
      <c r="AB139" s="12" t="str">
        <f ca="1">IF(AA139&gt;0,(Y67+AH67)&amp;Language!$E$96&amp;(X67+AG67),"")</f>
        <v>42-50</v>
      </c>
      <c r="AC139" s="2"/>
      <c r="AD139" s="143"/>
      <c r="AI139" s="9" t="str">
        <f ca="1">IF(AA67&gt;0,AF67&amp;Language!$E$96&amp;AE67,"")</f>
        <v>0-2</v>
      </c>
    </row>
    <row r="140" spans="2:35" x14ac:dyDescent="0.2">
      <c r="Y140" s="66" t="s">
        <v>10</v>
      </c>
      <c r="Z140" s="34" t="str">
        <f t="shared" ca="1" si="70"/>
        <v>Manchester CitySSV Wildbach</v>
      </c>
      <c r="AA140" s="12">
        <f t="shared" ca="1" si="69"/>
        <v>1</v>
      </c>
      <c r="AB140" s="12" t="str">
        <f ca="1">IF(AA140&gt;0,(Y68+AH68)&amp;Language!$E$96&amp;(X68+AG68),"")</f>
        <v>44-50</v>
      </c>
      <c r="AC140" s="2"/>
      <c r="AD140" s="143"/>
      <c r="AI140" s="9" t="str">
        <f ca="1">IF(AA68&gt;0,AF68&amp;Language!$E$96&amp;AE68,"")</f>
        <v>0-2</v>
      </c>
    </row>
    <row r="141" spans="2:35" x14ac:dyDescent="0.2">
      <c r="Y141" s="66" t="s">
        <v>11</v>
      </c>
      <c r="Z141" s="34" t="str">
        <f t="shared" ca="1" si="70"/>
        <v>FSV RauenBorussia Dortmund</v>
      </c>
      <c r="AA141" s="12">
        <f t="shared" ca="1" si="69"/>
        <v>1</v>
      </c>
      <c r="AB141" s="12" t="str">
        <f ca="1">IF(AA141&gt;0,(Y69+AH69)&amp;Language!$E$96&amp;(X69+AG69),"")</f>
        <v>39-50</v>
      </c>
      <c r="AC141" s="2"/>
      <c r="AD141" s="143"/>
      <c r="AI141" s="9" t="str">
        <f ca="1">IF(AA69&gt;0,AF69&amp;Language!$E$96&amp;AE69,"")</f>
        <v>0-2</v>
      </c>
    </row>
    <row r="142" spans="2:35" x14ac:dyDescent="0.2">
      <c r="Y142" s="66" t="s">
        <v>16</v>
      </c>
      <c r="Z142" s="34" t="str">
        <f t="shared" ca="1" si="70"/>
        <v>1. FC RiedwaldVFB Essenheim</v>
      </c>
      <c r="AA142" s="12">
        <f t="shared" ca="1" si="69"/>
        <v>1</v>
      </c>
      <c r="AB142" s="12" t="str">
        <f ca="1">IF(AA142&gt;0,(Y70+AH70)&amp;Language!$E$96&amp;(X70+AG70),"")</f>
        <v>48-48</v>
      </c>
      <c r="AC142" s="2"/>
      <c r="AD142" s="143"/>
      <c r="AI142" s="9" t="str">
        <f ca="1">IF(AA70&gt;0,AF70&amp;Language!$E$96&amp;AE70,"")</f>
        <v>1-1</v>
      </c>
    </row>
    <row r="143" spans="2:35" x14ac:dyDescent="0.2">
      <c r="Y143" s="66" t="s">
        <v>17</v>
      </c>
      <c r="Z143" s="34" t="str">
        <f t="shared" ca="1" si="70"/>
        <v>Mainz 05FC Grönlingen</v>
      </c>
      <c r="AA143" s="12">
        <f t="shared" ca="1" si="69"/>
        <v>1</v>
      </c>
      <c r="AB143" s="12" t="str">
        <f ca="1">IF(AA143&gt;0,(Y71+AH71)&amp;Language!$E$96&amp;(X71+AG71),"")</f>
        <v>42-44</v>
      </c>
      <c r="AC143" s="2"/>
      <c r="AD143" s="143"/>
      <c r="AI143" s="9" t="str">
        <f ca="1">IF(AA71&gt;0,AF71&amp;Language!$E$96&amp;AE71,"")</f>
        <v>1-1</v>
      </c>
    </row>
    <row r="144" spans="2:35" x14ac:dyDescent="0.2">
      <c r="Y144" s="66" t="s">
        <v>18</v>
      </c>
      <c r="Z144" s="34" t="str">
        <f t="shared" ca="1" si="70"/>
        <v>Kickers Rodendorf1. FC Nürnberg</v>
      </c>
      <c r="AA144" s="12">
        <f t="shared" ca="1" si="69"/>
        <v>1</v>
      </c>
      <c r="AB144" s="12" t="str">
        <f ca="1">IF(AA144&gt;0,(Y72+AH72)&amp;Language!$E$96&amp;(X72+AG72),"")</f>
        <v>43-41</v>
      </c>
      <c r="AC144" s="2"/>
      <c r="AD144" s="143"/>
      <c r="AI144" s="9" t="str">
        <f ca="1">IF(AA72&gt;0,AF72&amp;Language!$E$96&amp;AE72,"")</f>
        <v>1-1</v>
      </c>
    </row>
    <row r="145" spans="25:35" x14ac:dyDescent="0.2">
      <c r="Y145" s="66" t="s">
        <v>24</v>
      </c>
      <c r="Z145" s="34" t="str">
        <f t="shared" ca="1" si="70"/>
        <v>Eintracht FrankfurtFC Barcelona</v>
      </c>
      <c r="AA145" s="12">
        <f t="shared" ca="1" si="69"/>
        <v>1</v>
      </c>
      <c r="AB145" s="12" t="str">
        <f ca="1">IF(AA145&gt;0,(Y73+AH73)&amp;Language!$E$96&amp;(X73+AG73),"")</f>
        <v>44-39</v>
      </c>
      <c r="AC145" s="2"/>
      <c r="AD145" s="143"/>
      <c r="AI145" s="9" t="str">
        <f ca="1">IF(AA73&gt;0,AF73&amp;Language!$E$96&amp;AE73,"")</f>
        <v>1-1</v>
      </c>
    </row>
    <row r="146" spans="25:35" x14ac:dyDescent="0.2">
      <c r="Y146" s="66" t="s">
        <v>25</v>
      </c>
      <c r="Z146" s="34" t="str">
        <f t="shared" ca="1" si="70"/>
        <v>SSV WildbachInter Mailand</v>
      </c>
      <c r="AA146" s="12">
        <f t="shared" ca="1" si="69"/>
        <v>1</v>
      </c>
      <c r="AB146" s="12" t="str">
        <f ca="1">IF(AA146&gt;0,(Y74+AH74)&amp;Language!$E$96&amp;(X74+AG74),"")</f>
        <v>45-47</v>
      </c>
      <c r="AC146" s="2"/>
      <c r="AD146" s="143"/>
      <c r="AI146" s="9" t="str">
        <f ca="1">IF(AA74&gt;0,AF74&amp;Language!$E$96&amp;AE74,"")</f>
        <v>1-1</v>
      </c>
    </row>
    <row r="147" spans="25:35" x14ac:dyDescent="0.2">
      <c r="Y147" s="66" t="s">
        <v>26</v>
      </c>
      <c r="Z147" s="34" t="str">
        <f t="shared" ca="1" si="70"/>
        <v>Borussia DortmundReal Madrid</v>
      </c>
      <c r="AA147" s="12">
        <f t="shared" ca="1" si="69"/>
        <v>1</v>
      </c>
      <c r="AB147" s="12" t="str">
        <f ca="1">IF(AA147&gt;0,(Y75+AH75)&amp;Language!$E$96&amp;(X75+AG75),"")</f>
        <v>46-44</v>
      </c>
      <c r="AC147" s="2"/>
      <c r="AD147" s="143"/>
      <c r="AI147" s="9" t="str">
        <f ca="1">IF(AA75&gt;0,AF75&amp;Language!$E$96&amp;AE75,"")</f>
        <v>1-1</v>
      </c>
    </row>
    <row r="148" spans="25:35" x14ac:dyDescent="0.2">
      <c r="Y148" s="66" t="s">
        <v>27</v>
      </c>
      <c r="Z148" s="34" t="str">
        <f t="shared" ca="1" si="70"/>
        <v>Maibach 1822 eV1. FC Riedwald</v>
      </c>
      <c r="AA148" s="12">
        <f t="shared" ca="1" si="69"/>
        <v>1</v>
      </c>
      <c r="AB148" s="12" t="str">
        <f ca="1">IF(AA148&gt;0,(Y76+AH76)&amp;Language!$E$96&amp;(X76+AG76),"")</f>
        <v>50-29</v>
      </c>
      <c r="AC148" s="2"/>
      <c r="AD148" s="143"/>
      <c r="AI148" s="9" t="str">
        <f ca="1">IF(AA76&gt;0,AF76&amp;Language!$E$96&amp;AE76,"")</f>
        <v>2-0</v>
      </c>
    </row>
    <row r="149" spans="25:35" x14ac:dyDescent="0.2">
      <c r="Y149" s="66" t="s">
        <v>28</v>
      </c>
      <c r="Z149" s="34" t="str">
        <f t="shared" ca="1" si="70"/>
        <v>Manchester CityMainz 05</v>
      </c>
      <c r="AA149" s="12">
        <f t="shared" ca="1" si="69"/>
        <v>1</v>
      </c>
      <c r="AB149" s="12" t="str">
        <f ca="1">IF(AA149&gt;0,(Y77+AH77)&amp;Language!$E$96&amp;(X77+AG77),"")</f>
        <v>48-39</v>
      </c>
      <c r="AC149" s="2"/>
      <c r="AD149" s="143"/>
      <c r="AI149" s="9" t="str">
        <f ca="1">IF(AA77&gt;0,AF77&amp;Language!$E$96&amp;AE77,"")</f>
        <v>1-1</v>
      </c>
    </row>
    <row r="150" spans="25:35" x14ac:dyDescent="0.2">
      <c r="Y150" s="66" t="s">
        <v>29</v>
      </c>
      <c r="Z150" s="34" t="str">
        <f t="shared" ca="1" si="70"/>
        <v>FSV RauenKickers Rodendorf</v>
      </c>
      <c r="AA150" s="12">
        <f t="shared" ca="1" si="69"/>
        <v>1</v>
      </c>
      <c r="AB150" s="12" t="str">
        <f ca="1">IF(AA150&gt;0,(Y78+AH78)&amp;Language!$E$96&amp;(X78+AG78),"")</f>
        <v>42-46</v>
      </c>
      <c r="AC150" s="2"/>
      <c r="AD150" s="143"/>
      <c r="AI150" s="9" t="str">
        <f ca="1">IF(AA78&gt;0,AF78&amp;Language!$E$96&amp;AE78,"")</f>
        <v>1-1</v>
      </c>
    </row>
    <row r="151" spans="25:35" x14ac:dyDescent="0.2">
      <c r="Y151" s="66" t="s">
        <v>30</v>
      </c>
      <c r="Z151" s="34" t="str">
        <f t="shared" ca="1" si="70"/>
        <v>VFB EssenheimEintracht Frankfurt</v>
      </c>
      <c r="AA151" s="12">
        <f t="shared" ca="1" si="69"/>
        <v>1</v>
      </c>
      <c r="AB151" s="12" t="str">
        <f ca="1">IF(AA151&gt;0,(Y79+AH79)&amp;Language!$E$96&amp;(X79+AG79),"")</f>
        <v>50-38</v>
      </c>
      <c r="AC151" s="2"/>
      <c r="AD151" s="143"/>
      <c r="AI151" s="9" t="str">
        <f ca="1">IF(AA79&gt;0,AF79&amp;Language!$E$96&amp;AE79,"")</f>
        <v>2-0</v>
      </c>
    </row>
    <row r="152" spans="25:35" x14ac:dyDescent="0.2">
      <c r="Y152" s="66" t="s">
        <v>31</v>
      </c>
      <c r="Z152" s="34" t="str">
        <f t="shared" ca="1" si="70"/>
        <v>FC GrönlingenSSV Wildbach</v>
      </c>
      <c r="AA152" s="12">
        <f t="shared" ca="1" si="69"/>
        <v>1</v>
      </c>
      <c r="AB152" s="12" t="str">
        <f ca="1">IF(AA152&gt;0,(Y80+AH80)&amp;Language!$E$96&amp;(X80+AG80),"")</f>
        <v>39-50</v>
      </c>
      <c r="AC152" s="2"/>
      <c r="AD152" s="143"/>
      <c r="AI152" s="9" t="str">
        <f ca="1">IF(AA80&gt;0,AF80&amp;Language!$E$96&amp;AE80,"")</f>
        <v>0-2</v>
      </c>
    </row>
    <row r="153" spans="25:35" x14ac:dyDescent="0.2">
      <c r="Y153" s="66" t="s">
        <v>32</v>
      </c>
      <c r="Z153" s="34" t="str">
        <f t="shared" ca="1" si="70"/>
        <v>1. FC NürnbergBorussia Dortmund</v>
      </c>
      <c r="AA153" s="12">
        <f t="shared" ca="1" si="69"/>
        <v>1</v>
      </c>
      <c r="AB153" s="12" t="str">
        <f ca="1">IF(AA153&gt;0,(Y81+AH81)&amp;Language!$E$96&amp;(X81+AG81),"")</f>
        <v>22-50</v>
      </c>
      <c r="AC153" s="2"/>
      <c r="AD153" s="143"/>
      <c r="AI153" s="9" t="str">
        <f ca="1">IF(AA81&gt;0,AF81&amp;Language!$E$96&amp;AE81,"")</f>
        <v>0-2</v>
      </c>
    </row>
    <row r="154" spans="25:35" x14ac:dyDescent="0.2">
      <c r="Y154" s="66" t="s">
        <v>33</v>
      </c>
      <c r="Z154" s="34" t="str">
        <f t="shared" ca="1" si="70"/>
        <v>Maibach 1822 eVFC Barcelona</v>
      </c>
      <c r="AA154" s="12">
        <f t="shared" ca="1" si="69"/>
        <v>1</v>
      </c>
      <c r="AB154" s="12" t="str">
        <f ca="1">IF(AA154&gt;0,(Y82+AH82)&amp;Language!$E$96&amp;(X82+AG82),"")</f>
        <v>37-50</v>
      </c>
      <c r="AC154" s="2"/>
      <c r="AD154" s="143"/>
      <c r="AI154" s="9" t="str">
        <f ca="1">IF(AA82&gt;0,AF82&amp;Language!$E$96&amp;AE82,"")</f>
        <v>0-2</v>
      </c>
    </row>
    <row r="155" spans="25:35" x14ac:dyDescent="0.2">
      <c r="Y155" s="66" t="s">
        <v>34</v>
      </c>
      <c r="Z155" s="34" t="str">
        <f t="shared" ca="1" si="70"/>
        <v>Manchester CityInter Mailand</v>
      </c>
      <c r="AA155" s="12">
        <f t="shared" ca="1" si="69"/>
        <v>1</v>
      </c>
      <c r="AB155" s="12" t="str">
        <f ca="1">IF(AA155&gt;0,(Y83+AH83)&amp;Language!$E$96&amp;(X83+AG83),"")</f>
        <v>24-50</v>
      </c>
      <c r="AC155" s="2"/>
      <c r="AD155" s="143"/>
      <c r="AI155" s="9" t="str">
        <f ca="1">IF(AA83&gt;0,AF83&amp;Language!$E$96&amp;AE83,"")</f>
        <v>0-2</v>
      </c>
    </row>
    <row r="156" spans="25:35" x14ac:dyDescent="0.2">
      <c r="Y156" s="66" t="s">
        <v>35</v>
      </c>
      <c r="Z156" s="34" t="str">
        <f t="shared" ca="1" si="70"/>
        <v>FSV RauenReal Madrid</v>
      </c>
      <c r="AA156" s="12">
        <f t="shared" ca="1" si="69"/>
        <v>1</v>
      </c>
      <c r="AB156" s="12" t="str">
        <f ca="1">IF(AA156&gt;0,(Y84+AH84)&amp;Language!$E$96&amp;(X84+AG84),"")</f>
        <v>36-38</v>
      </c>
      <c r="AC156" s="2"/>
      <c r="AD156" s="143"/>
      <c r="AI156" s="9" t="str">
        <f ca="1">IF(AA84&gt;0,AF84&amp;Language!$E$96&amp;AE84,"")</f>
        <v>1-1</v>
      </c>
    </row>
    <row r="157" spans="25:35" x14ac:dyDescent="0.2">
      <c r="Y157" s="66" t="s">
        <v>36</v>
      </c>
      <c r="Z157" s="34" t="str">
        <f t="shared" ca="1" si="70"/>
        <v>1. FC RiedwaldEintracht Frankfurt</v>
      </c>
      <c r="AA157" s="12">
        <f t="shared" ca="1" si="69"/>
        <v>1</v>
      </c>
      <c r="AB157" s="12" t="str">
        <f ca="1">IF(AA157&gt;0,(Y85+AH85)&amp;Language!$E$96&amp;(X85+AG85),"")</f>
        <v>42-44</v>
      </c>
      <c r="AC157" s="2"/>
      <c r="AD157" s="143"/>
      <c r="AI157" s="9" t="str">
        <f ca="1">IF(AA85&gt;0,AF85&amp;Language!$E$96&amp;AE85,"")</f>
        <v>1-1</v>
      </c>
    </row>
    <row r="158" spans="25:35" x14ac:dyDescent="0.2">
      <c r="Y158" s="66" t="s">
        <v>37</v>
      </c>
      <c r="Z158" s="34" t="str">
        <f t="shared" ca="1" si="70"/>
        <v>Mainz 05SSV Wildbach</v>
      </c>
      <c r="AA158" s="12">
        <f t="shared" ca="1" si="69"/>
        <v>1</v>
      </c>
      <c r="AB158" s="12" t="str">
        <f ca="1">IF(AA158&gt;0,(Y86+AH86)&amp;Language!$E$96&amp;(X86+AG86),"")</f>
        <v>41-42</v>
      </c>
      <c r="AC158" s="2"/>
      <c r="AD158" s="143"/>
      <c r="AI158" s="9" t="str">
        <f ca="1">IF(AA86&gt;0,AF86&amp;Language!$E$96&amp;AE86,"")</f>
        <v>1-1</v>
      </c>
    </row>
    <row r="159" spans="25:35" x14ac:dyDescent="0.2">
      <c r="Y159" s="66" t="s">
        <v>38</v>
      </c>
      <c r="Z159" s="34" t="str">
        <f t="shared" ca="1" si="70"/>
        <v>Kickers RodendorfBorussia Dortmund</v>
      </c>
      <c r="AA159" s="12">
        <f t="shared" ca="1" si="69"/>
        <v>1</v>
      </c>
      <c r="AB159" s="12" t="str">
        <f ca="1">IF(AA159&gt;0,(Y87+AH87)&amp;Language!$E$96&amp;(X87+AG87),"")</f>
        <v>33-50</v>
      </c>
      <c r="AC159" s="2"/>
      <c r="AD159" s="143"/>
      <c r="AI159" s="9" t="str">
        <f ca="1">IF(AA87&gt;0,AF87&amp;Language!$E$96&amp;AE87,"")</f>
        <v>0-2</v>
      </c>
    </row>
    <row r="160" spans="25:35" x14ac:dyDescent="0.2">
      <c r="Y160" s="66" t="s">
        <v>39</v>
      </c>
      <c r="Z160" s="34" t="str">
        <f t="shared" ca="1" si="70"/>
        <v>VFB EssenheimMaibach 1822 eV</v>
      </c>
      <c r="AA160" s="12">
        <f t="shared" ca="1" si="69"/>
        <v>1</v>
      </c>
      <c r="AB160" s="12" t="str">
        <f ca="1">IF(AA160&gt;0,(Y88+AH88)&amp;Language!$E$96&amp;(X88+AG88),"")</f>
        <v>45-45</v>
      </c>
      <c r="AC160" s="2"/>
      <c r="AD160" s="143"/>
      <c r="AI160" s="9" t="str">
        <f ca="1">IF(AA88&gt;0,AF88&amp;Language!$E$96&amp;AE88,"")</f>
        <v>1-1</v>
      </c>
    </row>
    <row r="161" spans="25:35" x14ac:dyDescent="0.2">
      <c r="Y161" s="66" t="s">
        <v>40</v>
      </c>
      <c r="Z161" s="34" t="str">
        <f t="shared" ca="1" si="70"/>
        <v>FC GrönlingenManchester City</v>
      </c>
      <c r="AA161" s="12">
        <f t="shared" ca="1" si="69"/>
        <v>1</v>
      </c>
      <c r="AB161" s="12" t="str">
        <f ca="1">IF(AA161&gt;0,(Y89+AH89)&amp;Language!$E$96&amp;(X89+AG89),"")</f>
        <v>46-44</v>
      </c>
      <c r="AC161" s="2"/>
      <c r="AD161" s="143"/>
      <c r="AI161" s="9" t="str">
        <f ca="1">IF(AA89&gt;0,AF89&amp;Language!$E$96&amp;AE89,"")</f>
        <v>1-1</v>
      </c>
    </row>
    <row r="162" spans="25:35" x14ac:dyDescent="0.2">
      <c r="Y162" s="66" t="s">
        <v>41</v>
      </c>
      <c r="Z162" s="34" t="str">
        <f t="shared" ca="1" si="70"/>
        <v>1. FC NürnbergFSV Rauen</v>
      </c>
      <c r="AA162" s="12">
        <f t="shared" ca="1" si="69"/>
        <v>1</v>
      </c>
      <c r="AB162" s="12" t="str">
        <f ca="1">IF(AA162&gt;0,(Y90+AH90)&amp;Language!$E$96&amp;(X90+AG90),"")</f>
        <v>47-42</v>
      </c>
      <c r="AC162" s="2"/>
      <c r="AD162" s="143"/>
      <c r="AI162" s="9" t="str">
        <f ca="1">IF(AA90&gt;0,AF90&amp;Language!$E$96&amp;AE90,"")</f>
        <v>1-1</v>
      </c>
    </row>
    <row r="163" spans="25:35" x14ac:dyDescent="0.2">
      <c r="Y163" s="66" t="s">
        <v>42</v>
      </c>
      <c r="Z163" s="34" t="str">
        <f t="shared" ca="1" si="70"/>
        <v>FC Barcelona1. FC Riedwald</v>
      </c>
      <c r="AA163" s="12">
        <f t="shared" ca="1" si="69"/>
        <v>1</v>
      </c>
      <c r="AB163" s="12" t="str">
        <f ca="1">IF(AA163&gt;0,(Y91+AH91)&amp;Language!$E$96&amp;(X91+AG91),"")</f>
        <v>48-44</v>
      </c>
      <c r="AC163" s="2"/>
      <c r="AD163" s="143"/>
      <c r="AI163" s="9" t="str">
        <f ca="1">IF(AA91&gt;0,AF91&amp;Language!$E$96&amp;AE91,"")</f>
        <v>1-1</v>
      </c>
    </row>
    <row r="164" spans="25:35" x14ac:dyDescent="0.2">
      <c r="Y164" s="66" t="s">
        <v>43</v>
      </c>
      <c r="Z164" s="34" t="str">
        <f t="shared" ca="1" si="70"/>
        <v>Inter MailandMainz 05</v>
      </c>
      <c r="AA164" s="12">
        <f t="shared" ca="1" si="69"/>
        <v>1</v>
      </c>
      <c r="AB164" s="12" t="str">
        <f ca="1">IF(AA164&gt;0,(Y92+AH92)&amp;Language!$E$96&amp;(X92+AG92),"")</f>
        <v>50-34</v>
      </c>
      <c r="AC164" s="2"/>
      <c r="AD164" s="143"/>
      <c r="AI164" s="9" t="str">
        <f ca="1">IF(AA92&gt;0,AF92&amp;Language!$E$96&amp;AE92,"")</f>
        <v>2-0</v>
      </c>
    </row>
    <row r="165" spans="25:35" x14ac:dyDescent="0.2">
      <c r="Y165" s="66" t="s">
        <v>44</v>
      </c>
      <c r="Z165" s="34" t="str">
        <f t="shared" ca="1" si="70"/>
        <v>Real MadridKickers Rodendorf</v>
      </c>
      <c r="AA165" s="12">
        <f t="shared" ca="1" si="69"/>
        <v>1</v>
      </c>
      <c r="AB165" s="12" t="str">
        <f ca="1">IF(AA165&gt;0,(Y93+AH93)&amp;Language!$E$96&amp;(X93+AG93),"")</f>
        <v>43-39</v>
      </c>
      <c r="AC165" s="2"/>
      <c r="AD165" s="143"/>
      <c r="AI165" s="9" t="str">
        <f ca="1">IF(AA93&gt;0,AF93&amp;Language!$E$96&amp;AE93,"")</f>
        <v>1-1</v>
      </c>
    </row>
    <row r="166" spans="25:35" x14ac:dyDescent="0.2">
      <c r="Y166" s="66" t="s">
        <v>45</v>
      </c>
      <c r="Z166" s="34" t="str">
        <f t="shared" ca="1" si="70"/>
        <v/>
      </c>
      <c r="AA166" s="12">
        <f t="shared" ca="1" si="69"/>
        <v>0</v>
      </c>
      <c r="AB166" s="12" t="str">
        <f ca="1">IF(AA166&gt;0,(Y94+AH94)&amp;Language!$E$96&amp;(X94+AG94),"")</f>
        <v/>
      </c>
      <c r="AC166" s="2"/>
      <c r="AD166" s="143"/>
      <c r="AI166" s="9" t="str">
        <f ca="1">IF(AA94&gt;0,AF94&amp;Language!$E$96&amp;AE94,"")</f>
        <v/>
      </c>
    </row>
    <row r="167" spans="25:35" x14ac:dyDescent="0.2">
      <c r="Y167" s="66" t="s">
        <v>46</v>
      </c>
      <c r="Z167" s="34" t="str">
        <f t="shared" ca="1" si="70"/>
        <v/>
      </c>
      <c r="AA167" s="12">
        <f t="shared" ca="1" si="69"/>
        <v>0</v>
      </c>
      <c r="AB167" s="12" t="str">
        <f ca="1">IF(AA167&gt;0,(Y95+AH95)&amp;Language!$E$96&amp;(X95+AG95),"")</f>
        <v/>
      </c>
      <c r="AC167" s="2"/>
      <c r="AD167" s="143"/>
      <c r="AI167" s="9" t="str">
        <f ca="1">IF(AA95&gt;0,AF95&amp;Language!$E$96&amp;AE95,"")</f>
        <v/>
      </c>
    </row>
    <row r="168" spans="25:35" x14ac:dyDescent="0.2">
      <c r="Y168" s="66" t="s">
        <v>47</v>
      </c>
      <c r="Z168" s="34" t="str">
        <f t="shared" ca="1" si="70"/>
        <v/>
      </c>
      <c r="AA168" s="12">
        <f t="shared" ca="1" si="69"/>
        <v>0</v>
      </c>
      <c r="AB168" s="12" t="str">
        <f ca="1">IF(AA168&gt;0,(Y96+AH96)&amp;Language!$E$96&amp;(X96+AG96),"")</f>
        <v/>
      </c>
      <c r="AC168" s="2"/>
      <c r="AD168" s="143"/>
      <c r="AI168" s="9" t="str">
        <f ca="1">IF(AA96&gt;0,AF96&amp;Language!$E$96&amp;AE96,"")</f>
        <v/>
      </c>
    </row>
    <row r="169" spans="25:35" x14ac:dyDescent="0.2">
      <c r="Y169" s="66" t="s">
        <v>48</v>
      </c>
      <c r="Z169" s="34" t="str">
        <f t="shared" ca="1" si="70"/>
        <v/>
      </c>
      <c r="AA169" s="12">
        <f t="shared" ca="1" si="69"/>
        <v>0</v>
      </c>
      <c r="AB169" s="12" t="str">
        <f ca="1">IF(AA169&gt;0,(Y97+AH97)&amp;Language!$E$96&amp;(X97+AG97),"")</f>
        <v/>
      </c>
      <c r="AC169" s="2"/>
      <c r="AD169" s="143"/>
      <c r="AI169" s="9" t="str">
        <f ca="1">IF(AA97&gt;0,AF97&amp;Language!$E$96&amp;AE97,"")</f>
        <v/>
      </c>
    </row>
    <row r="170" spans="25:35" x14ac:dyDescent="0.2">
      <c r="Y170" s="66" t="s">
        <v>49</v>
      </c>
      <c r="Z170" s="34" t="str">
        <f t="shared" ca="1" si="70"/>
        <v/>
      </c>
      <c r="AA170" s="12">
        <f t="shared" ca="1" si="69"/>
        <v>0</v>
      </c>
      <c r="AB170" s="12" t="str">
        <f ca="1">IF(AA170&gt;0,(Y98+AH98)&amp;Language!$E$96&amp;(X98+AG98),"")</f>
        <v/>
      </c>
      <c r="AC170" s="2"/>
      <c r="AD170" s="143"/>
      <c r="AI170" s="9" t="str">
        <f ca="1">IF(AA98&gt;0,AF98&amp;Language!$E$96&amp;AE98,"")</f>
        <v/>
      </c>
    </row>
    <row r="171" spans="25:35" x14ac:dyDescent="0.2">
      <c r="Y171" s="66" t="s">
        <v>50</v>
      </c>
      <c r="Z171" s="34" t="str">
        <f t="shared" ca="1" si="70"/>
        <v/>
      </c>
      <c r="AA171" s="12">
        <f t="shared" ca="1" si="69"/>
        <v>0</v>
      </c>
      <c r="AB171" s="12" t="str">
        <f ca="1">IF(AA171&gt;0,(Y99+AH99)&amp;Language!$E$96&amp;(X99+AG99),"")</f>
        <v/>
      </c>
      <c r="AC171" s="2"/>
      <c r="AD171" s="143"/>
      <c r="AI171" s="9" t="str">
        <f ca="1">IF(AA99&gt;0,AF99&amp;Language!$E$96&amp;AE99,"")</f>
        <v/>
      </c>
    </row>
    <row r="172" spans="25:35" x14ac:dyDescent="0.2">
      <c r="Y172" s="66" t="s">
        <v>58</v>
      </c>
      <c r="Z172" s="34" t="str">
        <f t="shared" ca="1" si="70"/>
        <v/>
      </c>
      <c r="AA172" s="12">
        <f t="shared" ca="1" si="69"/>
        <v>0</v>
      </c>
      <c r="AB172" s="12" t="str">
        <f ca="1">IF(AA172&gt;0,(Y100+AH100)&amp;Language!$E$96&amp;(X100+AG100),"")</f>
        <v/>
      </c>
      <c r="AC172" s="2"/>
      <c r="AD172" s="143"/>
      <c r="AI172" s="9" t="str">
        <f ca="1">IF(AA100&gt;0,AF100&amp;Language!$E$96&amp;AE100,"")</f>
        <v/>
      </c>
    </row>
    <row r="173" spans="25:35" x14ac:dyDescent="0.2">
      <c r="Y173" s="66" t="s">
        <v>59</v>
      </c>
      <c r="Z173" s="34" t="str">
        <f t="shared" ca="1" si="70"/>
        <v/>
      </c>
      <c r="AA173" s="12">
        <f t="shared" ca="1" si="69"/>
        <v>0</v>
      </c>
      <c r="AB173" s="12" t="str">
        <f ca="1">IF(AA173&gt;0,(Y101+AH101)&amp;Language!$E$96&amp;(X101+AG101),"")</f>
        <v/>
      </c>
      <c r="AC173" s="2"/>
      <c r="AD173" s="143"/>
      <c r="AI173" s="9" t="str">
        <f ca="1">IF(AA101&gt;0,AF101&amp;Language!$E$96&amp;AE101,"")</f>
        <v/>
      </c>
    </row>
    <row r="174" spans="25:35" x14ac:dyDescent="0.2">
      <c r="Y174" s="66" t="s">
        <v>60</v>
      </c>
      <c r="Z174" s="34" t="str">
        <f t="shared" ca="1" si="70"/>
        <v/>
      </c>
      <c r="AA174" s="12">
        <f t="shared" ca="1" si="69"/>
        <v>0</v>
      </c>
      <c r="AB174" s="12" t="str">
        <f ca="1">IF(AA174&gt;0,(Y102+AH102)&amp;Language!$E$96&amp;(X102+AG102),"")</f>
        <v/>
      </c>
      <c r="AC174" s="2"/>
      <c r="AD174" s="143"/>
      <c r="AI174" s="9" t="str">
        <f ca="1">IF(AA102&gt;0,AF102&amp;Language!$E$96&amp;AE102,"")</f>
        <v/>
      </c>
    </row>
    <row r="175" spans="25:35" x14ac:dyDescent="0.2">
      <c r="Y175" s="66" t="s">
        <v>61</v>
      </c>
      <c r="Z175" s="34" t="str">
        <f t="shared" ca="1" si="70"/>
        <v/>
      </c>
      <c r="AA175" s="12">
        <f t="shared" ca="1" si="69"/>
        <v>0</v>
      </c>
      <c r="AB175" s="12" t="str">
        <f ca="1">IF(AA175&gt;0,(Y103+AH103)&amp;Language!$E$96&amp;(X103+AG103),"")</f>
        <v/>
      </c>
      <c r="AC175" s="2"/>
      <c r="AD175" s="143"/>
      <c r="AI175" s="9" t="str">
        <f ca="1">IF(AA103&gt;0,AF103&amp;Language!$E$96&amp;AE103,"")</f>
        <v/>
      </c>
    </row>
    <row r="176" spans="25:35" x14ac:dyDescent="0.2">
      <c r="Y176" s="66" t="s">
        <v>62</v>
      </c>
      <c r="Z176" s="34" t="str">
        <f t="shared" ca="1" si="70"/>
        <v/>
      </c>
      <c r="AA176" s="12">
        <f t="shared" ca="1" si="69"/>
        <v>0</v>
      </c>
      <c r="AB176" s="12" t="str">
        <f ca="1">IF(AA176&gt;0,(Y104+AH104)&amp;Language!$E$96&amp;(X104+AG104),"")</f>
        <v/>
      </c>
      <c r="AC176" s="2"/>
      <c r="AD176" s="143"/>
      <c r="AI176" s="9" t="str">
        <f ca="1">IF(AA104&gt;0,AF104&amp;Language!$E$96&amp;AE104,"")</f>
        <v/>
      </c>
    </row>
    <row r="177" spans="25:35" x14ac:dyDescent="0.2">
      <c r="Y177" s="66" t="s">
        <v>63</v>
      </c>
      <c r="Z177" s="34" t="str">
        <f t="shared" ca="1" si="70"/>
        <v/>
      </c>
      <c r="AA177" s="12">
        <f t="shared" ca="1" si="69"/>
        <v>0</v>
      </c>
      <c r="AB177" s="12" t="str">
        <f ca="1">IF(AA177&gt;0,(Y105+AH105)&amp;Language!$E$96&amp;(X105+AG105),"")</f>
        <v/>
      </c>
      <c r="AC177" s="2"/>
      <c r="AD177" s="143"/>
      <c r="AI177" s="9" t="str">
        <f ca="1">IF(AA105&gt;0,AF105&amp;Language!$E$96&amp;AE105,"")</f>
        <v/>
      </c>
    </row>
    <row r="178" spans="25:35" x14ac:dyDescent="0.2">
      <c r="Y178" s="66" t="s">
        <v>64</v>
      </c>
      <c r="Z178" s="34" t="str">
        <f t="shared" ca="1" si="70"/>
        <v/>
      </c>
      <c r="AA178" s="12">
        <f t="shared" ca="1" si="69"/>
        <v>0</v>
      </c>
      <c r="AB178" s="12" t="str">
        <f ca="1">IF(AA178&gt;0,(Y106+AH106)&amp;Language!$E$96&amp;(X106+AG106),"")</f>
        <v/>
      </c>
      <c r="AC178" s="2"/>
      <c r="AD178" s="143"/>
      <c r="AI178" s="9" t="str">
        <f ca="1">IF(AA106&gt;0,AF106&amp;Language!$E$96&amp;AE106,"")</f>
        <v/>
      </c>
    </row>
    <row r="179" spans="25:35" x14ac:dyDescent="0.2">
      <c r="Y179" s="66" t="s">
        <v>65</v>
      </c>
      <c r="Z179" s="34" t="str">
        <f t="shared" ca="1" si="70"/>
        <v/>
      </c>
      <c r="AA179" s="12">
        <f t="shared" ca="1" si="69"/>
        <v>0</v>
      </c>
      <c r="AB179" s="12" t="str">
        <f ca="1">IF(AA179&gt;0,(Y107+AH107)&amp;Language!$E$96&amp;(X107+AG107),"")</f>
        <v/>
      </c>
      <c r="AC179" s="2"/>
      <c r="AD179" s="143"/>
      <c r="AI179" s="9" t="str">
        <f ca="1">IF(AA107&gt;0,AF107&amp;Language!$E$96&amp;AE107,"")</f>
        <v/>
      </c>
    </row>
    <row r="180" spans="25:35" ht="12.75" thickBot="1" x14ac:dyDescent="0.25">
      <c r="Y180" s="684" t="s">
        <v>66</v>
      </c>
      <c r="Z180" s="685" t="str">
        <f t="shared" ca="1" si="70"/>
        <v/>
      </c>
      <c r="AA180" s="686">
        <f t="shared" ca="1" si="69"/>
        <v>0</v>
      </c>
      <c r="AB180" s="686" t="str">
        <f ca="1">IF(AA180&gt;0,(Y108+AH108)&amp;Language!$E$96&amp;(X108+AG108),"")</f>
        <v/>
      </c>
      <c r="AC180" s="687"/>
      <c r="AD180" s="688"/>
      <c r="AI180" s="9" t="str">
        <f ca="1">IF(AA108&gt;0,AF108&amp;Language!$E$96&amp;AE108,"")</f>
        <v/>
      </c>
    </row>
    <row r="181" spans="25:35" ht="12.75" thickTop="1" x14ac:dyDescent="0.2">
      <c r="Y181" s="66" t="s">
        <v>67</v>
      </c>
      <c r="Z181" s="34" t="str">
        <f>""</f>
        <v/>
      </c>
      <c r="AA181" s="12">
        <v>0</v>
      </c>
      <c r="AB181" s="12" t="str">
        <f>""</f>
        <v/>
      </c>
      <c r="AC181" s="2"/>
      <c r="AD181" s="143"/>
      <c r="AI181" s="9" t="str">
        <f>IF(AA109&gt;0,AF109&amp;Language!$E$96&amp;AE109,"")</f>
        <v/>
      </c>
    </row>
    <row r="182" spans="25:35" x14ac:dyDescent="0.2">
      <c r="Y182" s="66" t="s">
        <v>68</v>
      </c>
      <c r="Z182" s="34" t="str">
        <f>""</f>
        <v/>
      </c>
      <c r="AA182" s="12">
        <v>0</v>
      </c>
      <c r="AB182" s="12" t="str">
        <f>""</f>
        <v/>
      </c>
      <c r="AC182" s="2"/>
      <c r="AD182" s="143"/>
      <c r="AI182" s="9" t="str">
        <f>IF(AA110&gt;0,AF110&amp;Language!$E$96&amp;AE110,"")</f>
        <v/>
      </c>
    </row>
    <row r="183" spans="25:35" x14ac:dyDescent="0.2">
      <c r="Y183" s="66" t="s">
        <v>69</v>
      </c>
      <c r="Z183" s="34" t="str">
        <f>""</f>
        <v/>
      </c>
      <c r="AA183" s="12">
        <v>0</v>
      </c>
      <c r="AB183" s="12" t="str">
        <f>""</f>
        <v/>
      </c>
      <c r="AC183" s="2"/>
      <c r="AD183" s="143"/>
      <c r="AI183" s="9" t="str">
        <f>IF(AA111&gt;0,AF111&amp;Language!$E$96&amp;AE111,"")</f>
        <v/>
      </c>
    </row>
    <row r="184" spans="25:35" x14ac:dyDescent="0.2">
      <c r="Y184" s="66" t="s">
        <v>70</v>
      </c>
      <c r="Z184" s="34" t="str">
        <f>""</f>
        <v/>
      </c>
      <c r="AA184" s="12">
        <v>0</v>
      </c>
      <c r="AB184" s="12" t="str">
        <f>""</f>
        <v/>
      </c>
      <c r="AC184" s="2"/>
      <c r="AD184" s="143"/>
      <c r="AI184" s="9" t="str">
        <f>IF(AA112&gt;0,AF112&amp;Language!$E$96&amp;AE112,"")</f>
        <v/>
      </c>
    </row>
    <row r="185" spans="25:35" x14ac:dyDescent="0.2">
      <c r="Y185" s="66" t="s">
        <v>71</v>
      </c>
      <c r="Z185" s="34" t="str">
        <f>""</f>
        <v/>
      </c>
      <c r="AA185" s="12">
        <v>0</v>
      </c>
      <c r="AB185" s="12" t="str">
        <f>""</f>
        <v/>
      </c>
      <c r="AC185" s="2"/>
      <c r="AD185" s="143"/>
      <c r="AI185" s="9" t="str">
        <f>IF(AA113&gt;0,AF113&amp;Language!$E$96&amp;AE113,"")</f>
        <v/>
      </c>
    </row>
    <row r="186" spans="25:35" x14ac:dyDescent="0.2">
      <c r="Y186" s="66" t="s">
        <v>72</v>
      </c>
      <c r="Z186" s="34" t="str">
        <f>""</f>
        <v/>
      </c>
      <c r="AA186" s="12">
        <v>0</v>
      </c>
      <c r="AB186" s="12" t="str">
        <f>""</f>
        <v/>
      </c>
      <c r="AC186" s="2"/>
      <c r="AD186" s="143"/>
      <c r="AI186" s="9" t="str">
        <f>IF(AA114&gt;0,AF114&amp;Language!$E$96&amp;AE114,"")</f>
        <v/>
      </c>
    </row>
    <row r="187" spans="25:35" x14ac:dyDescent="0.2">
      <c r="Y187" s="66" t="s">
        <v>73</v>
      </c>
      <c r="Z187" s="34" t="str">
        <f>""</f>
        <v/>
      </c>
      <c r="AA187" s="12">
        <v>0</v>
      </c>
      <c r="AB187" s="12" t="str">
        <f>""</f>
        <v/>
      </c>
      <c r="AC187" s="2"/>
      <c r="AD187" s="143"/>
      <c r="AI187" s="9" t="str">
        <f>IF(AA115&gt;0,AF115&amp;Language!$E$96&amp;AE115,"")</f>
        <v/>
      </c>
    </row>
    <row r="188" spans="25:35" x14ac:dyDescent="0.2">
      <c r="Y188" s="66" t="s">
        <v>74</v>
      </c>
      <c r="Z188" s="34" t="str">
        <f>""</f>
        <v/>
      </c>
      <c r="AA188" s="12">
        <v>0</v>
      </c>
      <c r="AB188" s="12" t="str">
        <f>""</f>
        <v/>
      </c>
      <c r="AC188" s="2"/>
      <c r="AD188" s="143"/>
      <c r="AI188" s="9" t="str">
        <f>IF(AA116&gt;0,AF116&amp;Language!$E$96&amp;AE116,"")</f>
        <v/>
      </c>
    </row>
    <row r="189" spans="25:35" x14ac:dyDescent="0.2">
      <c r="Y189" s="66" t="s">
        <v>75</v>
      </c>
      <c r="Z189" s="34" t="str">
        <f>""</f>
        <v/>
      </c>
      <c r="AA189" s="12">
        <v>0</v>
      </c>
      <c r="AB189" s="12" t="str">
        <f>""</f>
        <v/>
      </c>
      <c r="AC189" s="2"/>
      <c r="AD189" s="143"/>
      <c r="AI189" s="9" t="str">
        <f>IF(AA117&gt;0,AF117&amp;Language!$E$96&amp;AE117,"")</f>
        <v/>
      </c>
    </row>
    <row r="190" spans="25:35" x14ac:dyDescent="0.2">
      <c r="Y190" s="66" t="s">
        <v>76</v>
      </c>
      <c r="Z190" s="34" t="str">
        <f>""</f>
        <v/>
      </c>
      <c r="AA190" s="12">
        <v>0</v>
      </c>
      <c r="AB190" s="12" t="str">
        <f>""</f>
        <v/>
      </c>
      <c r="AC190" s="2"/>
      <c r="AD190" s="143"/>
      <c r="AI190" s="9" t="str">
        <f>IF(AA118&gt;0,AF118&amp;Language!$E$96&amp;AE118,"")</f>
        <v/>
      </c>
    </row>
    <row r="191" spans="25:35" x14ac:dyDescent="0.2">
      <c r="Y191" s="66" t="s">
        <v>77</v>
      </c>
      <c r="Z191" s="34" t="str">
        <f>""</f>
        <v/>
      </c>
      <c r="AA191" s="12">
        <v>0</v>
      </c>
      <c r="AB191" s="12" t="str">
        <f>""</f>
        <v/>
      </c>
      <c r="AC191" s="2"/>
      <c r="AD191" s="143"/>
      <c r="AI191" s="9" t="str">
        <f>IF(AA119&gt;0,AF119&amp;Language!$E$96&amp;AE119,"")</f>
        <v/>
      </c>
    </row>
    <row r="192" spans="25:35" x14ac:dyDescent="0.2">
      <c r="Y192" s="66" t="s">
        <v>78</v>
      </c>
      <c r="Z192" s="34" t="str">
        <f>""</f>
        <v/>
      </c>
      <c r="AA192" s="12">
        <v>0</v>
      </c>
      <c r="AB192" s="12" t="str">
        <f>""</f>
        <v/>
      </c>
      <c r="AC192" s="2"/>
      <c r="AD192" s="143"/>
      <c r="AI192" s="9" t="str">
        <f>IF(AA120&gt;0,AF120&amp;Language!$E$96&amp;AE120,"")</f>
        <v/>
      </c>
    </row>
    <row r="193" spans="25:35" x14ac:dyDescent="0.2">
      <c r="Y193" s="66" t="s">
        <v>79</v>
      </c>
      <c r="Z193" s="34" t="str">
        <f>""</f>
        <v/>
      </c>
      <c r="AA193" s="12">
        <v>0</v>
      </c>
      <c r="AB193" s="12" t="str">
        <f>""</f>
        <v/>
      </c>
      <c r="AC193" s="2"/>
      <c r="AD193" s="143"/>
      <c r="AI193" s="9" t="str">
        <f>IF(AA121&gt;0,AF121&amp;Language!$E$96&amp;AE121,"")</f>
        <v/>
      </c>
    </row>
    <row r="194" spans="25:35" x14ac:dyDescent="0.2">
      <c r="Y194" s="66" t="s">
        <v>80</v>
      </c>
      <c r="Z194" s="34" t="str">
        <f>""</f>
        <v/>
      </c>
      <c r="AA194" s="12">
        <v>0</v>
      </c>
      <c r="AB194" s="12" t="str">
        <f>""</f>
        <v/>
      </c>
      <c r="AC194" s="2"/>
      <c r="AD194" s="143"/>
      <c r="AI194" s="9" t="str">
        <f>IF(AA122&gt;0,AF122&amp;Language!$E$96&amp;AE122,"")</f>
        <v/>
      </c>
    </row>
    <row r="195" spans="25:35" x14ac:dyDescent="0.2">
      <c r="Y195" s="66" t="s">
        <v>81</v>
      </c>
      <c r="Z195" s="34" t="str">
        <f>""</f>
        <v/>
      </c>
      <c r="AA195" s="12">
        <v>0</v>
      </c>
      <c r="AB195" s="12" t="str">
        <f>""</f>
        <v/>
      </c>
      <c r="AC195" s="2"/>
      <c r="AD195" s="143"/>
      <c r="AI195" s="9" t="str">
        <f>IF(AA123&gt;0,AF123&amp;Language!$E$96&amp;AE123,"")</f>
        <v/>
      </c>
    </row>
    <row r="196" spans="25:35" x14ac:dyDescent="0.2">
      <c r="Y196" s="66" t="s">
        <v>82</v>
      </c>
      <c r="Z196" s="34" t="str">
        <f>""</f>
        <v/>
      </c>
      <c r="AA196" s="12">
        <v>0</v>
      </c>
      <c r="AB196" s="12" t="str">
        <f>""</f>
        <v/>
      </c>
      <c r="AC196" s="2"/>
      <c r="AD196" s="143"/>
    </row>
    <row r="197" spans="25:35" x14ac:dyDescent="0.2">
      <c r="Y197" s="66" t="s">
        <v>83</v>
      </c>
      <c r="Z197" s="34" t="str">
        <f>""</f>
        <v/>
      </c>
      <c r="AA197" s="12">
        <v>0</v>
      </c>
      <c r="AB197" s="12" t="str">
        <f>""</f>
        <v/>
      </c>
      <c r="AC197" s="2"/>
      <c r="AD197" s="143"/>
    </row>
    <row r="198" spans="25:35" x14ac:dyDescent="0.2">
      <c r="Y198" s="66" t="s">
        <v>84</v>
      </c>
      <c r="Z198" s="34" t="str">
        <f>""</f>
        <v/>
      </c>
      <c r="AA198" s="12">
        <v>0</v>
      </c>
      <c r="AB198" s="12" t="str">
        <f>""</f>
        <v/>
      </c>
      <c r="AC198" s="2"/>
      <c r="AD198" s="143"/>
    </row>
    <row r="199" spans="25:35" x14ac:dyDescent="0.2">
      <c r="Y199" s="66" t="s">
        <v>85</v>
      </c>
      <c r="Z199" s="34" t="str">
        <f>""</f>
        <v/>
      </c>
      <c r="AA199" s="12">
        <v>0</v>
      </c>
      <c r="AB199" s="12" t="str">
        <f>""</f>
        <v/>
      </c>
      <c r="AC199" s="2"/>
      <c r="AD199" s="143"/>
    </row>
    <row r="200" spans="25:35" x14ac:dyDescent="0.2">
      <c r="Y200" s="66" t="s">
        <v>86</v>
      </c>
      <c r="Z200" s="34" t="str">
        <f>""</f>
        <v/>
      </c>
      <c r="AA200" s="12">
        <v>0</v>
      </c>
      <c r="AB200" s="12" t="str">
        <f>""</f>
        <v/>
      </c>
      <c r="AC200" s="2"/>
      <c r="AD200" s="143"/>
    </row>
    <row r="201" spans="25:35" x14ac:dyDescent="0.2">
      <c r="Y201" s="66" t="s">
        <v>87</v>
      </c>
      <c r="Z201" s="34" t="str">
        <f>""</f>
        <v/>
      </c>
      <c r="AA201" s="12">
        <v>0</v>
      </c>
      <c r="AB201" s="12" t="str">
        <f>""</f>
        <v/>
      </c>
      <c r="AC201" s="2"/>
      <c r="AD201" s="143"/>
    </row>
    <row r="202" spans="25:35" x14ac:dyDescent="0.2">
      <c r="Y202" s="66" t="s">
        <v>88</v>
      </c>
      <c r="Z202" s="34" t="str">
        <f>""</f>
        <v/>
      </c>
      <c r="AA202" s="12">
        <v>0</v>
      </c>
      <c r="AB202" s="12" t="str">
        <f>""</f>
        <v/>
      </c>
      <c r="AC202" s="2"/>
      <c r="AD202" s="143"/>
    </row>
    <row r="203" spans="25:35" x14ac:dyDescent="0.2">
      <c r="Y203" s="66" t="s">
        <v>89</v>
      </c>
      <c r="Z203" s="34" t="str">
        <f>""</f>
        <v/>
      </c>
      <c r="AA203" s="12">
        <v>0</v>
      </c>
      <c r="AB203" s="12" t="str">
        <f>""</f>
        <v/>
      </c>
      <c r="AC203" s="2"/>
      <c r="AD203" s="143"/>
    </row>
    <row r="204" spans="25:35" x14ac:dyDescent="0.2">
      <c r="Y204" s="66" t="s">
        <v>90</v>
      </c>
      <c r="Z204" s="34" t="str">
        <f>""</f>
        <v/>
      </c>
      <c r="AA204" s="12">
        <v>0</v>
      </c>
      <c r="AB204" s="12" t="str">
        <f>""</f>
        <v/>
      </c>
      <c r="AC204" s="2"/>
      <c r="AD204" s="143"/>
    </row>
    <row r="205" spans="25:35" x14ac:dyDescent="0.2">
      <c r="Y205" s="66" t="s">
        <v>91</v>
      </c>
      <c r="Z205" s="34" t="str">
        <f>""</f>
        <v/>
      </c>
      <c r="AA205" s="12">
        <v>0</v>
      </c>
      <c r="AB205" s="12" t="str">
        <f>""</f>
        <v/>
      </c>
      <c r="AC205" s="2"/>
      <c r="AD205" s="143"/>
    </row>
    <row r="206" spans="25:35" x14ac:dyDescent="0.2">
      <c r="Y206" s="66" t="s">
        <v>92</v>
      </c>
      <c r="Z206" s="34" t="str">
        <f>""</f>
        <v/>
      </c>
      <c r="AA206" s="12">
        <v>0</v>
      </c>
      <c r="AB206" s="12" t="str">
        <f>""</f>
        <v/>
      </c>
      <c r="AC206" s="2"/>
      <c r="AD206" s="143"/>
    </row>
    <row r="207" spans="25:35" ht="12.75" thickBot="1" x14ac:dyDescent="0.25">
      <c r="Y207" s="67" t="s">
        <v>93</v>
      </c>
      <c r="Z207" s="36" t="str">
        <f>""</f>
        <v/>
      </c>
      <c r="AA207" s="37">
        <v>0</v>
      </c>
      <c r="AB207" s="144" t="str">
        <f>""</f>
        <v/>
      </c>
      <c r="AC207" s="146"/>
      <c r="AD207" s="145"/>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5" s="2" customFormat="1" x14ac:dyDescent="0.2"/>
    <row r="2" spans="1:45" s="2" customFormat="1" x14ac:dyDescent="0.2">
      <c r="B2" s="12"/>
      <c r="C2" s="12"/>
      <c r="D2" s="12"/>
      <c r="E2" s="12"/>
      <c r="F2" s="1"/>
      <c r="G2" s="1"/>
      <c r="H2" s="1"/>
      <c r="I2" s="1"/>
      <c r="J2" s="1" t="s">
        <v>397</v>
      </c>
      <c r="K2" s="1"/>
      <c r="L2" s="1"/>
      <c r="M2" s="1"/>
      <c r="N2" s="12"/>
      <c r="O2" s="1"/>
      <c r="P2" s="1"/>
      <c r="Q2" s="1"/>
      <c r="W2" s="2" t="s">
        <v>152</v>
      </c>
    </row>
    <row r="3" spans="1:45"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f t="shared" ref="O3:V3" ca="1" si="0">IF(9-COUNTIF(O$17:O$25,"")&gt;1,O$16,99999)</f>
        <v>99999</v>
      </c>
      <c r="P3" s="111">
        <f t="shared" ca="1" si="0"/>
        <v>99999</v>
      </c>
      <c r="Q3" s="111">
        <f t="shared" ca="1" si="0"/>
        <v>99999</v>
      </c>
      <c r="R3" s="111">
        <f t="shared" ca="1" si="0"/>
        <v>99999</v>
      </c>
      <c r="S3" s="111">
        <f t="shared" ca="1" si="0"/>
        <v>99999</v>
      </c>
      <c r="T3" s="111">
        <f t="shared" ca="1" si="0"/>
        <v>99999</v>
      </c>
      <c r="U3" s="111">
        <f t="shared" ca="1" si="0"/>
        <v>99999</v>
      </c>
      <c r="V3" s="111">
        <f t="shared" ca="1" si="0"/>
        <v>99999</v>
      </c>
      <c r="W3" s="1025">
        <f ca="1">IF($O$4&lt;10,$O$4,0)</f>
        <v>0</v>
      </c>
      <c r="X3" s="1026"/>
      <c r="Y3" s="1026"/>
      <c r="Z3" s="1026"/>
      <c r="AA3" s="1026"/>
      <c r="AB3" s="1025">
        <f ca="1">IF($P$4&lt;10,$P$4,0)</f>
        <v>0</v>
      </c>
      <c r="AC3" s="1026"/>
      <c r="AD3" s="1026"/>
      <c r="AE3" s="1026"/>
      <c r="AF3" s="1026"/>
      <c r="AG3" s="1025">
        <f ca="1">IF($Q$4&lt;10,$Q$4,0)</f>
        <v>0</v>
      </c>
      <c r="AH3" s="1026"/>
      <c r="AI3" s="1026"/>
      <c r="AJ3" s="1026"/>
      <c r="AK3" s="1026"/>
      <c r="AL3" s="1025">
        <f ca="1">IF($R$4&lt;10,$R$4,0)</f>
        <v>0</v>
      </c>
      <c r="AM3" s="1026"/>
      <c r="AN3" s="1026"/>
      <c r="AO3" s="1026"/>
      <c r="AP3" s="1026"/>
      <c r="AR3" s="27" t="s">
        <v>441</v>
      </c>
      <c r="AS3" s="27" t="s">
        <v>442</v>
      </c>
    </row>
    <row r="4" spans="1:45" s="2" customFormat="1" ht="12.75" thickTop="1" x14ac:dyDescent="0.2">
      <c r="A4" s="254"/>
      <c r="B4" s="1">
        <v>1</v>
      </c>
      <c r="C4" s="20">
        <f t="shared" ref="C4:C12" ca="1" si="1">RANK(D4,$D$4:$D$12,1)</f>
        <v>4</v>
      </c>
      <c r="D4" s="12">
        <f t="shared" ref="D4:D12" ca="1" si="2">E4+ROW()/1000+(F4="")*10</f>
        <v>4.0039999999999996</v>
      </c>
      <c r="E4" s="266">
        <f t="shared" ref="E4:E12" ca="1" si="3">IF($AI$15,RANK(AH17,AH$17:AH$25,1),RANK(X17,X$17:X$25,1))</f>
        <v>4</v>
      </c>
      <c r="F4" s="1" t="str">
        <f>$Q64</f>
        <v>Kickers Rodendorf</v>
      </c>
      <c r="G4" s="1">
        <f t="shared" ref="G4:G12" ca="1" si="4">SUMIFS($X$64:$X$135,$V$64:$V$135,$F4)+SUMIFS($Y$64:$Y$135,$W$64:$W$135,$F4)+SUMIFS($AG$64:$AG$135,$V$64:$V$135,$F4)+SUMIFS($AH$64:$AH$135,$W$64:$W$135,$F4)</f>
        <v>161</v>
      </c>
      <c r="H4" s="1">
        <f t="shared" ref="H4:H12" ca="1" si="5">SUMIFS($Y$64:$Y$135,$V$64:$V$135,$F4)+SUMIFS($X$64:$X$135,$W$64:$W$135,$F4)+SUMIFS($AH$64:$AH$135,$V$64:$V$135,$F4)+SUMIFS($AG$64:$AG$135,$W$64:$W$135,$F4)</f>
        <v>176</v>
      </c>
      <c r="I4" s="12">
        <f ca="1">IF(Settings!$G$7,G4-H4,IF(H4=0,IF(G4=0,0,Settings!$F$7),G4/H4))</f>
        <v>-15</v>
      </c>
      <c r="J4" s="1">
        <f ca="1">SUMPRODUCT(($V$64:$V$135=F4)*$AE$64:$AE$135*$AA$64:$AA$135)+SUMPRODUCT(($W$64:$W$135=F4)*$AF$64:$AF$135*$AA$64:$AA$135)</f>
        <v>3</v>
      </c>
      <c r="K4" s="1">
        <f t="shared" ref="K4:K12" ca="1" si="6">SUMPRODUCT(($V$64:$V$135=F4)*$AA$64:$AA$135)+SUMPRODUCT(($W$64:$W$135=F4)*$AA$64:$AA$135)</f>
        <v>4</v>
      </c>
      <c r="L4" s="1">
        <f t="shared" ref="L4:L12" ca="1" si="7">K4-M4-N4</f>
        <v>0</v>
      </c>
      <c r="M4" s="1">
        <f t="shared" ref="M4:M12" ca="1" si="8">SUMPRODUCT(($V$64:$W$135=F4)*($AE$64:$AE$135=$AF$64:$AF$135)*$AA$64:$AA$135)</f>
        <v>3</v>
      </c>
      <c r="N4" s="1">
        <f t="shared" ref="N4:N12" ca="1" si="9">SUMPRODUCT(($V$64:$V$135=F4)*($AE$64:$AE$135&lt;$AF$64:$AF$135)*$AA$64:$AA$135)+SUMPRODUCT(($W$64:$W$135=F4)*($AE$64:$AE$135&gt;$AF$64:$AF$135)*$AA$64:$AA$135)</f>
        <v>1</v>
      </c>
      <c r="O4" s="119">
        <f ca="1">SMALL($O$3:$V$3,1)</f>
        <v>99999</v>
      </c>
      <c r="P4" s="119">
        <f ca="1">SMALL($O$3:$V$3,2)</f>
        <v>99999</v>
      </c>
      <c r="Q4" s="119">
        <f ca="1">SMALL($O$3:$V$3,3)</f>
        <v>99999</v>
      </c>
      <c r="R4" s="119">
        <f ca="1">SMALL($O$3:$V$3,4)</f>
        <v>99999</v>
      </c>
      <c r="V4" s="1"/>
      <c r="W4" s="588" t="str">
        <f t="shared" ref="W4:W12" ca="1" si="10">IFERROR(INDEX($O$17:$V$25,ROW(A1),$W$3),"")</f>
        <v/>
      </c>
      <c r="X4" s="589" t="str">
        <f t="shared" ref="X4:X12" ca="1" si="11">INDEX($W$4:$W$12,MATCH(ROW(A1),$AA$4:$AA$12,0))</f>
        <v/>
      </c>
      <c r="Y4" s="590">
        <f t="shared" ref="Y4:Y12" ca="1" si="12">IF($W4="",99999,VLOOKUP($W4,$C$17:$Z$25,24,0))</f>
        <v>99999</v>
      </c>
      <c r="Z4" s="591">
        <f t="shared" ref="Z4:Z12" ca="1" si="13">RANK(Y4,Y$4:Y$12,1)+INDEX($E$4:$E$12,MATCH(W4,$F$4:$F$12,0))/100+ROW()/10000</f>
        <v>1.0604</v>
      </c>
      <c r="AA4" s="592">
        <f t="shared" ref="AA4:AA12" ca="1" si="14">RANK($Z4,$Z$4:$Z$12,1)</f>
        <v>1</v>
      </c>
      <c r="AB4" s="593" t="str">
        <f t="shared" ref="AB4:AB12" ca="1" si="15">IFERROR(INDEX($O$17:$V$25,ROW(A1),$AB$3),"")</f>
        <v/>
      </c>
      <c r="AC4" s="594" t="str">
        <f t="shared" ref="AC4:AC12" ca="1" si="16">INDEX($AB$4:$AB$12,MATCH(ROW(A1),$AF$4:$AF$12,0))</f>
        <v/>
      </c>
      <c r="AD4" s="595">
        <f t="shared" ref="AD4:AD12" ca="1" si="17">IF($AB4="",99999,VLOOKUP($AB4,$C$17:$Z$25,24,0))</f>
        <v>99999</v>
      </c>
      <c r="AE4" s="591">
        <f t="shared" ref="AE4:AE12" ca="1" si="18">RANK(AD4,AD$4:AD$12,1)+INDEX($E$4:$E$12,MATCH(AB4,$F$4:$F$12,0))/100+ROW()/10000</f>
        <v>1.0604</v>
      </c>
      <c r="AF4" s="591">
        <f t="shared" ref="AF4:AF12" ca="1" si="19">RANK($AE4,$AE$4:$AE$12,1)</f>
        <v>1</v>
      </c>
      <c r="AG4" s="593" t="str">
        <f t="shared" ref="AG4:AG12" ca="1" si="20">IFERROR(INDEX($O$17:$V$25,ROW(C1),$AG$3),"")</f>
        <v/>
      </c>
      <c r="AH4" s="594" t="str">
        <f t="shared" ref="AH4:AH12" ca="1" si="21">INDEX($AG$4:$AG$12,MATCH(ROW(A1),$AK$4:$AK$12,0))</f>
        <v/>
      </c>
      <c r="AI4" s="595">
        <f t="shared" ref="AI4:AI12" ca="1" si="22">IF($AG4="",99999,VLOOKUP($AG4,$C$17:$Z$25,24,0))</f>
        <v>99999</v>
      </c>
      <c r="AJ4" s="591">
        <f t="shared" ref="AJ4:AJ12" ca="1" si="23">RANK(AI4,AI$4:AI$12,1)+INDEX($E$4:$E$12,MATCH(AG4,$F$4:$F$12,0))/100+ROW()/10000</f>
        <v>1.0604</v>
      </c>
      <c r="AK4" s="596">
        <f t="shared" ref="AK4:AK12" ca="1" si="24">RANK($AJ4,$AJ$4:$AJ$12,1)</f>
        <v>1</v>
      </c>
      <c r="AL4" s="594" t="str">
        <f t="shared" ref="AL4:AL12" ca="1" si="25">IFERROR(INDEX($O$17:$V$25,ROW(E1),$AL$3),"")</f>
        <v/>
      </c>
      <c r="AM4" s="594" t="str">
        <f t="shared" ref="AM4:AM12" ca="1" si="26">INDEX($AL$4:$AL$12,MATCH(ROW(A1),$AP$4:$AP$12,0))</f>
        <v/>
      </c>
      <c r="AN4" s="595">
        <f t="shared" ref="AN4:AN12" ca="1" si="27">IF($AL4="",99999,VLOOKUP($AL4,$C$17:$Z$25,24,0))</f>
        <v>99999</v>
      </c>
      <c r="AO4" s="591">
        <f t="shared" ref="AO4:AO12" ca="1" si="28">RANK(AN4,AN$4:AN$12,1)+INDEX($E$4:$E$12,MATCH(AL4,$F$4:$F$12,0))/100+ROW()/10000</f>
        <v>1.0604</v>
      </c>
      <c r="AP4" s="596">
        <f t="shared" ref="AP4:AP12" ca="1" si="29">RANK($AO4,$AO$4:$AO$12,1)</f>
        <v>1</v>
      </c>
      <c r="AR4" s="1">
        <f ca="1">IF(Settings!$G$7,$I4,ROUND($I4,Settings!$H$7))</f>
        <v>-15</v>
      </c>
      <c r="AS4" s="1">
        <f ca="1">SUMPRODUCT(($W$64:$W$135=F4)*$AE$64:$AE$135*$AA$64:$AA$135)+SUMPRODUCT(($V$64:$V$135=F4)*$AF$64:$AF$135*$AA$64:$AA$135)</f>
        <v>5</v>
      </c>
    </row>
    <row r="5" spans="1:45" s="2" customFormat="1" x14ac:dyDescent="0.2">
      <c r="A5" s="254"/>
      <c r="B5" s="1">
        <v>2</v>
      </c>
      <c r="C5" s="21">
        <f t="shared" ca="1" si="1"/>
        <v>3</v>
      </c>
      <c r="D5" s="12">
        <f t="shared" ca="1" si="2"/>
        <v>3.0049999999999999</v>
      </c>
      <c r="E5" s="266">
        <f t="shared" ca="1" si="3"/>
        <v>3</v>
      </c>
      <c r="F5" s="1" t="str">
        <f t="shared" ref="F5:F12" si="30">$Q65</f>
        <v>Real Madrid</v>
      </c>
      <c r="G5" s="1">
        <f t="shared" ca="1" si="4"/>
        <v>165</v>
      </c>
      <c r="H5" s="1">
        <f t="shared" ca="1" si="5"/>
        <v>171</v>
      </c>
      <c r="I5" s="12">
        <f ca="1">IF(Settings!$G$7,G5-H5,IF(H5=0,IF(G5=0,0,Settings!$F$7),G5/H5))</f>
        <v>-6</v>
      </c>
      <c r="J5" s="1">
        <f t="shared" ref="J5:J12" ca="1" si="31">SUMPRODUCT(($V$64:$V$135=F5)*$AE$64:$AE$135*$AA$64:$AA$135)+SUMPRODUCT(($W$64:$W$135=F5)*$AF$64:$AF$135*$AA$64:$AA$135)</f>
        <v>3</v>
      </c>
      <c r="K5" s="1">
        <f t="shared" ca="1" si="6"/>
        <v>4</v>
      </c>
      <c r="L5" s="1">
        <f t="shared" ca="1" si="7"/>
        <v>0</v>
      </c>
      <c r="M5" s="1">
        <f t="shared" ca="1" si="8"/>
        <v>3</v>
      </c>
      <c r="N5" s="1">
        <f t="shared" ca="1" si="9"/>
        <v>1</v>
      </c>
      <c r="O5" s="23"/>
      <c r="P5" s="24"/>
      <c r="V5" s="1"/>
      <c r="W5" s="593" t="str">
        <f t="shared" ca="1" si="10"/>
        <v/>
      </c>
      <c r="X5" s="594" t="str">
        <f t="shared" ca="1" si="11"/>
        <v/>
      </c>
      <c r="Y5" s="591">
        <f t="shared" ca="1" si="12"/>
        <v>99999</v>
      </c>
      <c r="Z5" s="591">
        <f t="shared" ca="1" si="13"/>
        <v>1.0605</v>
      </c>
      <c r="AA5" s="596">
        <f t="shared" ca="1" si="14"/>
        <v>2</v>
      </c>
      <c r="AB5" s="593" t="str">
        <f t="shared" ca="1" si="15"/>
        <v/>
      </c>
      <c r="AC5" s="594" t="str">
        <f t="shared" ca="1" si="16"/>
        <v/>
      </c>
      <c r="AD5" s="595">
        <f t="shared" ca="1" si="17"/>
        <v>99999</v>
      </c>
      <c r="AE5" s="591">
        <f t="shared" ca="1" si="18"/>
        <v>1.0605</v>
      </c>
      <c r="AF5" s="591">
        <f t="shared" ca="1" si="19"/>
        <v>2</v>
      </c>
      <c r="AG5" s="593" t="str">
        <f t="shared" ca="1" si="20"/>
        <v/>
      </c>
      <c r="AH5" s="594" t="str">
        <f t="shared" ca="1" si="21"/>
        <v/>
      </c>
      <c r="AI5" s="595">
        <f t="shared" ca="1" si="22"/>
        <v>99999</v>
      </c>
      <c r="AJ5" s="591">
        <f t="shared" ca="1" si="23"/>
        <v>1.0605</v>
      </c>
      <c r="AK5" s="596">
        <f t="shared" ca="1" si="24"/>
        <v>2</v>
      </c>
      <c r="AL5" s="594" t="str">
        <f t="shared" ca="1" si="25"/>
        <v/>
      </c>
      <c r="AM5" s="594" t="str">
        <f t="shared" ca="1" si="26"/>
        <v/>
      </c>
      <c r="AN5" s="595">
        <f t="shared" ca="1" si="27"/>
        <v>99999</v>
      </c>
      <c r="AO5" s="591">
        <f t="shared" ca="1" si="28"/>
        <v>1.0605</v>
      </c>
      <c r="AP5" s="596">
        <f t="shared" ca="1" si="29"/>
        <v>2</v>
      </c>
      <c r="AR5" s="1">
        <f ca="1">IF(Settings!$G$7,$I5,ROUND($I5,Settings!$H$7))</f>
        <v>-6</v>
      </c>
      <c r="AS5" s="1">
        <f t="shared" ref="AS5:AS12" ca="1" si="32">SUMPRODUCT(($W$64:$W$135=F5)*$AE$64:$AE$135*$AA$64:$AA$135)+SUMPRODUCT(($V$64:$V$135=F5)*$AF$64:$AF$135*$AA$64:$AA$135)</f>
        <v>5</v>
      </c>
    </row>
    <row r="6" spans="1:45" s="2" customFormat="1" x14ac:dyDescent="0.2">
      <c r="A6" s="254"/>
      <c r="B6" s="1">
        <v>3</v>
      </c>
      <c r="C6" s="21">
        <f t="shared" ca="1" si="1"/>
        <v>1</v>
      </c>
      <c r="D6" s="12">
        <f t="shared" ca="1" si="2"/>
        <v>1.006</v>
      </c>
      <c r="E6" s="266">
        <f t="shared" ca="1" si="3"/>
        <v>1</v>
      </c>
      <c r="F6" s="1" t="str">
        <f t="shared" si="30"/>
        <v>Borussia Dortmund</v>
      </c>
      <c r="G6" s="1">
        <f t="shared" ca="1" si="4"/>
        <v>196</v>
      </c>
      <c r="H6" s="1">
        <f t="shared" ca="1" si="5"/>
        <v>138</v>
      </c>
      <c r="I6" s="12">
        <f ca="1">IF(Settings!$G$7,G6-H6,IF(H6=0,IF(G6=0,0,Settings!$F$7),G6/H6))</f>
        <v>58</v>
      </c>
      <c r="J6" s="1">
        <f t="shared" ca="1" si="31"/>
        <v>7</v>
      </c>
      <c r="K6" s="1">
        <f t="shared" ca="1" si="6"/>
        <v>4</v>
      </c>
      <c r="L6" s="1">
        <f t="shared" ca="1" si="7"/>
        <v>3</v>
      </c>
      <c r="M6" s="1">
        <f t="shared" ca="1" si="8"/>
        <v>1</v>
      </c>
      <c r="N6" s="1">
        <f t="shared" ca="1" si="9"/>
        <v>0</v>
      </c>
      <c r="O6" s="23"/>
      <c r="P6" s="24"/>
      <c r="V6" s="1"/>
      <c r="W6" s="593" t="str">
        <f t="shared" ca="1" si="10"/>
        <v/>
      </c>
      <c r="X6" s="594" t="str">
        <f t="shared" ca="1" si="11"/>
        <v/>
      </c>
      <c r="Y6" s="591">
        <f t="shared" ca="1" si="12"/>
        <v>99999</v>
      </c>
      <c r="Z6" s="591">
        <f t="shared" ca="1" si="13"/>
        <v>1.0606</v>
      </c>
      <c r="AA6" s="596">
        <f t="shared" ca="1" si="14"/>
        <v>3</v>
      </c>
      <c r="AB6" s="593" t="str">
        <f t="shared" ca="1" si="15"/>
        <v/>
      </c>
      <c r="AC6" s="594" t="str">
        <f t="shared" ca="1" si="16"/>
        <v/>
      </c>
      <c r="AD6" s="595">
        <f t="shared" ca="1" si="17"/>
        <v>99999</v>
      </c>
      <c r="AE6" s="591">
        <f t="shared" ca="1" si="18"/>
        <v>1.0606</v>
      </c>
      <c r="AF6" s="591">
        <f t="shared" ca="1" si="19"/>
        <v>3</v>
      </c>
      <c r="AG6" s="593" t="str">
        <f t="shared" ca="1" si="20"/>
        <v/>
      </c>
      <c r="AH6" s="594" t="str">
        <f t="shared" ca="1" si="21"/>
        <v/>
      </c>
      <c r="AI6" s="595">
        <f t="shared" ca="1" si="22"/>
        <v>99999</v>
      </c>
      <c r="AJ6" s="591">
        <f t="shared" ca="1" si="23"/>
        <v>1.0606</v>
      </c>
      <c r="AK6" s="596">
        <f t="shared" ca="1" si="24"/>
        <v>3</v>
      </c>
      <c r="AL6" s="594" t="str">
        <f t="shared" ca="1" si="25"/>
        <v/>
      </c>
      <c r="AM6" s="594" t="str">
        <f t="shared" ca="1" si="26"/>
        <v/>
      </c>
      <c r="AN6" s="595">
        <f t="shared" ca="1" si="27"/>
        <v>99999</v>
      </c>
      <c r="AO6" s="591">
        <f t="shared" ca="1" si="28"/>
        <v>1.0606</v>
      </c>
      <c r="AP6" s="596">
        <f t="shared" ca="1" si="29"/>
        <v>3</v>
      </c>
      <c r="AR6" s="1">
        <f ca="1">IF(Settings!$G$7,$I6,ROUND($I6,Settings!$H$7))</f>
        <v>58</v>
      </c>
      <c r="AS6" s="1">
        <f t="shared" ca="1" si="32"/>
        <v>1</v>
      </c>
    </row>
    <row r="7" spans="1:45" s="2" customFormat="1" x14ac:dyDescent="0.2">
      <c r="A7" s="254"/>
      <c r="B7" s="1">
        <v>4</v>
      </c>
      <c r="C7" s="21">
        <f t="shared" ca="1" si="1"/>
        <v>5</v>
      </c>
      <c r="D7" s="12">
        <f t="shared" ca="1" si="2"/>
        <v>5.0069999999999997</v>
      </c>
      <c r="E7" s="266">
        <f t="shared" ca="1" si="3"/>
        <v>5</v>
      </c>
      <c r="F7" s="1" t="str">
        <f t="shared" si="30"/>
        <v>FSV Rauen</v>
      </c>
      <c r="G7" s="1">
        <f t="shared" ca="1" si="4"/>
        <v>159</v>
      </c>
      <c r="H7" s="1">
        <f t="shared" ca="1" si="5"/>
        <v>181</v>
      </c>
      <c r="I7" s="12">
        <f ca="1">IF(Settings!$G$7,G7-H7,IF(H7=0,IF(G7=0,0,Settings!$F$7),G7/H7))</f>
        <v>-22</v>
      </c>
      <c r="J7" s="1">
        <f t="shared" ca="1" si="31"/>
        <v>3</v>
      </c>
      <c r="K7" s="1">
        <f t="shared" ca="1" si="6"/>
        <v>4</v>
      </c>
      <c r="L7" s="1">
        <f t="shared" ca="1" si="7"/>
        <v>0</v>
      </c>
      <c r="M7" s="1">
        <f t="shared" ca="1" si="8"/>
        <v>3</v>
      </c>
      <c r="N7" s="1">
        <f t="shared" ca="1" si="9"/>
        <v>1</v>
      </c>
      <c r="O7" s="23"/>
      <c r="P7" s="24"/>
      <c r="V7" s="1"/>
      <c r="W7" s="593" t="str">
        <f t="shared" ca="1" si="10"/>
        <v/>
      </c>
      <c r="X7" s="594" t="str">
        <f t="shared" ca="1" si="11"/>
        <v/>
      </c>
      <c r="Y7" s="591">
        <f t="shared" ca="1" si="12"/>
        <v>99999</v>
      </c>
      <c r="Z7" s="591">
        <f t="shared" ca="1" si="13"/>
        <v>1.0607</v>
      </c>
      <c r="AA7" s="596">
        <f t="shared" ca="1" si="14"/>
        <v>4</v>
      </c>
      <c r="AB7" s="593" t="str">
        <f t="shared" ca="1" si="15"/>
        <v/>
      </c>
      <c r="AC7" s="594" t="str">
        <f t="shared" ca="1" si="16"/>
        <v/>
      </c>
      <c r="AD7" s="595">
        <f t="shared" ca="1" si="17"/>
        <v>99999</v>
      </c>
      <c r="AE7" s="591">
        <f t="shared" ca="1" si="18"/>
        <v>1.0607</v>
      </c>
      <c r="AF7" s="591">
        <f t="shared" ca="1" si="19"/>
        <v>4</v>
      </c>
      <c r="AG7" s="593" t="str">
        <f t="shared" ca="1" si="20"/>
        <v/>
      </c>
      <c r="AH7" s="594" t="str">
        <f t="shared" ca="1" si="21"/>
        <v/>
      </c>
      <c r="AI7" s="595">
        <f t="shared" ca="1" si="22"/>
        <v>99999</v>
      </c>
      <c r="AJ7" s="591">
        <f t="shared" ca="1" si="23"/>
        <v>1.0607</v>
      </c>
      <c r="AK7" s="596">
        <f t="shared" ca="1" si="24"/>
        <v>4</v>
      </c>
      <c r="AL7" s="594" t="str">
        <f t="shared" ca="1" si="25"/>
        <v/>
      </c>
      <c r="AM7" s="594" t="str">
        <f t="shared" ca="1" si="26"/>
        <v/>
      </c>
      <c r="AN7" s="595">
        <f t="shared" ca="1" si="27"/>
        <v>99999</v>
      </c>
      <c r="AO7" s="591">
        <f t="shared" ca="1" si="28"/>
        <v>1.0607</v>
      </c>
      <c r="AP7" s="596">
        <f t="shared" ca="1" si="29"/>
        <v>4</v>
      </c>
      <c r="AR7" s="1">
        <f ca="1">IF(Settings!$G$7,$I7,ROUND($I7,Settings!$H$7))</f>
        <v>-22</v>
      </c>
      <c r="AS7" s="1">
        <f t="shared" ca="1" si="32"/>
        <v>5</v>
      </c>
    </row>
    <row r="8" spans="1:45" s="2" customFormat="1" x14ac:dyDescent="0.2">
      <c r="A8" s="254"/>
      <c r="B8" s="1">
        <v>5</v>
      </c>
      <c r="C8" s="21">
        <f t="shared" ca="1" si="1"/>
        <v>2</v>
      </c>
      <c r="D8" s="12">
        <f t="shared" ca="1" si="2"/>
        <v>2.008</v>
      </c>
      <c r="E8" s="266">
        <f t="shared" ca="1" si="3"/>
        <v>2</v>
      </c>
      <c r="F8" s="1" t="str">
        <f t="shared" si="30"/>
        <v>1. FC Nürnberg</v>
      </c>
      <c r="G8" s="1">
        <f t="shared" ca="1" si="4"/>
        <v>160</v>
      </c>
      <c r="H8" s="1">
        <f t="shared" ca="1" si="5"/>
        <v>175</v>
      </c>
      <c r="I8" s="12">
        <f ca="1">IF(Settings!$G$7,G8-H8,IF(H8=0,IF(G8=0,0,Settings!$F$7),G8/H8))</f>
        <v>-15</v>
      </c>
      <c r="J8" s="1">
        <f t="shared" ca="1" si="31"/>
        <v>4</v>
      </c>
      <c r="K8" s="1">
        <f t="shared" ca="1" si="6"/>
        <v>4</v>
      </c>
      <c r="L8" s="1">
        <f t="shared" ca="1" si="7"/>
        <v>1</v>
      </c>
      <c r="M8" s="1">
        <f t="shared" ca="1" si="8"/>
        <v>2</v>
      </c>
      <c r="N8" s="1">
        <f t="shared" ca="1" si="9"/>
        <v>1</v>
      </c>
      <c r="P8" s="24"/>
      <c r="W8" s="593" t="str">
        <f t="shared" ca="1" si="10"/>
        <v/>
      </c>
      <c r="X8" s="594" t="str">
        <f t="shared" ca="1" si="11"/>
        <v/>
      </c>
      <c r="Y8" s="591">
        <f t="shared" ca="1" si="12"/>
        <v>99999</v>
      </c>
      <c r="Z8" s="591">
        <f t="shared" ca="1" si="13"/>
        <v>1.0608</v>
      </c>
      <c r="AA8" s="596">
        <f t="shared" ca="1" si="14"/>
        <v>5</v>
      </c>
      <c r="AB8" s="593" t="str">
        <f t="shared" ca="1" si="15"/>
        <v/>
      </c>
      <c r="AC8" s="594" t="str">
        <f t="shared" ca="1" si="16"/>
        <v/>
      </c>
      <c r="AD8" s="595">
        <f t="shared" ca="1" si="17"/>
        <v>99999</v>
      </c>
      <c r="AE8" s="591">
        <f t="shared" ca="1" si="18"/>
        <v>1.0608</v>
      </c>
      <c r="AF8" s="591">
        <f t="shared" ca="1" si="19"/>
        <v>5</v>
      </c>
      <c r="AG8" s="593" t="str">
        <f t="shared" ca="1" si="20"/>
        <v/>
      </c>
      <c r="AH8" s="594" t="str">
        <f t="shared" ca="1" si="21"/>
        <v/>
      </c>
      <c r="AI8" s="595">
        <f t="shared" ca="1" si="22"/>
        <v>99999</v>
      </c>
      <c r="AJ8" s="591">
        <f t="shared" ca="1" si="23"/>
        <v>1.0608</v>
      </c>
      <c r="AK8" s="596">
        <f t="shared" ca="1" si="24"/>
        <v>5</v>
      </c>
      <c r="AL8" s="594" t="str">
        <f t="shared" ca="1" si="25"/>
        <v/>
      </c>
      <c r="AM8" s="594" t="str">
        <f t="shared" ca="1" si="26"/>
        <v/>
      </c>
      <c r="AN8" s="595">
        <f t="shared" ca="1" si="27"/>
        <v>99999</v>
      </c>
      <c r="AO8" s="591">
        <f t="shared" ca="1" si="28"/>
        <v>1.0608</v>
      </c>
      <c r="AP8" s="596">
        <f t="shared" ca="1" si="29"/>
        <v>5</v>
      </c>
      <c r="AR8" s="1">
        <f ca="1">IF(Settings!$G$7,$I8,ROUND($I8,Settings!$H$7))</f>
        <v>-15</v>
      </c>
      <c r="AS8" s="1">
        <f t="shared" ca="1" si="32"/>
        <v>4</v>
      </c>
    </row>
    <row r="9" spans="1:45" s="2" customFormat="1" x14ac:dyDescent="0.2">
      <c r="A9" s="254"/>
      <c r="B9" s="1">
        <v>6</v>
      </c>
      <c r="C9" s="21">
        <f t="shared" ca="1" si="1"/>
        <v>6</v>
      </c>
      <c r="D9" s="12">
        <f t="shared" ca="1" si="2"/>
        <v>16.009</v>
      </c>
      <c r="E9" s="266">
        <f t="shared" ca="1" si="3"/>
        <v>6</v>
      </c>
      <c r="F9" s="1" t="str">
        <f t="shared" si="30"/>
        <v/>
      </c>
      <c r="G9" s="1">
        <f t="shared" ca="1" si="4"/>
        <v>0</v>
      </c>
      <c r="H9" s="1">
        <f t="shared" ca="1" si="5"/>
        <v>0</v>
      </c>
      <c r="I9" s="12">
        <f ca="1">IF(Settings!$G$7,G9-H9,IF(H9=0,IF(G9=0,0,Settings!$F$7),G9/H9))</f>
        <v>0</v>
      </c>
      <c r="J9" s="1">
        <f t="shared" ca="1" si="31"/>
        <v>0</v>
      </c>
      <c r="K9" s="1">
        <f t="shared" ca="1" si="6"/>
        <v>0</v>
      </c>
      <c r="L9" s="1">
        <f t="shared" ca="1" si="7"/>
        <v>0</v>
      </c>
      <c r="M9" s="1">
        <f t="shared" ca="1" si="8"/>
        <v>0</v>
      </c>
      <c r="N9" s="1">
        <f t="shared" ca="1" si="9"/>
        <v>0</v>
      </c>
      <c r="P9" s="24"/>
      <c r="W9" s="593" t="str">
        <f t="shared" ca="1" si="10"/>
        <v/>
      </c>
      <c r="X9" s="594" t="str">
        <f t="shared" ca="1" si="11"/>
        <v/>
      </c>
      <c r="Y9" s="591">
        <f t="shared" ca="1" si="12"/>
        <v>99999</v>
      </c>
      <c r="Z9" s="591">
        <f t="shared" ca="1" si="13"/>
        <v>1.0609</v>
      </c>
      <c r="AA9" s="596">
        <f t="shared" ca="1" si="14"/>
        <v>6</v>
      </c>
      <c r="AB9" s="593" t="str">
        <f t="shared" ca="1" si="15"/>
        <v/>
      </c>
      <c r="AC9" s="594" t="str">
        <f t="shared" ca="1" si="16"/>
        <v/>
      </c>
      <c r="AD9" s="595">
        <f t="shared" ca="1" si="17"/>
        <v>99999</v>
      </c>
      <c r="AE9" s="591">
        <f t="shared" ca="1" si="18"/>
        <v>1.0609</v>
      </c>
      <c r="AF9" s="591">
        <f t="shared" ca="1" si="19"/>
        <v>6</v>
      </c>
      <c r="AG9" s="593" t="str">
        <f t="shared" ca="1" si="20"/>
        <v/>
      </c>
      <c r="AH9" s="594" t="str">
        <f t="shared" ca="1" si="21"/>
        <v/>
      </c>
      <c r="AI9" s="595">
        <f t="shared" ca="1" si="22"/>
        <v>99999</v>
      </c>
      <c r="AJ9" s="591">
        <f t="shared" ca="1" si="23"/>
        <v>1.0609</v>
      </c>
      <c r="AK9" s="596">
        <f t="shared" ca="1" si="24"/>
        <v>6</v>
      </c>
      <c r="AL9" s="594" t="str">
        <f t="shared" ca="1" si="25"/>
        <v/>
      </c>
      <c r="AM9" s="594" t="str">
        <f t="shared" ca="1" si="26"/>
        <v/>
      </c>
      <c r="AN9" s="595">
        <f t="shared" ca="1" si="27"/>
        <v>99999</v>
      </c>
      <c r="AO9" s="591">
        <f t="shared" ca="1" si="28"/>
        <v>1.0609</v>
      </c>
      <c r="AP9" s="596">
        <f t="shared" ca="1" si="29"/>
        <v>6</v>
      </c>
      <c r="AR9" s="1">
        <f ca="1">IF(Settings!$G$7,$I9,ROUND($I9,Settings!$H$7))</f>
        <v>0</v>
      </c>
      <c r="AS9" s="1">
        <f t="shared" ca="1" si="32"/>
        <v>0</v>
      </c>
    </row>
    <row r="10" spans="1:45" s="2" customFormat="1" x14ac:dyDescent="0.2">
      <c r="A10" s="254"/>
      <c r="B10" s="1">
        <v>7</v>
      </c>
      <c r="C10" s="21">
        <f t="shared" ca="1" si="1"/>
        <v>7</v>
      </c>
      <c r="D10" s="12">
        <f t="shared" ca="1" si="2"/>
        <v>16.009999999999998</v>
      </c>
      <c r="E10" s="266">
        <f t="shared" ca="1" si="3"/>
        <v>6</v>
      </c>
      <c r="F10" s="1" t="str">
        <f t="shared" si="30"/>
        <v/>
      </c>
      <c r="G10" s="1">
        <f t="shared" ca="1" si="4"/>
        <v>0</v>
      </c>
      <c r="H10" s="1">
        <f t="shared" ca="1" si="5"/>
        <v>0</v>
      </c>
      <c r="I10" s="12">
        <f ca="1">IF(Settings!$G$7,G10-H10,IF(H10=0,IF(G10=0,0,Settings!$F$7),G10/H10))</f>
        <v>0</v>
      </c>
      <c r="J10" s="1">
        <f t="shared" ca="1" si="31"/>
        <v>0</v>
      </c>
      <c r="K10" s="1">
        <f t="shared" ca="1" si="6"/>
        <v>0</v>
      </c>
      <c r="L10" s="1">
        <f t="shared" ca="1" si="7"/>
        <v>0</v>
      </c>
      <c r="M10" s="1">
        <f t="shared" ca="1" si="8"/>
        <v>0</v>
      </c>
      <c r="N10" s="1">
        <f t="shared" ca="1" si="9"/>
        <v>0</v>
      </c>
      <c r="P10" s="24"/>
      <c r="W10" s="593" t="str">
        <f t="shared" ca="1" si="10"/>
        <v/>
      </c>
      <c r="X10" s="594" t="str">
        <f t="shared" ca="1" si="11"/>
        <v/>
      </c>
      <c r="Y10" s="591">
        <f t="shared" ca="1" si="12"/>
        <v>99999</v>
      </c>
      <c r="Z10" s="591">
        <f t="shared" ca="1" si="13"/>
        <v>1.0609999999999999</v>
      </c>
      <c r="AA10" s="596">
        <f t="shared" ca="1" si="14"/>
        <v>7</v>
      </c>
      <c r="AB10" s="593" t="str">
        <f t="shared" ca="1" si="15"/>
        <v/>
      </c>
      <c r="AC10" s="594" t="str">
        <f t="shared" ca="1" si="16"/>
        <v/>
      </c>
      <c r="AD10" s="595">
        <f t="shared" ca="1" si="17"/>
        <v>99999</v>
      </c>
      <c r="AE10" s="591">
        <f t="shared" ca="1" si="18"/>
        <v>1.0609999999999999</v>
      </c>
      <c r="AF10" s="591">
        <f t="shared" ca="1" si="19"/>
        <v>7</v>
      </c>
      <c r="AG10" s="593" t="str">
        <f t="shared" ca="1" si="20"/>
        <v/>
      </c>
      <c r="AH10" s="594" t="str">
        <f t="shared" ca="1" si="21"/>
        <v/>
      </c>
      <c r="AI10" s="595">
        <f t="shared" ca="1" si="22"/>
        <v>99999</v>
      </c>
      <c r="AJ10" s="591">
        <f t="shared" ca="1" si="23"/>
        <v>1.0609999999999999</v>
      </c>
      <c r="AK10" s="596">
        <f t="shared" ca="1" si="24"/>
        <v>7</v>
      </c>
      <c r="AL10" s="594" t="str">
        <f t="shared" ca="1" si="25"/>
        <v/>
      </c>
      <c r="AM10" s="594" t="str">
        <f t="shared" ca="1" si="26"/>
        <v/>
      </c>
      <c r="AN10" s="595">
        <f t="shared" ca="1" si="27"/>
        <v>99999</v>
      </c>
      <c r="AO10" s="591">
        <f t="shared" ca="1" si="28"/>
        <v>1.0609999999999999</v>
      </c>
      <c r="AP10" s="596">
        <f t="shared" ca="1" si="29"/>
        <v>7</v>
      </c>
      <c r="AR10" s="1">
        <f ca="1">IF(Settings!$G$7,$I10,ROUND($I10,Settings!$H$7))</f>
        <v>0</v>
      </c>
      <c r="AS10" s="1">
        <f t="shared" ca="1" si="32"/>
        <v>0</v>
      </c>
    </row>
    <row r="11" spans="1:45" s="2" customFormat="1" x14ac:dyDescent="0.2">
      <c r="A11" s="254"/>
      <c r="B11" s="1">
        <v>8</v>
      </c>
      <c r="C11" s="21">
        <f t="shared" ca="1" si="1"/>
        <v>8</v>
      </c>
      <c r="D11" s="12">
        <f t="shared" ca="1" si="2"/>
        <v>16.010999999999999</v>
      </c>
      <c r="E11" s="266">
        <f t="shared" ca="1" si="3"/>
        <v>6</v>
      </c>
      <c r="F11" s="1" t="str">
        <f t="shared" si="30"/>
        <v/>
      </c>
      <c r="G11" s="1">
        <f t="shared" ca="1" si="4"/>
        <v>0</v>
      </c>
      <c r="H11" s="1">
        <f t="shared" ca="1" si="5"/>
        <v>0</v>
      </c>
      <c r="I11" s="12">
        <f ca="1">IF(Settings!$G$7,G11-H11,IF(H11=0,IF(G11=0,0,Settings!$F$7),G11/H11))</f>
        <v>0</v>
      </c>
      <c r="J11" s="1">
        <f t="shared" ca="1" si="31"/>
        <v>0</v>
      </c>
      <c r="K11" s="1">
        <f t="shared" ca="1" si="6"/>
        <v>0</v>
      </c>
      <c r="L11" s="1">
        <f t="shared" ca="1" si="7"/>
        <v>0</v>
      </c>
      <c r="M11" s="1">
        <f t="shared" ca="1" si="8"/>
        <v>0</v>
      </c>
      <c r="N11" s="1">
        <f t="shared" ca="1" si="9"/>
        <v>0</v>
      </c>
      <c r="O11" s="12"/>
      <c r="P11" s="12"/>
      <c r="Q11" s="12"/>
      <c r="R11" s="12"/>
      <c r="S11" s="12"/>
      <c r="T11" s="12"/>
      <c r="U11" s="12"/>
      <c r="V11" s="12"/>
      <c r="W11" s="593" t="str">
        <f t="shared" ca="1" si="10"/>
        <v/>
      </c>
      <c r="X11" s="594" t="str">
        <f t="shared" ca="1" si="11"/>
        <v/>
      </c>
      <c r="Y11" s="591">
        <f t="shared" ca="1" si="12"/>
        <v>99999</v>
      </c>
      <c r="Z11" s="591">
        <f t="shared" ca="1" si="13"/>
        <v>1.0611000000000002</v>
      </c>
      <c r="AA11" s="596">
        <f t="shared" ca="1" si="14"/>
        <v>8</v>
      </c>
      <c r="AB11" s="593" t="str">
        <f t="shared" ca="1" si="15"/>
        <v/>
      </c>
      <c r="AC11" s="594" t="str">
        <f t="shared" ca="1" si="16"/>
        <v/>
      </c>
      <c r="AD11" s="595">
        <f t="shared" ca="1" si="17"/>
        <v>99999</v>
      </c>
      <c r="AE11" s="591">
        <f t="shared" ca="1" si="18"/>
        <v>1.0611000000000002</v>
      </c>
      <c r="AF11" s="591">
        <f t="shared" ca="1" si="19"/>
        <v>8</v>
      </c>
      <c r="AG11" s="593" t="str">
        <f t="shared" ca="1" si="20"/>
        <v/>
      </c>
      <c r="AH11" s="594" t="str">
        <f t="shared" ca="1" si="21"/>
        <v/>
      </c>
      <c r="AI11" s="595">
        <f t="shared" ca="1" si="22"/>
        <v>99999</v>
      </c>
      <c r="AJ11" s="591">
        <f t="shared" ca="1" si="23"/>
        <v>1.0611000000000002</v>
      </c>
      <c r="AK11" s="596">
        <f t="shared" ca="1" si="24"/>
        <v>8</v>
      </c>
      <c r="AL11" s="594" t="str">
        <f t="shared" ca="1" si="25"/>
        <v/>
      </c>
      <c r="AM11" s="594" t="str">
        <f t="shared" ca="1" si="26"/>
        <v/>
      </c>
      <c r="AN11" s="595">
        <f t="shared" ca="1" si="27"/>
        <v>99999</v>
      </c>
      <c r="AO11" s="591">
        <f t="shared" ca="1" si="28"/>
        <v>1.0611000000000002</v>
      </c>
      <c r="AP11" s="596">
        <f t="shared" ca="1" si="29"/>
        <v>8</v>
      </c>
      <c r="AR11" s="1">
        <f ca="1">IF(Settings!$G$7,$I11,ROUND($I11,Settings!$H$7))</f>
        <v>0</v>
      </c>
      <c r="AS11" s="1">
        <f t="shared" ca="1" si="32"/>
        <v>0</v>
      </c>
    </row>
    <row r="12" spans="1:45" s="2" customFormat="1" ht="12.75" thickBot="1" x14ac:dyDescent="0.25">
      <c r="A12" s="254"/>
      <c r="B12" s="1">
        <v>9</v>
      </c>
      <c r="C12" s="22">
        <f t="shared" ca="1" si="1"/>
        <v>9</v>
      </c>
      <c r="D12" s="12">
        <f t="shared" ca="1" si="2"/>
        <v>16.012</v>
      </c>
      <c r="E12" s="266">
        <f t="shared" ca="1" si="3"/>
        <v>6</v>
      </c>
      <c r="F12" s="1" t="str">
        <f t="shared" si="30"/>
        <v/>
      </c>
      <c r="G12" s="1">
        <f t="shared" ca="1" si="4"/>
        <v>0</v>
      </c>
      <c r="H12" s="1">
        <f t="shared" ca="1" si="5"/>
        <v>0</v>
      </c>
      <c r="I12" s="12">
        <f ca="1">IF(Settings!$G$7,G12-H12,IF(H12=0,IF(G12=0,0,Settings!$F$7),G12/H12))</f>
        <v>0</v>
      </c>
      <c r="J12" s="1">
        <f t="shared" ca="1" si="31"/>
        <v>0</v>
      </c>
      <c r="K12" s="28">
        <f t="shared" ca="1" si="6"/>
        <v>0</v>
      </c>
      <c r="L12" s="1">
        <f t="shared" ca="1" si="7"/>
        <v>0</v>
      </c>
      <c r="M12" s="1">
        <f t="shared" ca="1" si="8"/>
        <v>0</v>
      </c>
      <c r="N12" s="1">
        <f t="shared" ca="1" si="9"/>
        <v>0</v>
      </c>
      <c r="O12" s="1"/>
      <c r="P12" s="1"/>
      <c r="Q12" s="1"/>
      <c r="R12" s="1"/>
      <c r="S12" s="1"/>
      <c r="T12" s="1"/>
      <c r="U12" s="1"/>
      <c r="V12" s="1"/>
      <c r="W12" s="597" t="str">
        <f t="shared" ca="1" si="10"/>
        <v/>
      </c>
      <c r="X12" s="598" t="str">
        <f t="shared" ca="1" si="11"/>
        <v/>
      </c>
      <c r="Y12" s="599">
        <f t="shared" ca="1" si="12"/>
        <v>99999</v>
      </c>
      <c r="Z12" s="599">
        <f t="shared" ca="1" si="13"/>
        <v>1.0612000000000001</v>
      </c>
      <c r="AA12" s="600">
        <f t="shared" ca="1" si="14"/>
        <v>9</v>
      </c>
      <c r="AB12" s="597" t="str">
        <f t="shared" ca="1" si="15"/>
        <v/>
      </c>
      <c r="AC12" s="598" t="str">
        <f t="shared" ca="1" si="16"/>
        <v/>
      </c>
      <c r="AD12" s="601">
        <f t="shared" ca="1" si="17"/>
        <v>99999</v>
      </c>
      <c r="AE12" s="599">
        <f t="shared" ca="1" si="18"/>
        <v>1.0612000000000001</v>
      </c>
      <c r="AF12" s="599">
        <f t="shared" ca="1" si="19"/>
        <v>9</v>
      </c>
      <c r="AG12" s="597" t="str">
        <f t="shared" ca="1" si="20"/>
        <v/>
      </c>
      <c r="AH12" s="598" t="str">
        <f t="shared" ca="1" si="21"/>
        <v/>
      </c>
      <c r="AI12" s="601">
        <f t="shared" ca="1" si="22"/>
        <v>99999</v>
      </c>
      <c r="AJ12" s="599">
        <f t="shared" ca="1" si="23"/>
        <v>1.0612000000000001</v>
      </c>
      <c r="AK12" s="600">
        <f t="shared" ca="1" si="24"/>
        <v>9</v>
      </c>
      <c r="AL12" s="598" t="str">
        <f t="shared" ca="1" si="25"/>
        <v/>
      </c>
      <c r="AM12" s="598" t="str">
        <f t="shared" ca="1" si="26"/>
        <v/>
      </c>
      <c r="AN12" s="601">
        <f t="shared" ca="1" si="27"/>
        <v>99999</v>
      </c>
      <c r="AO12" s="599">
        <f t="shared" ca="1" si="28"/>
        <v>1.0612000000000001</v>
      </c>
      <c r="AP12" s="600">
        <f t="shared" ca="1" si="29"/>
        <v>9</v>
      </c>
      <c r="AR12" s="1">
        <f ca="1">IF(Settings!$G$7,$I12,ROUND($I12,Settings!$H$7))</f>
        <v>0</v>
      </c>
      <c r="AS12" s="1">
        <f t="shared" ca="1" si="32"/>
        <v>0</v>
      </c>
    </row>
    <row r="13" spans="1:45" s="2" customFormat="1" ht="12.75" thickTop="1" x14ac:dyDescent="0.2">
      <c r="B13" s="12">
        <f>$F$13*($F$13-1)</f>
        <v>20</v>
      </c>
      <c r="C13" s="12"/>
      <c r="D13" s="12"/>
      <c r="E13" s="12"/>
      <c r="F13" s="12">
        <f>9-COUNTBLANK($F$4:$F$12)</f>
        <v>5</v>
      </c>
      <c r="G13" s="12"/>
      <c r="H13" s="12"/>
      <c r="I13" s="12"/>
      <c r="J13" s="12"/>
      <c r="K13" s="27">
        <f ca="1">QUOTIENT(SUM(K4:K12),2)</f>
        <v>10</v>
      </c>
      <c r="L13" s="1"/>
      <c r="M13" s="1"/>
      <c r="N13" s="1"/>
      <c r="O13" s="1"/>
      <c r="P13" s="1"/>
      <c r="Q13" s="1"/>
      <c r="R13" s="1"/>
      <c r="S13" s="1"/>
      <c r="T13" s="1"/>
      <c r="U13" s="1"/>
      <c r="V13" s="1"/>
      <c r="Y13" s="1"/>
      <c r="Z13" s="1"/>
    </row>
    <row r="14" spans="1:45" s="2" customFormat="1" x14ac:dyDescent="0.2">
      <c r="B14" s="12"/>
      <c r="C14" s="3"/>
      <c r="D14" s="12"/>
      <c r="E14" s="3"/>
      <c r="F14" s="12"/>
      <c r="O14" s="1"/>
      <c r="P14" s="1"/>
      <c r="Q14" s="1"/>
      <c r="R14" s="1"/>
      <c r="S14" s="1"/>
      <c r="T14" s="1"/>
      <c r="U14" s="1"/>
      <c r="V14" s="1"/>
      <c r="W14" s="1"/>
      <c r="Y14" s="1"/>
      <c r="Z14" s="1"/>
    </row>
    <row r="15" spans="1:45" s="2" customFormat="1" x14ac:dyDescent="0.2">
      <c r="O15" s="11"/>
      <c r="AD15" s="1027" t="s">
        <v>184</v>
      </c>
      <c r="AE15" s="1028"/>
      <c r="AF15" s="1028"/>
      <c r="AG15" s="1028"/>
      <c r="AH15" s="1029"/>
      <c r="AI15" s="2" t="b">
        <v>0</v>
      </c>
      <c r="AK15" s="254"/>
    </row>
    <row r="16" spans="1:45" s="2" customFormat="1" ht="15.75" thickBot="1" x14ac:dyDescent="0.25">
      <c r="B16" s="12" t="s">
        <v>5</v>
      </c>
      <c r="C16" s="694" t="s">
        <v>97</v>
      </c>
      <c r="D16" s="694" t="s">
        <v>103</v>
      </c>
      <c r="E16" s="694" t="s">
        <v>104</v>
      </c>
      <c r="F16" s="694" t="s">
        <v>105</v>
      </c>
      <c r="G16" s="694" t="s">
        <v>106</v>
      </c>
      <c r="H16" s="694" t="s">
        <v>107</v>
      </c>
      <c r="I16" s="694" t="s">
        <v>108</v>
      </c>
      <c r="J16" s="694" t="s">
        <v>109</v>
      </c>
      <c r="K16" s="694"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$Q64</f>
        <v>Kickers Rodendorf</v>
      </c>
      <c r="D17" s="1">
        <f t="shared" ref="D17:G25" ca="1" si="33">K4</f>
        <v>4</v>
      </c>
      <c r="E17" s="1">
        <f t="shared" ca="1" si="33"/>
        <v>0</v>
      </c>
      <c r="F17" s="1">
        <f t="shared" ca="1" si="33"/>
        <v>3</v>
      </c>
      <c r="G17" s="1">
        <f t="shared" ca="1" si="33"/>
        <v>1</v>
      </c>
      <c r="H17" s="1">
        <f t="shared" ref="H17:K25" ca="1" si="34">G4</f>
        <v>161</v>
      </c>
      <c r="I17" s="1">
        <f t="shared" ca="1" si="34"/>
        <v>176</v>
      </c>
      <c r="J17" s="12">
        <f t="shared" ca="1" si="34"/>
        <v>-15</v>
      </c>
      <c r="K17" s="1">
        <f t="shared" ca="1" si="34"/>
        <v>3</v>
      </c>
      <c r="L17" s="29">
        <f ca="1">K17*$F$64+(J17+$H$65)*$F$65</f>
        <v>3485000</v>
      </c>
      <c r="M17" s="13">
        <f ca="1">IF($AI$15,COUNTIF($K$17:$K$25,K17),COUNTIF($L$17:$L$25,L17))</f>
        <v>1</v>
      </c>
      <c r="N17" s="13">
        <f t="array" aca="1" ref="N17" ca="1">IF($AI$15,SUM(($K$17:$K$25&gt;=K17)/COUNTIF($K$17:$K$25,$K$17:$K$25)),SUM(($L$17:$L$25&gt;=L17)/COUNTIF($L$17:$L$25,$L$17:$L$25)))</f>
        <v>4</v>
      </c>
      <c r="O17" s="52" t="str">
        <f t="shared" ref="O17:O25" ca="1" si="35">IF(AND(M17&gt;1,N17=1),C17,"")</f>
        <v/>
      </c>
      <c r="P17" s="53" t="str">
        <f t="shared" ref="P17:P25" ca="1" si="36">IF(AND(M17&gt;1,N17=2),C17,"")</f>
        <v/>
      </c>
      <c r="Q17" s="53" t="str">
        <f t="shared" ref="Q17:Q25" ca="1" si="37">IF(AND(M17&gt;1,N17=3),C17,"")</f>
        <v/>
      </c>
      <c r="R17" s="53" t="str">
        <f t="shared" ref="R17:R25" ca="1" si="38">IF(AND(M17&gt;1,N17=4),C17,"")</f>
        <v/>
      </c>
      <c r="S17" s="53" t="str">
        <f t="shared" ref="S17:S25" ca="1" si="39">IF(AND(M17&gt;1,N17=5),C17,"")</f>
        <v/>
      </c>
      <c r="T17" s="53" t="str">
        <f t="shared" ref="T17:T25" ca="1" si="40">IF(AND($M17&gt;1,$N17=6),$C17,"")</f>
        <v/>
      </c>
      <c r="U17" s="53" t="str">
        <f t="shared" ref="U17:U25" ca="1" si="41">IF(AND($M17&gt;1,$N17=7),$C17,"")</f>
        <v/>
      </c>
      <c r="V17" s="54" t="str">
        <f t="shared" ref="V17:V25" ca="1" si="42">IF(AND($M17&gt;1,$N17=8),$C17,"")</f>
        <v/>
      </c>
      <c r="W17" s="62">
        <f ca="1">AA17*$F$64+(AB17+$H$65)*$F$65</f>
        <v>500000</v>
      </c>
      <c r="X17" s="20">
        <f ca="1">RANK($L17,$L$17:$L$25)+RANK($W17,$W$17:$W$25)/100+(9-$Y17)/10000</f>
        <v>4.0108999999999995</v>
      </c>
      <c r="Y17" s="12">
        <f>PreliminaryRound!$AQ12</f>
        <v>0</v>
      </c>
      <c r="Z17" s="1">
        <f ca="1">RANK($W17,$W$17:$W$25)+(9-$Y17)/10</f>
        <v>1.9</v>
      </c>
      <c r="AA17" s="1">
        <f ca="1">SUM(E30:BP30)</f>
        <v>0</v>
      </c>
      <c r="AB17" s="1">
        <f ca="1">SUM(E41:BP41)</f>
        <v>0</v>
      </c>
      <c r="AC17" s="1"/>
      <c r="AD17" s="260">
        <f ca="1">RANK($K17,$K$17:$K$25)</f>
        <v>3</v>
      </c>
      <c r="AE17" s="29">
        <f ca="1">(J17+$H$65)*$F$65</f>
        <v>485000</v>
      </c>
      <c r="AF17" s="1">
        <f ca="1">RANK($AE17,$AE$17:$AE$25)</f>
        <v>7</v>
      </c>
      <c r="AG17" s="1">
        <f ca="1">RANK($W17,$W$17:$W$25)</f>
        <v>1</v>
      </c>
      <c r="AH17" s="262">
        <f ca="1">AD17+AG17/100+AF17/10000+(10-Y17)/1000000</f>
        <v>3.01071</v>
      </c>
      <c r="AI17" s="1"/>
    </row>
    <row r="18" spans="2:80" s="2" customFormat="1" x14ac:dyDescent="0.2">
      <c r="C18" s="2" t="str">
        <f t="shared" ref="C18:C25" si="43">$Q65</f>
        <v>Real Madrid</v>
      </c>
      <c r="D18" s="1">
        <f t="shared" ca="1" si="33"/>
        <v>4</v>
      </c>
      <c r="E18" s="1">
        <f t="shared" ca="1" si="33"/>
        <v>0</v>
      </c>
      <c r="F18" s="1">
        <f t="shared" ca="1" si="33"/>
        <v>3</v>
      </c>
      <c r="G18" s="1">
        <f t="shared" ca="1" si="33"/>
        <v>1</v>
      </c>
      <c r="H18" s="1">
        <f t="shared" ca="1" si="34"/>
        <v>165</v>
      </c>
      <c r="I18" s="1">
        <f t="shared" ca="1" si="34"/>
        <v>171</v>
      </c>
      <c r="J18" s="12">
        <f t="shared" ca="1" si="34"/>
        <v>-6</v>
      </c>
      <c r="K18" s="1">
        <f t="shared" ca="1" si="34"/>
        <v>3</v>
      </c>
      <c r="L18" s="29">
        <f t="shared" ref="L18:L25" ca="1" si="44">K18*$F$64+(J18+$H$65)*$F$65</f>
        <v>3494000</v>
      </c>
      <c r="M18" s="13">
        <f t="shared" ref="M18:M25" ca="1" si="45">IF($AI$15,COUNTIF($K$17:$K$25,K18),COUNTIF($L$17:$L$25,L18))</f>
        <v>1</v>
      </c>
      <c r="N18" s="13">
        <f t="array" aca="1" ref="N18" ca="1">IF($AI$15,SUM(($K$17:$K$25&gt;=K18)/COUNTIF($K$17:$K$25,$K$17:$K$25)),SUM(($L$17:$L$25&gt;=L18)/COUNTIF($L$17:$L$25,$L$17:$L$25)))</f>
        <v>3</v>
      </c>
      <c r="O18" s="5" t="str">
        <f t="shared" ca="1" si="35"/>
        <v/>
      </c>
      <c r="P18" s="3" t="str">
        <f t="shared" ca="1" si="36"/>
        <v/>
      </c>
      <c r="Q18" s="3" t="str">
        <f t="shared" ca="1" si="37"/>
        <v/>
      </c>
      <c r="R18" s="3" t="str">
        <f t="shared" ca="1" si="38"/>
        <v/>
      </c>
      <c r="S18" s="3" t="str">
        <f t="shared" ca="1" si="39"/>
        <v/>
      </c>
      <c r="T18" s="3" t="str">
        <f t="shared" ca="1" si="40"/>
        <v/>
      </c>
      <c r="U18" s="3" t="str">
        <f t="shared" ca="1" si="41"/>
        <v/>
      </c>
      <c r="V18" s="55" t="str">
        <f t="shared" ca="1" si="42"/>
        <v/>
      </c>
      <c r="W18" s="62">
        <f t="shared" ref="W18:W25" ca="1" si="46">AA18*$F$64+(AB18+$H$65)*$F$65</f>
        <v>500000</v>
      </c>
      <c r="X18" s="21">
        <f t="shared" ref="X18:X25" ca="1" si="47">RANK($L18,$L$17:$L$25)+RANK($W18,$W$17:$W$25)/100+(9-$Y18)/10000</f>
        <v>3.0108999999999999</v>
      </c>
      <c r="Y18" s="12">
        <f>PreliminaryRound!$AQ13</f>
        <v>0</v>
      </c>
      <c r="Z18" s="1">
        <f t="shared" ref="Z18:Z25" ca="1" si="48">RANK($W18,$W$17:$W$25)+(9-$Y18)/10</f>
        <v>1.9</v>
      </c>
      <c r="AA18" s="1">
        <f t="shared" ref="AA18:AA25" ca="1" si="49">SUM(E31:BP31)</f>
        <v>0</v>
      </c>
      <c r="AB18" s="1">
        <f t="shared" ref="AB18:AB25" ca="1" si="50">SUM(E42:BP42)</f>
        <v>0</v>
      </c>
      <c r="AC18" s="1"/>
      <c r="AD18" s="260">
        <f t="shared" ref="AD18:AD25" ca="1" si="51">RANK($K18,$K$17:$K$25)</f>
        <v>3</v>
      </c>
      <c r="AE18" s="29">
        <f t="shared" ref="AE18:AE25" ca="1" si="52">(J18+$H$65)*$F$65</f>
        <v>494000</v>
      </c>
      <c r="AF18" s="1">
        <f t="shared" ref="AF18:AF25" ca="1" si="53">RANK($AE18,$AE$17:$AE$25)</f>
        <v>6</v>
      </c>
      <c r="AG18" s="1">
        <f t="shared" ref="AG18:AG25" ca="1" si="54">RANK($W18,$W$17:$W$25)</f>
        <v>1</v>
      </c>
      <c r="AH18" s="263">
        <f t="shared" ref="AH18:AH25" ca="1" si="55">AD18+AG18/100+AF18/10000+(10-Y18)/1000000</f>
        <v>3.0106099999999998</v>
      </c>
      <c r="AI18" s="1"/>
    </row>
    <row r="19" spans="2:80" s="2" customFormat="1" x14ac:dyDescent="0.2">
      <c r="C19" s="2" t="str">
        <f t="shared" si="43"/>
        <v>Borussia Dortmund</v>
      </c>
      <c r="D19" s="1">
        <f t="shared" ca="1" si="33"/>
        <v>4</v>
      </c>
      <c r="E19" s="1">
        <f t="shared" ca="1" si="33"/>
        <v>3</v>
      </c>
      <c r="F19" s="1">
        <f t="shared" ca="1" si="33"/>
        <v>1</v>
      </c>
      <c r="G19" s="1">
        <f t="shared" ca="1" si="33"/>
        <v>0</v>
      </c>
      <c r="H19" s="1">
        <f t="shared" ca="1" si="34"/>
        <v>196</v>
      </c>
      <c r="I19" s="1">
        <f t="shared" ca="1" si="34"/>
        <v>138</v>
      </c>
      <c r="J19" s="12">
        <f t="shared" ca="1" si="34"/>
        <v>58</v>
      </c>
      <c r="K19" s="1">
        <f t="shared" ca="1" si="34"/>
        <v>7</v>
      </c>
      <c r="L19" s="29">
        <f t="shared" ca="1" si="44"/>
        <v>7558000</v>
      </c>
      <c r="M19" s="13">
        <f t="shared" ca="1" si="45"/>
        <v>1</v>
      </c>
      <c r="N19" s="13">
        <f t="array" aca="1" ref="N19" ca="1">IF($AI$15,SUM(($K$17:$K$25&gt;=K19)/COUNTIF($K$17:$K$25,$K$17:$K$25)),SUM(($L$17:$L$25&gt;=L19)/COUNTIF($L$17:$L$25,$L$17:$L$25)))</f>
        <v>1</v>
      </c>
      <c r="O19" s="5" t="str">
        <f t="shared" ca="1" si="35"/>
        <v/>
      </c>
      <c r="P19" s="3" t="str">
        <f t="shared" ca="1" si="36"/>
        <v/>
      </c>
      <c r="Q19" s="3" t="str">
        <f t="shared" ca="1" si="37"/>
        <v/>
      </c>
      <c r="R19" s="3" t="str">
        <f t="shared" ca="1" si="38"/>
        <v/>
      </c>
      <c r="S19" s="3" t="str">
        <f t="shared" ca="1" si="39"/>
        <v/>
      </c>
      <c r="T19" s="3" t="str">
        <f t="shared" ca="1" si="40"/>
        <v/>
      </c>
      <c r="U19" s="3" t="str">
        <f t="shared" ca="1" si="41"/>
        <v/>
      </c>
      <c r="V19" s="55" t="str">
        <f t="shared" ca="1" si="42"/>
        <v/>
      </c>
      <c r="W19" s="62">
        <f t="shared" ca="1" si="46"/>
        <v>500000</v>
      </c>
      <c r="X19" s="21">
        <f t="shared" ca="1" si="47"/>
        <v>1.0108999999999999</v>
      </c>
      <c r="Y19" s="12">
        <f>PreliminaryRound!$AQ14</f>
        <v>0</v>
      </c>
      <c r="Z19" s="1">
        <f t="shared" ca="1" si="48"/>
        <v>1.9</v>
      </c>
      <c r="AA19" s="1">
        <f t="shared" ca="1" si="49"/>
        <v>0</v>
      </c>
      <c r="AB19" s="1">
        <f t="shared" ca="1" si="50"/>
        <v>0</v>
      </c>
      <c r="AC19" s="1"/>
      <c r="AD19" s="260">
        <f t="shared" ca="1" si="51"/>
        <v>1</v>
      </c>
      <c r="AE19" s="29">
        <f t="shared" ca="1" si="52"/>
        <v>558000</v>
      </c>
      <c r="AF19" s="1">
        <f t="shared" ca="1" si="53"/>
        <v>1</v>
      </c>
      <c r="AG19" s="1">
        <f t="shared" ca="1" si="54"/>
        <v>1</v>
      </c>
      <c r="AH19" s="263">
        <f t="shared" ca="1" si="55"/>
        <v>1.0101100000000001</v>
      </c>
      <c r="AI19" s="1"/>
    </row>
    <row r="20" spans="2:80" s="2" customFormat="1" x14ac:dyDescent="0.2">
      <c r="C20" s="2" t="str">
        <f t="shared" si="43"/>
        <v>FSV Rauen</v>
      </c>
      <c r="D20" s="1">
        <f t="shared" ca="1" si="33"/>
        <v>4</v>
      </c>
      <c r="E20" s="1">
        <f t="shared" ca="1" si="33"/>
        <v>0</v>
      </c>
      <c r="F20" s="1">
        <f t="shared" ca="1" si="33"/>
        <v>3</v>
      </c>
      <c r="G20" s="1">
        <f t="shared" ca="1" si="33"/>
        <v>1</v>
      </c>
      <c r="H20" s="1">
        <f t="shared" ca="1" si="34"/>
        <v>159</v>
      </c>
      <c r="I20" s="1">
        <f t="shared" ca="1" si="34"/>
        <v>181</v>
      </c>
      <c r="J20" s="12">
        <f t="shared" ca="1" si="34"/>
        <v>-22</v>
      </c>
      <c r="K20" s="1">
        <f t="shared" ca="1" si="34"/>
        <v>3</v>
      </c>
      <c r="L20" s="29">
        <f t="shared" ca="1" si="44"/>
        <v>3478000</v>
      </c>
      <c r="M20" s="13">
        <f t="shared" ca="1" si="45"/>
        <v>1</v>
      </c>
      <c r="N20" s="13">
        <f t="array" aca="1" ref="N20" ca="1">IF($AI$15,SUM(($K$17:$K$25&gt;=K20)/COUNTIF($K$17:$K$25,$K$17:$K$25)),SUM(($L$17:$L$25&gt;=L20)/COUNTIF($L$17:$L$25,$L$17:$L$25)))</f>
        <v>5</v>
      </c>
      <c r="O20" s="5" t="str">
        <f t="shared" ca="1" si="35"/>
        <v/>
      </c>
      <c r="P20" s="3" t="str">
        <f t="shared" ca="1" si="36"/>
        <v/>
      </c>
      <c r="Q20" s="3" t="str">
        <f t="shared" ca="1" si="37"/>
        <v/>
      </c>
      <c r="R20" s="3" t="str">
        <f t="shared" ca="1" si="38"/>
        <v/>
      </c>
      <c r="S20" s="3" t="str">
        <f t="shared" ca="1" si="39"/>
        <v/>
      </c>
      <c r="T20" s="3" t="str">
        <f t="shared" ca="1" si="40"/>
        <v/>
      </c>
      <c r="U20" s="3" t="str">
        <f t="shared" ca="1" si="41"/>
        <v/>
      </c>
      <c r="V20" s="55" t="str">
        <f t="shared" ca="1" si="42"/>
        <v/>
      </c>
      <c r="W20" s="62">
        <f t="shared" ca="1" si="46"/>
        <v>500000</v>
      </c>
      <c r="X20" s="21">
        <f t="shared" ca="1" si="47"/>
        <v>5.0108999999999995</v>
      </c>
      <c r="Y20" s="12">
        <f>PreliminaryRound!$AQ15</f>
        <v>0</v>
      </c>
      <c r="Z20" s="1">
        <f t="shared" ca="1" si="48"/>
        <v>1.9</v>
      </c>
      <c r="AA20" s="1">
        <f t="shared" ca="1" si="49"/>
        <v>0</v>
      </c>
      <c r="AB20" s="1">
        <f t="shared" ca="1" si="50"/>
        <v>0</v>
      </c>
      <c r="AC20" s="1"/>
      <c r="AD20" s="260">
        <f t="shared" ca="1" si="51"/>
        <v>3</v>
      </c>
      <c r="AE20" s="29">
        <f t="shared" ca="1" si="52"/>
        <v>478000</v>
      </c>
      <c r="AF20" s="1">
        <f t="shared" ca="1" si="53"/>
        <v>9</v>
      </c>
      <c r="AG20" s="1">
        <f t="shared" ca="1" si="54"/>
        <v>1</v>
      </c>
      <c r="AH20" s="263">
        <f t="shared" ca="1" si="55"/>
        <v>3.01091</v>
      </c>
      <c r="AI20" s="1"/>
    </row>
    <row r="21" spans="2:80" s="2" customFormat="1" x14ac:dyDescent="0.2">
      <c r="C21" s="2" t="str">
        <f t="shared" si="43"/>
        <v>1. FC Nürnberg</v>
      </c>
      <c r="D21" s="1">
        <f t="shared" ca="1" si="33"/>
        <v>4</v>
      </c>
      <c r="E21" s="1">
        <f t="shared" ca="1" si="33"/>
        <v>1</v>
      </c>
      <c r="F21" s="1">
        <f t="shared" ca="1" si="33"/>
        <v>2</v>
      </c>
      <c r="G21" s="1">
        <f t="shared" ca="1" si="33"/>
        <v>1</v>
      </c>
      <c r="H21" s="1">
        <f t="shared" ca="1" si="34"/>
        <v>160</v>
      </c>
      <c r="I21" s="1">
        <f t="shared" ca="1" si="34"/>
        <v>175</v>
      </c>
      <c r="J21" s="12">
        <f t="shared" ca="1" si="34"/>
        <v>-15</v>
      </c>
      <c r="K21" s="1">
        <f t="shared" ca="1" si="34"/>
        <v>4</v>
      </c>
      <c r="L21" s="29">
        <f t="shared" ca="1" si="44"/>
        <v>4485000</v>
      </c>
      <c r="M21" s="13">
        <f t="shared" ca="1" si="45"/>
        <v>1</v>
      </c>
      <c r="N21" s="13">
        <f t="array" aca="1" ref="N21" ca="1">IF($AI$15,SUM(($K$17:$K$25&gt;=K21)/COUNTIF($K$17:$K$25,$K$17:$K$25)),SUM(($L$17:$L$25&gt;=L21)/COUNTIF($L$17:$L$25,$L$17:$L$25)))</f>
        <v>2</v>
      </c>
      <c r="O21" s="5" t="str">
        <f t="shared" ca="1" si="35"/>
        <v/>
      </c>
      <c r="P21" s="3" t="str">
        <f t="shared" ca="1" si="36"/>
        <v/>
      </c>
      <c r="Q21" s="3" t="str">
        <f t="shared" ca="1" si="37"/>
        <v/>
      </c>
      <c r="R21" s="3" t="str">
        <f t="shared" ca="1" si="38"/>
        <v/>
      </c>
      <c r="S21" s="3" t="str">
        <f t="shared" ca="1" si="39"/>
        <v/>
      </c>
      <c r="T21" s="3" t="str">
        <f t="shared" ca="1" si="40"/>
        <v/>
      </c>
      <c r="U21" s="3" t="str">
        <f t="shared" ca="1" si="41"/>
        <v/>
      </c>
      <c r="V21" s="55" t="str">
        <f t="shared" ca="1" si="42"/>
        <v/>
      </c>
      <c r="W21" s="62">
        <f t="shared" ca="1" si="46"/>
        <v>500000</v>
      </c>
      <c r="X21" s="21">
        <f t="shared" ca="1" si="47"/>
        <v>2.0108999999999999</v>
      </c>
      <c r="Y21" s="12">
        <f>PreliminaryRound!$AQ16</f>
        <v>0</v>
      </c>
      <c r="Z21" s="1">
        <f t="shared" ca="1" si="48"/>
        <v>1.9</v>
      </c>
      <c r="AA21" s="1">
        <f t="shared" ca="1" si="49"/>
        <v>0</v>
      </c>
      <c r="AB21" s="1">
        <f t="shared" ca="1" si="50"/>
        <v>0</v>
      </c>
      <c r="AC21" s="1"/>
      <c r="AD21" s="260">
        <f t="shared" ca="1" si="51"/>
        <v>2</v>
      </c>
      <c r="AE21" s="29">
        <f t="shared" ca="1" si="52"/>
        <v>485000</v>
      </c>
      <c r="AF21" s="1">
        <f t="shared" ca="1" si="53"/>
        <v>7</v>
      </c>
      <c r="AG21" s="1">
        <f t="shared" ca="1" si="54"/>
        <v>1</v>
      </c>
      <c r="AH21" s="263">
        <f t="shared" ca="1" si="55"/>
        <v>2.01071</v>
      </c>
      <c r="AI21" s="1"/>
    </row>
    <row r="22" spans="2:80" s="2" customFormat="1" x14ac:dyDescent="0.2">
      <c r="C22" s="2" t="str">
        <f t="shared" si="43"/>
        <v/>
      </c>
      <c r="D22" s="1">
        <f t="shared" ca="1" si="33"/>
        <v>0</v>
      </c>
      <c r="E22" s="1">
        <f t="shared" ca="1" si="33"/>
        <v>0</v>
      </c>
      <c r="F22" s="1">
        <f t="shared" ca="1" si="33"/>
        <v>0</v>
      </c>
      <c r="G22" s="1">
        <f t="shared" ca="1" si="33"/>
        <v>0</v>
      </c>
      <c r="H22" s="1">
        <f t="shared" ca="1" si="34"/>
        <v>0</v>
      </c>
      <c r="I22" s="1">
        <f t="shared" ca="1" si="34"/>
        <v>0</v>
      </c>
      <c r="J22" s="12">
        <f t="shared" ca="1" si="34"/>
        <v>0</v>
      </c>
      <c r="K22" s="1">
        <f t="shared" ca="1" si="34"/>
        <v>0</v>
      </c>
      <c r="L22" s="29">
        <f t="shared" ca="1" si="44"/>
        <v>500000</v>
      </c>
      <c r="M22" s="13">
        <f t="shared" ca="1" si="45"/>
        <v>4</v>
      </c>
      <c r="N22" s="13">
        <f t="array" aca="1" ref="N22" ca="1">IF($AI$15,SUM(($K$17:$K$25&gt;=K22)/COUNTIF($K$17:$K$25,$K$17:$K$25)),SUM(($L$17:$L$25&gt;=L22)/COUNTIF($L$17:$L$25,$L$17:$L$25)))</f>
        <v>6</v>
      </c>
      <c r="O22" s="5" t="str">
        <f t="shared" ca="1" si="35"/>
        <v/>
      </c>
      <c r="P22" s="3" t="str">
        <f t="shared" ca="1" si="36"/>
        <v/>
      </c>
      <c r="Q22" s="3" t="str">
        <f t="shared" ca="1" si="37"/>
        <v/>
      </c>
      <c r="R22" s="3" t="str">
        <f t="shared" ca="1" si="38"/>
        <v/>
      </c>
      <c r="S22" s="3" t="str">
        <f t="shared" ca="1" si="39"/>
        <v/>
      </c>
      <c r="T22" s="3" t="str">
        <f t="shared" ca="1" si="40"/>
        <v/>
      </c>
      <c r="U22" s="3" t="str">
        <f t="shared" ca="1" si="41"/>
        <v/>
      </c>
      <c r="V22" s="55" t="str">
        <f t="shared" ca="1" si="42"/>
        <v/>
      </c>
      <c r="W22" s="62">
        <f t="shared" ca="1" si="46"/>
        <v>500000</v>
      </c>
      <c r="X22" s="21">
        <f t="shared" ca="1" si="47"/>
        <v>6.0108999999999995</v>
      </c>
      <c r="Y22" s="12">
        <f>PreliminaryRound!$AQ17</f>
        <v>0</v>
      </c>
      <c r="Z22" s="1">
        <f t="shared" ca="1" si="48"/>
        <v>1.9</v>
      </c>
      <c r="AA22" s="1">
        <f t="shared" ca="1" si="49"/>
        <v>0</v>
      </c>
      <c r="AB22" s="1">
        <f t="shared" ca="1" si="50"/>
        <v>0</v>
      </c>
      <c r="AC22" s="1"/>
      <c r="AD22" s="260">
        <f t="shared" ca="1" si="51"/>
        <v>6</v>
      </c>
      <c r="AE22" s="29">
        <f t="shared" ca="1" si="52"/>
        <v>500000</v>
      </c>
      <c r="AF22" s="1">
        <f t="shared" ca="1" si="53"/>
        <v>2</v>
      </c>
      <c r="AG22" s="1">
        <f t="shared" ca="1" si="54"/>
        <v>1</v>
      </c>
      <c r="AH22" s="263">
        <f t="shared" ca="1" si="55"/>
        <v>6.0102099999999998</v>
      </c>
      <c r="AI22" s="1"/>
    </row>
    <row r="23" spans="2:80" s="2" customFormat="1" x14ac:dyDescent="0.2">
      <c r="C23" s="2" t="str">
        <f t="shared" si="43"/>
        <v/>
      </c>
      <c r="D23" s="1">
        <f t="shared" ca="1" si="33"/>
        <v>0</v>
      </c>
      <c r="E23" s="1">
        <f t="shared" ca="1" si="33"/>
        <v>0</v>
      </c>
      <c r="F23" s="1">
        <f t="shared" ca="1" si="33"/>
        <v>0</v>
      </c>
      <c r="G23" s="1">
        <f t="shared" ca="1" si="33"/>
        <v>0</v>
      </c>
      <c r="H23" s="1">
        <f t="shared" ca="1" si="34"/>
        <v>0</v>
      </c>
      <c r="I23" s="1">
        <f t="shared" ca="1" si="34"/>
        <v>0</v>
      </c>
      <c r="J23" s="12">
        <f t="shared" ca="1" si="34"/>
        <v>0</v>
      </c>
      <c r="K23" s="1">
        <f t="shared" ca="1" si="34"/>
        <v>0</v>
      </c>
      <c r="L23" s="29">
        <f t="shared" ca="1" si="44"/>
        <v>500000</v>
      </c>
      <c r="M23" s="13">
        <f t="shared" ca="1" si="45"/>
        <v>4</v>
      </c>
      <c r="N23" s="13">
        <f t="array" aca="1" ref="N23" ca="1">IF($AI$15,SUM(($K$17:$K$25&gt;=K23)/COUNTIF($K$17:$K$25,$K$17:$K$25)),SUM(($L$17:$L$25&gt;=L23)/COUNTIF($L$17:$L$25,$L$17:$L$25)))</f>
        <v>6</v>
      </c>
      <c r="O23" s="5" t="str">
        <f t="shared" ca="1" si="35"/>
        <v/>
      </c>
      <c r="P23" s="3" t="str">
        <f t="shared" ca="1" si="36"/>
        <v/>
      </c>
      <c r="Q23" s="3" t="str">
        <f t="shared" ca="1" si="37"/>
        <v/>
      </c>
      <c r="R23" s="3" t="str">
        <f t="shared" ca="1" si="38"/>
        <v/>
      </c>
      <c r="S23" s="3" t="str">
        <f t="shared" ca="1" si="39"/>
        <v/>
      </c>
      <c r="T23" s="3" t="str">
        <f t="shared" ca="1" si="40"/>
        <v/>
      </c>
      <c r="U23" s="3" t="str">
        <f t="shared" ca="1" si="41"/>
        <v/>
      </c>
      <c r="V23" s="55" t="str">
        <f t="shared" ca="1" si="42"/>
        <v/>
      </c>
      <c r="W23" s="62">
        <f t="shared" ca="1" si="46"/>
        <v>500000</v>
      </c>
      <c r="X23" s="21">
        <f t="shared" ca="1" si="47"/>
        <v>6.0108999999999995</v>
      </c>
      <c r="Y23" s="12">
        <v>0</v>
      </c>
      <c r="Z23" s="1">
        <f t="shared" ca="1" si="48"/>
        <v>1.9</v>
      </c>
      <c r="AA23" s="1">
        <f t="shared" ca="1" si="49"/>
        <v>0</v>
      </c>
      <c r="AB23" s="1">
        <f t="shared" ca="1" si="50"/>
        <v>0</v>
      </c>
      <c r="AC23" s="1"/>
      <c r="AD23" s="260">
        <f t="shared" ca="1" si="51"/>
        <v>6</v>
      </c>
      <c r="AE23" s="29">
        <f t="shared" ca="1" si="52"/>
        <v>500000</v>
      </c>
      <c r="AF23" s="1">
        <f t="shared" ca="1" si="53"/>
        <v>2</v>
      </c>
      <c r="AG23" s="1">
        <f t="shared" ca="1" si="54"/>
        <v>1</v>
      </c>
      <c r="AH23" s="263">
        <f t="shared" ca="1" si="55"/>
        <v>6.0102099999999998</v>
      </c>
      <c r="AI23" s="1"/>
    </row>
    <row r="24" spans="2:80" s="2" customFormat="1" x14ac:dyDescent="0.2">
      <c r="C24" s="2" t="str">
        <f t="shared" si="43"/>
        <v/>
      </c>
      <c r="D24" s="1">
        <f t="shared" ca="1" si="33"/>
        <v>0</v>
      </c>
      <c r="E24" s="1">
        <f t="shared" ca="1" si="33"/>
        <v>0</v>
      </c>
      <c r="F24" s="1">
        <f t="shared" ca="1" si="33"/>
        <v>0</v>
      </c>
      <c r="G24" s="1">
        <f t="shared" ca="1" si="33"/>
        <v>0</v>
      </c>
      <c r="H24" s="1">
        <f t="shared" ca="1" si="34"/>
        <v>0</v>
      </c>
      <c r="I24" s="1">
        <f t="shared" ca="1" si="34"/>
        <v>0</v>
      </c>
      <c r="J24" s="12">
        <f t="shared" ca="1" si="34"/>
        <v>0</v>
      </c>
      <c r="K24" s="1">
        <f t="shared" ca="1" si="34"/>
        <v>0</v>
      </c>
      <c r="L24" s="29">
        <f t="shared" ca="1" si="44"/>
        <v>500000</v>
      </c>
      <c r="M24" s="13">
        <f t="shared" ca="1" si="45"/>
        <v>4</v>
      </c>
      <c r="N24" s="13">
        <f t="array" aca="1" ref="N24" ca="1">IF($AI$15,SUM(($K$17:$K$25&gt;=K24)/COUNTIF($K$17:$K$25,$K$17:$K$25)),SUM(($L$17:$L$25&gt;=L24)/COUNTIF($L$17:$L$25,$L$17:$L$25)))</f>
        <v>6</v>
      </c>
      <c r="O24" s="5" t="str">
        <f t="shared" ca="1" si="35"/>
        <v/>
      </c>
      <c r="P24" s="3" t="str">
        <f t="shared" ca="1" si="36"/>
        <v/>
      </c>
      <c r="Q24" s="3" t="str">
        <f t="shared" ca="1" si="37"/>
        <v/>
      </c>
      <c r="R24" s="3" t="str">
        <f t="shared" ca="1" si="38"/>
        <v/>
      </c>
      <c r="S24" s="3" t="str">
        <f t="shared" ca="1" si="39"/>
        <v/>
      </c>
      <c r="T24" s="3" t="str">
        <f t="shared" ca="1" si="40"/>
        <v/>
      </c>
      <c r="U24" s="3" t="str">
        <f t="shared" ca="1" si="41"/>
        <v/>
      </c>
      <c r="V24" s="55" t="str">
        <f t="shared" ca="1" si="42"/>
        <v/>
      </c>
      <c r="W24" s="62">
        <f t="shared" ca="1" si="46"/>
        <v>500000</v>
      </c>
      <c r="X24" s="21">
        <f t="shared" ca="1" si="47"/>
        <v>6.0108999999999995</v>
      </c>
      <c r="Y24" s="12">
        <v>0</v>
      </c>
      <c r="Z24" s="1">
        <f t="shared" ca="1" si="48"/>
        <v>1.9</v>
      </c>
      <c r="AA24" s="1">
        <f t="shared" ca="1" si="49"/>
        <v>0</v>
      </c>
      <c r="AB24" s="1">
        <f t="shared" ca="1" si="50"/>
        <v>0</v>
      </c>
      <c r="AC24" s="1"/>
      <c r="AD24" s="260">
        <f t="shared" ca="1" si="51"/>
        <v>6</v>
      </c>
      <c r="AE24" s="29">
        <f t="shared" ca="1" si="52"/>
        <v>500000</v>
      </c>
      <c r="AF24" s="1">
        <f t="shared" ca="1" si="53"/>
        <v>2</v>
      </c>
      <c r="AG24" s="1">
        <f t="shared" ca="1" si="54"/>
        <v>1</v>
      </c>
      <c r="AH24" s="263">
        <f t="shared" ca="1" si="55"/>
        <v>6.0102099999999998</v>
      </c>
      <c r="AI24" s="1"/>
    </row>
    <row r="25" spans="2:80" s="2" customFormat="1" ht="12.75" thickBot="1" x14ac:dyDescent="0.25">
      <c r="C25" s="2" t="str">
        <f t="shared" si="43"/>
        <v/>
      </c>
      <c r="D25" s="1">
        <f t="shared" ca="1" si="33"/>
        <v>0</v>
      </c>
      <c r="E25" s="1">
        <f t="shared" ca="1" si="33"/>
        <v>0</v>
      </c>
      <c r="F25" s="1">
        <f t="shared" ca="1" si="33"/>
        <v>0</v>
      </c>
      <c r="G25" s="1">
        <f t="shared" ca="1" si="33"/>
        <v>0</v>
      </c>
      <c r="H25" s="1">
        <f t="shared" ca="1" si="34"/>
        <v>0</v>
      </c>
      <c r="I25" s="1">
        <f t="shared" ca="1" si="34"/>
        <v>0</v>
      </c>
      <c r="J25" s="12">
        <f t="shared" ca="1" si="34"/>
        <v>0</v>
      </c>
      <c r="K25" s="1">
        <f t="shared" ca="1" si="34"/>
        <v>0</v>
      </c>
      <c r="L25" s="29">
        <f t="shared" ca="1" si="44"/>
        <v>500000</v>
      </c>
      <c r="M25" s="13">
        <f t="shared" ca="1" si="45"/>
        <v>4</v>
      </c>
      <c r="N25" s="13">
        <f t="array" aca="1" ref="N25" ca="1">IF($AI$15,SUM(($K$17:$K$25&gt;=K25)/COUNTIF($K$17:$K$25,$K$17:$K$25)),SUM(($L$17:$L$25&gt;=L25)/COUNTIF($L$17:$L$25,$L$17:$L$25)))</f>
        <v>6</v>
      </c>
      <c r="O25" s="56" t="str">
        <f t="shared" ca="1" si="35"/>
        <v/>
      </c>
      <c r="P25" s="57" t="str">
        <f t="shared" ca="1" si="36"/>
        <v/>
      </c>
      <c r="Q25" s="57" t="str">
        <f t="shared" ca="1" si="37"/>
        <v/>
      </c>
      <c r="R25" s="57" t="str">
        <f t="shared" ca="1" si="38"/>
        <v/>
      </c>
      <c r="S25" s="57" t="str">
        <f t="shared" ca="1" si="39"/>
        <v/>
      </c>
      <c r="T25" s="57" t="str">
        <f t="shared" ca="1" si="40"/>
        <v/>
      </c>
      <c r="U25" s="57" t="str">
        <f t="shared" ca="1" si="41"/>
        <v/>
      </c>
      <c r="V25" s="58" t="str">
        <f t="shared" ca="1" si="42"/>
        <v/>
      </c>
      <c r="W25" s="62">
        <f t="shared" ca="1" si="46"/>
        <v>500000</v>
      </c>
      <c r="X25" s="22">
        <f t="shared" ca="1" si="47"/>
        <v>6.0108999999999995</v>
      </c>
      <c r="Y25" s="12">
        <v>0</v>
      </c>
      <c r="Z25" s="1">
        <f t="shared" ca="1" si="48"/>
        <v>1.9</v>
      </c>
      <c r="AA25" s="1">
        <f t="shared" ca="1" si="49"/>
        <v>0</v>
      </c>
      <c r="AB25" s="1">
        <f t="shared" ca="1" si="50"/>
        <v>0</v>
      </c>
      <c r="AC25" s="1"/>
      <c r="AD25" s="260">
        <f t="shared" ca="1" si="51"/>
        <v>6</v>
      </c>
      <c r="AE25" s="29">
        <f t="shared" ca="1" si="52"/>
        <v>500000</v>
      </c>
      <c r="AF25" s="1">
        <f t="shared" ca="1" si="53"/>
        <v>2</v>
      </c>
      <c r="AG25" s="1">
        <f t="shared" ca="1" si="54"/>
        <v>1</v>
      </c>
      <c r="AH25" s="264">
        <f t="shared" ca="1" si="55"/>
        <v>6.0102099999999998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1"/>
    </row>
    <row r="30" spans="2:80" s="2" customFormat="1" x14ac:dyDescent="0.2">
      <c r="C30" s="2" t="str">
        <f>$Q64</f>
        <v>Kickers Rodendorf</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si="56">F4</f>
        <v>Kickers Rodendorf</v>
      </c>
      <c r="BS30" s="6"/>
      <c r="BT30" s="7">
        <f t="shared" ref="BT30:CA37" ca="1" si="57">SUMIFS($X$64:$X$135,$V$64:$V$135,$BR30,$W$64:$W$135,BT$29)+SUMIFS($Y$64:$Y$135,$W$64:$W$135,$BR30,$V$64:$V$135,BT$29)+SUMIFS($AG$64:$AG$135,$V$64:$V$135,$BR30,$W$64:$W$135,BT$29)+SUMIFS($AH$64:$AH$135,$W$64:$W$135,$BR30,$V$64:$V$135,BT$29)</f>
        <v>39</v>
      </c>
      <c r="BU30" s="7">
        <f t="shared" ca="1" si="57"/>
        <v>33</v>
      </c>
      <c r="BV30" s="7">
        <f t="shared" ca="1" si="57"/>
        <v>46</v>
      </c>
      <c r="BW30" s="7">
        <f t="shared" ca="1" si="57"/>
        <v>43</v>
      </c>
      <c r="BX30" s="7">
        <f t="shared" ca="1" si="57"/>
        <v>0</v>
      </c>
      <c r="BY30" s="7">
        <f t="shared" ca="1" si="57"/>
        <v>0</v>
      </c>
      <c r="BZ30" s="7">
        <f t="shared" ca="1" si="57"/>
        <v>0</v>
      </c>
      <c r="CA30" s="7">
        <f t="shared" ca="1" si="57"/>
        <v>0</v>
      </c>
      <c r="CB30" s="3"/>
    </row>
    <row r="31" spans="2:80" s="2" customFormat="1" x14ac:dyDescent="0.2">
      <c r="C31" s="2" t="str">
        <f t="shared" ref="C31:C38" si="58">$Q65</f>
        <v>Real Madrid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si="56"/>
        <v>Real Madrid</v>
      </c>
      <c r="BS31" s="8">
        <f ca="1">SUMIFS($X$64:$X$135,$V$64:$V$135,$BR31,$W$64:$W$135,BS$29)+SUMIFS($Y$64:$Y$135,$W$64:$W$135,$BR31,$V$64:$V$135,BS$29)+SUMIFS($AG$64:$AG$135,$V$64:$V$135,$BR31,$W$64:$W$135,BS$29)+SUMIFS($AH$64:$AH$135,$W$64:$W$135,$BR31,$V$64:$V$135,BS$29)</f>
        <v>43</v>
      </c>
      <c r="BT31" s="6"/>
      <c r="BU31" s="7">
        <f ca="1">SUMIFS($X$64:$X$135,$V$64:$V$135,$BR31,$W$64:$W$135,BU$29)+SUMIFS($Y$64:$Y$135,$W$64:$W$135,$BR31,$V$64:$V$135,BU$29)+SUMIFS($AG$64:$AG$135,$V$64:$V$135,$BR31,$W$64:$W$135,BU$29)+SUMIFS($AH$64:$AH$135,$W$64:$W$135,$BR31,$V$64:$V$135,BU$29)</f>
        <v>44</v>
      </c>
      <c r="BV31" s="7">
        <f t="shared" ca="1" si="57"/>
        <v>38</v>
      </c>
      <c r="BW31" s="7">
        <f t="shared" ca="1" si="57"/>
        <v>40</v>
      </c>
      <c r="BX31" s="7">
        <f t="shared" ca="1" si="57"/>
        <v>0</v>
      </c>
      <c r="BY31" s="7">
        <f t="shared" ca="1" si="57"/>
        <v>0</v>
      </c>
      <c r="BZ31" s="7">
        <f t="shared" ca="1" si="57"/>
        <v>0</v>
      </c>
      <c r="CA31" s="7">
        <f t="shared" ca="1" si="57"/>
        <v>0</v>
      </c>
      <c r="CB31" s="3"/>
    </row>
    <row r="32" spans="2:80" s="2" customFormat="1" x14ac:dyDescent="0.2">
      <c r="C32" s="2" t="str">
        <f t="shared" si="58"/>
        <v>Borussia Dortmund</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si="56"/>
        <v>Borussia Dortmund</v>
      </c>
      <c r="BS32" s="8">
        <f t="shared" ref="BS32:BY38" ca="1" si="59">SUMIFS($X$64:$X$135,$V$64:$V$135,$BR32,$W$64:$W$135,BS$29)+SUMIFS($Y$64:$Y$135,$W$64:$W$135,$BR32,$V$64:$V$135,BS$29)+SUMIFS($AG$64:$AG$135,$V$64:$V$135,$BR32,$W$64:$W$135,BS$29)+SUMIFS($AH$64:$AH$135,$W$64:$W$135,$BR32,$V$64:$V$135,BS$29)</f>
        <v>50</v>
      </c>
      <c r="BT32" s="8">
        <f t="shared" ca="1" si="59"/>
        <v>46</v>
      </c>
      <c r="BU32" s="6"/>
      <c r="BV32" s="7">
        <f t="shared" ca="1" si="57"/>
        <v>50</v>
      </c>
      <c r="BW32" s="7">
        <f t="shared" ca="1" si="57"/>
        <v>50</v>
      </c>
      <c r="BX32" s="7">
        <f t="shared" ca="1" si="57"/>
        <v>0</v>
      </c>
      <c r="BY32" s="7">
        <f t="shared" ca="1" si="57"/>
        <v>0</v>
      </c>
      <c r="BZ32" s="7">
        <f t="shared" ca="1" si="57"/>
        <v>0</v>
      </c>
      <c r="CA32" s="7">
        <f t="shared" ca="1" si="57"/>
        <v>0</v>
      </c>
      <c r="CB32" s="3"/>
    </row>
    <row r="33" spans="2:80" s="2" customFormat="1" x14ac:dyDescent="0.2">
      <c r="C33" s="2" t="str">
        <f t="shared" si="58"/>
        <v>FSV Rauen</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56"/>
        <v>FSV Rauen</v>
      </c>
      <c r="BS33" s="8">
        <f t="shared" ca="1" si="59"/>
        <v>42</v>
      </c>
      <c r="BT33" s="8">
        <f t="shared" ca="1" si="59"/>
        <v>36</v>
      </c>
      <c r="BU33" s="8">
        <f t="shared" ca="1" si="59"/>
        <v>39</v>
      </c>
      <c r="BV33" s="6"/>
      <c r="BW33" s="7">
        <f t="shared" ca="1" si="57"/>
        <v>42</v>
      </c>
      <c r="BX33" s="7">
        <f t="shared" ca="1" si="57"/>
        <v>0</v>
      </c>
      <c r="BY33" s="7">
        <f t="shared" ca="1" si="57"/>
        <v>0</v>
      </c>
      <c r="BZ33" s="7">
        <f t="shared" ca="1" si="57"/>
        <v>0</v>
      </c>
      <c r="CA33" s="7">
        <f t="shared" ca="1" si="57"/>
        <v>0</v>
      </c>
      <c r="CB33" s="3"/>
    </row>
    <row r="34" spans="2:80" s="2" customFormat="1" x14ac:dyDescent="0.2">
      <c r="C34" s="2" t="str">
        <f t="shared" si="58"/>
        <v>1. FC Nürnberg</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56"/>
        <v>1. FC Nürnberg</v>
      </c>
      <c r="BS34" s="8">
        <f t="shared" ca="1" si="59"/>
        <v>41</v>
      </c>
      <c r="BT34" s="8">
        <f t="shared" ca="1" si="59"/>
        <v>50</v>
      </c>
      <c r="BU34" s="8">
        <f t="shared" ca="1" si="59"/>
        <v>22</v>
      </c>
      <c r="BV34" s="8">
        <f t="shared" ca="1" si="59"/>
        <v>47</v>
      </c>
      <c r="BW34" s="6"/>
      <c r="BX34" s="7">
        <f t="shared" ca="1" si="57"/>
        <v>0</v>
      </c>
      <c r="BY34" s="7">
        <f t="shared" ca="1" si="57"/>
        <v>0</v>
      </c>
      <c r="BZ34" s="7">
        <f t="shared" ca="1" si="57"/>
        <v>0</v>
      </c>
      <c r="CA34" s="7">
        <f t="shared" ca="1" si="57"/>
        <v>0</v>
      </c>
      <c r="CB34" s="3"/>
    </row>
    <row r="35" spans="2:80" s="2" customFormat="1" x14ac:dyDescent="0.2">
      <c r="C35" s="2" t="str">
        <f t="shared" si="58"/>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56"/>
        <v/>
      </c>
      <c r="BS35" s="8">
        <f t="shared" ca="1" si="59"/>
        <v>0</v>
      </c>
      <c r="BT35" s="8">
        <f t="shared" ca="1" si="59"/>
        <v>0</v>
      </c>
      <c r="BU35" s="8">
        <f t="shared" ca="1" si="59"/>
        <v>0</v>
      </c>
      <c r="BV35" s="8">
        <f t="shared" ca="1" si="59"/>
        <v>0</v>
      </c>
      <c r="BW35" s="8">
        <f t="shared" ca="1" si="59"/>
        <v>0</v>
      </c>
      <c r="BX35" s="6"/>
      <c r="BY35" s="7">
        <f t="shared" ca="1" si="57"/>
        <v>0</v>
      </c>
      <c r="BZ35" s="7">
        <f t="shared" ca="1" si="57"/>
        <v>0</v>
      </c>
      <c r="CA35" s="7">
        <f t="shared" ca="1" si="57"/>
        <v>0</v>
      </c>
      <c r="CB35" s="3"/>
    </row>
    <row r="36" spans="2:80" s="2" customFormat="1" x14ac:dyDescent="0.2">
      <c r="C36" s="2" t="str">
        <f t="shared" si="58"/>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56"/>
        <v/>
      </c>
      <c r="BS36" s="8">
        <f t="shared" ca="1" si="59"/>
        <v>0</v>
      </c>
      <c r="BT36" s="8">
        <f t="shared" ca="1" si="59"/>
        <v>0</v>
      </c>
      <c r="BU36" s="8">
        <f t="shared" ca="1" si="59"/>
        <v>0</v>
      </c>
      <c r="BV36" s="8">
        <f t="shared" ca="1" si="59"/>
        <v>0</v>
      </c>
      <c r="BW36" s="8">
        <f t="shared" ca="1" si="59"/>
        <v>0</v>
      </c>
      <c r="BX36" s="8">
        <f t="shared" ca="1" si="59"/>
        <v>0</v>
      </c>
      <c r="BY36" s="6"/>
      <c r="BZ36" s="7">
        <f t="shared" ca="1" si="57"/>
        <v>0</v>
      </c>
      <c r="CA36" s="7">
        <f t="shared" ca="1" si="57"/>
        <v>0</v>
      </c>
      <c r="CB36" s="3"/>
    </row>
    <row r="37" spans="2:80" s="2" customFormat="1" x14ac:dyDescent="0.2">
      <c r="C37" s="2" t="str">
        <f t="shared" si="58"/>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56"/>
        <v/>
      </c>
      <c r="BS37" s="8">
        <f t="shared" ca="1" si="59"/>
        <v>0</v>
      </c>
      <c r="BT37" s="8">
        <f t="shared" ca="1" si="59"/>
        <v>0</v>
      </c>
      <c r="BU37" s="8">
        <f t="shared" ca="1" si="59"/>
        <v>0</v>
      </c>
      <c r="BV37" s="8">
        <f t="shared" ca="1" si="59"/>
        <v>0</v>
      </c>
      <c r="BW37" s="8">
        <f t="shared" ca="1" si="59"/>
        <v>0</v>
      </c>
      <c r="BX37" s="8">
        <f t="shared" ca="1" si="59"/>
        <v>0</v>
      </c>
      <c r="BY37" s="8">
        <f t="shared" ca="1" si="59"/>
        <v>0</v>
      </c>
      <c r="BZ37" s="6"/>
      <c r="CA37" s="7">
        <f t="shared" ca="1" si="57"/>
        <v>0</v>
      </c>
      <c r="CB37" s="3"/>
    </row>
    <row r="38" spans="2:80" s="2" customFormat="1" x14ac:dyDescent="0.2">
      <c r="C38" s="2" t="str">
        <f t="shared" si="58"/>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56"/>
        <v/>
      </c>
      <c r="BS38" s="8">
        <f t="shared" ca="1" si="59"/>
        <v>0</v>
      </c>
      <c r="BT38" s="8">
        <f t="shared" ca="1" si="59"/>
        <v>0</v>
      </c>
      <c r="BU38" s="8">
        <f t="shared" ca="1" si="59"/>
        <v>0</v>
      </c>
      <c r="BV38" s="8">
        <f t="shared" ca="1" si="59"/>
        <v>0</v>
      </c>
      <c r="BW38" s="8">
        <f t="shared" ca="1" si="59"/>
        <v>0</v>
      </c>
      <c r="BX38" s="8">
        <f t="shared" ca="1" si="59"/>
        <v>0</v>
      </c>
      <c r="BY38" s="8">
        <f t="shared" ca="1" si="59"/>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si="60">F4</f>
        <v>Kickers Rodendorf</v>
      </c>
      <c r="BS41" s="6"/>
      <c r="BT41" s="7">
        <f ca="1">BT30-BS31</f>
        <v>-4</v>
      </c>
      <c r="BU41" s="7">
        <f ca="1">BU30-BS32</f>
        <v>-17</v>
      </c>
      <c r="BV41" s="7">
        <f ca="1">BV30-BS33</f>
        <v>4</v>
      </c>
      <c r="BW41" s="7">
        <f ca="1">BW30-BS34</f>
        <v>2</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si="60"/>
        <v>Real Madrid</v>
      </c>
      <c r="BS42" s="8">
        <f ca="1">IF(BT41="","",-1*BT41)</f>
        <v>4</v>
      </c>
      <c r="BT42" s="6"/>
      <c r="BU42" s="7">
        <f ca="1">BU31-BT32</f>
        <v>-2</v>
      </c>
      <c r="BV42" s="7">
        <f ca="1">BV31-BT33</f>
        <v>2</v>
      </c>
      <c r="BW42" s="7">
        <f ca="1">BW31-BT34</f>
        <v>-10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si="60"/>
        <v>Borussia Dortmund</v>
      </c>
      <c r="BS43" s="8">
        <f ca="1">IF(BU41="","",-1*BU41)</f>
        <v>17</v>
      </c>
      <c r="BT43" s="8">
        <f ca="1">IF(BU42="","",-1*BU42)</f>
        <v>2</v>
      </c>
      <c r="BU43" s="6"/>
      <c r="BV43" s="7">
        <f ca="1">BV32-BU33</f>
        <v>11</v>
      </c>
      <c r="BW43" s="7">
        <f ca="1">BW32-BU34</f>
        <v>28</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60"/>
        <v>FSV Rauen</v>
      </c>
      <c r="BS44" s="8">
        <f ca="1">IF(BV41="","",-1*BV41)</f>
        <v>-4</v>
      </c>
      <c r="BT44" s="8">
        <f ca="1">IF(BV42="","",-1*BV42)</f>
        <v>-2</v>
      </c>
      <c r="BU44" s="8">
        <f ca="1">IF(BV43="","",-1*BV43)</f>
        <v>-11</v>
      </c>
      <c r="BV44" s="6"/>
      <c r="BW44" s="7">
        <f ca="1">BW33-BV34</f>
        <v>-5</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60"/>
        <v>1. FC Nürnberg</v>
      </c>
      <c r="BS45" s="8">
        <f ca="1">IF(BW41="","",-1*BW41)</f>
        <v>-2</v>
      </c>
      <c r="BT45" s="8">
        <f ca="1">IF(BW42="","",-1*BW42)</f>
        <v>10</v>
      </c>
      <c r="BU45" s="8">
        <f ca="1">IF(BW43="","",-1*BW43)</f>
        <v>-28</v>
      </c>
      <c r="BV45" s="8">
        <f ca="1">IF(BW44="","",-1*BW44)</f>
        <v>5</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60"/>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60"/>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60"/>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60"/>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61">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si="62">F4</f>
        <v>Kickers Rodendorf</v>
      </c>
      <c r="BS52" s="6"/>
      <c r="BT52" s="7">
        <f t="shared" ref="BT52:CA58" ca="1" si="63">SUMIFS($AE$64:$AE$135,$V$64:$V$135,$BR52,$W$64:$W$135,BT$51)+SUMIFS($AF$64:$AF$135,$W$64:$W$135,$BR52,$V$64:$V$135,BT$51)</f>
        <v>1</v>
      </c>
      <c r="BU52" s="7">
        <f t="shared" ca="1" si="63"/>
        <v>0</v>
      </c>
      <c r="BV52" s="7">
        <f t="shared" ca="1" si="63"/>
        <v>1</v>
      </c>
      <c r="BW52" s="7">
        <f t="shared" ca="1" si="63"/>
        <v>1</v>
      </c>
      <c r="BX52" s="7">
        <f t="shared" ca="1" si="63"/>
        <v>0</v>
      </c>
      <c r="BY52" s="7">
        <f t="shared" ca="1" si="63"/>
        <v>0</v>
      </c>
      <c r="BZ52" s="7">
        <f t="shared" ca="1" si="63"/>
        <v>0</v>
      </c>
      <c r="CA52" s="7">
        <f t="shared" ca="1" si="63"/>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si="62"/>
        <v>Real Madrid</v>
      </c>
      <c r="BS53" s="8">
        <f t="shared" ref="BS53:BU60" ca="1" si="64">SUMIFS($AE$64:$AE$135,$V$64:$V$135,$BR53,$W$64:$W$135,BS$51)+SUMIFS($AF$64:$AF$135,$W$64:$W$135,$BR53,$V$64:$V$135,BS$51)</f>
        <v>1</v>
      </c>
      <c r="BT53" s="6"/>
      <c r="BU53" s="7">
        <f ca="1">SUMIFS($AE$64:$AE$135,$V$64:$V$135,$BR53,$W$64:$W$135,BU$51)+SUMIFS($AF$64:$AF$135,$W$64:$W$135,$BR53,$V$64:$V$135,BU$51)</f>
        <v>1</v>
      </c>
      <c r="BV53" s="7">
        <f ca="1">SUMIFS($AE$64:$AE$135,$V$64:$V$135,$BR53,$W$64:$W$135,BV$51)+SUMIFS($AF$64:$AF$135,$W$64:$W$135,$BR53,$V$64:$V$135,BV$51)</f>
        <v>1</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63"/>
        <v>0</v>
      </c>
      <c r="CA53" s="7">
        <f t="shared" ca="1" si="63"/>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si="62"/>
        <v>Borussia Dortmund</v>
      </c>
      <c r="BS54" s="8">
        <f t="shared" ca="1" si="64"/>
        <v>2</v>
      </c>
      <c r="BT54" s="8">
        <f t="shared" ca="1" si="64"/>
        <v>1</v>
      </c>
      <c r="BU54" s="6"/>
      <c r="BV54" s="7">
        <f ca="1">SUMIFS($AE$64:$AE$135,$V$64:$V$135,$BR54,$W$64:$W$135,BV$51)+SUMIFS($AF$64:$AF$135,$W$64:$W$135,$BR54,$V$64:$V$135,BV$51)</f>
        <v>2</v>
      </c>
      <c r="BW54" s="7">
        <f ca="1">SUMIFS($AE$64:$AE$135,$V$64:$V$135,$BR54,$W$64:$W$135,BW$51)+SUMIFS($AF$64:$AF$135,$W$64:$W$135,$BR54,$V$64:$V$135,BW$51)</f>
        <v>2</v>
      </c>
      <c r="BX54" s="7">
        <f ca="1">SUMIFS($AE$64:$AE$135,$V$64:$V$135,$BR54,$W$64:$W$135,BX$51)+SUMIFS($AF$64:$AF$135,$W$64:$W$135,$BR54,$V$64:$V$135,BX$51)</f>
        <v>0</v>
      </c>
      <c r="BY54" s="7">
        <f ca="1">SUMIFS($AE$64:$AE$135,$V$64:$V$135,$BR54,$W$64:$W$135,BY$51)+SUMIFS($AF$64:$AF$135,$W$64:$W$135,$BR54,$V$64:$V$135,BY$51)</f>
        <v>0</v>
      </c>
      <c r="BZ54" s="7">
        <f t="shared" ca="1" si="63"/>
        <v>0</v>
      </c>
      <c r="CA54" s="7">
        <f t="shared" ca="1" si="63"/>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62"/>
        <v>FSV Rauen</v>
      </c>
      <c r="BS55" s="8">
        <f t="shared" ca="1" si="64"/>
        <v>1</v>
      </c>
      <c r="BT55" s="8">
        <f t="shared" ca="1" si="64"/>
        <v>1</v>
      </c>
      <c r="BU55" s="8">
        <f t="shared" ca="1" si="64"/>
        <v>0</v>
      </c>
      <c r="BV55" s="6"/>
      <c r="BW55" s="7">
        <f ca="1">SUMIFS($AE$64:$AE$135,$V$64:$V$135,$BR55,$W$64:$W$135,BW$51)+SUMIFS($AF$64:$AF$135,$W$64:$W$135,$BR55,$V$64:$V$135,BW$51)</f>
        <v>1</v>
      </c>
      <c r="BX55" s="7">
        <f ca="1">SUMIFS($AE$64:$AE$135,$V$64:$V$135,$BR55,$W$64:$W$135,BX$51)+SUMIFS($AF$64:$AF$135,$W$64:$W$135,$BR55,$V$64:$V$135,BX$51)</f>
        <v>0</v>
      </c>
      <c r="BY55" s="7">
        <f ca="1">SUMIFS($AE$64:$AE$135,$V$64:$V$135,$BR55,$W$64:$W$135,BY$51)+SUMIFS($AF$64:$AF$135,$W$64:$W$135,$BR55,$V$64:$V$135,BY$51)</f>
        <v>0</v>
      </c>
      <c r="BZ55" s="7">
        <f t="shared" ca="1" si="63"/>
        <v>0</v>
      </c>
      <c r="CA55" s="7">
        <f t="shared" ca="1" si="63"/>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62"/>
        <v>1. FC Nürnberg</v>
      </c>
      <c r="BS56" s="8">
        <f t="shared" ca="1" si="64"/>
        <v>1</v>
      </c>
      <c r="BT56" s="8">
        <f t="shared" ca="1" si="64"/>
        <v>2</v>
      </c>
      <c r="BU56" s="8">
        <f t="shared" ca="1" si="64"/>
        <v>0</v>
      </c>
      <c r="BV56" s="8">
        <f ca="1">SUMIFS($AE$64:$AE$135,$V$64:$V$135,$BR56,$W$64:$W$135,BV$51)+SUMIFS($AF$64:$AF$135,$W$64:$W$135,$BR56,$V$64:$V$135,BV$51)</f>
        <v>1</v>
      </c>
      <c r="BW56" s="6"/>
      <c r="BX56" s="7">
        <f ca="1">SUMIFS($AE$64:$AE$135,$V$64:$V$135,$BR56,$W$64:$W$135,BX$51)+SUMIFS($AF$64:$AF$135,$W$64:$W$135,$BR56,$V$64:$V$135,BX$51)</f>
        <v>0</v>
      </c>
      <c r="BY56" s="7">
        <f ca="1">SUMIFS($AE$64:$AE$135,$V$64:$V$135,$BR56,$W$64:$W$135,BY$51)+SUMIFS($AF$64:$AF$135,$W$64:$W$135,$BR56,$V$64:$V$135,BY$51)</f>
        <v>0</v>
      </c>
      <c r="BZ56" s="7">
        <f t="shared" ca="1" si="63"/>
        <v>0</v>
      </c>
      <c r="CA56" s="7">
        <f t="shared" ca="1" si="63"/>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62"/>
        <v/>
      </c>
      <c r="BS57" s="8">
        <f t="shared" ca="1" si="64"/>
        <v>0</v>
      </c>
      <c r="BT57" s="8">
        <f t="shared" ca="1" si="64"/>
        <v>0</v>
      </c>
      <c r="BU57" s="8">
        <f t="shared" ca="1" si="64"/>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63"/>
        <v>0</v>
      </c>
      <c r="CA57" s="7">
        <f t="shared" ca="1" si="63"/>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62"/>
        <v/>
      </c>
      <c r="BS58" s="8">
        <f t="shared" ca="1" si="64"/>
        <v>0</v>
      </c>
      <c r="BT58" s="8">
        <f t="shared" ca="1" si="64"/>
        <v>0</v>
      </c>
      <c r="BU58" s="8">
        <f t="shared" ca="1" si="64"/>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63"/>
        <v>0</v>
      </c>
      <c r="CA58" s="7">
        <f t="shared" ca="1" si="63"/>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62"/>
        <v/>
      </c>
      <c r="BS59" s="8">
        <f t="shared" ca="1" si="64"/>
        <v>0</v>
      </c>
      <c r="BT59" s="8">
        <f t="shared" ca="1" si="64"/>
        <v>0</v>
      </c>
      <c r="BU59" s="8">
        <f t="shared" ca="1" si="64"/>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62"/>
        <v/>
      </c>
      <c r="BS60" s="8">
        <f t="shared" ca="1" si="64"/>
        <v>0</v>
      </c>
      <c r="BT60" s="8">
        <f t="shared" ca="1" si="64"/>
        <v>0</v>
      </c>
      <c r="BU60" s="8">
        <f t="shared" ca="1" si="64"/>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3" t="s">
        <v>157</v>
      </c>
      <c r="AD63" s="163" t="s">
        <v>155</v>
      </c>
      <c r="AE63" s="1024" t="s">
        <v>395</v>
      </c>
      <c r="AF63" s="1024"/>
      <c r="AG63" s="1030" t="s">
        <v>374</v>
      </c>
      <c r="AH63" s="1030"/>
      <c r="AI63" s="694" t="s">
        <v>396</v>
      </c>
      <c r="AJ63" s="3"/>
      <c r="AK63" s="3"/>
      <c r="AL63" s="3"/>
      <c r="AM63" s="3"/>
      <c r="AN63" s="3"/>
      <c r="AO63" s="3"/>
      <c r="AP63" s="3"/>
      <c r="AQ63" s="3"/>
      <c r="AR63" s="3"/>
    </row>
    <row r="64" spans="5:80" s="2" customFormat="1" ht="14.25" thickTop="1" thickBot="1" x14ac:dyDescent="0.25">
      <c r="F64" s="192">
        <v>1000000</v>
      </c>
      <c r="G64" s="193" t="s">
        <v>110</v>
      </c>
      <c r="P64" s="44" t="s">
        <v>6</v>
      </c>
      <c r="Q64" s="59" t="str">
        <f>IF(Planning!$C$41="","",Planning!$C$41)</f>
        <v>Kickers Rodendorf</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689"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IF(Planning!$C$43="","",Planning!$C$43)</f>
        <v>Real Madrid</v>
      </c>
      <c r="U65" s="66" t="s">
        <v>7</v>
      </c>
      <c r="V65" s="40" t="str">
        <f ca="1">Planning!$L7</f>
        <v>FC Grönlingen</v>
      </c>
      <c r="W65" s="12" t="str">
        <f ca="1">Planning!$N7</f>
        <v>Inter Mailand</v>
      </c>
      <c r="X65" s="12">
        <f ca="1">IF($AA65=1,PreliminaryRound!$I13,"")</f>
        <v>25</v>
      </c>
      <c r="Y65" s="35">
        <f ca="1">IF($AA65=1,PreliminaryRound!$K13,"")</f>
        <v>20</v>
      </c>
      <c r="Z65" s="34" t="str">
        <f t="shared" ref="Z65:Z73" ca="1" si="65">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66">IF($AA65=0,0,IF($X65&gt;$Y65,1,0)+IF($AG65&gt;$AH65,1,0))</f>
        <v>1</v>
      </c>
      <c r="AF65" s="143">
        <f t="shared" ref="AF65:AF108" ca="1" si="67">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IF(Planning!$C$45="","",Planning!$C$45)</f>
        <v>Borussia Dortmund</v>
      </c>
      <c r="U66" s="66" t="s">
        <v>8</v>
      </c>
      <c r="V66" s="40" t="str">
        <f ca="1">Planning!$L8</f>
        <v>1. FC Nürnberg</v>
      </c>
      <c r="W66" s="12" t="str">
        <f ca="1">Planning!$N8</f>
        <v>Real Madrid</v>
      </c>
      <c r="X66" s="12">
        <f ca="1">IF($AA66=1,PreliminaryRound!$I14,"")</f>
        <v>25</v>
      </c>
      <c r="Y66" s="35">
        <f ca="1">IF($AA66=1,PreliminaryRound!$K14,"")</f>
        <v>21</v>
      </c>
      <c r="Z66" s="34" t="str">
        <f t="shared" ca="1" si="65"/>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66"/>
        <v>2</v>
      </c>
      <c r="AF66" s="143">
        <f t="shared" ca="1" si="67"/>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t="s">
        <v>9</v>
      </c>
      <c r="Q67" s="60" t="str">
        <f>IF(Planning!$C$47="","",Planning!$C$47)</f>
        <v>FSV Rauen</v>
      </c>
      <c r="U67" s="66" t="s">
        <v>9</v>
      </c>
      <c r="V67" s="40" t="str">
        <f ca="1">Planning!$L9</f>
        <v>Eintracht Frankfurt</v>
      </c>
      <c r="W67" s="12" t="str">
        <f ca="1">Planning!$N9</f>
        <v>Maibach 1822 eV</v>
      </c>
      <c r="X67" s="12">
        <f ca="1">IF($AA67=1,PreliminaryRound!$I15,"")</f>
        <v>25</v>
      </c>
      <c r="Y67" s="35">
        <f ca="1">IF($AA67=1,PreliminaryRound!$K15,"")</f>
        <v>22</v>
      </c>
      <c r="Z67" s="34" t="str">
        <f t="shared" ca="1" si="65"/>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66"/>
        <v>2</v>
      </c>
      <c r="AF67" s="143">
        <f t="shared" ca="1" si="67"/>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t="s">
        <v>10</v>
      </c>
      <c r="Q68" s="60" t="str">
        <f>IF(Planning!$C$49="","",Planning!$C$49)</f>
        <v>1. FC Nürnberg</v>
      </c>
      <c r="U68" s="66" t="s">
        <v>10</v>
      </c>
      <c r="V68" s="40" t="str">
        <f ca="1">Planning!$L10</f>
        <v>SSV Wildbach</v>
      </c>
      <c r="W68" s="12" t="str">
        <f ca="1">Planning!$N10</f>
        <v>Manchester City</v>
      </c>
      <c r="X68" s="12">
        <f ca="1">IF($AA68=1,PreliminaryRound!$I16,"")</f>
        <v>25</v>
      </c>
      <c r="Y68" s="35">
        <f ca="1">IF($AA68=1,PreliminaryRound!$K16,"")</f>
        <v>23</v>
      </c>
      <c r="Z68" s="34" t="str">
        <f t="shared" ca="1" si="65"/>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66"/>
        <v>2</v>
      </c>
      <c r="AF68" s="143">
        <f t="shared" ca="1" si="67"/>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t="s">
        <v>11</v>
      </c>
      <c r="Q69" s="60" t="str">
        <f>IF(Planning!$C$51="","",Planning!$C$51)</f>
        <v/>
      </c>
      <c r="U69" s="66" t="s">
        <v>11</v>
      </c>
      <c r="V69" s="40" t="str">
        <f ca="1">Planning!$L11</f>
        <v>Borussia Dortmund</v>
      </c>
      <c r="W69" s="12" t="str">
        <f ca="1">Planning!$N11</f>
        <v>FSV Rauen</v>
      </c>
      <c r="X69" s="12">
        <f ca="1">IF($AA69=1,PreliminaryRound!$I17,"")</f>
        <v>25</v>
      </c>
      <c r="Y69" s="35">
        <f ca="1">IF($AA69=1,PreliminaryRound!$K17,"")</f>
        <v>17</v>
      </c>
      <c r="Z69" s="34" t="str">
        <f t="shared" ca="1" si="65"/>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66"/>
        <v>2</v>
      </c>
      <c r="AF69" s="143">
        <f t="shared" ca="1" si="67"/>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65"/>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66"/>
        <v>1</v>
      </c>
      <c r="AF70" s="143">
        <f t="shared" ca="1" si="67"/>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65"/>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66"/>
        <v>1</v>
      </c>
      <c r="AF71" s="143">
        <f t="shared" ca="1" si="67"/>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65"/>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66"/>
        <v>1</v>
      </c>
      <c r="AF72" s="143">
        <f t="shared" ca="1" si="67"/>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65"/>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66"/>
        <v>1</v>
      </c>
      <c r="AF73" s="143">
        <f t="shared" ca="1" si="67"/>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66"/>
        <v>1</v>
      </c>
      <c r="AF74" s="143">
        <f t="shared" ca="1" si="67"/>
        <v>1</v>
      </c>
      <c r="AG74" s="148">
        <f ca="1">IF($AA74=1,PreliminaryRound!$L22,"")</f>
        <v>25</v>
      </c>
      <c r="AH74" s="143">
        <f ca="1">IF($AA74=1,PreliminaryRound!$N22,"")</f>
        <v>20</v>
      </c>
      <c r="AI74" s="691"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68">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66"/>
        <v>1</v>
      </c>
      <c r="AF75" s="143">
        <f t="shared" ca="1" si="67"/>
        <v>1</v>
      </c>
      <c r="AG75" s="148">
        <f ca="1">IF($AA75=1,PreliminaryRound!$L23,"")</f>
        <v>25</v>
      </c>
      <c r="AH75" s="143">
        <f ca="1">IF($AA75=1,PreliminaryRound!$N23,"")</f>
        <v>21</v>
      </c>
      <c r="AI75" s="691"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68"/>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66"/>
        <v>0</v>
      </c>
      <c r="AF76" s="143">
        <f t="shared" ca="1" si="67"/>
        <v>2</v>
      </c>
      <c r="AG76" s="148">
        <f ca="1">IF($AA76=1,PreliminaryRound!$L24,"")</f>
        <v>12</v>
      </c>
      <c r="AH76" s="143">
        <f ca="1">IF($AA76=1,PreliminaryRound!$N24,"")</f>
        <v>25</v>
      </c>
      <c r="AI76" s="691"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68"/>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66"/>
        <v>1</v>
      </c>
      <c r="AF77" s="143">
        <f t="shared" ca="1" si="67"/>
        <v>1</v>
      </c>
      <c r="AG77" s="148">
        <f ca="1">IF($AA77=1,PreliminaryRound!$L25,"")</f>
        <v>25</v>
      </c>
      <c r="AH77" s="143">
        <f ca="1">IF($AA77=1,PreliminaryRound!$N25,"")</f>
        <v>23</v>
      </c>
      <c r="AI77" s="691"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68"/>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66"/>
        <v>1</v>
      </c>
      <c r="AF78" s="143">
        <f t="shared" ca="1" si="67"/>
        <v>1</v>
      </c>
      <c r="AG78" s="148">
        <f ca="1">IF($AA78=1,PreliminaryRound!$L26,"")</f>
        <v>25</v>
      </c>
      <c r="AH78" s="143">
        <f ca="1">IF($AA78=1,PreliminaryRound!$N26,"")</f>
        <v>17</v>
      </c>
      <c r="AI78" s="691"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68"/>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66"/>
        <v>0</v>
      </c>
      <c r="AF79" s="143">
        <f t="shared" ca="1" si="67"/>
        <v>2</v>
      </c>
      <c r="AG79" s="148">
        <f ca="1">IF($AA79=1,PreliminaryRound!$L27,"")</f>
        <v>18</v>
      </c>
      <c r="AH79" s="143">
        <f ca="1">IF($AA79=1,PreliminaryRound!$N27,"")</f>
        <v>25</v>
      </c>
      <c r="AI79" s="691"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68"/>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66"/>
        <v>2</v>
      </c>
      <c r="AF80" s="143">
        <f t="shared" ca="1" si="67"/>
        <v>0</v>
      </c>
      <c r="AG80" s="148">
        <f ca="1">IF($AA80=1,PreliminaryRound!$L28,"")</f>
        <v>25</v>
      </c>
      <c r="AH80" s="143">
        <f ca="1">IF($AA80=1,PreliminaryRound!$N28,"")</f>
        <v>19</v>
      </c>
      <c r="AI80" s="691"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68"/>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66"/>
        <v>2</v>
      </c>
      <c r="AF81" s="143">
        <f t="shared" ca="1" si="67"/>
        <v>0</v>
      </c>
      <c r="AG81" s="148">
        <f ca="1">IF($AA81=1,PreliminaryRound!$L29,"")</f>
        <v>25</v>
      </c>
      <c r="AH81" s="143">
        <f ca="1">IF($AA81=1,PreliminaryRound!$N29,"")</f>
        <v>20</v>
      </c>
      <c r="AI81" s="691"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68"/>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66"/>
        <v>2</v>
      </c>
      <c r="AF82" s="143">
        <f t="shared" ca="1" si="67"/>
        <v>0</v>
      </c>
      <c r="AG82" s="148">
        <f ca="1">IF($AA82=1,PreliminaryRound!$L30,"")</f>
        <v>25</v>
      </c>
      <c r="AH82" s="143">
        <f ca="1">IF($AA82=1,PreliminaryRound!$N30,"")</f>
        <v>21</v>
      </c>
      <c r="AI82" s="691"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68"/>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66"/>
        <v>2</v>
      </c>
      <c r="AF83" s="143">
        <f t="shared" ca="1" si="67"/>
        <v>0</v>
      </c>
      <c r="AG83" s="148">
        <f ca="1">IF($AA83=1,PreliminaryRound!$L31,"")</f>
        <v>25</v>
      </c>
      <c r="AH83" s="143">
        <f ca="1">IF($AA83=1,PreliminaryRound!$N31,"")</f>
        <v>22</v>
      </c>
      <c r="AI83" s="691"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68"/>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66"/>
        <v>1</v>
      </c>
      <c r="AF84" s="143">
        <f t="shared" ca="1" si="67"/>
        <v>1</v>
      </c>
      <c r="AG84" s="148">
        <f ca="1">IF($AA84=1,PreliminaryRound!$L32,"")</f>
        <v>25</v>
      </c>
      <c r="AH84" s="143">
        <f ca="1">IF($AA84=1,PreliminaryRound!$N32,"")</f>
        <v>11</v>
      </c>
      <c r="AI84" s="691"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68"/>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66"/>
        <v>1</v>
      </c>
      <c r="AF85" s="143">
        <f t="shared" ca="1" si="67"/>
        <v>1</v>
      </c>
      <c r="AG85" s="148">
        <f ca="1">IF($AA85=1,PreliminaryRound!$L33,"")</f>
        <v>25</v>
      </c>
      <c r="AH85" s="143">
        <f ca="1">IF($AA85=1,PreliminaryRound!$N33,"")</f>
        <v>17</v>
      </c>
      <c r="AI85" s="691"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68"/>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66"/>
        <v>1</v>
      </c>
      <c r="AF86" s="143">
        <f t="shared" ca="1" si="67"/>
        <v>1</v>
      </c>
      <c r="AG86" s="148">
        <f ca="1">IF($AA86=1,PreliminaryRound!$L34,"")</f>
        <v>25</v>
      </c>
      <c r="AH86" s="143">
        <f ca="1">IF($AA86=1,PreliminaryRound!$N34,"")</f>
        <v>16</v>
      </c>
      <c r="AI86" s="691"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68"/>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66"/>
        <v>2</v>
      </c>
      <c r="AF87" s="143">
        <f t="shared" ca="1" si="67"/>
        <v>0</v>
      </c>
      <c r="AG87" s="148">
        <f ca="1">IF($AA87=1,PreliminaryRound!$L35,"")</f>
        <v>25</v>
      </c>
      <c r="AH87" s="143">
        <f ca="1">IF($AA87=1,PreliminaryRound!$N35,"")</f>
        <v>19</v>
      </c>
      <c r="AI87" s="691"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68"/>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66"/>
        <v>1</v>
      </c>
      <c r="AF88" s="143">
        <f t="shared" ca="1" si="67"/>
        <v>1</v>
      </c>
      <c r="AG88" s="148">
        <f ca="1">IF($AA88=1,PreliminaryRound!$L36,"")</f>
        <v>25</v>
      </c>
      <c r="AH88" s="143">
        <f ca="1">IF($AA88=1,PreliminaryRound!$N36,"")</f>
        <v>20</v>
      </c>
      <c r="AI88" s="691"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68"/>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66"/>
        <v>1</v>
      </c>
      <c r="AF89" s="143">
        <f t="shared" ca="1" si="67"/>
        <v>1</v>
      </c>
      <c r="AG89" s="148">
        <f ca="1">IF($AA89=1,PreliminaryRound!$L37,"")</f>
        <v>25</v>
      </c>
      <c r="AH89" s="143">
        <f ca="1">IF($AA89=1,PreliminaryRound!$N37,"")</f>
        <v>21</v>
      </c>
      <c r="AI89" s="691"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68"/>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66"/>
        <v>1</v>
      </c>
      <c r="AF90" s="143">
        <f t="shared" ca="1" si="67"/>
        <v>1</v>
      </c>
      <c r="AG90" s="148">
        <f ca="1">IF($AA90=1,PreliminaryRound!$L38,"")</f>
        <v>25</v>
      </c>
      <c r="AH90" s="143">
        <f ca="1">IF($AA90=1,PreliminaryRound!$N38,"")</f>
        <v>22</v>
      </c>
      <c r="AI90" s="691"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68"/>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66"/>
        <v>1</v>
      </c>
      <c r="AF91" s="143">
        <f t="shared" ca="1" si="67"/>
        <v>1</v>
      </c>
      <c r="AG91" s="148">
        <f ca="1">IF($AA91=1,PreliminaryRound!$L39,"")</f>
        <v>25</v>
      </c>
      <c r="AH91" s="143">
        <f ca="1">IF($AA91=1,PreliminaryRound!$N39,"")</f>
        <v>23</v>
      </c>
      <c r="AI91" s="691"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68"/>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66"/>
        <v>0</v>
      </c>
      <c r="AF92" s="143">
        <f t="shared" ca="1" si="67"/>
        <v>2</v>
      </c>
      <c r="AG92" s="148">
        <f ca="1">IF($AA92=1,PreliminaryRound!$L40,"")</f>
        <v>17</v>
      </c>
      <c r="AH92" s="143">
        <f ca="1">IF($AA92=1,PreliminaryRound!$N40,"")</f>
        <v>25</v>
      </c>
      <c r="AI92" s="691"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68"/>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66"/>
        <v>1</v>
      </c>
      <c r="AF93" s="143">
        <f t="shared" ca="1" si="67"/>
        <v>1</v>
      </c>
      <c r="AG93" s="148">
        <f ca="1">IF($AA93=1,PreliminaryRound!$L41,"")</f>
        <v>25</v>
      </c>
      <c r="AH93" s="143">
        <f ca="1">IF($AA93=1,PreliminaryRound!$N41,"")</f>
        <v>18</v>
      </c>
      <c r="AI93" s="691"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68"/>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66"/>
        <v>0</v>
      </c>
      <c r="AF94" s="143">
        <f t="shared" ca="1" si="67"/>
        <v>0</v>
      </c>
      <c r="AG94" s="148" t="str">
        <f ca="1">IF($AA94=1,PreliminaryRound!$L42,"")</f>
        <v/>
      </c>
      <c r="AH94" s="143" t="str">
        <f ca="1">IF($AA94=1,PreliminaryRound!$N42,"")</f>
        <v/>
      </c>
      <c r="AI94" s="691"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68"/>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66"/>
        <v>0</v>
      </c>
      <c r="AF95" s="143">
        <f t="shared" ca="1" si="67"/>
        <v>0</v>
      </c>
      <c r="AG95" s="148" t="str">
        <f ca="1">IF($AA95=1,PreliminaryRound!$L43,"")</f>
        <v/>
      </c>
      <c r="AH95" s="143" t="str">
        <f ca="1">IF($AA95=1,PreliminaryRound!$N43,"")</f>
        <v/>
      </c>
      <c r="AI95" s="691"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68"/>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66"/>
        <v>0</v>
      </c>
      <c r="AF96" s="143">
        <f t="shared" ca="1" si="67"/>
        <v>0</v>
      </c>
      <c r="AG96" s="148" t="str">
        <f ca="1">IF($AA96=1,PreliminaryRound!$L44,"")</f>
        <v/>
      </c>
      <c r="AH96" s="143" t="str">
        <f ca="1">IF($AA96=1,PreliminaryRound!$N44,"")</f>
        <v/>
      </c>
      <c r="AI96" s="691"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68"/>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66"/>
        <v>0</v>
      </c>
      <c r="AF97" s="143">
        <f t="shared" ca="1" si="67"/>
        <v>0</v>
      </c>
      <c r="AG97" s="148" t="str">
        <f ca="1">IF($AA97=1,PreliminaryRound!$L45,"")</f>
        <v/>
      </c>
      <c r="AH97" s="143" t="str">
        <f ca="1">IF($AA97=1,PreliminaryRound!$N45,"")</f>
        <v/>
      </c>
      <c r="AI97" s="691"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68"/>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66"/>
        <v>0</v>
      </c>
      <c r="AF98" s="143">
        <f t="shared" ca="1" si="67"/>
        <v>0</v>
      </c>
      <c r="AG98" s="148" t="str">
        <f ca="1">IF($AA98=1,PreliminaryRound!$L46,"")</f>
        <v/>
      </c>
      <c r="AH98" s="143" t="str">
        <f ca="1">IF($AA98=1,PreliminaryRound!$N46,"")</f>
        <v/>
      </c>
      <c r="AI98" s="691"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68"/>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66"/>
        <v>0</v>
      </c>
      <c r="AF99" s="143">
        <f t="shared" ca="1" si="67"/>
        <v>0</v>
      </c>
      <c r="AG99" s="148" t="str">
        <f ca="1">IF($AA99=1,PreliminaryRound!$L47,"")</f>
        <v/>
      </c>
      <c r="AH99" s="143" t="str">
        <f ca="1">IF($AA99=1,PreliminaryRound!$N47,"")</f>
        <v/>
      </c>
      <c r="AI99" s="691"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68"/>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66"/>
        <v>0</v>
      </c>
      <c r="AF100" s="143">
        <f t="shared" ca="1" si="67"/>
        <v>0</v>
      </c>
      <c r="AG100" s="148" t="str">
        <f ca="1">IF($AA100=1,PreliminaryRound!$L48,"")</f>
        <v/>
      </c>
      <c r="AH100" s="143" t="str">
        <f ca="1">IF($AA100=1,PreliminaryRound!$N48,"")</f>
        <v/>
      </c>
      <c r="AI100" s="691"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68"/>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66"/>
        <v>0</v>
      </c>
      <c r="AF101" s="143">
        <f t="shared" ca="1" si="67"/>
        <v>0</v>
      </c>
      <c r="AG101" s="148" t="str">
        <f ca="1">IF($AA101=1,PreliminaryRound!$L49,"")</f>
        <v/>
      </c>
      <c r="AH101" s="143" t="str">
        <f ca="1">IF($AA101=1,PreliminaryRound!$N49,"")</f>
        <v/>
      </c>
      <c r="AI101" s="691"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68"/>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66"/>
        <v>0</v>
      </c>
      <c r="AF102" s="143">
        <f t="shared" ca="1" si="67"/>
        <v>0</v>
      </c>
      <c r="AG102" s="148" t="str">
        <f ca="1">IF($AA102=1,PreliminaryRound!$L50,"")</f>
        <v/>
      </c>
      <c r="AH102" s="143" t="str">
        <f ca="1">IF($AA102=1,PreliminaryRound!$N50,"")</f>
        <v/>
      </c>
      <c r="AI102" s="691"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68"/>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66"/>
        <v>0</v>
      </c>
      <c r="AF103" s="143">
        <f t="shared" ca="1" si="67"/>
        <v>0</v>
      </c>
      <c r="AG103" s="148" t="str">
        <f ca="1">IF($AA103=1,PreliminaryRound!$L51,"")</f>
        <v/>
      </c>
      <c r="AH103" s="143" t="str">
        <f ca="1">IF($AA103=1,PreliminaryRound!$N51,"")</f>
        <v/>
      </c>
      <c r="AI103" s="691"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68"/>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66"/>
        <v>0</v>
      </c>
      <c r="AF104" s="143">
        <f t="shared" ca="1" si="67"/>
        <v>0</v>
      </c>
      <c r="AG104" s="148" t="str">
        <f ca="1">IF($AA104=1,PreliminaryRound!$L52,"")</f>
        <v/>
      </c>
      <c r="AH104" s="143" t="str">
        <f ca="1">IF($AA104=1,PreliminaryRound!$N52,"")</f>
        <v/>
      </c>
      <c r="AI104" s="691"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68"/>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66"/>
        <v>0</v>
      </c>
      <c r="AF105" s="143">
        <f t="shared" ca="1" si="67"/>
        <v>0</v>
      </c>
      <c r="AG105" s="148" t="str">
        <f ca="1">IF($AA105=1,PreliminaryRound!$L53,"")</f>
        <v/>
      </c>
      <c r="AH105" s="143" t="str">
        <f ca="1">IF($AA105=1,PreliminaryRound!$N53,"")</f>
        <v/>
      </c>
      <c r="AI105" s="691"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68"/>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66"/>
        <v>0</v>
      </c>
      <c r="AF106" s="143">
        <f t="shared" ca="1" si="67"/>
        <v>0</v>
      </c>
      <c r="AG106" s="148" t="str">
        <f ca="1">IF($AA106=1,PreliminaryRound!$L54,"")</f>
        <v/>
      </c>
      <c r="AH106" s="143" t="str">
        <f ca="1">IF($AA106=1,PreliminaryRound!$N54,"")</f>
        <v/>
      </c>
      <c r="AI106" s="691"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68"/>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66"/>
        <v>0</v>
      </c>
      <c r="AF107" s="143">
        <f t="shared" ca="1" si="67"/>
        <v>0</v>
      </c>
      <c r="AG107" s="148" t="str">
        <f ca="1">IF($AA107=1,PreliminaryRound!$L55,"")</f>
        <v/>
      </c>
      <c r="AH107" s="143" t="str">
        <f ca="1">IF($AA107=1,PreliminaryRound!$N55,"")</f>
        <v/>
      </c>
      <c r="AI107" s="691"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68"/>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66"/>
        <v>0</v>
      </c>
      <c r="AF108" s="143">
        <f t="shared" ca="1" si="67"/>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1"/>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1"/>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1"/>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1"/>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1"/>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1"/>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1"/>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1"/>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1"/>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1"/>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1"/>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1"/>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1"/>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1"/>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1"/>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1"/>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1"/>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1"/>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1"/>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1"/>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1"/>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1"/>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1"/>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1"/>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1"/>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692"/>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I136" s="2" t="str">
        <f ca="1">IF(AA64&gt;0,AF64&amp;Language!$E$96&amp;AE64,"")</f>
        <v>2-0</v>
      </c>
    </row>
    <row r="137" spans="2:35" x14ac:dyDescent="0.2">
      <c r="Y137" s="66" t="s">
        <v>7</v>
      </c>
      <c r="Z137" s="34" t="str">
        <f ca="1">W65&amp;V65</f>
        <v>Inter MailandFC Grönlingen</v>
      </c>
      <c r="AA137" s="12">
        <f t="shared" ref="AA137:AA180" ca="1" si="69">AA65</f>
        <v>1</v>
      </c>
      <c r="AB137" s="12" t="str">
        <f ca="1">IF(AA137&gt;0,(Y65+AH65)&amp;Language!$E$96&amp;(X65+AG65),"")</f>
        <v>45-45</v>
      </c>
      <c r="AC137" s="2"/>
      <c r="AD137" s="143"/>
      <c r="AI137" s="9" t="str">
        <f ca="1">IF(AA65&gt;0,AF65&amp;Language!$E$96&amp;AE65,"")</f>
        <v>1-1</v>
      </c>
    </row>
    <row r="138" spans="2:35" x14ac:dyDescent="0.2">
      <c r="Y138" s="66" t="s">
        <v>8</v>
      </c>
      <c r="Z138" s="34" t="str">
        <f t="shared" ref="Z138:Z180" ca="1" si="70">W66&amp;V66</f>
        <v>Real Madrid1. FC Nürnberg</v>
      </c>
      <c r="AA138" s="12">
        <f t="shared" ca="1" si="69"/>
        <v>1</v>
      </c>
      <c r="AB138" s="12" t="str">
        <f ca="1">IF(AA138&gt;0,(Y66+AH66)&amp;Language!$E$96&amp;(X66+AG66),"")</f>
        <v>40-50</v>
      </c>
      <c r="AC138" s="2"/>
      <c r="AD138" s="143"/>
      <c r="AI138" s="9" t="str">
        <f ca="1">IF(AA66&gt;0,AF66&amp;Language!$E$96&amp;AE66,"")</f>
        <v>0-2</v>
      </c>
    </row>
    <row r="139" spans="2:35" x14ac:dyDescent="0.2">
      <c r="Y139" s="66" t="s">
        <v>9</v>
      </c>
      <c r="Z139" s="34" t="str">
        <f t="shared" ca="1" si="70"/>
        <v>Maibach 1822 eVEintracht Frankfurt</v>
      </c>
      <c r="AA139" s="12">
        <f t="shared" ca="1" si="69"/>
        <v>1</v>
      </c>
      <c r="AB139" s="12" t="str">
        <f ca="1">IF(AA139&gt;0,(Y67+AH67)&amp;Language!$E$96&amp;(X67+AG67),"")</f>
        <v>42-50</v>
      </c>
      <c r="AC139" s="2"/>
      <c r="AD139" s="143"/>
      <c r="AI139" s="9" t="str">
        <f ca="1">IF(AA67&gt;0,AF67&amp;Language!$E$96&amp;AE67,"")</f>
        <v>0-2</v>
      </c>
    </row>
    <row r="140" spans="2:35" x14ac:dyDescent="0.2">
      <c r="Y140" s="66" t="s">
        <v>10</v>
      </c>
      <c r="Z140" s="34" t="str">
        <f t="shared" ca="1" si="70"/>
        <v>Manchester CitySSV Wildbach</v>
      </c>
      <c r="AA140" s="12">
        <f t="shared" ca="1" si="69"/>
        <v>1</v>
      </c>
      <c r="AB140" s="12" t="str">
        <f ca="1">IF(AA140&gt;0,(Y68+AH68)&amp;Language!$E$96&amp;(X68+AG68),"")</f>
        <v>44-50</v>
      </c>
      <c r="AC140" s="2"/>
      <c r="AD140" s="143"/>
      <c r="AI140" s="9" t="str">
        <f ca="1">IF(AA68&gt;0,AF68&amp;Language!$E$96&amp;AE68,"")</f>
        <v>0-2</v>
      </c>
    </row>
    <row r="141" spans="2:35" x14ac:dyDescent="0.2">
      <c r="Y141" s="66" t="s">
        <v>11</v>
      </c>
      <c r="Z141" s="34" t="str">
        <f t="shared" ca="1" si="70"/>
        <v>FSV RauenBorussia Dortmund</v>
      </c>
      <c r="AA141" s="12">
        <f t="shared" ca="1" si="69"/>
        <v>1</v>
      </c>
      <c r="AB141" s="12" t="str">
        <f ca="1">IF(AA141&gt;0,(Y69+AH69)&amp;Language!$E$96&amp;(X69+AG69),"")</f>
        <v>39-50</v>
      </c>
      <c r="AC141" s="2"/>
      <c r="AD141" s="143"/>
      <c r="AI141" s="9" t="str">
        <f ca="1">IF(AA69&gt;0,AF69&amp;Language!$E$96&amp;AE69,"")</f>
        <v>0-2</v>
      </c>
    </row>
    <row r="142" spans="2:35" x14ac:dyDescent="0.2">
      <c r="Y142" s="66" t="s">
        <v>16</v>
      </c>
      <c r="Z142" s="34" t="str">
        <f t="shared" ca="1" si="70"/>
        <v>1. FC RiedwaldVFB Essenheim</v>
      </c>
      <c r="AA142" s="12">
        <f t="shared" ca="1" si="69"/>
        <v>1</v>
      </c>
      <c r="AB142" s="12" t="str">
        <f ca="1">IF(AA142&gt;0,(Y70+AH70)&amp;Language!$E$96&amp;(X70+AG70),"")</f>
        <v>48-48</v>
      </c>
      <c r="AC142" s="2"/>
      <c r="AD142" s="143"/>
      <c r="AI142" s="9" t="str">
        <f ca="1">IF(AA70&gt;0,AF70&amp;Language!$E$96&amp;AE70,"")</f>
        <v>1-1</v>
      </c>
    </row>
    <row r="143" spans="2:35" x14ac:dyDescent="0.2">
      <c r="Y143" s="66" t="s">
        <v>17</v>
      </c>
      <c r="Z143" s="34" t="str">
        <f t="shared" ca="1" si="70"/>
        <v>Mainz 05FC Grönlingen</v>
      </c>
      <c r="AA143" s="12">
        <f t="shared" ca="1" si="69"/>
        <v>1</v>
      </c>
      <c r="AB143" s="12" t="str">
        <f ca="1">IF(AA143&gt;0,(Y71+AH71)&amp;Language!$E$96&amp;(X71+AG71),"")</f>
        <v>42-44</v>
      </c>
      <c r="AC143" s="2"/>
      <c r="AD143" s="143"/>
      <c r="AI143" s="9" t="str">
        <f ca="1">IF(AA71&gt;0,AF71&amp;Language!$E$96&amp;AE71,"")</f>
        <v>1-1</v>
      </c>
    </row>
    <row r="144" spans="2:35" x14ac:dyDescent="0.2">
      <c r="Y144" s="66" t="s">
        <v>18</v>
      </c>
      <c r="Z144" s="34" t="str">
        <f t="shared" ca="1" si="70"/>
        <v>Kickers Rodendorf1. FC Nürnberg</v>
      </c>
      <c r="AA144" s="12">
        <f t="shared" ca="1" si="69"/>
        <v>1</v>
      </c>
      <c r="AB144" s="12" t="str">
        <f ca="1">IF(AA144&gt;0,(Y72+AH72)&amp;Language!$E$96&amp;(X72+AG72),"")</f>
        <v>43-41</v>
      </c>
      <c r="AC144" s="2"/>
      <c r="AD144" s="143"/>
      <c r="AI144" s="9" t="str">
        <f ca="1">IF(AA72&gt;0,AF72&amp;Language!$E$96&amp;AE72,"")</f>
        <v>1-1</v>
      </c>
    </row>
    <row r="145" spans="25:35" x14ac:dyDescent="0.2">
      <c r="Y145" s="66" t="s">
        <v>24</v>
      </c>
      <c r="Z145" s="34" t="str">
        <f t="shared" ca="1" si="70"/>
        <v>Eintracht FrankfurtFC Barcelona</v>
      </c>
      <c r="AA145" s="12">
        <f t="shared" ca="1" si="69"/>
        <v>1</v>
      </c>
      <c r="AB145" s="12" t="str">
        <f ca="1">IF(AA145&gt;0,(Y73+AH73)&amp;Language!$E$96&amp;(X73+AG73),"")</f>
        <v>44-39</v>
      </c>
      <c r="AC145" s="2"/>
      <c r="AD145" s="143"/>
      <c r="AI145" s="9" t="str">
        <f ca="1">IF(AA73&gt;0,AF73&amp;Language!$E$96&amp;AE73,"")</f>
        <v>1-1</v>
      </c>
    </row>
    <row r="146" spans="25:35" x14ac:dyDescent="0.2">
      <c r="Y146" s="66" t="s">
        <v>25</v>
      </c>
      <c r="Z146" s="34" t="str">
        <f t="shared" ca="1" si="70"/>
        <v>SSV WildbachInter Mailand</v>
      </c>
      <c r="AA146" s="12">
        <f t="shared" ca="1" si="69"/>
        <v>1</v>
      </c>
      <c r="AB146" s="12" t="str">
        <f ca="1">IF(AA146&gt;0,(Y74+AH74)&amp;Language!$E$96&amp;(X74+AG74),"")</f>
        <v>45-47</v>
      </c>
      <c r="AC146" s="2"/>
      <c r="AD146" s="143"/>
      <c r="AI146" s="9" t="str">
        <f ca="1">IF(AA74&gt;0,AF74&amp;Language!$E$96&amp;AE74,"")</f>
        <v>1-1</v>
      </c>
    </row>
    <row r="147" spans="25:35" x14ac:dyDescent="0.2">
      <c r="Y147" s="66" t="s">
        <v>26</v>
      </c>
      <c r="Z147" s="34" t="str">
        <f t="shared" ca="1" si="70"/>
        <v>Borussia DortmundReal Madrid</v>
      </c>
      <c r="AA147" s="12">
        <f t="shared" ca="1" si="69"/>
        <v>1</v>
      </c>
      <c r="AB147" s="12" t="str">
        <f ca="1">IF(AA147&gt;0,(Y75+AH75)&amp;Language!$E$96&amp;(X75+AG75),"")</f>
        <v>46-44</v>
      </c>
      <c r="AC147" s="2"/>
      <c r="AD147" s="143"/>
      <c r="AI147" s="9" t="str">
        <f ca="1">IF(AA75&gt;0,AF75&amp;Language!$E$96&amp;AE75,"")</f>
        <v>1-1</v>
      </c>
    </row>
    <row r="148" spans="25:35" x14ac:dyDescent="0.2">
      <c r="Y148" s="66" t="s">
        <v>27</v>
      </c>
      <c r="Z148" s="34" t="str">
        <f t="shared" ca="1" si="70"/>
        <v>Maibach 1822 eV1. FC Riedwald</v>
      </c>
      <c r="AA148" s="12">
        <f t="shared" ca="1" si="69"/>
        <v>1</v>
      </c>
      <c r="AB148" s="12" t="str">
        <f ca="1">IF(AA148&gt;0,(Y76+AH76)&amp;Language!$E$96&amp;(X76+AG76),"")</f>
        <v>50-29</v>
      </c>
      <c r="AC148" s="2"/>
      <c r="AD148" s="143"/>
      <c r="AI148" s="9" t="str">
        <f ca="1">IF(AA76&gt;0,AF76&amp;Language!$E$96&amp;AE76,"")</f>
        <v>2-0</v>
      </c>
    </row>
    <row r="149" spans="25:35" x14ac:dyDescent="0.2">
      <c r="Y149" s="66" t="s">
        <v>28</v>
      </c>
      <c r="Z149" s="34" t="str">
        <f t="shared" ca="1" si="70"/>
        <v>Manchester CityMainz 05</v>
      </c>
      <c r="AA149" s="12">
        <f t="shared" ca="1" si="69"/>
        <v>1</v>
      </c>
      <c r="AB149" s="12" t="str">
        <f ca="1">IF(AA149&gt;0,(Y77+AH77)&amp;Language!$E$96&amp;(X77+AG77),"")</f>
        <v>48-39</v>
      </c>
      <c r="AC149" s="2"/>
      <c r="AD149" s="143"/>
      <c r="AI149" s="9" t="str">
        <f ca="1">IF(AA77&gt;0,AF77&amp;Language!$E$96&amp;AE77,"")</f>
        <v>1-1</v>
      </c>
    </row>
    <row r="150" spans="25:35" x14ac:dyDescent="0.2">
      <c r="Y150" s="66" t="s">
        <v>29</v>
      </c>
      <c r="Z150" s="34" t="str">
        <f t="shared" ca="1" si="70"/>
        <v>FSV RauenKickers Rodendorf</v>
      </c>
      <c r="AA150" s="12">
        <f t="shared" ca="1" si="69"/>
        <v>1</v>
      </c>
      <c r="AB150" s="12" t="str">
        <f ca="1">IF(AA150&gt;0,(Y78+AH78)&amp;Language!$E$96&amp;(X78+AG78),"")</f>
        <v>42-46</v>
      </c>
      <c r="AC150" s="2"/>
      <c r="AD150" s="143"/>
      <c r="AI150" s="9" t="str">
        <f ca="1">IF(AA78&gt;0,AF78&amp;Language!$E$96&amp;AE78,"")</f>
        <v>1-1</v>
      </c>
    </row>
    <row r="151" spans="25:35" x14ac:dyDescent="0.2">
      <c r="Y151" s="66" t="s">
        <v>30</v>
      </c>
      <c r="Z151" s="34" t="str">
        <f t="shared" ca="1" si="70"/>
        <v>VFB EssenheimEintracht Frankfurt</v>
      </c>
      <c r="AA151" s="12">
        <f t="shared" ca="1" si="69"/>
        <v>1</v>
      </c>
      <c r="AB151" s="12" t="str">
        <f ca="1">IF(AA151&gt;0,(Y79+AH79)&amp;Language!$E$96&amp;(X79+AG79),"")</f>
        <v>50-38</v>
      </c>
      <c r="AC151" s="2"/>
      <c r="AD151" s="143"/>
      <c r="AI151" s="9" t="str">
        <f ca="1">IF(AA79&gt;0,AF79&amp;Language!$E$96&amp;AE79,"")</f>
        <v>2-0</v>
      </c>
    </row>
    <row r="152" spans="25:35" x14ac:dyDescent="0.2">
      <c r="Y152" s="66" t="s">
        <v>31</v>
      </c>
      <c r="Z152" s="34" t="str">
        <f t="shared" ca="1" si="70"/>
        <v>FC GrönlingenSSV Wildbach</v>
      </c>
      <c r="AA152" s="12">
        <f t="shared" ca="1" si="69"/>
        <v>1</v>
      </c>
      <c r="AB152" s="12" t="str">
        <f ca="1">IF(AA152&gt;0,(Y80+AH80)&amp;Language!$E$96&amp;(X80+AG80),"")</f>
        <v>39-50</v>
      </c>
      <c r="AC152" s="2"/>
      <c r="AD152" s="143"/>
      <c r="AI152" s="9" t="str">
        <f ca="1">IF(AA80&gt;0,AF80&amp;Language!$E$96&amp;AE80,"")</f>
        <v>0-2</v>
      </c>
    </row>
    <row r="153" spans="25:35" x14ac:dyDescent="0.2">
      <c r="Y153" s="66" t="s">
        <v>32</v>
      </c>
      <c r="Z153" s="34" t="str">
        <f t="shared" ca="1" si="70"/>
        <v>1. FC NürnbergBorussia Dortmund</v>
      </c>
      <c r="AA153" s="12">
        <f t="shared" ca="1" si="69"/>
        <v>1</v>
      </c>
      <c r="AB153" s="12" t="str">
        <f ca="1">IF(AA153&gt;0,(Y81+AH81)&amp;Language!$E$96&amp;(X81+AG81),"")</f>
        <v>22-50</v>
      </c>
      <c r="AC153" s="2"/>
      <c r="AD153" s="143"/>
      <c r="AI153" s="9" t="str">
        <f ca="1">IF(AA81&gt;0,AF81&amp;Language!$E$96&amp;AE81,"")</f>
        <v>0-2</v>
      </c>
    </row>
    <row r="154" spans="25:35" x14ac:dyDescent="0.2">
      <c r="Y154" s="66" t="s">
        <v>33</v>
      </c>
      <c r="Z154" s="34" t="str">
        <f t="shared" ca="1" si="70"/>
        <v>Maibach 1822 eVFC Barcelona</v>
      </c>
      <c r="AA154" s="12">
        <f t="shared" ca="1" si="69"/>
        <v>1</v>
      </c>
      <c r="AB154" s="12" t="str">
        <f ca="1">IF(AA154&gt;0,(Y82+AH82)&amp;Language!$E$96&amp;(X82+AG82),"")</f>
        <v>37-50</v>
      </c>
      <c r="AC154" s="2"/>
      <c r="AD154" s="143"/>
      <c r="AI154" s="9" t="str">
        <f ca="1">IF(AA82&gt;0,AF82&amp;Language!$E$96&amp;AE82,"")</f>
        <v>0-2</v>
      </c>
    </row>
    <row r="155" spans="25:35" x14ac:dyDescent="0.2">
      <c r="Y155" s="66" t="s">
        <v>34</v>
      </c>
      <c r="Z155" s="34" t="str">
        <f t="shared" ca="1" si="70"/>
        <v>Manchester CityInter Mailand</v>
      </c>
      <c r="AA155" s="12">
        <f t="shared" ca="1" si="69"/>
        <v>1</v>
      </c>
      <c r="AB155" s="12" t="str">
        <f ca="1">IF(AA155&gt;0,(Y83+AH83)&amp;Language!$E$96&amp;(X83+AG83),"")</f>
        <v>24-50</v>
      </c>
      <c r="AC155" s="2"/>
      <c r="AD155" s="143"/>
      <c r="AI155" s="9" t="str">
        <f ca="1">IF(AA83&gt;0,AF83&amp;Language!$E$96&amp;AE83,"")</f>
        <v>0-2</v>
      </c>
    </row>
    <row r="156" spans="25:35" x14ac:dyDescent="0.2">
      <c r="Y156" s="66" t="s">
        <v>35</v>
      </c>
      <c r="Z156" s="34" t="str">
        <f t="shared" ca="1" si="70"/>
        <v>FSV RauenReal Madrid</v>
      </c>
      <c r="AA156" s="12">
        <f t="shared" ca="1" si="69"/>
        <v>1</v>
      </c>
      <c r="AB156" s="12" t="str">
        <f ca="1">IF(AA156&gt;0,(Y84+AH84)&amp;Language!$E$96&amp;(X84+AG84),"")</f>
        <v>36-38</v>
      </c>
      <c r="AC156" s="2"/>
      <c r="AD156" s="143"/>
      <c r="AI156" s="9" t="str">
        <f ca="1">IF(AA84&gt;0,AF84&amp;Language!$E$96&amp;AE84,"")</f>
        <v>1-1</v>
      </c>
    </row>
    <row r="157" spans="25:35" x14ac:dyDescent="0.2">
      <c r="Y157" s="66" t="s">
        <v>36</v>
      </c>
      <c r="Z157" s="34" t="str">
        <f t="shared" ca="1" si="70"/>
        <v>1. FC RiedwaldEintracht Frankfurt</v>
      </c>
      <c r="AA157" s="12">
        <f t="shared" ca="1" si="69"/>
        <v>1</v>
      </c>
      <c r="AB157" s="12" t="str">
        <f ca="1">IF(AA157&gt;0,(Y85+AH85)&amp;Language!$E$96&amp;(X85+AG85),"")</f>
        <v>42-44</v>
      </c>
      <c r="AC157" s="2"/>
      <c r="AD157" s="143"/>
      <c r="AI157" s="9" t="str">
        <f ca="1">IF(AA85&gt;0,AF85&amp;Language!$E$96&amp;AE85,"")</f>
        <v>1-1</v>
      </c>
    </row>
    <row r="158" spans="25:35" x14ac:dyDescent="0.2">
      <c r="Y158" s="66" t="s">
        <v>37</v>
      </c>
      <c r="Z158" s="34" t="str">
        <f t="shared" ca="1" si="70"/>
        <v>Mainz 05SSV Wildbach</v>
      </c>
      <c r="AA158" s="12">
        <f t="shared" ca="1" si="69"/>
        <v>1</v>
      </c>
      <c r="AB158" s="12" t="str">
        <f ca="1">IF(AA158&gt;0,(Y86+AH86)&amp;Language!$E$96&amp;(X86+AG86),"")</f>
        <v>41-42</v>
      </c>
      <c r="AC158" s="2"/>
      <c r="AD158" s="143"/>
      <c r="AI158" s="9" t="str">
        <f ca="1">IF(AA86&gt;0,AF86&amp;Language!$E$96&amp;AE86,"")</f>
        <v>1-1</v>
      </c>
    </row>
    <row r="159" spans="25:35" x14ac:dyDescent="0.2">
      <c r="Y159" s="66" t="s">
        <v>38</v>
      </c>
      <c r="Z159" s="34" t="str">
        <f t="shared" ca="1" si="70"/>
        <v>Kickers RodendorfBorussia Dortmund</v>
      </c>
      <c r="AA159" s="12">
        <f t="shared" ca="1" si="69"/>
        <v>1</v>
      </c>
      <c r="AB159" s="12" t="str">
        <f ca="1">IF(AA159&gt;0,(Y87+AH87)&amp;Language!$E$96&amp;(X87+AG87),"")</f>
        <v>33-50</v>
      </c>
      <c r="AC159" s="2"/>
      <c r="AD159" s="143"/>
      <c r="AI159" s="9" t="str">
        <f ca="1">IF(AA87&gt;0,AF87&amp;Language!$E$96&amp;AE87,"")</f>
        <v>0-2</v>
      </c>
    </row>
    <row r="160" spans="25:35" x14ac:dyDescent="0.2">
      <c r="Y160" s="66" t="s">
        <v>39</v>
      </c>
      <c r="Z160" s="34" t="str">
        <f t="shared" ca="1" si="70"/>
        <v>VFB EssenheimMaibach 1822 eV</v>
      </c>
      <c r="AA160" s="12">
        <f t="shared" ca="1" si="69"/>
        <v>1</v>
      </c>
      <c r="AB160" s="12" t="str">
        <f ca="1">IF(AA160&gt;0,(Y88+AH88)&amp;Language!$E$96&amp;(X88+AG88),"")</f>
        <v>45-45</v>
      </c>
      <c r="AC160" s="2"/>
      <c r="AD160" s="143"/>
      <c r="AI160" s="9" t="str">
        <f ca="1">IF(AA88&gt;0,AF88&amp;Language!$E$96&amp;AE88,"")</f>
        <v>1-1</v>
      </c>
    </row>
    <row r="161" spans="25:35" x14ac:dyDescent="0.2">
      <c r="Y161" s="66" t="s">
        <v>40</v>
      </c>
      <c r="Z161" s="34" t="str">
        <f t="shared" ca="1" si="70"/>
        <v>FC GrönlingenManchester City</v>
      </c>
      <c r="AA161" s="12">
        <f t="shared" ca="1" si="69"/>
        <v>1</v>
      </c>
      <c r="AB161" s="12" t="str">
        <f ca="1">IF(AA161&gt;0,(Y89+AH89)&amp;Language!$E$96&amp;(X89+AG89),"")</f>
        <v>46-44</v>
      </c>
      <c r="AC161" s="2"/>
      <c r="AD161" s="143"/>
      <c r="AI161" s="9" t="str">
        <f ca="1">IF(AA89&gt;0,AF89&amp;Language!$E$96&amp;AE89,"")</f>
        <v>1-1</v>
      </c>
    </row>
    <row r="162" spans="25:35" x14ac:dyDescent="0.2">
      <c r="Y162" s="66" t="s">
        <v>41</v>
      </c>
      <c r="Z162" s="34" t="str">
        <f t="shared" ca="1" si="70"/>
        <v>1. FC NürnbergFSV Rauen</v>
      </c>
      <c r="AA162" s="12">
        <f t="shared" ca="1" si="69"/>
        <v>1</v>
      </c>
      <c r="AB162" s="12" t="str">
        <f ca="1">IF(AA162&gt;0,(Y90+AH90)&amp;Language!$E$96&amp;(X90+AG90),"")</f>
        <v>47-42</v>
      </c>
      <c r="AC162" s="2"/>
      <c r="AD162" s="143"/>
      <c r="AI162" s="9" t="str">
        <f ca="1">IF(AA90&gt;0,AF90&amp;Language!$E$96&amp;AE90,"")</f>
        <v>1-1</v>
      </c>
    </row>
    <row r="163" spans="25:35" x14ac:dyDescent="0.2">
      <c r="Y163" s="66" t="s">
        <v>42</v>
      </c>
      <c r="Z163" s="34" t="str">
        <f t="shared" ca="1" si="70"/>
        <v>FC Barcelona1. FC Riedwald</v>
      </c>
      <c r="AA163" s="12">
        <f t="shared" ca="1" si="69"/>
        <v>1</v>
      </c>
      <c r="AB163" s="12" t="str">
        <f ca="1">IF(AA163&gt;0,(Y91+AH91)&amp;Language!$E$96&amp;(X91+AG91),"")</f>
        <v>48-44</v>
      </c>
      <c r="AC163" s="2"/>
      <c r="AD163" s="143"/>
      <c r="AI163" s="9" t="str">
        <f ca="1">IF(AA91&gt;0,AF91&amp;Language!$E$96&amp;AE91,"")</f>
        <v>1-1</v>
      </c>
    </row>
    <row r="164" spans="25:35" x14ac:dyDescent="0.2">
      <c r="Y164" s="66" t="s">
        <v>43</v>
      </c>
      <c r="Z164" s="34" t="str">
        <f t="shared" ca="1" si="70"/>
        <v>Inter MailandMainz 05</v>
      </c>
      <c r="AA164" s="12">
        <f t="shared" ca="1" si="69"/>
        <v>1</v>
      </c>
      <c r="AB164" s="12" t="str">
        <f ca="1">IF(AA164&gt;0,(Y92+AH92)&amp;Language!$E$96&amp;(X92+AG92),"")</f>
        <v>50-34</v>
      </c>
      <c r="AC164" s="2"/>
      <c r="AD164" s="143"/>
      <c r="AI164" s="9" t="str">
        <f ca="1">IF(AA92&gt;0,AF92&amp;Language!$E$96&amp;AE92,"")</f>
        <v>2-0</v>
      </c>
    </row>
    <row r="165" spans="25:35" x14ac:dyDescent="0.2">
      <c r="Y165" s="66" t="s">
        <v>44</v>
      </c>
      <c r="Z165" s="34" t="str">
        <f t="shared" ca="1" si="70"/>
        <v>Real MadridKickers Rodendorf</v>
      </c>
      <c r="AA165" s="12">
        <f t="shared" ca="1" si="69"/>
        <v>1</v>
      </c>
      <c r="AB165" s="12" t="str">
        <f ca="1">IF(AA165&gt;0,(Y93+AH93)&amp;Language!$E$96&amp;(X93+AG93),"")</f>
        <v>43-39</v>
      </c>
      <c r="AC165" s="2"/>
      <c r="AD165" s="143"/>
      <c r="AI165" s="9" t="str">
        <f ca="1">IF(AA93&gt;0,AF93&amp;Language!$E$96&amp;AE93,"")</f>
        <v>1-1</v>
      </c>
    </row>
    <row r="166" spans="25:35" x14ac:dyDescent="0.2">
      <c r="Y166" s="66" t="s">
        <v>45</v>
      </c>
      <c r="Z166" s="34" t="str">
        <f t="shared" ca="1" si="70"/>
        <v/>
      </c>
      <c r="AA166" s="12">
        <f t="shared" ca="1" si="69"/>
        <v>0</v>
      </c>
      <c r="AB166" s="12" t="str">
        <f ca="1">IF(AA166&gt;0,(Y94+AH94)&amp;Language!$E$96&amp;(X94+AG94),"")</f>
        <v/>
      </c>
      <c r="AC166" s="2"/>
      <c r="AD166" s="143"/>
      <c r="AI166" s="9" t="str">
        <f ca="1">IF(AA94&gt;0,AF94&amp;Language!$E$96&amp;AE94,"")</f>
        <v/>
      </c>
    </row>
    <row r="167" spans="25:35" x14ac:dyDescent="0.2">
      <c r="Y167" s="66" t="s">
        <v>46</v>
      </c>
      <c r="Z167" s="34" t="str">
        <f t="shared" ca="1" si="70"/>
        <v/>
      </c>
      <c r="AA167" s="12">
        <f t="shared" ca="1" si="69"/>
        <v>0</v>
      </c>
      <c r="AB167" s="12" t="str">
        <f ca="1">IF(AA167&gt;0,(Y95+AH95)&amp;Language!$E$96&amp;(X95+AG95),"")</f>
        <v/>
      </c>
      <c r="AC167" s="2"/>
      <c r="AD167" s="143"/>
      <c r="AI167" s="9" t="str">
        <f ca="1">IF(AA95&gt;0,AF95&amp;Language!$E$96&amp;AE95,"")</f>
        <v/>
      </c>
    </row>
    <row r="168" spans="25:35" x14ac:dyDescent="0.2">
      <c r="Y168" s="66" t="s">
        <v>47</v>
      </c>
      <c r="Z168" s="34" t="str">
        <f t="shared" ca="1" si="70"/>
        <v/>
      </c>
      <c r="AA168" s="12">
        <f t="shared" ca="1" si="69"/>
        <v>0</v>
      </c>
      <c r="AB168" s="12" t="str">
        <f ca="1">IF(AA168&gt;0,(Y96+AH96)&amp;Language!$E$96&amp;(X96+AG96),"")</f>
        <v/>
      </c>
      <c r="AC168" s="2"/>
      <c r="AD168" s="143"/>
      <c r="AI168" s="9" t="str">
        <f ca="1">IF(AA96&gt;0,AF96&amp;Language!$E$96&amp;AE96,"")</f>
        <v/>
      </c>
    </row>
    <row r="169" spans="25:35" x14ac:dyDescent="0.2">
      <c r="Y169" s="66" t="s">
        <v>48</v>
      </c>
      <c r="Z169" s="34" t="str">
        <f t="shared" ca="1" si="70"/>
        <v/>
      </c>
      <c r="AA169" s="12">
        <f t="shared" ca="1" si="69"/>
        <v>0</v>
      </c>
      <c r="AB169" s="12" t="str">
        <f ca="1">IF(AA169&gt;0,(Y97+AH97)&amp;Language!$E$96&amp;(X97+AG97),"")</f>
        <v/>
      </c>
      <c r="AC169" s="2"/>
      <c r="AD169" s="143"/>
      <c r="AI169" s="9" t="str">
        <f ca="1">IF(AA97&gt;0,AF97&amp;Language!$E$96&amp;AE97,"")</f>
        <v/>
      </c>
    </row>
    <row r="170" spans="25:35" x14ac:dyDescent="0.2">
      <c r="Y170" s="66" t="s">
        <v>49</v>
      </c>
      <c r="Z170" s="34" t="str">
        <f t="shared" ca="1" si="70"/>
        <v/>
      </c>
      <c r="AA170" s="12">
        <f t="shared" ca="1" si="69"/>
        <v>0</v>
      </c>
      <c r="AB170" s="12" t="str">
        <f ca="1">IF(AA170&gt;0,(Y98+AH98)&amp;Language!$E$96&amp;(X98+AG98),"")</f>
        <v/>
      </c>
      <c r="AC170" s="2"/>
      <c r="AD170" s="143"/>
      <c r="AI170" s="9" t="str">
        <f ca="1">IF(AA98&gt;0,AF98&amp;Language!$E$96&amp;AE98,"")</f>
        <v/>
      </c>
    </row>
    <row r="171" spans="25:35" x14ac:dyDescent="0.2">
      <c r="Y171" s="66" t="s">
        <v>50</v>
      </c>
      <c r="Z171" s="34" t="str">
        <f t="shared" ca="1" si="70"/>
        <v/>
      </c>
      <c r="AA171" s="12">
        <f t="shared" ca="1" si="69"/>
        <v>0</v>
      </c>
      <c r="AB171" s="12" t="str">
        <f ca="1">IF(AA171&gt;0,(Y99+AH99)&amp;Language!$E$96&amp;(X99+AG99),"")</f>
        <v/>
      </c>
      <c r="AC171" s="2"/>
      <c r="AD171" s="143"/>
      <c r="AI171" s="9" t="str">
        <f ca="1">IF(AA99&gt;0,AF99&amp;Language!$E$96&amp;AE99,"")</f>
        <v/>
      </c>
    </row>
    <row r="172" spans="25:35" x14ac:dyDescent="0.2">
      <c r="Y172" s="66" t="s">
        <v>58</v>
      </c>
      <c r="Z172" s="34" t="str">
        <f t="shared" ca="1" si="70"/>
        <v/>
      </c>
      <c r="AA172" s="12">
        <f t="shared" ca="1" si="69"/>
        <v>0</v>
      </c>
      <c r="AB172" s="12" t="str">
        <f ca="1">IF(AA172&gt;0,(Y100+AH100)&amp;Language!$E$96&amp;(X100+AG100),"")</f>
        <v/>
      </c>
      <c r="AC172" s="2"/>
      <c r="AD172" s="143"/>
      <c r="AI172" s="9" t="str">
        <f ca="1">IF(AA100&gt;0,AF100&amp;Language!$E$96&amp;AE100,"")</f>
        <v/>
      </c>
    </row>
    <row r="173" spans="25:35" x14ac:dyDescent="0.2">
      <c r="Y173" s="66" t="s">
        <v>59</v>
      </c>
      <c r="Z173" s="34" t="str">
        <f t="shared" ca="1" si="70"/>
        <v/>
      </c>
      <c r="AA173" s="12">
        <f t="shared" ca="1" si="69"/>
        <v>0</v>
      </c>
      <c r="AB173" s="12" t="str">
        <f ca="1">IF(AA173&gt;0,(Y101+AH101)&amp;Language!$E$96&amp;(X101+AG101),"")</f>
        <v/>
      </c>
      <c r="AC173" s="2"/>
      <c r="AD173" s="143"/>
      <c r="AI173" s="9" t="str">
        <f ca="1">IF(AA101&gt;0,AF101&amp;Language!$E$96&amp;AE101,"")</f>
        <v/>
      </c>
    </row>
    <row r="174" spans="25:35" x14ac:dyDescent="0.2">
      <c r="Y174" s="66" t="s">
        <v>60</v>
      </c>
      <c r="Z174" s="34" t="str">
        <f t="shared" ca="1" si="70"/>
        <v/>
      </c>
      <c r="AA174" s="12">
        <f t="shared" ca="1" si="69"/>
        <v>0</v>
      </c>
      <c r="AB174" s="12" t="str">
        <f ca="1">IF(AA174&gt;0,(Y102+AH102)&amp;Language!$E$96&amp;(X102+AG102),"")</f>
        <v/>
      </c>
      <c r="AC174" s="2"/>
      <c r="AD174" s="143"/>
      <c r="AI174" s="9" t="str">
        <f ca="1">IF(AA102&gt;0,AF102&amp;Language!$E$96&amp;AE102,"")</f>
        <v/>
      </c>
    </row>
    <row r="175" spans="25:35" x14ac:dyDescent="0.2">
      <c r="Y175" s="66" t="s">
        <v>61</v>
      </c>
      <c r="Z175" s="34" t="str">
        <f t="shared" ca="1" si="70"/>
        <v/>
      </c>
      <c r="AA175" s="12">
        <f t="shared" ca="1" si="69"/>
        <v>0</v>
      </c>
      <c r="AB175" s="12" t="str">
        <f ca="1">IF(AA175&gt;0,(Y103+AH103)&amp;Language!$E$96&amp;(X103+AG103),"")</f>
        <v/>
      </c>
      <c r="AC175" s="2"/>
      <c r="AD175" s="143"/>
      <c r="AI175" s="9" t="str">
        <f ca="1">IF(AA103&gt;0,AF103&amp;Language!$E$96&amp;AE103,"")</f>
        <v/>
      </c>
    </row>
    <row r="176" spans="25:35" x14ac:dyDescent="0.2">
      <c r="Y176" s="66" t="s">
        <v>62</v>
      </c>
      <c r="Z176" s="34" t="str">
        <f t="shared" ca="1" si="70"/>
        <v/>
      </c>
      <c r="AA176" s="12">
        <f t="shared" ca="1" si="69"/>
        <v>0</v>
      </c>
      <c r="AB176" s="12" t="str">
        <f ca="1">IF(AA176&gt;0,(Y104+AH104)&amp;Language!$E$96&amp;(X104+AG104),"")</f>
        <v/>
      </c>
      <c r="AC176" s="2"/>
      <c r="AD176" s="143"/>
      <c r="AI176" s="9" t="str">
        <f ca="1">IF(AA104&gt;0,AF104&amp;Language!$E$96&amp;AE104,"")</f>
        <v/>
      </c>
    </row>
    <row r="177" spans="25:35" x14ac:dyDescent="0.2">
      <c r="Y177" s="66" t="s">
        <v>63</v>
      </c>
      <c r="Z177" s="34" t="str">
        <f t="shared" ca="1" si="70"/>
        <v/>
      </c>
      <c r="AA177" s="12">
        <f t="shared" ca="1" si="69"/>
        <v>0</v>
      </c>
      <c r="AB177" s="12" t="str">
        <f ca="1">IF(AA177&gt;0,(Y105+AH105)&amp;Language!$E$96&amp;(X105+AG105),"")</f>
        <v/>
      </c>
      <c r="AC177" s="2"/>
      <c r="AD177" s="143"/>
      <c r="AI177" s="9" t="str">
        <f ca="1">IF(AA105&gt;0,AF105&amp;Language!$E$96&amp;AE105,"")</f>
        <v/>
      </c>
    </row>
    <row r="178" spans="25:35" x14ac:dyDescent="0.2">
      <c r="Y178" s="66" t="s">
        <v>64</v>
      </c>
      <c r="Z178" s="34" t="str">
        <f t="shared" ca="1" si="70"/>
        <v/>
      </c>
      <c r="AA178" s="12">
        <f t="shared" ca="1" si="69"/>
        <v>0</v>
      </c>
      <c r="AB178" s="12" t="str">
        <f ca="1">IF(AA178&gt;0,(Y106+AH106)&amp;Language!$E$96&amp;(X106+AG106),"")</f>
        <v/>
      </c>
      <c r="AC178" s="2"/>
      <c r="AD178" s="143"/>
      <c r="AI178" s="9" t="str">
        <f ca="1">IF(AA106&gt;0,AF106&amp;Language!$E$96&amp;AE106,"")</f>
        <v/>
      </c>
    </row>
    <row r="179" spans="25:35" x14ac:dyDescent="0.2">
      <c r="Y179" s="66" t="s">
        <v>65</v>
      </c>
      <c r="Z179" s="34" t="str">
        <f t="shared" ca="1" si="70"/>
        <v/>
      </c>
      <c r="AA179" s="12">
        <f t="shared" ca="1" si="69"/>
        <v>0</v>
      </c>
      <c r="AB179" s="12" t="str">
        <f ca="1">IF(AA179&gt;0,(Y107+AH107)&amp;Language!$E$96&amp;(X107+AG107),"")</f>
        <v/>
      </c>
      <c r="AC179" s="2"/>
      <c r="AD179" s="143"/>
      <c r="AI179" s="9" t="str">
        <f ca="1">IF(AA107&gt;0,AF107&amp;Language!$E$96&amp;AE107,"")</f>
        <v/>
      </c>
    </row>
    <row r="180" spans="25:35" ht="12.75" thickBot="1" x14ac:dyDescent="0.25">
      <c r="Y180" s="684" t="s">
        <v>66</v>
      </c>
      <c r="Z180" s="685" t="str">
        <f t="shared" ca="1" si="70"/>
        <v/>
      </c>
      <c r="AA180" s="686">
        <f t="shared" ca="1" si="69"/>
        <v>0</v>
      </c>
      <c r="AB180" s="686" t="str">
        <f ca="1">IF(AA180&gt;0,(Y108+AH108)&amp;Language!$E$96&amp;(X108+AG108),"")</f>
        <v/>
      </c>
      <c r="AC180" s="687"/>
      <c r="AD180" s="688"/>
      <c r="AI180" s="9" t="str">
        <f ca="1">IF(AA108&gt;0,AF108&amp;Language!$E$96&amp;AE108,"")</f>
        <v/>
      </c>
    </row>
    <row r="181" spans="25:35" ht="12.75" thickTop="1" x14ac:dyDescent="0.2">
      <c r="Y181" s="66" t="s">
        <v>67</v>
      </c>
      <c r="Z181" s="34" t="str">
        <f>""</f>
        <v/>
      </c>
      <c r="AA181" s="12">
        <v>0</v>
      </c>
      <c r="AB181" s="12" t="str">
        <f>""</f>
        <v/>
      </c>
      <c r="AC181" s="2"/>
      <c r="AD181" s="143"/>
      <c r="AI181" s="9" t="str">
        <f>IF(AA109&gt;0,AF109&amp;Language!$E$96&amp;AE109,"")</f>
        <v/>
      </c>
    </row>
    <row r="182" spans="25:35" x14ac:dyDescent="0.2">
      <c r="Y182" s="66" t="s">
        <v>68</v>
      </c>
      <c r="Z182" s="34" t="str">
        <f>""</f>
        <v/>
      </c>
      <c r="AA182" s="12">
        <v>0</v>
      </c>
      <c r="AB182" s="12" t="str">
        <f>""</f>
        <v/>
      </c>
      <c r="AC182" s="2"/>
      <c r="AD182" s="143"/>
      <c r="AI182" s="9" t="str">
        <f>IF(AA110&gt;0,AF110&amp;Language!$E$96&amp;AE110,"")</f>
        <v/>
      </c>
    </row>
    <row r="183" spans="25:35" x14ac:dyDescent="0.2">
      <c r="Y183" s="66" t="s">
        <v>69</v>
      </c>
      <c r="Z183" s="34" t="str">
        <f>""</f>
        <v/>
      </c>
      <c r="AA183" s="12">
        <v>0</v>
      </c>
      <c r="AB183" s="12" t="str">
        <f>""</f>
        <v/>
      </c>
      <c r="AC183" s="2"/>
      <c r="AD183" s="143"/>
      <c r="AI183" s="9" t="str">
        <f>IF(AA111&gt;0,AF111&amp;Language!$E$96&amp;AE111,"")</f>
        <v/>
      </c>
    </row>
    <row r="184" spans="25:35" x14ac:dyDescent="0.2">
      <c r="Y184" s="66" t="s">
        <v>70</v>
      </c>
      <c r="Z184" s="34" t="str">
        <f>""</f>
        <v/>
      </c>
      <c r="AA184" s="12">
        <v>0</v>
      </c>
      <c r="AB184" s="12" t="str">
        <f>""</f>
        <v/>
      </c>
      <c r="AC184" s="2"/>
      <c r="AD184" s="143"/>
      <c r="AI184" s="9" t="str">
        <f>IF(AA112&gt;0,AF112&amp;Language!$E$96&amp;AE112,"")</f>
        <v/>
      </c>
    </row>
    <row r="185" spans="25:35" x14ac:dyDescent="0.2">
      <c r="Y185" s="66" t="s">
        <v>71</v>
      </c>
      <c r="Z185" s="34" t="str">
        <f>""</f>
        <v/>
      </c>
      <c r="AA185" s="12">
        <v>0</v>
      </c>
      <c r="AB185" s="12" t="str">
        <f>""</f>
        <v/>
      </c>
      <c r="AC185" s="2"/>
      <c r="AD185" s="143"/>
      <c r="AI185" s="9" t="str">
        <f>IF(AA113&gt;0,AF113&amp;Language!$E$96&amp;AE113,"")</f>
        <v/>
      </c>
    </row>
    <row r="186" spans="25:35" x14ac:dyDescent="0.2">
      <c r="Y186" s="66" t="s">
        <v>72</v>
      </c>
      <c r="Z186" s="34" t="str">
        <f>""</f>
        <v/>
      </c>
      <c r="AA186" s="12">
        <v>0</v>
      </c>
      <c r="AB186" s="12" t="str">
        <f>""</f>
        <v/>
      </c>
      <c r="AC186" s="2"/>
      <c r="AD186" s="143"/>
      <c r="AI186" s="9" t="str">
        <f>IF(AA114&gt;0,AF114&amp;Language!$E$96&amp;AE114,"")</f>
        <v/>
      </c>
    </row>
    <row r="187" spans="25:35" x14ac:dyDescent="0.2">
      <c r="Y187" s="66" t="s">
        <v>73</v>
      </c>
      <c r="Z187" s="34" t="str">
        <f>""</f>
        <v/>
      </c>
      <c r="AA187" s="12">
        <v>0</v>
      </c>
      <c r="AB187" s="12" t="str">
        <f>""</f>
        <v/>
      </c>
      <c r="AC187" s="2"/>
      <c r="AD187" s="143"/>
      <c r="AI187" s="9" t="str">
        <f>IF(AA115&gt;0,AF115&amp;Language!$E$96&amp;AE115,"")</f>
        <v/>
      </c>
    </row>
    <row r="188" spans="25:35" x14ac:dyDescent="0.2">
      <c r="Y188" s="66" t="s">
        <v>74</v>
      </c>
      <c r="Z188" s="34" t="str">
        <f>""</f>
        <v/>
      </c>
      <c r="AA188" s="12">
        <v>0</v>
      </c>
      <c r="AB188" s="12" t="str">
        <f>""</f>
        <v/>
      </c>
      <c r="AC188" s="2"/>
      <c r="AD188" s="143"/>
      <c r="AI188" s="9" t="str">
        <f>IF(AA116&gt;0,AF116&amp;Language!$E$96&amp;AE116,"")</f>
        <v/>
      </c>
    </row>
    <row r="189" spans="25:35" x14ac:dyDescent="0.2">
      <c r="Y189" s="66" t="s">
        <v>75</v>
      </c>
      <c r="Z189" s="34" t="str">
        <f>""</f>
        <v/>
      </c>
      <c r="AA189" s="12">
        <v>0</v>
      </c>
      <c r="AB189" s="12" t="str">
        <f>""</f>
        <v/>
      </c>
      <c r="AC189" s="2"/>
      <c r="AD189" s="143"/>
      <c r="AI189" s="9" t="str">
        <f>IF(AA117&gt;0,AF117&amp;Language!$E$96&amp;AE117,"")</f>
        <v/>
      </c>
    </row>
    <row r="190" spans="25:35" x14ac:dyDescent="0.2">
      <c r="Y190" s="66" t="s">
        <v>76</v>
      </c>
      <c r="Z190" s="34" t="str">
        <f>""</f>
        <v/>
      </c>
      <c r="AA190" s="12">
        <v>0</v>
      </c>
      <c r="AB190" s="12" t="str">
        <f>""</f>
        <v/>
      </c>
      <c r="AC190" s="2"/>
      <c r="AD190" s="143"/>
      <c r="AI190" s="9" t="str">
        <f>IF(AA118&gt;0,AF118&amp;Language!$E$96&amp;AE118,"")</f>
        <v/>
      </c>
    </row>
    <row r="191" spans="25:35" x14ac:dyDescent="0.2">
      <c r="Y191" s="66" t="s">
        <v>77</v>
      </c>
      <c r="Z191" s="34" t="str">
        <f>""</f>
        <v/>
      </c>
      <c r="AA191" s="12">
        <v>0</v>
      </c>
      <c r="AB191" s="12" t="str">
        <f>""</f>
        <v/>
      </c>
      <c r="AC191" s="2"/>
      <c r="AD191" s="143"/>
      <c r="AI191" s="9" t="str">
        <f>IF(AA119&gt;0,AF119&amp;Language!$E$96&amp;AE119,"")</f>
        <v/>
      </c>
    </row>
    <row r="192" spans="25:35" x14ac:dyDescent="0.2">
      <c r="Y192" s="66" t="s">
        <v>78</v>
      </c>
      <c r="Z192" s="34" t="str">
        <f>""</f>
        <v/>
      </c>
      <c r="AA192" s="12">
        <v>0</v>
      </c>
      <c r="AB192" s="12" t="str">
        <f>""</f>
        <v/>
      </c>
      <c r="AC192" s="2"/>
      <c r="AD192" s="143"/>
      <c r="AI192" s="9" t="str">
        <f>IF(AA120&gt;0,AF120&amp;Language!$E$96&amp;AE120,"")</f>
        <v/>
      </c>
    </row>
    <row r="193" spans="25:35" x14ac:dyDescent="0.2">
      <c r="Y193" s="66" t="s">
        <v>79</v>
      </c>
      <c r="Z193" s="34" t="str">
        <f>""</f>
        <v/>
      </c>
      <c r="AA193" s="12">
        <v>0</v>
      </c>
      <c r="AB193" s="12" t="str">
        <f>""</f>
        <v/>
      </c>
      <c r="AC193" s="2"/>
      <c r="AD193" s="143"/>
      <c r="AI193" s="9" t="str">
        <f>IF(AA121&gt;0,AF121&amp;Language!$E$96&amp;AE121,"")</f>
        <v/>
      </c>
    </row>
    <row r="194" spans="25:35" x14ac:dyDescent="0.2">
      <c r="Y194" s="66" t="s">
        <v>80</v>
      </c>
      <c r="Z194" s="34" t="str">
        <f>""</f>
        <v/>
      </c>
      <c r="AA194" s="12">
        <v>0</v>
      </c>
      <c r="AB194" s="12" t="str">
        <f>""</f>
        <v/>
      </c>
      <c r="AC194" s="2"/>
      <c r="AD194" s="143"/>
      <c r="AI194" s="9" t="str">
        <f>IF(AA122&gt;0,AF122&amp;Language!$E$96&amp;AE122,"")</f>
        <v/>
      </c>
    </row>
    <row r="195" spans="25:35" x14ac:dyDescent="0.2">
      <c r="Y195" s="66" t="s">
        <v>81</v>
      </c>
      <c r="Z195" s="34" t="str">
        <f>""</f>
        <v/>
      </c>
      <c r="AA195" s="12">
        <v>0</v>
      </c>
      <c r="AB195" s="12" t="str">
        <f>""</f>
        <v/>
      </c>
      <c r="AC195" s="2"/>
      <c r="AD195" s="143"/>
      <c r="AI195" s="9" t="str">
        <f>IF(AA123&gt;0,AF123&amp;Language!$E$96&amp;AE123,"")</f>
        <v/>
      </c>
    </row>
    <row r="196" spans="25:35" x14ac:dyDescent="0.2">
      <c r="Y196" s="66" t="s">
        <v>82</v>
      </c>
      <c r="Z196" s="34" t="str">
        <f>""</f>
        <v/>
      </c>
      <c r="AA196" s="12">
        <v>0</v>
      </c>
      <c r="AB196" s="12" t="str">
        <f>""</f>
        <v/>
      </c>
      <c r="AC196" s="2"/>
      <c r="AD196" s="143"/>
    </row>
    <row r="197" spans="25:35" x14ac:dyDescent="0.2">
      <c r="Y197" s="66" t="s">
        <v>83</v>
      </c>
      <c r="Z197" s="34" t="str">
        <f>""</f>
        <v/>
      </c>
      <c r="AA197" s="12">
        <v>0</v>
      </c>
      <c r="AB197" s="12" t="str">
        <f>""</f>
        <v/>
      </c>
      <c r="AC197" s="2"/>
      <c r="AD197" s="143"/>
    </row>
    <row r="198" spans="25:35" x14ac:dyDescent="0.2">
      <c r="Y198" s="66" t="s">
        <v>84</v>
      </c>
      <c r="Z198" s="34" t="str">
        <f>""</f>
        <v/>
      </c>
      <c r="AA198" s="12">
        <v>0</v>
      </c>
      <c r="AB198" s="12" t="str">
        <f>""</f>
        <v/>
      </c>
      <c r="AC198" s="2"/>
      <c r="AD198" s="143"/>
    </row>
    <row r="199" spans="25:35" x14ac:dyDescent="0.2">
      <c r="Y199" s="66" t="s">
        <v>85</v>
      </c>
      <c r="Z199" s="34" t="str">
        <f>""</f>
        <v/>
      </c>
      <c r="AA199" s="12">
        <v>0</v>
      </c>
      <c r="AB199" s="12" t="str">
        <f>""</f>
        <v/>
      </c>
      <c r="AC199" s="2"/>
      <c r="AD199" s="143"/>
    </row>
    <row r="200" spans="25:35" x14ac:dyDescent="0.2">
      <c r="Y200" s="66" t="s">
        <v>86</v>
      </c>
      <c r="Z200" s="34" t="str">
        <f>""</f>
        <v/>
      </c>
      <c r="AA200" s="12">
        <v>0</v>
      </c>
      <c r="AB200" s="12" t="str">
        <f>""</f>
        <v/>
      </c>
      <c r="AC200" s="2"/>
      <c r="AD200" s="143"/>
    </row>
    <row r="201" spans="25:35" x14ac:dyDescent="0.2">
      <c r="Y201" s="66" t="s">
        <v>87</v>
      </c>
      <c r="Z201" s="34" t="str">
        <f>""</f>
        <v/>
      </c>
      <c r="AA201" s="12">
        <v>0</v>
      </c>
      <c r="AB201" s="12" t="str">
        <f>""</f>
        <v/>
      </c>
      <c r="AC201" s="2"/>
      <c r="AD201" s="143"/>
    </row>
    <row r="202" spans="25:35" x14ac:dyDescent="0.2">
      <c r="Y202" s="66" t="s">
        <v>88</v>
      </c>
      <c r="Z202" s="34" t="str">
        <f>""</f>
        <v/>
      </c>
      <c r="AA202" s="12">
        <v>0</v>
      </c>
      <c r="AB202" s="12" t="str">
        <f>""</f>
        <v/>
      </c>
      <c r="AC202" s="2"/>
      <c r="AD202" s="143"/>
    </row>
    <row r="203" spans="25:35" x14ac:dyDescent="0.2">
      <c r="Y203" s="66" t="s">
        <v>89</v>
      </c>
      <c r="Z203" s="34" t="str">
        <f>""</f>
        <v/>
      </c>
      <c r="AA203" s="12">
        <v>0</v>
      </c>
      <c r="AB203" s="12" t="str">
        <f>""</f>
        <v/>
      </c>
      <c r="AC203" s="2"/>
      <c r="AD203" s="143"/>
    </row>
    <row r="204" spans="25:35" x14ac:dyDescent="0.2">
      <c r="Y204" s="66" t="s">
        <v>90</v>
      </c>
      <c r="Z204" s="34" t="str">
        <f>""</f>
        <v/>
      </c>
      <c r="AA204" s="12">
        <v>0</v>
      </c>
      <c r="AB204" s="12" t="str">
        <f>""</f>
        <v/>
      </c>
      <c r="AC204" s="2"/>
      <c r="AD204" s="143"/>
    </row>
    <row r="205" spans="25:35" x14ac:dyDescent="0.2">
      <c r="Y205" s="66" t="s">
        <v>91</v>
      </c>
      <c r="Z205" s="34" t="str">
        <f>""</f>
        <v/>
      </c>
      <c r="AA205" s="12">
        <v>0</v>
      </c>
      <c r="AB205" s="12" t="str">
        <f>""</f>
        <v/>
      </c>
      <c r="AC205" s="2"/>
      <c r="AD205" s="143"/>
    </row>
    <row r="206" spans="25:35" x14ac:dyDescent="0.2">
      <c r="Y206" s="66" t="s">
        <v>92</v>
      </c>
      <c r="Z206" s="34" t="str">
        <f>""</f>
        <v/>
      </c>
      <c r="AA206" s="12">
        <v>0</v>
      </c>
      <c r="AB206" s="12" t="str">
        <f>""</f>
        <v/>
      </c>
      <c r="AC206" s="2"/>
      <c r="AD206" s="143"/>
    </row>
    <row r="207" spans="25:35" ht="12.75" thickBot="1" x14ac:dyDescent="0.25">
      <c r="Y207" s="67" t="s">
        <v>93</v>
      </c>
      <c r="Z207" s="36" t="str">
        <f>""</f>
        <v/>
      </c>
      <c r="AA207" s="37">
        <v>0</v>
      </c>
      <c r="AB207" s="144" t="str">
        <f>""</f>
        <v/>
      </c>
      <c r="AC207" s="146"/>
      <c r="AD207" s="145"/>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27" t="s">
        <v>109</v>
      </c>
      <c r="J3" s="727" t="s">
        <v>110</v>
      </c>
      <c r="K3" s="72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3</v>
      </c>
      <c r="D4" s="12">
        <f ca="1">E4+ROW()/1000+(F4="")*10</f>
        <v>3.004</v>
      </c>
      <c r="E4" s="266">
        <f ca="1">IF($AI$15,RANK(AH17,AH$17:AH$25,1),RANK(X17,X$17:X$25,1))</f>
        <v>3</v>
      </c>
      <c r="F4" s="1" t="str">
        <f ca="1">$Q64</f>
        <v>FC Barcelona</v>
      </c>
      <c r="G4" s="1">
        <f ca="1">SUMIFS($X$64:$X$135,$V$64:$V$135,$F4)+SUMIFS($Y$64:$Y$135,$W$64:$W$135,$F4)+SUMIFS($AG$64:$AG$135,$V$64:$V$135,$F4)+SUMIFS($AH$64:$AH$135,$W$64:$W$135,$F4)</f>
        <v>187</v>
      </c>
      <c r="H4" s="1">
        <f ca="1">SUMIFS($Y$64:$Y$135,$V$64:$V$135,$F4)+SUMIFS($X$64:$X$135,$W$64:$W$135,$F4)+SUMIFS($AH$64:$AH$135,$V$64:$V$135,$F4)+SUMIFS($AG$64:$AG$135,$W$64:$W$135,$F4)</f>
        <v>162</v>
      </c>
      <c r="I4" s="12">
        <f ca="1">IF(Settings!$G$7,G4-H4,IF(H4=0,IF(G4=0,0,Settings!$F$7),G4/H4))</f>
        <v>25</v>
      </c>
      <c r="J4" s="1">
        <f ca="1">SUMPRODUCT(($V$64:$V$135=F4)*$AE$64:$AE$135*$AA$64:$AA$135)+SUMPRODUCT(($W$64:$W$135=F4)*$AF$64:$AF$135*$AA$64:$AA$135)</f>
        <v>6</v>
      </c>
      <c r="K4" s="1">
        <f ca="1">SUMPRODUCT(($V$64:$V$135=F4)*$AA$64:$AA$135)+SUMPRODUCT(($W$64:$W$135=F4)*$AA$64:$AA$135)</f>
        <v>4</v>
      </c>
      <c r="L4" s="1">
        <f ca="1">K4-M4-N4</f>
        <v>2</v>
      </c>
      <c r="M4" s="1">
        <f ca="1">SUMPRODUCT(($V$64:$W$135=F4)*($AE$64:$AE$135=$AF$64:$AF$135)*$AA$64:$AA$135)</f>
        <v>2</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25</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Inter Mailand</v>
      </c>
      <c r="G5" s="1">
        <f t="shared" ref="G5:G12" ca="1" si="4">SUMIFS($X$64:$X$135,$V$64:$V$135,$F5)+SUMIFS($Y$64:$Y$135,$W$64:$W$135,$F5)+SUMIFS($AG$64:$AG$135,$V$64:$V$135,$F5)+SUMIFS($AH$64:$AH$135,$W$64:$W$135,$F5)</f>
        <v>192</v>
      </c>
      <c r="H5" s="1">
        <f t="shared" ref="H5:H12" ca="1" si="5">SUMIFS($Y$64:$Y$135,$V$64:$V$135,$F5)+SUMIFS($X$64:$X$135,$W$64:$W$135,$F5)+SUMIFS($AH$64:$AH$135,$V$64:$V$135,$F5)+SUMIFS($AG$64:$AG$135,$W$64:$W$135,$F5)</f>
        <v>148</v>
      </c>
      <c r="I5" s="12">
        <f ca="1">IF(Settings!$G$7,G5-H5,IF(H5=0,IF(G5=0,0,Settings!$F$7),G5/H5))</f>
        <v>44</v>
      </c>
      <c r="J5" s="1">
        <f t="shared" ref="J5:J12" ca="1" si="6">SUMPRODUCT(($V$64:$V$135=F5)*$AE$64:$AE$135*$AA$64:$AA$135)+SUMPRODUCT(($W$64:$W$135=F5)*$AF$64:$AF$135*$AA$64:$AA$135)</f>
        <v>6</v>
      </c>
      <c r="K5" s="1">
        <f t="shared" ref="K5:K12" ca="1" si="7">SUMPRODUCT(($V$64:$V$135=F5)*$AA$64:$AA$135)+SUMPRODUCT(($W$64:$W$135=F5)*$AA$64:$AA$135)</f>
        <v>4</v>
      </c>
      <c r="L5" s="1">
        <f t="shared" ref="L5:L12" ca="1" si="8">K5-M5-N5</f>
        <v>2</v>
      </c>
      <c r="M5" s="1">
        <f t="shared" ref="M5:M12" ca="1" si="9">SUMPRODUCT(($V$64:$W$135=F5)*($AE$64:$AE$135=$AF$64:$AF$135)*$AA$64:$AA$135)</f>
        <v>2</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44</v>
      </c>
    </row>
    <row r="6" spans="1:44" s="2" customFormat="1" x14ac:dyDescent="0.2">
      <c r="A6" s="254"/>
      <c r="B6" s="1">
        <v>3</v>
      </c>
      <c r="C6" s="21">
        <f t="shared" ca="1" si="0"/>
        <v>1</v>
      </c>
      <c r="D6" s="12">
        <f t="shared" ca="1" si="1"/>
        <v>1.006</v>
      </c>
      <c r="E6" s="266">
        <f t="shared" ca="1" si="2"/>
        <v>1</v>
      </c>
      <c r="F6" s="1" t="str">
        <f t="shared" ca="1" si="3"/>
        <v>Borussia Dortmund</v>
      </c>
      <c r="G6" s="1">
        <f t="shared" ca="1" si="4"/>
        <v>196</v>
      </c>
      <c r="H6" s="1">
        <f t="shared" ca="1" si="5"/>
        <v>138</v>
      </c>
      <c r="I6" s="12">
        <f ca="1">IF(Settings!$G$7,G6-H6,IF(H6=0,IF(G6=0,0,Settings!$F$7),G6/H6))</f>
        <v>58</v>
      </c>
      <c r="J6" s="1">
        <f t="shared" ca="1" si="6"/>
        <v>7</v>
      </c>
      <c r="K6" s="1">
        <f t="shared" ca="1" si="7"/>
        <v>4</v>
      </c>
      <c r="L6" s="1">
        <f t="shared" ca="1" si="8"/>
        <v>3</v>
      </c>
      <c r="M6" s="1">
        <f t="shared" ca="1" si="9"/>
        <v>1</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58</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FC Barcelona</v>
      </c>
      <c r="D17" s="1">
        <f t="shared" ref="D17:G25" ca="1" si="11">K4</f>
        <v>4</v>
      </c>
      <c r="E17" s="1">
        <f t="shared" ca="1" si="11"/>
        <v>2</v>
      </c>
      <c r="F17" s="1">
        <f t="shared" ca="1" si="11"/>
        <v>2</v>
      </c>
      <c r="G17" s="1">
        <f t="shared" ca="1" si="11"/>
        <v>0</v>
      </c>
      <c r="H17" s="1">
        <f t="shared" ref="H17:K25" ca="1" si="12">G4</f>
        <v>187</v>
      </c>
      <c r="I17" s="1">
        <f t="shared" ca="1" si="12"/>
        <v>162</v>
      </c>
      <c r="J17" s="12">
        <f t="shared" ca="1" si="12"/>
        <v>25</v>
      </c>
      <c r="K17" s="1">
        <f t="shared" ca="1" si="12"/>
        <v>6</v>
      </c>
      <c r="L17" s="29">
        <f ca="1">K17*$F$64+(J17+$H$65)*$F$65</f>
        <v>6525000</v>
      </c>
      <c r="M17" s="13">
        <f ca="1">IF($AI$15,COUNTIF($K$17:$K$25,K17),COUNTIF($L$17:$L$25,L17))</f>
        <v>1</v>
      </c>
      <c r="N17" s="13">
        <f t="array" aca="1" ref="N17" ca="1">IF($AI$15,SUM(($K$17:$K$25&gt;=K17)/COUNTIF($K$17:$K$25,$K$17:$K$25)),SUM(($L$17:$L$25&gt;=L17)/COUNTIF($L$17:$L$25,$L$17:$L$25)))</f>
        <v>3</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3.0108999999999999</v>
      </c>
      <c r="Y17" s="12">
        <v>0</v>
      </c>
      <c r="Z17" s="1">
        <f ca="1">RANK($W17,$W$17:$W$25)+(9-$Y17)/10</f>
        <v>1.9</v>
      </c>
      <c r="AA17" s="1">
        <f ca="1">SUM(E30:BP30)</f>
        <v>0</v>
      </c>
      <c r="AB17" s="1">
        <f ca="1">SUM(E41:BP41)</f>
        <v>0</v>
      </c>
      <c r="AC17" s="1"/>
      <c r="AD17" s="260">
        <f ca="1">RANK($K17,$K$17:$K$25)</f>
        <v>2</v>
      </c>
      <c r="AE17" s="29">
        <f ca="1">(J17+$H$65)*$F$65</f>
        <v>525000</v>
      </c>
      <c r="AF17" s="1">
        <f ca="1">RANK($AE17,$AE$17:$AE$25)</f>
        <v>3</v>
      </c>
      <c r="AG17" s="1">
        <f ca="1">RANK($W17,$W$17:$W$25)</f>
        <v>1</v>
      </c>
      <c r="AH17" s="262">
        <f ca="1">AD17+AG17/100+AF17/10000+(10-Y17)/1000000</f>
        <v>2.01031</v>
      </c>
      <c r="AI17" s="1"/>
    </row>
    <row r="18" spans="2:80" s="2" customFormat="1" x14ac:dyDescent="0.2">
      <c r="C18" s="2" t="str">
        <f t="shared" ref="C18:C25" ca="1" si="21">$Q65</f>
        <v>Inter Mailand</v>
      </c>
      <c r="D18" s="1">
        <f t="shared" ca="1" si="11"/>
        <v>4</v>
      </c>
      <c r="E18" s="1">
        <f t="shared" ca="1" si="11"/>
        <v>2</v>
      </c>
      <c r="F18" s="1">
        <f t="shared" ca="1" si="11"/>
        <v>2</v>
      </c>
      <c r="G18" s="1">
        <f t="shared" ca="1" si="11"/>
        <v>0</v>
      </c>
      <c r="H18" s="1">
        <f t="shared" ca="1" si="12"/>
        <v>192</v>
      </c>
      <c r="I18" s="1">
        <f t="shared" ca="1" si="12"/>
        <v>148</v>
      </c>
      <c r="J18" s="12">
        <f t="shared" ca="1" si="12"/>
        <v>44</v>
      </c>
      <c r="K18" s="1">
        <f t="shared" ca="1" si="12"/>
        <v>6</v>
      </c>
      <c r="L18" s="29">
        <f t="shared" ref="L18:L25" ca="1" si="22">K18*$F$64+(J18+$H$65)*$F$65</f>
        <v>6544000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2.0108999999999999</v>
      </c>
      <c r="Y18" s="12">
        <v>0</v>
      </c>
      <c r="Z18" s="1">
        <f t="shared" ref="Z18:Z25" ca="1" si="26">RANK($W18,$W$17:$W$25)+(9-$Y18)/10</f>
        <v>1.9</v>
      </c>
      <c r="AA18" s="1">
        <f t="shared" ref="AA18:AA25" ca="1" si="27">SUM(E31:BP31)</f>
        <v>0</v>
      </c>
      <c r="AB18" s="1">
        <f t="shared" ref="AB18:AB25" ca="1" si="28">SUM(E42:BP42)</f>
        <v>0</v>
      </c>
      <c r="AC18" s="1"/>
      <c r="AD18" s="260">
        <f t="shared" ref="AD18:AD25" ca="1" si="29">RANK($K18,$K$17:$K$25)</f>
        <v>2</v>
      </c>
      <c r="AE18" s="29">
        <f t="shared" ref="AE18:AE25" ca="1" si="30">(J18+$H$65)*$F$65</f>
        <v>544000</v>
      </c>
      <c r="AF18" s="1">
        <f t="shared" ref="AF18:AF25" ca="1" si="31">RANK($AE18,$AE$17:$AE$25)</f>
        <v>2</v>
      </c>
      <c r="AG18" s="1">
        <f t="shared" ref="AG18:AG25" ca="1" si="32">RANK($W18,$W$17:$W$25)</f>
        <v>1</v>
      </c>
      <c r="AH18" s="263">
        <f t="shared" ref="AH18:AH25" ca="1" si="33">AD18+AG18/100+AF18/10000+(10-Y18)/1000000</f>
        <v>2.0102099999999998</v>
      </c>
      <c r="AI18" s="1"/>
    </row>
    <row r="19" spans="2:80" s="2" customFormat="1" x14ac:dyDescent="0.2">
      <c r="C19" s="2" t="str">
        <f t="shared" ca="1" si="21"/>
        <v>Borussia Dortmund</v>
      </c>
      <c r="D19" s="1">
        <f t="shared" ca="1" si="11"/>
        <v>4</v>
      </c>
      <c r="E19" s="1">
        <f t="shared" ca="1" si="11"/>
        <v>3</v>
      </c>
      <c r="F19" s="1">
        <f t="shared" ca="1" si="11"/>
        <v>1</v>
      </c>
      <c r="G19" s="1">
        <f t="shared" ca="1" si="11"/>
        <v>0</v>
      </c>
      <c r="H19" s="1">
        <f t="shared" ca="1" si="12"/>
        <v>196</v>
      </c>
      <c r="I19" s="1">
        <f t="shared" ca="1" si="12"/>
        <v>138</v>
      </c>
      <c r="J19" s="12">
        <f t="shared" ca="1" si="12"/>
        <v>58</v>
      </c>
      <c r="K19" s="1">
        <f t="shared" ca="1" si="12"/>
        <v>7</v>
      </c>
      <c r="L19" s="29">
        <f t="shared" ca="1" si="22"/>
        <v>7558000</v>
      </c>
      <c r="M19" s="13">
        <f t="shared" ca="1" si="23"/>
        <v>1</v>
      </c>
      <c r="N19" s="13">
        <f t="array" aca="1" ref="N19" ca="1">IF($AI$15,SUM(($K$17:$K$25&gt;=K19)/COUNTIF($K$17:$K$25,$K$17:$K$25)),SUM(($L$17:$L$25&gt;=L19)/COUNTIF($L$17:$L$25,$L$17:$L$25)))</f>
        <v>1</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1.0108999999999999</v>
      </c>
      <c r="Y19" s="12">
        <v>0</v>
      </c>
      <c r="Z19" s="1">
        <f t="shared" ca="1" si="26"/>
        <v>1.9</v>
      </c>
      <c r="AA19" s="1">
        <f t="shared" ca="1" si="27"/>
        <v>0</v>
      </c>
      <c r="AB19" s="1">
        <f t="shared" ca="1" si="28"/>
        <v>0</v>
      </c>
      <c r="AC19" s="1"/>
      <c r="AD19" s="260">
        <f t="shared" ca="1" si="29"/>
        <v>1</v>
      </c>
      <c r="AE19" s="29">
        <f t="shared" ca="1" si="30"/>
        <v>558000</v>
      </c>
      <c r="AF19" s="1">
        <f t="shared" ca="1" si="31"/>
        <v>1</v>
      </c>
      <c r="AG19" s="1">
        <f t="shared" ca="1" si="32"/>
        <v>1</v>
      </c>
      <c r="AH19" s="263">
        <f t="shared" ca="1" si="33"/>
        <v>1.0101100000000001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4.0108999999999995</v>
      </c>
      <c r="Y20" s="12">
        <v>0</v>
      </c>
      <c r="Z20" s="1">
        <f t="shared" ca="1" si="26"/>
        <v>1.9</v>
      </c>
      <c r="AA20" s="1">
        <f t="shared" ca="1" si="27"/>
        <v>0</v>
      </c>
      <c r="AB20" s="1">
        <f t="shared" ca="1" si="28"/>
        <v>0</v>
      </c>
      <c r="AC20" s="1"/>
      <c r="AD20" s="260">
        <f t="shared" ca="1" si="29"/>
        <v>4</v>
      </c>
      <c r="AE20" s="29">
        <f t="shared" ca="1" si="30"/>
        <v>500000</v>
      </c>
      <c r="AF20" s="1">
        <f t="shared" ca="1" si="31"/>
        <v>4</v>
      </c>
      <c r="AG20" s="1">
        <f t="shared" ca="1" si="32"/>
        <v>1</v>
      </c>
      <c r="AH20" s="263">
        <f t="shared" ca="1" si="33"/>
        <v>4.0104099999999994</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4.0108999999999995</v>
      </c>
      <c r="Y21" s="12">
        <v>0</v>
      </c>
      <c r="Z21" s="1">
        <f t="shared" ca="1" si="26"/>
        <v>1.9</v>
      </c>
      <c r="AA21" s="1">
        <f t="shared" ca="1" si="27"/>
        <v>0</v>
      </c>
      <c r="AB21" s="1">
        <f t="shared" ca="1" si="28"/>
        <v>0</v>
      </c>
      <c r="AC21" s="1"/>
      <c r="AD21" s="260">
        <f t="shared" ca="1" si="29"/>
        <v>4</v>
      </c>
      <c r="AE21" s="29">
        <f t="shared" ca="1" si="30"/>
        <v>500000</v>
      </c>
      <c r="AF21" s="1">
        <f t="shared" ca="1" si="31"/>
        <v>4</v>
      </c>
      <c r="AG21" s="1">
        <f t="shared" ca="1" si="32"/>
        <v>1</v>
      </c>
      <c r="AH21" s="263">
        <f t="shared" ca="1" si="33"/>
        <v>4.0104099999999994</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4.0108999999999995</v>
      </c>
      <c r="Y22" s="12">
        <v>0</v>
      </c>
      <c r="Z22" s="1">
        <f t="shared" ca="1" si="26"/>
        <v>1.9</v>
      </c>
      <c r="AA22" s="1">
        <f t="shared" ca="1" si="27"/>
        <v>0</v>
      </c>
      <c r="AB22" s="1">
        <f t="shared" ca="1" si="28"/>
        <v>0</v>
      </c>
      <c r="AC22" s="1"/>
      <c r="AD22" s="260">
        <f t="shared" ca="1" si="29"/>
        <v>4</v>
      </c>
      <c r="AE22" s="29">
        <f t="shared" ca="1" si="30"/>
        <v>500000</v>
      </c>
      <c r="AF22" s="1">
        <f t="shared" ca="1" si="31"/>
        <v>4</v>
      </c>
      <c r="AG22" s="1">
        <f t="shared" ca="1" si="32"/>
        <v>1</v>
      </c>
      <c r="AH22" s="263">
        <f t="shared" ca="1" si="33"/>
        <v>4.0104099999999994</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4.0108999999999995</v>
      </c>
      <c r="Y23" s="12">
        <v>0</v>
      </c>
      <c r="Z23" s="1">
        <f t="shared" ca="1" si="26"/>
        <v>1.9</v>
      </c>
      <c r="AA23" s="1">
        <f t="shared" ca="1" si="27"/>
        <v>0</v>
      </c>
      <c r="AB23" s="1">
        <f t="shared" ca="1" si="28"/>
        <v>0</v>
      </c>
      <c r="AC23" s="1"/>
      <c r="AD23" s="260">
        <f t="shared" ca="1" si="29"/>
        <v>4</v>
      </c>
      <c r="AE23" s="29">
        <f t="shared" ca="1" si="30"/>
        <v>500000</v>
      </c>
      <c r="AF23" s="1">
        <f t="shared" ca="1" si="31"/>
        <v>4</v>
      </c>
      <c r="AG23" s="1">
        <f t="shared" ca="1" si="32"/>
        <v>1</v>
      </c>
      <c r="AH23" s="263">
        <f t="shared" ca="1" si="33"/>
        <v>4.0104099999999994</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4.0108999999999995</v>
      </c>
      <c r="Y24" s="12">
        <v>0</v>
      </c>
      <c r="Z24" s="1">
        <f t="shared" ca="1" si="26"/>
        <v>1.9</v>
      </c>
      <c r="AA24" s="1">
        <f t="shared" ca="1" si="27"/>
        <v>0</v>
      </c>
      <c r="AB24" s="1">
        <f t="shared" ca="1" si="28"/>
        <v>0</v>
      </c>
      <c r="AC24" s="1"/>
      <c r="AD24" s="260">
        <f t="shared" ca="1" si="29"/>
        <v>4</v>
      </c>
      <c r="AE24" s="29">
        <f t="shared" ca="1" si="30"/>
        <v>500000</v>
      </c>
      <c r="AF24" s="1">
        <f t="shared" ca="1" si="31"/>
        <v>4</v>
      </c>
      <c r="AG24" s="1">
        <f t="shared" ca="1" si="32"/>
        <v>1</v>
      </c>
      <c r="AH24" s="263">
        <f t="shared" ca="1" si="33"/>
        <v>4.0104099999999994</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4.0108999999999995</v>
      </c>
      <c r="Y25" s="12">
        <v>0</v>
      </c>
      <c r="Z25" s="1">
        <f t="shared" ca="1" si="26"/>
        <v>1.9</v>
      </c>
      <c r="AA25" s="1">
        <f t="shared" ca="1" si="27"/>
        <v>0</v>
      </c>
      <c r="AB25" s="1">
        <f t="shared" ca="1" si="28"/>
        <v>0</v>
      </c>
      <c r="AC25" s="1"/>
      <c r="AD25" s="260">
        <f t="shared" ca="1" si="29"/>
        <v>4</v>
      </c>
      <c r="AE25" s="29">
        <f t="shared" ca="1" si="30"/>
        <v>500000</v>
      </c>
      <c r="AF25" s="1">
        <f t="shared" ca="1" si="31"/>
        <v>4</v>
      </c>
      <c r="AG25" s="1">
        <f t="shared" ca="1" si="32"/>
        <v>1</v>
      </c>
      <c r="AH25" s="264">
        <f t="shared" ca="1" si="33"/>
        <v>4.0104099999999994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FC Barcelona</v>
      </c>
      <c r="BT29" s="2" t="str">
        <f ca="1">$F$5</f>
        <v>Inter Mailand</v>
      </c>
      <c r="BU29" s="2" t="str">
        <f ca="1">$F$6</f>
        <v>Borussia Dortmund</v>
      </c>
      <c r="BV29" s="2" t="str">
        <f>$F$7</f>
        <v/>
      </c>
      <c r="BW29" s="2" t="str">
        <f>$F$8</f>
        <v/>
      </c>
      <c r="BX29" s="2" t="str">
        <f>$F$9</f>
        <v/>
      </c>
      <c r="BY29" s="2" t="str">
        <f>$F$10</f>
        <v/>
      </c>
      <c r="BZ29" s="2" t="str">
        <f>$F$11</f>
        <v/>
      </c>
      <c r="CA29" s="2" t="str">
        <f>$F$12</f>
        <v/>
      </c>
      <c r="CB29" s="51"/>
    </row>
    <row r="30" spans="2:80" s="2" customFormat="1" x14ac:dyDescent="0.2">
      <c r="C30" s="2" t="str">
        <f ca="1">$Q64</f>
        <v>FC Barcelona</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FC Barcelona</v>
      </c>
      <c r="BS30" s="6"/>
      <c r="BT30" s="7">
        <f t="shared" ref="BT30:CA37" ca="1" si="35">SUMIFS($X$64:$X$135,$V$64:$V$135,$BR30,$W$64:$W$135,BT$29)+SUMIFS($Y$64:$Y$135,$W$64:$W$135,$BR30,$V$64:$V$135,BT$29)+SUMIFS($AG$64:$AG$135,$V$64:$V$135,$BR30,$W$64:$W$135,BT$29)+SUMIFS($AH$64:$AH$135,$W$64:$W$135,$BR30,$V$64:$V$135,BT$29)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Inter Mailand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Inter Mailand</v>
      </c>
      <c r="BS31" s="8">
        <f ca="1">SUMIFS($X$64:$X$135,$V$64:$V$135,$BR31,$W$64:$W$135,BS$29)+SUMIFS($Y$64:$Y$135,$W$64:$W$135,$BR31,$V$64:$V$135,BS$29)+SUMIFS($AG$64:$AG$135,$V$64:$V$135,$BR31,$W$64:$W$135,BS$29)+SUMIFS($AH$64:$AH$135,$W$64:$W$135,$BR31,$V$64:$V$135,BS$29)</f>
        <v>0</v>
      </c>
      <c r="BT31" s="6"/>
      <c r="BU31" s="7">
        <f ca="1">SUMIFS($X$64:$X$135,$V$64:$V$135,$BR31,$W$64:$W$135,BU$29)+SUMIFS($Y$64:$Y$135,$W$64:$W$135,$BR31,$V$64:$V$135,BU$29)+SUMIFS($AG$64:$AG$135,$V$64:$V$135,$BR31,$W$64:$W$135,BU$29)+SUMIFS($AH$64:$AH$135,$W$64:$W$135,$BR31,$V$64:$V$135,BU$29)</f>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Borussia Dortmund</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Borussia Dortmund</v>
      </c>
      <c r="BS32" s="8">
        <f t="shared" ref="BS32:BY38" ca="1" si="37">SUMIFS($X$64:$X$135,$V$64:$V$135,$BR32,$W$64:$W$135,BS$29)+SUMIFS($Y$64:$Y$135,$W$64:$W$135,$BR32,$V$64:$V$135,BS$29)+SUMIFS($AG$64:$AG$135,$V$64:$V$135,$BR32,$W$64:$W$135,BS$29)+SUMIFS($AH$64:$AH$135,$W$64:$W$135,$BR32,$V$64:$V$135,BS$29)</f>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FC Barcelona</v>
      </c>
      <c r="BT40" s="2" t="str">
        <f ca="1">$F$5</f>
        <v>Inter Mailand</v>
      </c>
      <c r="BU40" s="2" t="str">
        <f ca="1">$F$6</f>
        <v>Borussia Dortmund</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FC Barcelona</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Inter Mailand</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Borussia Dortmund</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FC Barcelona</v>
      </c>
      <c r="BT51" s="2" t="str">
        <f ca="1">$F$5</f>
        <v>Inter Mailand</v>
      </c>
      <c r="BU51" s="2" t="str">
        <f ca="1">$F$6</f>
        <v>Borussia Dortmund</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FC Barcelona</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Inter Mailand</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Borussia Dortmund</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IF(PreliminaryRound!$R$12="","",PreliminaryRound!$R$12)</f>
        <v>FC Barcelona</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IF(PreliminaryRound!$R$22="","",PreliminaryRound!$R$22)</f>
        <v>Inter Mailand</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IF(PreliminaryRound!$R$32="","",PreliminaryRound!$R$32)</f>
        <v>Borussia Dortmund</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7"/>
    <col min="3" max="3" width="21.85546875" style="104" customWidth="1"/>
    <col min="4" max="4" width="8.28515625" style="473" customWidth="1"/>
    <col min="5" max="5" width="16.140625" style="167" customWidth="1"/>
    <col min="6" max="6" width="14" style="167" customWidth="1"/>
    <col min="7" max="7" width="17.5703125" style="167" customWidth="1"/>
    <col min="8" max="8" width="5.7109375" style="167" customWidth="1"/>
    <col min="9" max="14" width="4.7109375" style="167" customWidth="1"/>
    <col min="15" max="15" width="10.42578125" style="167" customWidth="1"/>
    <col min="16" max="16" width="14.42578125" style="167" customWidth="1"/>
    <col min="17" max="17" width="12.140625" style="167" customWidth="1"/>
    <col min="18" max="44" width="4.7109375" customWidth="1"/>
  </cols>
  <sheetData>
    <row r="1" spans="2:44" ht="13.5" thickBot="1" x14ac:dyDescent="0.25"/>
    <row r="2" spans="2:44" ht="24.75" customHeight="1" thickTop="1" thickBot="1" x14ac:dyDescent="0.25">
      <c r="D2" s="479"/>
      <c r="E2" s="478">
        <f ca="1">COUNTIF($C$3:$C$92,"")</f>
        <v>0</v>
      </c>
      <c r="F2" s="478">
        <f t="array" aca="1" ref="F2" ca="1">SUMPRODUCT(($C$3:$C$92&lt;&gt;"")/($D$3:$D$92+($C$3:$C$92="")))</f>
        <v>90</v>
      </c>
      <c r="G2" s="491" t="str">
        <f ca="1">IF(E2+F2&lt;90,"FEHLER","okay")</f>
        <v>okay</v>
      </c>
      <c r="H2" s="478"/>
    </row>
    <row r="3" spans="2:44" ht="16.5" thickTop="1" x14ac:dyDescent="0.2">
      <c r="B3" s="167">
        <v>1</v>
      </c>
      <c r="C3" s="104" t="str">
        <f ca="1">IF(OR(Planning!$L6="",Planning!$N6=""),"Z"&amp;ROW($M6),Planning!$I6&amp;Planning!$F6)</f>
        <v>A50,375</v>
      </c>
      <c r="D3" s="121">
        <f t="array" aca="1" ref="D3:D92" ca="1">COUNTIF($C$3:$C$92,$C$3:$C$92)</f>
        <v>1</v>
      </c>
      <c r="E3" s="167" t="e">
        <f ca="1">IF($F$8&gt;45,$F$8-45,$F$8)</f>
        <v>#NUM!</v>
      </c>
      <c r="F3" s="408" t="s">
        <v>304</v>
      </c>
      <c r="G3" s="473"/>
    </row>
    <row r="4" spans="2:44" ht="15.75" x14ac:dyDescent="0.2">
      <c r="B4" s="167">
        <v>2</v>
      </c>
      <c r="C4" s="104" t="s">
        <v>302</v>
      </c>
      <c r="D4" s="121">
        <f ca="1"/>
        <v>1</v>
      </c>
      <c r="E4" s="167" t="e">
        <f ca="1">IF($F$9&gt;45,$F$9-45,$F$9)</f>
        <v>#NUM!</v>
      </c>
      <c r="F4" s="408" t="s">
        <v>305</v>
      </c>
    </row>
    <row r="5" spans="2:44" ht="15.75" x14ac:dyDescent="0.2">
      <c r="B5" s="167">
        <v>3</v>
      </c>
      <c r="C5" s="104" t="str">
        <f ca="1">IF(OR(Planning!$L8="",Planning!$N8=""),"Z"&amp;ROW($M8),Planning!$I8&amp;Planning!$F8)</f>
        <v>C50,375</v>
      </c>
      <c r="D5" s="121">
        <f ca="1"/>
        <v>1</v>
      </c>
      <c r="E5" s="408" t="str">
        <f t="array" aca="1" ref="E5" ca="1">VLOOKUP(MATCH($E$7,$D$3:$D$92,0),$B$3:$C$62,2,0)</f>
        <v>A50,375</v>
      </c>
      <c r="F5" s="500" t="s">
        <v>303</v>
      </c>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00"/>
      <c r="AO5" s="400"/>
      <c r="AP5" s="400"/>
      <c r="AQ5" s="400"/>
      <c r="AR5" s="400"/>
    </row>
    <row r="6" spans="2:44" ht="16.5" thickBot="1" x14ac:dyDescent="0.25">
      <c r="B6" s="167">
        <v>4</v>
      </c>
      <c r="C6" s="104" t="str">
        <f ca="1">IF(OR(Planning!$L9="",Planning!$N9=""),"Z"&amp;ROW($M9),Planning!$I9&amp;Planning!$F9)</f>
        <v>A30,399305555555556</v>
      </c>
      <c r="D6" s="121">
        <f ca="1"/>
        <v>1</v>
      </c>
      <c r="E6" s="167" t="str">
        <f ca="1">LEFT($E$5,2)</f>
        <v>A5</v>
      </c>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row>
    <row r="7" spans="2:44" ht="16.5" thickBot="1" x14ac:dyDescent="0.25">
      <c r="B7" s="167">
        <v>5</v>
      </c>
      <c r="C7" s="104" t="str">
        <f ca="1">IF(OR(Planning!$L10="",Planning!$N10=""),"Z"&amp;ROW($M10),Planning!$I10&amp;Planning!$F10)</f>
        <v>B30,399305555555556</v>
      </c>
      <c r="D7" s="121">
        <f ca="1"/>
        <v>1</v>
      </c>
      <c r="E7" s="535">
        <f ca="1">MAX($D$3:$D$92)</f>
        <v>1</v>
      </c>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492"/>
      <c r="AN7" s="492"/>
      <c r="AO7" s="492"/>
      <c r="AP7" s="492"/>
      <c r="AQ7" s="492"/>
      <c r="AR7" s="492"/>
    </row>
    <row r="8" spans="2:44" ht="15.75" x14ac:dyDescent="0.2">
      <c r="B8" s="167">
        <v>6</v>
      </c>
      <c r="C8" s="104" t="str">
        <f ca="1">IF(OR(Planning!$L11="",Planning!$N11=""),"Z"&amp;ROW($M11),Planning!$I11&amp;Planning!$F11)</f>
        <v>C30,399305555555556</v>
      </c>
      <c r="D8" s="121">
        <f ca="1"/>
        <v>1</v>
      </c>
      <c r="E8" s="167">
        <f t="array" aca="1" ref="E8" ca="1">MATCH($E$7,$D$3:$D$92,0)</f>
        <v>1</v>
      </c>
      <c r="F8" s="167" t="e">
        <f ca="1">IF($E$8&lt;$E$9,$E$8,$E$9)</f>
        <v>#NUM!</v>
      </c>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row>
    <row r="9" spans="2:44" ht="15.75" x14ac:dyDescent="0.2">
      <c r="B9" s="167">
        <v>7</v>
      </c>
      <c r="C9" s="104" t="str">
        <f ca="1">IF(OR(Planning!$L12="",Planning!$N12=""),"Z"&amp;ROW($M12),Planning!$I12&amp;Planning!$F12)</f>
        <v>A50,423611111111111</v>
      </c>
      <c r="D9" s="121">
        <f ca="1"/>
        <v>1</v>
      </c>
      <c r="E9" s="167" t="e">
        <f t="array" aca="1" ref="E9" ca="1">INDEX($B$3:$B$92,SMALL(IF($E$5=$C$3:$C$92,ROW($C$3:$C$92)-ROW($C$3)+1),2))</f>
        <v>#NUM!</v>
      </c>
      <c r="F9" s="167" t="e">
        <f ca="1">IF($E$8&gt;$E$9,$E$8,$E$9)</f>
        <v>#NUM!</v>
      </c>
      <c r="H9" s="490"/>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row>
    <row r="10" spans="2:44" ht="15.75" x14ac:dyDescent="0.2">
      <c r="B10" s="167">
        <v>8</v>
      </c>
      <c r="C10" s="104" t="str">
        <f ca="1">IF(OR(Planning!$L13="",Planning!$N13=""),"Z"&amp;ROW($M13),Planning!$I13&amp;Planning!$F13)</f>
        <v>B50,423611111111111</v>
      </c>
      <c r="D10" s="121">
        <f ca="1"/>
        <v>1</v>
      </c>
      <c r="H10" s="490"/>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row>
    <row r="11" spans="2:44" ht="15.75" x14ac:dyDescent="0.2">
      <c r="B11" s="167">
        <v>9</v>
      </c>
      <c r="C11" s="104" t="str">
        <f ca="1">IF(OR(Planning!$L14="",Planning!$N14=""),"Z"&amp;ROW($M14),Planning!$I14&amp;Planning!$F14)</f>
        <v>C50,423611111111111</v>
      </c>
      <c r="D11" s="121">
        <f ca="1"/>
        <v>1</v>
      </c>
      <c r="H11" s="490"/>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c r="AI11" s="492"/>
      <c r="AJ11" s="492"/>
      <c r="AK11" s="492"/>
      <c r="AL11" s="492"/>
      <c r="AM11" s="492"/>
      <c r="AN11" s="492"/>
      <c r="AO11" s="492"/>
      <c r="AP11" s="492"/>
      <c r="AQ11" s="492"/>
      <c r="AR11" s="492"/>
    </row>
    <row r="12" spans="2:44" ht="15.75" x14ac:dyDescent="0.2">
      <c r="B12" s="167">
        <v>10</v>
      </c>
      <c r="C12" s="104" t="str">
        <f ca="1">IF(OR(Planning!$L15="",Planning!$N15=""),"Z"&amp;ROW($M15),Planning!$I15&amp;Planning!$F15)</f>
        <v>A20,447916666666667</v>
      </c>
      <c r="D12" s="121">
        <f ca="1"/>
        <v>1</v>
      </c>
      <c r="H12" s="490"/>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92"/>
      <c r="AP12" s="492"/>
      <c r="AQ12" s="492"/>
      <c r="AR12" s="492"/>
    </row>
    <row r="13" spans="2:44" ht="15.75" x14ac:dyDescent="0.2">
      <c r="B13" s="167">
        <v>11</v>
      </c>
      <c r="C13" s="104" t="str">
        <f ca="1">IF(OR(Planning!$L16="",Planning!$N16=""),"Z"&amp;ROW($M16),Planning!$I16&amp;Planning!$F16)</f>
        <v>B20,447916666666667</v>
      </c>
      <c r="D13" s="121">
        <f ca="1"/>
        <v>1</v>
      </c>
    </row>
    <row r="14" spans="2:44" ht="15.75" x14ac:dyDescent="0.2">
      <c r="B14" s="167">
        <v>12</v>
      </c>
      <c r="C14" s="104" t="str">
        <f ca="1">IF(OR(Planning!$L17="",Planning!$N17=""),"Z"&amp;ROW($M17),Planning!$I17&amp;Planning!$F17)</f>
        <v>C20,447916666666667</v>
      </c>
      <c r="D14" s="121">
        <f ca="1"/>
        <v>1</v>
      </c>
    </row>
    <row r="15" spans="2:44" ht="15.75" x14ac:dyDescent="0.2">
      <c r="B15" s="167">
        <v>13</v>
      </c>
      <c r="C15" s="104" t="str">
        <f ca="1">IF(OR(Planning!$L18="",Planning!$N18=""),"Z"&amp;ROW($M18),Planning!$I18&amp;Planning!$F18)</f>
        <v>A10,472222222222222</v>
      </c>
      <c r="D15" s="121">
        <f ca="1"/>
        <v>1</v>
      </c>
    </row>
    <row r="16" spans="2:44" ht="15.75" x14ac:dyDescent="0.2">
      <c r="B16" s="167">
        <v>14</v>
      </c>
      <c r="C16" s="104" t="str">
        <f ca="1">IF(OR(Planning!$L19="",Planning!$N19=""),"Z"&amp;ROW($M19),Planning!$I19&amp;Planning!$F19)</f>
        <v>B10,472222222222222</v>
      </c>
      <c r="D16" s="121">
        <f ca="1"/>
        <v>1</v>
      </c>
    </row>
    <row r="17" spans="2:29" ht="15.75" x14ac:dyDescent="0.2">
      <c r="B17" s="167">
        <v>15</v>
      </c>
      <c r="C17" s="104" t="str">
        <f ca="1">IF(OR(Planning!$L20="",Planning!$N20=""),"Z"&amp;ROW($M20),Planning!$I20&amp;Planning!$F20)</f>
        <v>C10,472222222222222</v>
      </c>
      <c r="D17" s="121">
        <f ca="1"/>
        <v>1</v>
      </c>
      <c r="Q17" s="489"/>
      <c r="R17" s="400"/>
      <c r="S17" s="400"/>
      <c r="T17" s="400"/>
      <c r="U17" s="493"/>
      <c r="V17" s="400"/>
      <c r="W17" s="400"/>
      <c r="X17" s="400"/>
    </row>
    <row r="18" spans="2:29" ht="15.75" x14ac:dyDescent="0.2">
      <c r="B18" s="167">
        <v>16</v>
      </c>
      <c r="C18" s="104" t="str">
        <f ca="1">IF(OR(Planning!$L21="",Planning!$N21=""),"Z"&amp;ROW($M21),Planning!$I21&amp;Planning!$F21)</f>
        <v>A30,496527777777778</v>
      </c>
      <c r="D18" s="121">
        <f ca="1"/>
        <v>1</v>
      </c>
      <c r="F18" s="408"/>
      <c r="G18" s="498"/>
      <c r="H18" s="499"/>
      <c r="Q18" s="489"/>
      <c r="R18" s="400"/>
      <c r="S18" s="400"/>
      <c r="T18" s="400"/>
      <c r="U18" s="493"/>
      <c r="V18" s="400"/>
      <c r="W18" s="489"/>
      <c r="X18" s="489"/>
      <c r="Y18" s="315"/>
      <c r="Z18" s="315"/>
      <c r="AA18" s="315"/>
      <c r="AB18" s="315"/>
      <c r="AC18" s="315"/>
    </row>
    <row r="19" spans="2:29" ht="15.75" x14ac:dyDescent="0.2">
      <c r="B19" s="167">
        <v>17</v>
      </c>
      <c r="C19" s="104" t="str">
        <f ca="1">IF(OR(Planning!$L22="",Planning!$N22=""),"Z"&amp;ROW($M22),Planning!$I22&amp;Planning!$F22)</f>
        <v>B30,496527777777778</v>
      </c>
      <c r="D19" s="121">
        <f ca="1"/>
        <v>1</v>
      </c>
      <c r="Q19" s="489"/>
      <c r="R19" s="400"/>
      <c r="S19" s="400"/>
      <c r="T19" s="400"/>
      <c r="U19" s="493"/>
      <c r="V19" s="400"/>
      <c r="W19" s="400"/>
      <c r="X19" s="400"/>
      <c r="Y19" s="316"/>
      <c r="Z19" s="316"/>
      <c r="AA19" s="316"/>
      <c r="AB19" s="316"/>
      <c r="AC19" s="316"/>
    </row>
    <row r="20" spans="2:29" ht="15.75" x14ac:dyDescent="0.2">
      <c r="B20" s="167">
        <v>18</v>
      </c>
      <c r="C20" s="104" t="str">
        <f ca="1">IF(OR(Planning!$L23="",Planning!$N23=""),"Z"&amp;ROW($M23),Planning!$I23&amp;Planning!$F23)</f>
        <v>C30,496527777777778</v>
      </c>
      <c r="D20" s="121">
        <f ca="1"/>
        <v>1</v>
      </c>
      <c r="Q20" s="489"/>
      <c r="R20" s="400"/>
      <c r="S20" s="400"/>
      <c r="T20" s="400"/>
      <c r="U20" s="400"/>
      <c r="V20" s="400"/>
      <c r="W20" s="400"/>
      <c r="X20" s="400"/>
      <c r="Y20" s="316"/>
      <c r="Z20" s="316"/>
      <c r="AA20" s="316"/>
      <c r="AB20" s="316"/>
      <c r="AC20" s="316"/>
    </row>
    <row r="21" spans="2:29" ht="15.75" x14ac:dyDescent="0.2">
      <c r="B21" s="167">
        <v>19</v>
      </c>
      <c r="C21" s="104" t="str">
        <f ca="1">IF(OR(Planning!$L24="",Planning!$N24=""),"Z"&amp;ROW($M24),Planning!$I24&amp;Planning!$F24)</f>
        <v>A20,520833333333333</v>
      </c>
      <c r="D21" s="121">
        <f ca="1"/>
        <v>1</v>
      </c>
      <c r="G21" s="837" t="s">
        <v>240</v>
      </c>
      <c r="Q21" s="489"/>
      <c r="R21" s="400"/>
      <c r="S21" s="400"/>
      <c r="T21" s="400"/>
      <c r="U21" s="400"/>
      <c r="V21" s="400"/>
      <c r="W21" s="400"/>
      <c r="X21" s="400"/>
      <c r="Y21" s="316"/>
      <c r="Z21" s="316"/>
      <c r="AA21" s="316"/>
      <c r="AB21" s="316"/>
      <c r="AC21" s="316"/>
    </row>
    <row r="22" spans="2:29" ht="15.75" x14ac:dyDescent="0.2">
      <c r="B22" s="167">
        <v>20</v>
      </c>
      <c r="C22" s="104" t="str">
        <f ca="1">IF(OR(Planning!$L25="",Planning!$N25=""),"Z"&amp;ROW($M25),Planning!$I25&amp;Planning!$F25)</f>
        <v>B20,520833333333333</v>
      </c>
      <c r="D22" s="121">
        <f ca="1"/>
        <v>1</v>
      </c>
      <c r="G22" s="837"/>
      <c r="Q22" s="489"/>
      <c r="R22" s="400"/>
      <c r="S22" s="400"/>
      <c r="T22" s="400"/>
      <c r="U22" s="400"/>
      <c r="V22" s="400"/>
      <c r="W22" s="400"/>
      <c r="X22" s="400"/>
      <c r="Y22" s="316"/>
      <c r="Z22" s="316"/>
      <c r="AA22" s="316"/>
      <c r="AB22" s="316"/>
      <c r="AC22" s="316"/>
    </row>
    <row r="23" spans="2:29" ht="15.75" x14ac:dyDescent="0.2">
      <c r="B23" s="167">
        <v>21</v>
      </c>
      <c r="C23" s="104" t="str">
        <f ca="1">IF(OR(Planning!$L26="",Planning!$N26=""),"Z"&amp;ROW($M26),Planning!$I26&amp;Planning!$F26)</f>
        <v>C20,520833333333333</v>
      </c>
      <c r="D23" s="121">
        <f ca="1"/>
        <v>1</v>
      </c>
      <c r="G23" s="837" t="s">
        <v>241</v>
      </c>
      <c r="Q23" s="489"/>
      <c r="R23" s="400"/>
      <c r="S23" s="400"/>
      <c r="T23" s="400"/>
      <c r="U23" s="400"/>
      <c r="V23" s="400"/>
      <c r="W23" s="400"/>
      <c r="X23" s="400"/>
      <c r="Y23" s="316"/>
      <c r="Z23" s="316"/>
      <c r="AA23" s="316"/>
      <c r="AB23" s="316"/>
      <c r="AC23" s="316"/>
    </row>
    <row r="24" spans="2:29" ht="15.75" x14ac:dyDescent="0.2">
      <c r="B24" s="167">
        <v>22</v>
      </c>
      <c r="C24" s="104" t="str">
        <f ca="1">IF(OR(Planning!$L27="",Planning!$N27=""),"Z"&amp;ROW($M27),Planning!$I27&amp;Planning!$F27)</f>
        <v>A30,545138888888889</v>
      </c>
      <c r="D24" s="121">
        <f ca="1"/>
        <v>1</v>
      </c>
      <c r="G24" s="837"/>
      <c r="Q24" s="489"/>
      <c r="R24" s="400"/>
      <c r="S24" s="400"/>
      <c r="T24" s="400"/>
      <c r="U24" s="400"/>
      <c r="V24" s="400"/>
      <c r="W24" s="400"/>
      <c r="X24" s="400"/>
      <c r="Y24" s="316"/>
      <c r="Z24" s="316"/>
      <c r="AA24" s="316"/>
      <c r="AB24" s="316"/>
      <c r="AC24" s="316"/>
    </row>
    <row r="25" spans="2:29" ht="15.75" x14ac:dyDescent="0.2">
      <c r="B25" s="167">
        <v>23</v>
      </c>
      <c r="C25" s="104" t="str">
        <f ca="1">IF(OR(Planning!$L28="",Planning!$N28=""),"Z"&amp;ROW($M28),Planning!$I28&amp;Planning!$F28)</f>
        <v>B30,545138888888889</v>
      </c>
      <c r="D25" s="121">
        <f ca="1"/>
        <v>1</v>
      </c>
      <c r="G25" s="837" t="s">
        <v>242</v>
      </c>
      <c r="Q25" s="489"/>
      <c r="R25" s="400"/>
      <c r="S25" s="400"/>
      <c r="T25" s="400"/>
      <c r="U25" s="400"/>
      <c r="V25" s="400"/>
      <c r="W25" s="400"/>
      <c r="X25" s="400"/>
      <c r="Y25" s="316"/>
      <c r="Z25" s="316"/>
      <c r="AA25" s="316"/>
      <c r="AB25" s="316"/>
      <c r="AC25" s="316"/>
    </row>
    <row r="26" spans="2:29" ht="15.75" x14ac:dyDescent="0.2">
      <c r="B26" s="167">
        <v>24</v>
      </c>
      <c r="C26" s="104" t="str">
        <f ca="1">IF(OR(Planning!$L29="",Planning!$N29=""),"Z"&amp;ROW($M29),Planning!$I29&amp;Planning!$F29)</f>
        <v>C30,545138888888889</v>
      </c>
      <c r="D26" s="121">
        <f ca="1"/>
        <v>1</v>
      </c>
      <c r="G26" s="837"/>
      <c r="Q26" s="489"/>
      <c r="R26" s="400"/>
      <c r="S26" s="400"/>
      <c r="T26" s="400"/>
      <c r="U26" s="400"/>
      <c r="V26" s="400"/>
      <c r="W26" s="400"/>
      <c r="X26" s="400"/>
      <c r="Y26" s="316"/>
      <c r="Z26" s="316"/>
      <c r="AA26" s="316"/>
      <c r="AB26" s="316"/>
      <c r="AC26" s="316"/>
    </row>
    <row r="27" spans="2:29" ht="15.75" x14ac:dyDescent="0.2">
      <c r="B27" s="167">
        <v>25</v>
      </c>
      <c r="C27" s="104" t="str">
        <f ca="1">IF(OR(Planning!$L30="",Planning!$N30=""),"Z"&amp;ROW($M30),Planning!$I30&amp;Planning!$F30)</f>
        <v>A40,569444444444444</v>
      </c>
      <c r="D27" s="121">
        <f ca="1"/>
        <v>1</v>
      </c>
      <c r="G27" s="837" t="s">
        <v>243</v>
      </c>
    </row>
    <row r="28" spans="2:29" ht="15.75" x14ac:dyDescent="0.2">
      <c r="B28" s="167">
        <v>26</v>
      </c>
      <c r="C28" s="104" t="str">
        <f ca="1">IF(OR(Planning!$L31="",Planning!$N31=""),"Z"&amp;ROW($M31),Planning!$I31&amp;Planning!$F31)</f>
        <v>B40,569444444444444</v>
      </c>
      <c r="D28" s="121">
        <f ca="1"/>
        <v>1</v>
      </c>
      <c r="G28" s="837"/>
    </row>
    <row r="29" spans="2:29" ht="15.75" x14ac:dyDescent="0.2">
      <c r="B29" s="167">
        <v>27</v>
      </c>
      <c r="C29" s="104" t="str">
        <f ca="1">IF(OR(Planning!$L32="",Planning!$N32=""),"Z"&amp;ROW($M32),Planning!$I32&amp;Planning!$F32)</f>
        <v>C40,569444444444444</v>
      </c>
      <c r="D29" s="121">
        <f ca="1"/>
        <v>1</v>
      </c>
      <c r="G29" s="837" t="s">
        <v>244</v>
      </c>
    </row>
    <row r="30" spans="2:29" ht="15.75" x14ac:dyDescent="0.2">
      <c r="B30" s="167">
        <v>28</v>
      </c>
      <c r="C30" s="104" t="str">
        <f ca="1">IF(OR(Planning!$L33="",Planning!$N33=""),"Z"&amp;ROW($M33),Planning!$I33&amp;Planning!$F33)</f>
        <v>A10,59375</v>
      </c>
      <c r="D30" s="121">
        <f ca="1"/>
        <v>1</v>
      </c>
      <c r="G30" s="837"/>
    </row>
    <row r="31" spans="2:29" ht="15.75" x14ac:dyDescent="0.2">
      <c r="B31" s="167">
        <v>29</v>
      </c>
      <c r="C31" s="104" t="str">
        <f ca="1">IF(OR(Planning!$L34="",Planning!$N34=""),"Z"&amp;ROW($M34),Planning!$I34&amp;Planning!$F34)</f>
        <v>B10,59375</v>
      </c>
      <c r="D31" s="121">
        <f ca="1"/>
        <v>1</v>
      </c>
    </row>
    <row r="32" spans="2:29" ht="15.75" x14ac:dyDescent="0.2">
      <c r="B32" s="167">
        <v>30</v>
      </c>
      <c r="C32" s="104" t="str">
        <f ca="1">IF(OR(Planning!$L35="",Planning!$N35=""),"Z"&amp;ROW($M35),Planning!$I35&amp;Planning!$F35)</f>
        <v>C10,59375</v>
      </c>
      <c r="D32" s="121">
        <f ca="1"/>
        <v>1</v>
      </c>
    </row>
    <row r="33" spans="1:7" ht="15.75" x14ac:dyDescent="0.2">
      <c r="B33" s="167">
        <v>31</v>
      </c>
      <c r="C33" s="104" t="str">
        <f ca="1">IF(OR(Planning!$L36="",Planning!$N36=""),"Z"&amp;ROW($M36),Planning!$I36&amp;Planning!$F36)</f>
        <v>Z36</v>
      </c>
      <c r="D33" s="121">
        <f ca="1"/>
        <v>1</v>
      </c>
      <c r="G33" s="837" t="s">
        <v>245</v>
      </c>
    </row>
    <row r="34" spans="1:7" ht="15.75" x14ac:dyDescent="0.2">
      <c r="B34" s="167">
        <v>32</v>
      </c>
      <c r="C34" s="104" t="str">
        <f ca="1">IF(OR(Planning!$L37="",Planning!$N37=""),"Z"&amp;ROW($M37),Planning!$I37&amp;Planning!$F37)</f>
        <v>Z37</v>
      </c>
      <c r="D34" s="121">
        <f ca="1"/>
        <v>1</v>
      </c>
      <c r="G34" s="837"/>
    </row>
    <row r="35" spans="1:7" ht="15.75" x14ac:dyDescent="0.2">
      <c r="B35" s="167">
        <v>33</v>
      </c>
      <c r="C35" s="104" t="str">
        <f ca="1">IF(OR(Planning!$L38="",Planning!$N38=""),"Z"&amp;ROW($M38),Planning!$I38&amp;Planning!$F38)</f>
        <v>Z38</v>
      </c>
      <c r="D35" s="121">
        <f ca="1"/>
        <v>1</v>
      </c>
      <c r="G35" s="837" t="s">
        <v>246</v>
      </c>
    </row>
    <row r="36" spans="1:7" ht="15.75" x14ac:dyDescent="0.2">
      <c r="B36" s="167">
        <v>34</v>
      </c>
      <c r="C36" s="104" t="str">
        <f ca="1">IF(OR(Planning!$L39="",Planning!$N39=""),"Z"&amp;ROW($M39),Planning!$I39&amp;Planning!$F39)</f>
        <v>Z39</v>
      </c>
      <c r="D36" s="121">
        <f ca="1"/>
        <v>1</v>
      </c>
      <c r="G36" s="837"/>
    </row>
    <row r="37" spans="1:7" ht="15.75" x14ac:dyDescent="0.2">
      <c r="B37" s="167">
        <v>35</v>
      </c>
      <c r="C37" s="104" t="str">
        <f ca="1">IF(OR(Planning!$L40="",Planning!$N40=""),"Z"&amp;ROW($M40),Planning!$I40&amp;Planning!$F40)</f>
        <v>Z40</v>
      </c>
      <c r="D37" s="121">
        <f ca="1"/>
        <v>1</v>
      </c>
      <c r="G37" s="837" t="s">
        <v>248</v>
      </c>
    </row>
    <row r="38" spans="1:7" ht="15.75" x14ac:dyDescent="0.2">
      <c r="B38" s="167">
        <v>36</v>
      </c>
      <c r="C38" s="104" t="str">
        <f ca="1">IF(OR(Planning!$L41="",Planning!$N41=""),"Z"&amp;ROW($M41),Planning!$I41&amp;Planning!$F41)</f>
        <v>Z41</v>
      </c>
      <c r="D38" s="121">
        <f ca="1"/>
        <v>1</v>
      </c>
      <c r="G38" s="837"/>
    </row>
    <row r="39" spans="1:7" ht="15.75" x14ac:dyDescent="0.2">
      <c r="B39" s="167">
        <v>37</v>
      </c>
      <c r="C39" s="104" t="str">
        <f ca="1">IF(OR(Planning!$L42="",Planning!$N42=""),"Z"&amp;ROW($M42),Planning!$I42&amp;Planning!$F42)</f>
        <v>Z42</v>
      </c>
      <c r="D39" s="121">
        <f ca="1"/>
        <v>1</v>
      </c>
      <c r="G39" s="837" t="s">
        <v>247</v>
      </c>
    </row>
    <row r="40" spans="1:7" ht="15.75" x14ac:dyDescent="0.2">
      <c r="B40" s="167">
        <v>38</v>
      </c>
      <c r="C40" s="104" t="str">
        <f ca="1">IF(OR(Planning!$L43="",Planning!$N43=""),"Z"&amp;ROW($M43),Planning!$I43&amp;Planning!$F43)</f>
        <v>Z43</v>
      </c>
      <c r="D40" s="121">
        <f ca="1"/>
        <v>1</v>
      </c>
      <c r="G40" s="837"/>
    </row>
    <row r="41" spans="1:7" ht="15.75" x14ac:dyDescent="0.2">
      <c r="B41" s="167">
        <v>39</v>
      </c>
      <c r="C41" s="104" t="str">
        <f ca="1">IF(OR(Planning!$L44="",Planning!$N44=""),"Z"&amp;ROW($M44),Planning!$I44&amp;Planning!$F44)</f>
        <v>Z44</v>
      </c>
      <c r="D41" s="121">
        <f ca="1"/>
        <v>1</v>
      </c>
      <c r="G41" s="837" t="s">
        <v>249</v>
      </c>
    </row>
    <row r="42" spans="1:7" ht="15.75" x14ac:dyDescent="0.2">
      <c r="B42" s="167">
        <v>40</v>
      </c>
      <c r="C42" s="104" t="str">
        <f ca="1">IF(OR(Planning!$L45="",Planning!$N45=""),"Z"&amp;ROW($M45),Planning!$I45&amp;Planning!$F45)</f>
        <v>Z45</v>
      </c>
      <c r="D42" s="121">
        <f ca="1"/>
        <v>1</v>
      </c>
      <c r="G42" s="837"/>
    </row>
    <row r="43" spans="1:7" ht="15.75" x14ac:dyDescent="0.2">
      <c r="B43" s="167">
        <v>41</v>
      </c>
      <c r="C43" s="104" t="str">
        <f ca="1">IF(OR(Planning!$L46="",Planning!$N46=""),"Z"&amp;ROW($M46),Planning!$I46&amp;Planning!$F46)</f>
        <v>Z46</v>
      </c>
      <c r="D43" s="121">
        <f ca="1"/>
        <v>1</v>
      </c>
    </row>
    <row r="44" spans="1:7" ht="15.75" x14ac:dyDescent="0.2">
      <c r="B44" s="167">
        <v>42</v>
      </c>
      <c r="C44" s="104" t="str">
        <f ca="1">IF(OR(Planning!$L47="",Planning!$N47=""),"Z"&amp;ROW($M47),Planning!$I47&amp;Planning!$F47)</f>
        <v>Z47</v>
      </c>
      <c r="D44" s="121">
        <f ca="1"/>
        <v>1</v>
      </c>
    </row>
    <row r="45" spans="1:7" ht="15.75" x14ac:dyDescent="0.2">
      <c r="B45" s="167">
        <v>43</v>
      </c>
      <c r="C45" s="104" t="str">
        <f ca="1">IF(OR(Planning!$L48="",Planning!$N48=""),"Z"&amp;ROW($M48),Planning!$I48&amp;Planning!$F48)</f>
        <v>Z48</v>
      </c>
      <c r="D45" s="121">
        <f ca="1"/>
        <v>1</v>
      </c>
      <c r="G45" s="837" t="s">
        <v>261</v>
      </c>
    </row>
    <row r="46" spans="1:7" ht="15.75" x14ac:dyDescent="0.2">
      <c r="B46" s="167">
        <v>44</v>
      </c>
      <c r="C46" s="104" t="str">
        <f ca="1">IF(OR(Planning!$L49="",Planning!$N49=""),"Z"&amp;ROW($M49),Planning!$I49&amp;Planning!$F49)</f>
        <v>Z49</v>
      </c>
      <c r="D46" s="121">
        <f ca="1"/>
        <v>1</v>
      </c>
      <c r="G46" s="837"/>
    </row>
    <row r="47" spans="1:7" ht="16.5" thickBot="1" x14ac:dyDescent="0.25">
      <c r="A47" s="532"/>
      <c r="B47" s="533">
        <v>45</v>
      </c>
      <c r="C47" s="534" t="str">
        <f ca="1">IF(OR(Planning!$L50="",Planning!$N50=""),"Z"&amp;ROW($M50),Planning!$I50&amp;Planning!$F50)</f>
        <v>Z50</v>
      </c>
      <c r="D47" s="121">
        <f ca="1"/>
        <v>1</v>
      </c>
      <c r="G47" s="837" t="s">
        <v>262</v>
      </c>
    </row>
    <row r="48" spans="1:7" ht="15.75" x14ac:dyDescent="0.2">
      <c r="B48" s="167">
        <v>46</v>
      </c>
      <c r="C48" s="477" t="str">
        <f ca="1">IF(OR(Planning!$L6="",Planning!$N6=""),"ZZ"&amp;ROW($M6)+45,Planning!$K6&amp;Planning!$F6)</f>
        <v>A20,375</v>
      </c>
      <c r="D48" s="121">
        <f ca="1"/>
        <v>1</v>
      </c>
      <c r="G48" s="837"/>
    </row>
    <row r="49" spans="2:7" ht="15.75" x14ac:dyDescent="0.2">
      <c r="B49" s="167">
        <v>47</v>
      </c>
      <c r="C49" s="477" t="str">
        <f ca="1">IF(OR(Planning!$L7="",Planning!$N7=""),"ZZ"&amp;ROW($M7)+45,Planning!$K7&amp;Planning!$F7)</f>
        <v>B20,375</v>
      </c>
      <c r="D49" s="121">
        <f ca="1"/>
        <v>1</v>
      </c>
      <c r="G49" s="837" t="s">
        <v>263</v>
      </c>
    </row>
    <row r="50" spans="2:7" ht="15.75" x14ac:dyDescent="0.2">
      <c r="B50" s="167">
        <v>48</v>
      </c>
      <c r="C50" s="477" t="str">
        <f ca="1">IF(OR(Planning!$L8="",Planning!$N8=""),"ZZ"&amp;ROW($M8)+45,Planning!$K8&amp;Planning!$F8)</f>
        <v>C20,375</v>
      </c>
      <c r="D50" s="121">
        <f ca="1"/>
        <v>1</v>
      </c>
      <c r="G50" s="837"/>
    </row>
    <row r="51" spans="2:7" ht="15.75" x14ac:dyDescent="0.2">
      <c r="B51" s="167">
        <v>49</v>
      </c>
      <c r="C51" s="477" t="str">
        <f ca="1">IF(OR(Planning!$L9="",Planning!$N9=""),"ZZ"&amp;ROW($M9)+45,Planning!$K9&amp;Planning!$F9)</f>
        <v>A40,399305555555556</v>
      </c>
      <c r="D51" s="121">
        <f ca="1"/>
        <v>1</v>
      </c>
      <c r="G51" s="837" t="s">
        <v>264</v>
      </c>
    </row>
    <row r="52" spans="2:7" ht="15.75" x14ac:dyDescent="0.2">
      <c r="B52" s="167">
        <v>50</v>
      </c>
      <c r="C52" s="477" t="str">
        <f ca="1">IF(OR(Planning!$L10="",Planning!$N10=""),"ZZ"&amp;ROW($M10)+45,Planning!$K10&amp;Planning!$F10)</f>
        <v>B40,399305555555556</v>
      </c>
      <c r="D52" s="121">
        <f ca="1"/>
        <v>1</v>
      </c>
      <c r="G52" s="837"/>
    </row>
    <row r="53" spans="2:7" ht="15.75" x14ac:dyDescent="0.2">
      <c r="B53" s="167">
        <v>51</v>
      </c>
      <c r="C53" s="477" t="str">
        <f ca="1">IF(OR(Planning!$L11="",Planning!$N11=""),"ZZ"&amp;ROW($M11)+45,Planning!$K11&amp;Planning!$F11)</f>
        <v>C40,399305555555556</v>
      </c>
      <c r="D53" s="121">
        <f ca="1"/>
        <v>1</v>
      </c>
      <c r="G53" s="837" t="s">
        <v>265</v>
      </c>
    </row>
    <row r="54" spans="2:7" ht="15.75" x14ac:dyDescent="0.2">
      <c r="B54" s="167">
        <v>52</v>
      </c>
      <c r="C54" s="477" t="str">
        <f ca="1">IF(OR(Planning!$L12="",Planning!$N12=""),"ZZ"&amp;ROW($M12)+45,Planning!$K12&amp;Planning!$F12)</f>
        <v>A10,423611111111111</v>
      </c>
      <c r="D54" s="121">
        <f ca="1"/>
        <v>1</v>
      </c>
      <c r="G54" s="837"/>
    </row>
    <row r="55" spans="2:7" ht="15.75" x14ac:dyDescent="0.2">
      <c r="B55" s="167">
        <v>53</v>
      </c>
      <c r="C55" s="477" t="str">
        <f ca="1">IF(OR(Planning!$L13="",Planning!$N13=""),"ZZ"&amp;ROW($M13)+45,Planning!$K13&amp;Planning!$F13)</f>
        <v>B10,423611111111111</v>
      </c>
      <c r="D55" s="121">
        <f ca="1"/>
        <v>1</v>
      </c>
    </row>
    <row r="56" spans="2:7" ht="15.75" x14ac:dyDescent="0.2">
      <c r="B56" s="167">
        <v>54</v>
      </c>
      <c r="C56" s="477" t="str">
        <f ca="1">IF(OR(Planning!$L14="",Planning!$N14=""),"ZZ"&amp;ROW($M14)+45,Planning!$K14&amp;Planning!$F14)</f>
        <v>C10,423611111111111</v>
      </c>
      <c r="D56" s="121">
        <f ca="1"/>
        <v>1</v>
      </c>
    </row>
    <row r="57" spans="2:7" ht="15.75" x14ac:dyDescent="0.2">
      <c r="B57" s="167">
        <v>55</v>
      </c>
      <c r="C57" s="477" t="str">
        <f ca="1">IF(OR(Planning!$L15="",Planning!$N15=""),"ZZ"&amp;ROW($M15)+45,Planning!$K15&amp;Planning!$F15)</f>
        <v>A30,447916666666667</v>
      </c>
      <c r="D57" s="121">
        <f ca="1"/>
        <v>1</v>
      </c>
    </row>
    <row r="58" spans="2:7" ht="15.75" x14ac:dyDescent="0.2">
      <c r="B58" s="167">
        <v>56</v>
      </c>
      <c r="C58" s="477" t="str">
        <f ca="1">IF(OR(Planning!$L16="",Planning!$N16=""),"ZZ"&amp;ROW($M16)+45,Planning!$K16&amp;Planning!$F16)</f>
        <v>B30,447916666666667</v>
      </c>
      <c r="D58" s="121">
        <f ca="1"/>
        <v>1</v>
      </c>
    </row>
    <row r="59" spans="2:7" ht="15.75" x14ac:dyDescent="0.2">
      <c r="B59" s="167">
        <v>57</v>
      </c>
      <c r="C59" s="477" t="str">
        <f ca="1">IF(OR(Planning!$L17="",Planning!$N17=""),"ZZ"&amp;ROW($M17)+45,Planning!$K17&amp;Planning!$F17)</f>
        <v>C30,447916666666667</v>
      </c>
      <c r="D59" s="121">
        <f ca="1"/>
        <v>1</v>
      </c>
    </row>
    <row r="60" spans="2:7" ht="15.75" x14ac:dyDescent="0.2">
      <c r="B60" s="167">
        <v>58</v>
      </c>
      <c r="C60" s="477" t="str">
        <f ca="1">IF(OR(Planning!$L18="",Planning!$N18=""),"ZZ"&amp;ROW($M18)+45,Planning!$K18&amp;Planning!$F18)</f>
        <v>A40,472222222222222</v>
      </c>
      <c r="D60" s="121">
        <f ca="1"/>
        <v>1</v>
      </c>
    </row>
    <row r="61" spans="2:7" ht="15.75" x14ac:dyDescent="0.2">
      <c r="B61" s="167">
        <v>59</v>
      </c>
      <c r="C61" s="477" t="str">
        <f ca="1">IF(OR(Planning!$L19="",Planning!$N19=""),"ZZ"&amp;ROW($M19)+45,Planning!$K19&amp;Planning!$F19)</f>
        <v>B40,472222222222222</v>
      </c>
      <c r="D61" s="121">
        <f ca="1"/>
        <v>1</v>
      </c>
    </row>
    <row r="62" spans="2:7" ht="15.75" x14ac:dyDescent="0.2">
      <c r="B62" s="167">
        <v>60</v>
      </c>
      <c r="C62" s="477" t="str">
        <f ca="1">IF(OR(Planning!$L20="",Planning!$N20=""),"ZZ"&amp;ROW($M20)+45,Planning!$K20&amp;Planning!$F20)</f>
        <v>C40,472222222222222</v>
      </c>
      <c r="D62" s="121">
        <f ca="1"/>
        <v>1</v>
      </c>
    </row>
    <row r="63" spans="2:7" ht="15.75" x14ac:dyDescent="0.2">
      <c r="B63" s="167">
        <v>61</v>
      </c>
      <c r="C63" s="477" t="str">
        <f ca="1">IF(OR(Planning!$L21="",Planning!$N21=""),"ZZ"&amp;ROW($M21)+45,Planning!$K21&amp;Planning!$F21)</f>
        <v>A50,496527777777778</v>
      </c>
      <c r="D63" s="121">
        <f ca="1"/>
        <v>1</v>
      </c>
    </row>
    <row r="64" spans="2:7" ht="15.75" x14ac:dyDescent="0.2">
      <c r="B64" s="167">
        <v>62</v>
      </c>
      <c r="C64" s="477" t="str">
        <f ca="1">IF(OR(Planning!$L22="",Planning!$N22=""),"ZZ"&amp;ROW($M22)+45,Planning!$K22&amp;Planning!$F22)</f>
        <v>B50,496527777777778</v>
      </c>
      <c r="D64" s="121">
        <f ca="1"/>
        <v>1</v>
      </c>
    </row>
    <row r="65" spans="2:4" ht="15.75" x14ac:dyDescent="0.2">
      <c r="B65" s="167">
        <v>63</v>
      </c>
      <c r="C65" s="477" t="str">
        <f ca="1">IF(OR(Planning!$L23="",Planning!$N23=""),"ZZ"&amp;ROW($M23)+45,Planning!$K23&amp;Planning!$F23)</f>
        <v>C50,496527777777778</v>
      </c>
      <c r="D65" s="121">
        <f ca="1"/>
        <v>1</v>
      </c>
    </row>
    <row r="66" spans="2:4" ht="15.75" x14ac:dyDescent="0.2">
      <c r="B66" s="167">
        <v>64</v>
      </c>
      <c r="C66" s="477" t="str">
        <f ca="1">IF(OR(Planning!$L24="",Planning!$N24=""),"ZZ"&amp;ROW($M24)+45,Planning!$K24&amp;Planning!$F24)</f>
        <v>A40,520833333333333</v>
      </c>
      <c r="D66" s="121">
        <f ca="1"/>
        <v>1</v>
      </c>
    </row>
    <row r="67" spans="2:4" ht="15.75" x14ac:dyDescent="0.2">
      <c r="B67" s="167">
        <v>65</v>
      </c>
      <c r="C67" s="477" t="str">
        <f ca="1">IF(OR(Planning!$L25="",Planning!$N25=""),"ZZ"&amp;ROW($M25)+45,Planning!$K25&amp;Planning!$F25)</f>
        <v>B40,520833333333333</v>
      </c>
      <c r="D67" s="121">
        <f ca="1"/>
        <v>1</v>
      </c>
    </row>
    <row r="68" spans="2:4" ht="15.75" x14ac:dyDescent="0.2">
      <c r="B68" s="167">
        <v>66</v>
      </c>
      <c r="C68" s="477" t="str">
        <f ca="1">IF(OR(Planning!$L26="",Planning!$N26=""),"ZZ"&amp;ROW($M26)+45,Planning!$K26&amp;Planning!$F26)</f>
        <v>C40,520833333333333</v>
      </c>
      <c r="D68" s="121">
        <f ca="1"/>
        <v>1</v>
      </c>
    </row>
    <row r="69" spans="2:4" ht="15.75" x14ac:dyDescent="0.2">
      <c r="B69" s="167">
        <v>67</v>
      </c>
      <c r="C69" s="477" t="str">
        <f ca="1">IF(OR(Planning!$L27="",Planning!$N27=""),"ZZ"&amp;ROW($M27)+45,Planning!$K27&amp;Planning!$F27)</f>
        <v>A10,545138888888889</v>
      </c>
      <c r="D69" s="121">
        <f ca="1"/>
        <v>1</v>
      </c>
    </row>
    <row r="70" spans="2:4" ht="15.75" x14ac:dyDescent="0.2">
      <c r="B70" s="167">
        <v>68</v>
      </c>
      <c r="C70" s="477" t="str">
        <f ca="1">IF(OR(Planning!$L28="",Planning!$N28=""),"ZZ"&amp;ROW($M28)+45,Planning!$K28&amp;Planning!$F28)</f>
        <v>B10,545138888888889</v>
      </c>
      <c r="D70" s="121">
        <f ca="1"/>
        <v>1</v>
      </c>
    </row>
    <row r="71" spans="2:4" ht="15.75" x14ac:dyDescent="0.2">
      <c r="B71" s="167">
        <v>69</v>
      </c>
      <c r="C71" s="477" t="str">
        <f ca="1">IF(OR(Planning!$L29="",Planning!$N29=""),"ZZ"&amp;ROW($M29)+45,Planning!$K29&amp;Planning!$F29)</f>
        <v>C10,545138888888889</v>
      </c>
      <c r="D71" s="121">
        <f ca="1"/>
        <v>1</v>
      </c>
    </row>
    <row r="72" spans="2:4" ht="15.75" x14ac:dyDescent="0.2">
      <c r="B72" s="167">
        <v>70</v>
      </c>
      <c r="C72" s="477" t="str">
        <f ca="1">IF(OR(Planning!$L30="",Planning!$N30=""),"ZZ"&amp;ROW($M30)+45,Planning!$K30&amp;Planning!$F30)</f>
        <v>A50,569444444444444</v>
      </c>
      <c r="D72" s="121">
        <f ca="1"/>
        <v>1</v>
      </c>
    </row>
    <row r="73" spans="2:4" ht="15.75" x14ac:dyDescent="0.2">
      <c r="B73" s="167">
        <v>71</v>
      </c>
      <c r="C73" s="477" t="str">
        <f ca="1">IF(OR(Planning!$L31="",Planning!$N31=""),"ZZ"&amp;ROW($M31)+45,Planning!$K31&amp;Planning!$F31)</f>
        <v>B50,569444444444444</v>
      </c>
      <c r="D73" s="121">
        <f ca="1"/>
        <v>1</v>
      </c>
    </row>
    <row r="74" spans="2:4" ht="15.75" x14ac:dyDescent="0.2">
      <c r="B74" s="167">
        <v>72</v>
      </c>
      <c r="C74" s="477" t="str">
        <f ca="1">IF(OR(Planning!$L32="",Planning!$N32=""),"ZZ"&amp;ROW($M32)+45,Planning!$K32&amp;Planning!$F32)</f>
        <v>C50,569444444444444</v>
      </c>
      <c r="D74" s="121">
        <f ca="1"/>
        <v>1</v>
      </c>
    </row>
    <row r="75" spans="2:4" ht="15.75" x14ac:dyDescent="0.2">
      <c r="B75" s="167">
        <v>73</v>
      </c>
      <c r="C75" s="477" t="str">
        <f ca="1">IF(OR(Planning!$L33="",Planning!$N33=""),"ZZ"&amp;ROW($M33)+45,Planning!$K33&amp;Planning!$F33)</f>
        <v>A20,59375</v>
      </c>
      <c r="D75" s="121">
        <f ca="1"/>
        <v>1</v>
      </c>
    </row>
    <row r="76" spans="2:4" ht="15.75" x14ac:dyDescent="0.2">
      <c r="B76" s="167">
        <v>74</v>
      </c>
      <c r="C76" s="477" t="str">
        <f ca="1">IF(OR(Planning!$L34="",Planning!$N34=""),"ZZ"&amp;ROW($M34)+45,Planning!$K34&amp;Planning!$F34)</f>
        <v>B20,59375</v>
      </c>
      <c r="D76" s="121">
        <f ca="1"/>
        <v>1</v>
      </c>
    </row>
    <row r="77" spans="2:4" ht="15.75" x14ac:dyDescent="0.2">
      <c r="B77" s="167">
        <v>75</v>
      </c>
      <c r="C77" s="477" t="str">
        <f ca="1">IF(OR(Planning!$L35="",Planning!$N35=""),"ZZ"&amp;ROW($M35)+45,Planning!$K35&amp;Planning!$F35)</f>
        <v>C20,59375</v>
      </c>
      <c r="D77" s="121">
        <f ca="1"/>
        <v>1</v>
      </c>
    </row>
    <row r="78" spans="2:4" ht="15.75" x14ac:dyDescent="0.2">
      <c r="B78" s="167">
        <v>76</v>
      </c>
      <c r="C78" s="477" t="str">
        <f ca="1">IF(OR(Planning!$L36="",Planning!$N36=""),"ZZ"&amp;ROW($M36)+45,Planning!$K36&amp;Planning!$F36)</f>
        <v>ZZ81</v>
      </c>
      <c r="D78" s="121">
        <f ca="1"/>
        <v>1</v>
      </c>
    </row>
    <row r="79" spans="2:4" ht="15.75" x14ac:dyDescent="0.2">
      <c r="B79" s="167">
        <v>77</v>
      </c>
      <c r="C79" s="477" t="str">
        <f ca="1">IF(OR(Planning!$L37="",Planning!$N37=""),"ZZ"&amp;ROW($M37)+45,Planning!$K37&amp;Planning!$F37)</f>
        <v>ZZ82</v>
      </c>
      <c r="D79" s="121">
        <f ca="1"/>
        <v>1</v>
      </c>
    </row>
    <row r="80" spans="2:4" ht="15.75" x14ac:dyDescent="0.2">
      <c r="B80" s="167">
        <v>78</v>
      </c>
      <c r="C80" s="477" t="str">
        <f ca="1">IF(OR(Planning!$L38="",Planning!$N38=""),"ZZ"&amp;ROW($M38)+45,Planning!$K38&amp;Planning!$F38)</f>
        <v>ZZ83</v>
      </c>
      <c r="D80" s="121">
        <f ca="1"/>
        <v>1</v>
      </c>
    </row>
    <row r="81" spans="2:4" ht="15.75" x14ac:dyDescent="0.2">
      <c r="B81" s="167">
        <v>79</v>
      </c>
      <c r="C81" s="477" t="str">
        <f ca="1">IF(OR(Planning!$L39="",Planning!$N39=""),"ZZ"&amp;ROW($M39)+45,Planning!$K39&amp;Planning!$F39)</f>
        <v>ZZ84</v>
      </c>
      <c r="D81" s="121">
        <f ca="1"/>
        <v>1</v>
      </c>
    </row>
    <row r="82" spans="2:4" ht="15.75" x14ac:dyDescent="0.2">
      <c r="B82" s="167">
        <v>80</v>
      </c>
      <c r="C82" s="477" t="str">
        <f ca="1">IF(OR(Planning!$L40="",Planning!$N40=""),"ZZ"&amp;ROW($M40)+45,Planning!$K40&amp;Planning!$F40)</f>
        <v>ZZ85</v>
      </c>
      <c r="D82" s="121">
        <f ca="1"/>
        <v>1</v>
      </c>
    </row>
    <row r="83" spans="2:4" ht="15.75" x14ac:dyDescent="0.2">
      <c r="B83" s="167">
        <v>81</v>
      </c>
      <c r="C83" s="477" t="str">
        <f ca="1">IF(OR(Planning!$L41="",Planning!$N41=""),"ZZ"&amp;ROW($M41)+45,Planning!$K41&amp;Planning!$F41)</f>
        <v>ZZ86</v>
      </c>
      <c r="D83" s="121">
        <f ca="1"/>
        <v>1</v>
      </c>
    </row>
    <row r="84" spans="2:4" ht="15.75" x14ac:dyDescent="0.2">
      <c r="B84" s="167">
        <v>82</v>
      </c>
      <c r="C84" s="477" t="str">
        <f ca="1">IF(OR(Planning!$L42="",Planning!$N42=""),"ZZ"&amp;ROW($M42)+45,Planning!$K42&amp;Planning!$F42)</f>
        <v>ZZ87</v>
      </c>
      <c r="D84" s="121">
        <f ca="1"/>
        <v>1</v>
      </c>
    </row>
    <row r="85" spans="2:4" ht="15.75" x14ac:dyDescent="0.2">
      <c r="B85" s="167">
        <v>83</v>
      </c>
      <c r="C85" s="477" t="str">
        <f ca="1">IF(OR(Planning!$L43="",Planning!$N43=""),"ZZ"&amp;ROW($M43)+45,Planning!$K43&amp;Planning!$F43)</f>
        <v>ZZ88</v>
      </c>
      <c r="D85" s="121">
        <f ca="1"/>
        <v>1</v>
      </c>
    </row>
    <row r="86" spans="2:4" ht="15.75" x14ac:dyDescent="0.2">
      <c r="B86" s="167">
        <v>84</v>
      </c>
      <c r="C86" s="477" t="str">
        <f ca="1">IF(OR(Planning!$L44="",Planning!$N44=""),"ZZ"&amp;ROW($M44)+45,Planning!$K44&amp;Planning!$F44)</f>
        <v>ZZ89</v>
      </c>
      <c r="D86" s="121">
        <f ca="1"/>
        <v>1</v>
      </c>
    </row>
    <row r="87" spans="2:4" ht="15.75" x14ac:dyDescent="0.2">
      <c r="B87" s="167">
        <v>85</v>
      </c>
      <c r="C87" s="477" t="str">
        <f ca="1">IF(OR(Planning!$L45="",Planning!$N45=""),"ZZ"&amp;ROW($M45)+45,Planning!$K45&amp;Planning!$F45)</f>
        <v>ZZ90</v>
      </c>
      <c r="D87" s="121">
        <f ca="1"/>
        <v>1</v>
      </c>
    </row>
    <row r="88" spans="2:4" ht="15.75" x14ac:dyDescent="0.2">
      <c r="B88" s="167">
        <v>86</v>
      </c>
      <c r="C88" s="477" t="str">
        <f ca="1">IF(OR(Planning!$L46="",Planning!$N46=""),"ZZ"&amp;ROW($M46)+45,Planning!$K46&amp;Planning!$F46)</f>
        <v>ZZ91</v>
      </c>
      <c r="D88" s="121">
        <f ca="1"/>
        <v>1</v>
      </c>
    </row>
    <row r="89" spans="2:4" ht="15.75" x14ac:dyDescent="0.2">
      <c r="B89" s="167">
        <v>87</v>
      </c>
      <c r="C89" s="477" t="str">
        <f ca="1">IF(OR(Planning!$L47="",Planning!$N47=""),"ZZ"&amp;ROW($M47)+45,Planning!$K47&amp;Planning!$F47)</f>
        <v>ZZ92</v>
      </c>
      <c r="D89" s="121">
        <f ca="1"/>
        <v>1</v>
      </c>
    </row>
    <row r="90" spans="2:4" ht="15.75" x14ac:dyDescent="0.2">
      <c r="B90" s="167">
        <v>88</v>
      </c>
      <c r="C90" s="477" t="str">
        <f ca="1">IF(OR(Planning!$L48="",Planning!$N48=""),"ZZ"&amp;ROW($M48)+45,Planning!$K48&amp;Planning!$F48)</f>
        <v>ZZ93</v>
      </c>
      <c r="D90" s="121">
        <f ca="1"/>
        <v>1</v>
      </c>
    </row>
    <row r="91" spans="2:4" ht="15.75" x14ac:dyDescent="0.2">
      <c r="B91" s="167">
        <v>89</v>
      </c>
      <c r="C91" s="477" t="str">
        <f ca="1">IF(OR(Planning!$L49="",Planning!$N49=""),"ZZ"&amp;ROW($M49)+45,Planning!$K49&amp;Planning!$F49)</f>
        <v>ZZ94</v>
      </c>
      <c r="D91" s="121">
        <f ca="1"/>
        <v>1</v>
      </c>
    </row>
    <row r="92" spans="2:4" ht="15.75" x14ac:dyDescent="0.2">
      <c r="B92" s="167">
        <v>90</v>
      </c>
      <c r="C92" s="477" t="str">
        <f ca="1">IF(OR(Planning!$L50="",Planning!$N50=""),"ZZ"&amp;ROW($M50)+45,Planning!$K50&amp;Planning!$F50)</f>
        <v>ZZ95</v>
      </c>
      <c r="D92" s="121">
        <f ca="1"/>
        <v>1</v>
      </c>
    </row>
    <row r="93" spans="2:4" x14ac:dyDescent="0.2">
      <c r="C93" s="477"/>
    </row>
    <row r="94" spans="2:4" x14ac:dyDescent="0.2">
      <c r="C94" s="477"/>
    </row>
    <row r="95" spans="2:4" x14ac:dyDescent="0.2">
      <c r="C95" s="477"/>
    </row>
    <row r="96" spans="2:4" x14ac:dyDescent="0.2">
      <c r="C96" s="477"/>
    </row>
    <row r="97" spans="3:3" x14ac:dyDescent="0.2">
      <c r="C97" s="477"/>
    </row>
  </sheetData>
  <mergeCells count="15">
    <mergeCell ref="G49:G50"/>
    <mergeCell ref="G51:G52"/>
    <mergeCell ref="G53:G54"/>
    <mergeCell ref="G35:G36"/>
    <mergeCell ref="G37:G38"/>
    <mergeCell ref="G39:G40"/>
    <mergeCell ref="G41:G42"/>
    <mergeCell ref="G45:G46"/>
    <mergeCell ref="G47:G48"/>
    <mergeCell ref="G33:G34"/>
    <mergeCell ref="G21:G22"/>
    <mergeCell ref="G23:G24"/>
    <mergeCell ref="G25:G26"/>
    <mergeCell ref="G27:G28"/>
    <mergeCell ref="G29:G30"/>
  </mergeCells>
  <conditionalFormatting sqref="G2">
    <cfRule type="expression" dxfId="36" priority="9">
      <formula>G2="FEHLER"</formula>
    </cfRule>
  </conditionalFormatting>
  <conditionalFormatting sqref="C3:C92">
    <cfRule type="duplicateValues" dxfId="35" priority="6"/>
  </conditionalFormatting>
  <conditionalFormatting sqref="E3">
    <cfRule type="cellIs" dxfId="34" priority="3" operator="greaterThan">
      <formula>0</formula>
    </cfRule>
  </conditionalFormatting>
  <conditionalFormatting sqref="E4">
    <cfRule type="cellIs" dxfId="33" priority="2" operator="greaterThan">
      <formula>0</formula>
    </cfRule>
  </conditionalFormatting>
  <conditionalFormatting sqref="E7">
    <cfRule type="expression" dxfId="32"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2</v>
      </c>
      <c r="D4" s="12">
        <f ca="1">E4+ROW()/1000+(F4="")*10</f>
        <v>2.004</v>
      </c>
      <c r="E4" s="266">
        <f ca="1">IF($AI$15,RANK(AH17,AH$17:AH$25,1),RANK(X17,X$17:X$25,1))</f>
        <v>2</v>
      </c>
      <c r="F4" s="1" t="str">
        <f ca="1">$Q64</f>
        <v>Eintracht Frankfurt</v>
      </c>
      <c r="G4" s="1">
        <f ca="1">SUMIFS($X$64:$X$135,$V$64:$V$135,$F4)+SUMIFS($Y$64:$Y$135,$W$64:$W$135,$F4)+SUMIFS($AG$64:$AG$135,$V$64:$V$135,$F4)+SUMIFS($AH$64:$AH$135,$W$64:$W$135,$F4)</f>
        <v>176</v>
      </c>
      <c r="H4" s="1">
        <f ca="1">SUMIFS($Y$64:$Y$135,$V$64:$V$135,$F4)+SUMIFS($X$64:$X$135,$W$64:$W$135,$F4)+SUMIFS($AH$64:$AH$135,$V$64:$V$135,$F4)+SUMIFS($AG$64:$AG$135,$W$64:$W$135,$F4)</f>
        <v>173</v>
      </c>
      <c r="I4" s="12">
        <f ca="1">IF(Settings!$G$7,G4-H4,IF(H4=0,IF(G4=0,0,Settings!$F$7),G4/H4))</f>
        <v>3</v>
      </c>
      <c r="J4" s="1">
        <f ca="1">SUMPRODUCT(($V$64:$V$135=F4)*$AE$64:$AE$135*$AA$64:$AA$135)+SUMPRODUCT(($W$64:$W$135=F4)*$AF$64:$AF$135*$AA$64:$AA$135)</f>
        <v>4</v>
      </c>
      <c r="K4" s="1">
        <f ca="1">SUMPRODUCT(($V$64:$V$135=F4)*$AA$64:$AA$135)+SUMPRODUCT(($W$64:$W$135=F4)*$AA$64:$AA$135)</f>
        <v>4</v>
      </c>
      <c r="L4" s="1">
        <f ca="1">K4-M4-N4</f>
        <v>1</v>
      </c>
      <c r="M4" s="1">
        <f ca="1">SUMPRODUCT(($V$64:$W$135=F4)*($AE$64:$AE$135=$AF$64:$AF$135)*$AA$64:$AA$135)</f>
        <v>2</v>
      </c>
      <c r="N4" s="1">
        <f ca="1">SUMPRODUCT(($V$64:$V$135=F4)*($AE$64:$AE$135&lt;$AF$64:$AF$135)*$AA$64:$AA$135)+SUMPRODUCT(($W$64:$W$135=F4)*($AE$64:$AE$135&gt;$AF$64:$AF$135)*$AA$64:$AA$135)</f>
        <v>1</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3</v>
      </c>
    </row>
    <row r="5" spans="1:44" s="2" customFormat="1" x14ac:dyDescent="0.2">
      <c r="A5" s="254"/>
      <c r="B5" s="1">
        <v>2</v>
      </c>
      <c r="C5" s="21">
        <f t="shared" ref="C5:C12" ca="1" si="0">RANK(D5,$D$4:$D$12,1)</f>
        <v>1</v>
      </c>
      <c r="D5" s="12">
        <f t="shared" ref="D5:D12" ca="1" si="1">E5+ROW()/1000+(F5="")*10</f>
        <v>1.0049999999999999</v>
      </c>
      <c r="E5" s="266">
        <f t="shared" ref="E5:E12" ca="1" si="2">IF($AI$15,RANK(AH18,AH$17:AH$25,1),RANK(X18,X$17:X$25,1))</f>
        <v>1</v>
      </c>
      <c r="F5" s="1" t="str">
        <f t="shared" ref="F5:F12" ca="1" si="3">$Q65</f>
        <v>SSV Wildbach</v>
      </c>
      <c r="G5" s="1">
        <f t="shared" ref="G5:G12" ca="1" si="4">SUMIFS($X$64:$X$135,$V$64:$V$135,$F5)+SUMIFS($Y$64:$Y$135,$W$64:$W$135,$F5)+SUMIFS($AG$64:$AG$135,$V$64:$V$135,$F5)+SUMIFS($AH$64:$AH$135,$W$64:$W$135,$F5)</f>
        <v>187</v>
      </c>
      <c r="H5" s="1">
        <f t="shared" ref="H5:H12" ca="1" si="5">SUMIFS($Y$64:$Y$135,$V$64:$V$135,$F5)+SUMIFS($X$64:$X$135,$W$64:$W$135,$F5)+SUMIFS($AH$64:$AH$135,$V$64:$V$135,$F5)+SUMIFS($AG$64:$AG$135,$W$64:$W$135,$F5)</f>
        <v>171</v>
      </c>
      <c r="I5" s="12">
        <f ca="1">IF(Settings!$G$7,G5-H5,IF(H5=0,IF(G5=0,0,Settings!$F$7),G5/H5))</f>
        <v>16</v>
      </c>
      <c r="J5" s="1">
        <f t="shared" ref="J5:J12" ca="1" si="6">SUMPRODUCT(($V$64:$V$135=F5)*$AE$64:$AE$135*$AA$64:$AA$135)+SUMPRODUCT(($W$64:$W$135=F5)*$AF$64:$AF$135*$AA$64:$AA$135)</f>
        <v>6</v>
      </c>
      <c r="K5" s="1">
        <f t="shared" ref="K5:K12" ca="1" si="7">SUMPRODUCT(($V$64:$V$135=F5)*$AA$64:$AA$135)+SUMPRODUCT(($W$64:$W$135=F5)*$AA$64:$AA$135)</f>
        <v>4</v>
      </c>
      <c r="L5" s="1">
        <f t="shared" ref="L5:L12" ca="1" si="8">K5-M5-N5</f>
        <v>2</v>
      </c>
      <c r="M5" s="1">
        <f t="shared" ref="M5:M12" ca="1" si="9">SUMPRODUCT(($V$64:$W$135=F5)*($AE$64:$AE$135=$AF$64:$AF$135)*$AA$64:$AA$135)</f>
        <v>2</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16</v>
      </c>
    </row>
    <row r="6" spans="1:44" s="2" customFormat="1" x14ac:dyDescent="0.2">
      <c r="A6" s="254"/>
      <c r="B6" s="1">
        <v>3</v>
      </c>
      <c r="C6" s="21">
        <f t="shared" ca="1" si="0"/>
        <v>3</v>
      </c>
      <c r="D6" s="12">
        <f t="shared" ca="1" si="1"/>
        <v>3.0059999999999998</v>
      </c>
      <c r="E6" s="266">
        <f t="shared" ca="1" si="2"/>
        <v>3</v>
      </c>
      <c r="F6" s="1" t="str">
        <f t="shared" ca="1" si="3"/>
        <v>1. FC Nürnberg</v>
      </c>
      <c r="G6" s="1">
        <f t="shared" ca="1" si="4"/>
        <v>160</v>
      </c>
      <c r="H6" s="1">
        <f t="shared" ca="1" si="5"/>
        <v>175</v>
      </c>
      <c r="I6" s="12">
        <f ca="1">IF(Settings!$G$7,G6-H6,IF(H6=0,IF(G6=0,0,Settings!$F$7),G6/H6))</f>
        <v>-15</v>
      </c>
      <c r="J6" s="1">
        <f t="shared" ca="1" si="6"/>
        <v>4</v>
      </c>
      <c r="K6" s="1">
        <f t="shared" ca="1" si="7"/>
        <v>4</v>
      </c>
      <c r="L6" s="1">
        <f t="shared" ca="1" si="8"/>
        <v>1</v>
      </c>
      <c r="M6" s="1">
        <f t="shared" ca="1" si="9"/>
        <v>2</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-15</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111</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t="s">
        <v>107</v>
      </c>
      <c r="AD16" s="261" t="s">
        <v>110</v>
      </c>
      <c r="AE16" s="265" t="s">
        <v>182</v>
      </c>
      <c r="AF16" s="1" t="s">
        <v>182</v>
      </c>
      <c r="AG16" s="1" t="s">
        <v>183</v>
      </c>
      <c r="AH16" s="191" t="s">
        <v>170</v>
      </c>
    </row>
    <row r="17" spans="2:80" s="2" customFormat="1" ht="12.75" thickTop="1" x14ac:dyDescent="0.2">
      <c r="C17" s="2" t="str">
        <f ca="1">$Q64</f>
        <v>Eintracht Frankfurt</v>
      </c>
      <c r="D17" s="1">
        <f t="shared" ref="D17:G25" ca="1" si="11">K4</f>
        <v>4</v>
      </c>
      <c r="E17" s="1">
        <f t="shared" ca="1" si="11"/>
        <v>1</v>
      </c>
      <c r="F17" s="1">
        <f t="shared" ca="1" si="11"/>
        <v>2</v>
      </c>
      <c r="G17" s="1">
        <f t="shared" ca="1" si="11"/>
        <v>1</v>
      </c>
      <c r="H17" s="1">
        <f t="shared" ref="H17:K25" ca="1" si="12">G4</f>
        <v>176</v>
      </c>
      <c r="I17" s="1">
        <f t="shared" ca="1" si="12"/>
        <v>173</v>
      </c>
      <c r="J17" s="12">
        <f t="shared" ca="1" si="12"/>
        <v>3</v>
      </c>
      <c r="K17" s="1">
        <f t="shared" ca="1" si="12"/>
        <v>4</v>
      </c>
      <c r="L17" s="29">
        <f t="shared" ref="L17:L25" ca="1" si="13">K17*$F$64+(J17+$H$65)*$F$65+H17*$F$66</f>
        <v>4503176</v>
      </c>
      <c r="M17" s="13">
        <f ca="1">IF($AI$15,COUNTIF($K$17:$K$25,K17),COUNTIF($L$17:$L$25,L17))</f>
        <v>1</v>
      </c>
      <c r="N17" s="13">
        <f t="array" aca="1" ref="N17" ca="1">IF($AI$15,SUM(($K$17:$K$25&gt;=K17)/COUNTIF($K$17:$K$25,$K$17:$K$25)),SUM(($L$17:$L$25&gt;=L17)/COUNTIF($L$17:$L$25,$L$17:$L$25)))</f>
        <v>2</v>
      </c>
      <c r="O17" s="52" t="str">
        <f t="shared" ref="O17:O25" ca="1" si="14">IF(AND(M17&gt;1,N17=1),C17,"")</f>
        <v/>
      </c>
      <c r="P17" s="53" t="str">
        <f t="shared" ref="P17:P25" ca="1" si="15">IF(AND(M17&gt;1,N17=2),C17,"")</f>
        <v/>
      </c>
      <c r="Q17" s="53" t="str">
        <f t="shared" ref="Q17:Q25" ca="1" si="16">IF(AND(M17&gt;1,N17=3),C17,"")</f>
        <v/>
      </c>
      <c r="R17" s="53" t="str">
        <f t="shared" ref="R17:R25" ca="1" si="17">IF(AND(M17&gt;1,N17=4),C17,"")</f>
        <v/>
      </c>
      <c r="S17" s="53" t="str">
        <f t="shared" ref="S17:S25" ca="1" si="18">IF(AND(M17&gt;1,N17=5),C17,"")</f>
        <v/>
      </c>
      <c r="T17" s="53" t="str">
        <f t="shared" ref="T17:T25" ca="1" si="19">IF(AND($M17&gt;1,$N17=6),$C17,"")</f>
        <v/>
      </c>
      <c r="U17" s="53" t="str">
        <f t="shared" ref="U17:U25" ca="1" si="20">IF(AND($M17&gt;1,$N17=7),$C17,"")</f>
        <v/>
      </c>
      <c r="V17" s="54" t="str">
        <f t="shared" ref="V17:V25" ca="1" si="21">IF(AND($M17&gt;1,$N17=8),$C17,"")</f>
        <v/>
      </c>
      <c r="W17" s="62">
        <f ca="1">AA17*$F$64+(AB17+$H$65)*$F$65+AC17*$F$66</f>
        <v>500000</v>
      </c>
      <c r="X17" s="20">
        <f ca="1">RANK($L17,$L$17:$L$25)+RANK($W17,$W$17:$W$25)/100+(9-$Y17)/10000</f>
        <v>2.0108999999999999</v>
      </c>
      <c r="Y17" s="12">
        <v>0</v>
      </c>
      <c r="Z17" s="1">
        <f ca="1">RANK($W17,$W$17:$W$25)+(9-$Y17)/10</f>
        <v>1.9</v>
      </c>
      <c r="AA17" s="1">
        <f ca="1">SUM(E30:BP30)</f>
        <v>0</v>
      </c>
      <c r="AB17" s="1">
        <f ca="1">SUM(E41:BP41)</f>
        <v>0</v>
      </c>
      <c r="AC17" s="1">
        <f ca="1">SUM(E52:BP52)</f>
        <v>0</v>
      </c>
      <c r="AD17" s="260">
        <f ca="1">RANK($K17,$K$17:$K$25)</f>
        <v>2</v>
      </c>
      <c r="AE17" s="29">
        <f t="shared" ref="AE17:AE22" ca="1" si="22">(J17+$H$65)*$F$65+H17*$F$66</f>
        <v>503176</v>
      </c>
      <c r="AF17" s="1">
        <f ca="1">RANK($AE17,$AE$17:$AE$25)</f>
        <v>2</v>
      </c>
      <c r="AG17" s="1">
        <f ca="1">RANK($W17,$W$17:$W$25)</f>
        <v>1</v>
      </c>
      <c r="AH17" s="262">
        <f ca="1">AD17+AG17/100+AF17/10000+(10-Y17)/1000000</f>
        <v>2.0102099999999998</v>
      </c>
      <c r="AI17" s="1"/>
    </row>
    <row r="18" spans="2:80" s="2" customFormat="1" x14ac:dyDescent="0.2">
      <c r="C18" s="2" t="str">
        <f t="shared" ref="C18:C25" ca="1" si="23">$Q65</f>
        <v>SSV Wildbach</v>
      </c>
      <c r="D18" s="1">
        <f t="shared" ca="1" si="11"/>
        <v>4</v>
      </c>
      <c r="E18" s="1">
        <f t="shared" ca="1" si="11"/>
        <v>2</v>
      </c>
      <c r="F18" s="1">
        <f t="shared" ca="1" si="11"/>
        <v>2</v>
      </c>
      <c r="G18" s="1">
        <f t="shared" ca="1" si="11"/>
        <v>0</v>
      </c>
      <c r="H18" s="1">
        <f t="shared" ca="1" si="12"/>
        <v>187</v>
      </c>
      <c r="I18" s="1">
        <f t="shared" ca="1" si="12"/>
        <v>171</v>
      </c>
      <c r="J18" s="12">
        <f t="shared" ca="1" si="12"/>
        <v>16</v>
      </c>
      <c r="K18" s="1">
        <f t="shared" ca="1" si="12"/>
        <v>6</v>
      </c>
      <c r="L18" s="29">
        <f t="shared" ca="1" si="13"/>
        <v>6516187</v>
      </c>
      <c r="M18" s="13">
        <f t="shared" ref="M18:M25" ca="1" si="24">IF($AI$15,COUNTIF($K$17:$K$25,K18),COUNTIF($L$17:$L$25,L18))</f>
        <v>1</v>
      </c>
      <c r="N18" s="13">
        <f t="array" aca="1" ref="N18" ca="1">IF($AI$15,SUM(($K$17:$K$25&gt;=K18)/COUNTIF($K$17:$K$25,$K$17:$K$25)),SUM(($L$17:$L$25&gt;=L18)/COUNTIF($L$17:$L$25,$L$17:$L$25)))</f>
        <v>1</v>
      </c>
      <c r="O18" s="5" t="str">
        <f t="shared" ca="1" si="14"/>
        <v/>
      </c>
      <c r="P18" s="3" t="str">
        <f t="shared" ca="1" si="15"/>
        <v/>
      </c>
      <c r="Q18" s="3" t="str">
        <f t="shared" ca="1" si="16"/>
        <v/>
      </c>
      <c r="R18" s="3" t="str">
        <f t="shared" ca="1" si="17"/>
        <v/>
      </c>
      <c r="S18" s="3" t="str">
        <f t="shared" ca="1" si="18"/>
        <v/>
      </c>
      <c r="T18" s="3" t="str">
        <f t="shared" ca="1" si="19"/>
        <v/>
      </c>
      <c r="U18" s="3" t="str">
        <f t="shared" ca="1" si="20"/>
        <v/>
      </c>
      <c r="V18" s="55" t="str">
        <f t="shared" ca="1" si="21"/>
        <v/>
      </c>
      <c r="W18" s="62">
        <f ca="1">AA18*$F$64+(AB18+$H$65)*$F$65+AC18*$F$66</f>
        <v>500000</v>
      </c>
      <c r="X18" s="21">
        <f t="shared" ref="X18:X25" ca="1" si="25">RANK($L18,$L$17:$L$25)+RANK($W18,$W$17:$W$25)/100+(9-$Y18)/10000</f>
        <v>1.0108999999999999</v>
      </c>
      <c r="Y18" s="12">
        <v>0</v>
      </c>
      <c r="Z18" s="1">
        <f t="shared" ref="Z18:Z25" ca="1" si="26">RANK($W18,$W$17:$W$25)+(9-$Y18)/10</f>
        <v>1.9</v>
      </c>
      <c r="AA18" s="1">
        <f t="shared" ref="AA18:AA25" ca="1" si="27">SUM(E31:BP31)</f>
        <v>0</v>
      </c>
      <c r="AB18" s="1">
        <f t="shared" ref="AB18:AB25" ca="1" si="28">SUM(E42:BP42)</f>
        <v>0</v>
      </c>
      <c r="AC18" s="1">
        <f t="shared" ref="AC18:AC25" ca="1" si="29">SUM(E53:BP53)</f>
        <v>0</v>
      </c>
      <c r="AD18" s="260">
        <f t="shared" ref="AD18:AD25" ca="1" si="30">RANK($K18,$K$17:$K$25)</f>
        <v>1</v>
      </c>
      <c r="AE18" s="29">
        <f t="shared" ca="1" si="22"/>
        <v>516187</v>
      </c>
      <c r="AF18" s="1">
        <f t="shared" ref="AF18:AF25" ca="1" si="31">RANK($AE18,$AE$17:$AE$25)</f>
        <v>1</v>
      </c>
      <c r="AG18" s="1">
        <f t="shared" ref="AG18:AG25" ca="1" si="32">RANK($W18,$W$17:$W$25)</f>
        <v>1</v>
      </c>
      <c r="AH18" s="263">
        <f t="shared" ref="AH18:AH25" ca="1" si="33">AD18+AG18/100+AF18/10000+(10-Y18)/1000000</f>
        <v>1.0101100000000001</v>
      </c>
      <c r="AI18" s="1"/>
    </row>
    <row r="19" spans="2:80" s="2" customFormat="1" x14ac:dyDescent="0.2">
      <c r="C19" s="2" t="str">
        <f t="shared" ca="1" si="23"/>
        <v>1. FC Nürnberg</v>
      </c>
      <c r="D19" s="1">
        <f t="shared" ca="1" si="11"/>
        <v>4</v>
      </c>
      <c r="E19" s="1">
        <f t="shared" ca="1" si="11"/>
        <v>1</v>
      </c>
      <c r="F19" s="1">
        <f t="shared" ca="1" si="11"/>
        <v>2</v>
      </c>
      <c r="G19" s="1">
        <f t="shared" ca="1" si="11"/>
        <v>1</v>
      </c>
      <c r="H19" s="1">
        <f t="shared" ca="1" si="12"/>
        <v>160</v>
      </c>
      <c r="I19" s="1">
        <f t="shared" ca="1" si="12"/>
        <v>175</v>
      </c>
      <c r="J19" s="12">
        <f t="shared" ca="1" si="12"/>
        <v>-15</v>
      </c>
      <c r="K19" s="1">
        <f t="shared" ca="1" si="12"/>
        <v>4</v>
      </c>
      <c r="L19" s="29">
        <f t="shared" ca="1" si="13"/>
        <v>4485160</v>
      </c>
      <c r="M19" s="13">
        <f t="shared" ca="1" si="24"/>
        <v>1</v>
      </c>
      <c r="N19" s="13">
        <f t="array" aca="1" ref="N19" ca="1">IF($AI$15,SUM(($K$17:$K$25&gt;=K19)/COUNTIF($K$17:$K$25,$K$17:$K$25)),SUM(($L$17:$L$25&gt;=L19)/COUNTIF($L$17:$L$25,$L$17:$L$25)))</f>
        <v>3</v>
      </c>
      <c r="O19" s="5" t="str">
        <f t="shared" ca="1" si="14"/>
        <v/>
      </c>
      <c r="P19" s="3" t="str">
        <f t="shared" ca="1" si="15"/>
        <v/>
      </c>
      <c r="Q19" s="3" t="str">
        <f t="shared" ca="1" si="16"/>
        <v/>
      </c>
      <c r="R19" s="3" t="str">
        <f t="shared" ca="1" si="17"/>
        <v/>
      </c>
      <c r="S19" s="3" t="str">
        <f t="shared" ca="1" si="18"/>
        <v/>
      </c>
      <c r="T19" s="3" t="str">
        <f t="shared" ca="1" si="19"/>
        <v/>
      </c>
      <c r="U19" s="3" t="str">
        <f t="shared" ca="1" si="20"/>
        <v/>
      </c>
      <c r="V19" s="55" t="str">
        <f t="shared" ca="1" si="21"/>
        <v/>
      </c>
      <c r="W19" s="62">
        <f ca="1">AA19*$F$64+(AB19+$H$65)*$F$65+AC19*$F$66</f>
        <v>500000</v>
      </c>
      <c r="X19" s="21">
        <f t="shared" ca="1" si="25"/>
        <v>3.0108999999999999</v>
      </c>
      <c r="Y19" s="12">
        <v>0</v>
      </c>
      <c r="Z19" s="1">
        <f t="shared" ca="1" si="26"/>
        <v>1.9</v>
      </c>
      <c r="AA19" s="1">
        <f t="shared" ca="1" si="27"/>
        <v>0</v>
      </c>
      <c r="AB19" s="1">
        <f t="shared" ca="1" si="28"/>
        <v>0</v>
      </c>
      <c r="AC19" s="1">
        <f t="shared" ca="1" si="29"/>
        <v>0</v>
      </c>
      <c r="AD19" s="260">
        <f t="shared" ca="1" si="30"/>
        <v>2</v>
      </c>
      <c r="AE19" s="29">
        <f t="shared" ca="1" si="22"/>
        <v>485160</v>
      </c>
      <c r="AF19" s="1">
        <f t="shared" ca="1" si="31"/>
        <v>6</v>
      </c>
      <c r="AG19" s="1">
        <f t="shared" ca="1" si="32"/>
        <v>1</v>
      </c>
      <c r="AH19" s="263">
        <f t="shared" ca="1" si="33"/>
        <v>2.0106099999999998</v>
      </c>
      <c r="AI19" s="1"/>
    </row>
    <row r="20" spans="2:80" s="2" customFormat="1" x14ac:dyDescent="0.2">
      <c r="C20" s="2" t="str">
        <f t="shared" si="23"/>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13"/>
        <v>500000</v>
      </c>
      <c r="M20" s="13">
        <f t="shared" ca="1" si="24"/>
        <v>6</v>
      </c>
      <c r="N20" s="13">
        <f t="array" aca="1" ref="N20" ca="1">IF($AI$15,SUM(($K$17:$K$25&gt;=K20)/COUNTIF($K$17:$K$25,$K$17:$K$25)),SUM(($L$17:$L$25&gt;=L20)/COUNTIF($L$17:$L$25,$L$17:$L$25)))</f>
        <v>3.9999999999999991</v>
      </c>
      <c r="O20" s="5" t="str">
        <f t="shared" ca="1" si="14"/>
        <v/>
      </c>
      <c r="P20" s="3" t="str">
        <f t="shared" ca="1" si="15"/>
        <v/>
      </c>
      <c r="Q20" s="3" t="str">
        <f t="shared" ca="1" si="16"/>
        <v/>
      </c>
      <c r="R20" s="3" t="str">
        <f t="shared" ca="1" si="17"/>
        <v/>
      </c>
      <c r="S20" s="3" t="str">
        <f t="shared" ca="1" si="18"/>
        <v/>
      </c>
      <c r="T20" s="3" t="str">
        <f t="shared" ca="1" si="19"/>
        <v/>
      </c>
      <c r="U20" s="3" t="str">
        <f t="shared" ca="1" si="20"/>
        <v/>
      </c>
      <c r="V20" s="55" t="str">
        <f t="shared" ca="1" si="21"/>
        <v/>
      </c>
      <c r="W20" s="62">
        <v>0</v>
      </c>
      <c r="X20" s="21">
        <f t="shared" ca="1" si="25"/>
        <v>4.0408999999999997</v>
      </c>
      <c r="Y20" s="12">
        <v>0</v>
      </c>
      <c r="Z20" s="1">
        <f t="shared" ca="1" si="26"/>
        <v>4.9000000000000004</v>
      </c>
      <c r="AA20" s="1">
        <f t="shared" ca="1" si="27"/>
        <v>0</v>
      </c>
      <c r="AB20" s="1">
        <f t="shared" ca="1" si="28"/>
        <v>0</v>
      </c>
      <c r="AC20" s="1">
        <f t="shared" ca="1" si="29"/>
        <v>0</v>
      </c>
      <c r="AD20" s="260">
        <f t="shared" ca="1" si="30"/>
        <v>4</v>
      </c>
      <c r="AE20" s="29">
        <f t="shared" ca="1" si="22"/>
        <v>500000</v>
      </c>
      <c r="AF20" s="1">
        <f t="shared" ca="1" si="31"/>
        <v>3</v>
      </c>
      <c r="AG20" s="1">
        <f t="shared" ca="1" si="32"/>
        <v>4</v>
      </c>
      <c r="AH20" s="263">
        <f t="shared" ca="1" si="33"/>
        <v>4.0403099999999998</v>
      </c>
      <c r="AI20" s="1"/>
    </row>
    <row r="21" spans="2:80" s="2" customFormat="1" x14ac:dyDescent="0.2">
      <c r="C21" s="2" t="str">
        <f t="shared" si="23"/>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13"/>
        <v>500000</v>
      </c>
      <c r="M21" s="13">
        <f t="shared" ca="1" si="24"/>
        <v>6</v>
      </c>
      <c r="N21" s="13">
        <f t="array" aca="1" ref="N21" ca="1">IF($AI$15,SUM(($K$17:$K$25&gt;=K21)/COUNTIF($K$17:$K$25,$K$17:$K$25)),SUM(($L$17:$L$25&gt;=L21)/COUNTIF($L$17:$L$25,$L$17:$L$25)))</f>
        <v>3.9999999999999991</v>
      </c>
      <c r="O21" s="5" t="str">
        <f t="shared" ca="1" si="14"/>
        <v/>
      </c>
      <c r="P21" s="3" t="str">
        <f t="shared" ca="1" si="15"/>
        <v/>
      </c>
      <c r="Q21" s="3" t="str">
        <f t="shared" ca="1" si="16"/>
        <v/>
      </c>
      <c r="R21" s="3" t="str">
        <f t="shared" ca="1" si="17"/>
        <v/>
      </c>
      <c r="S21" s="3" t="str">
        <f t="shared" ca="1" si="18"/>
        <v/>
      </c>
      <c r="T21" s="3" t="str">
        <f t="shared" ca="1" si="19"/>
        <v/>
      </c>
      <c r="U21" s="3" t="str">
        <f t="shared" ca="1" si="20"/>
        <v/>
      </c>
      <c r="V21" s="55" t="str">
        <f t="shared" ca="1" si="21"/>
        <v/>
      </c>
      <c r="W21" s="62">
        <v>0</v>
      </c>
      <c r="X21" s="21">
        <f t="shared" ca="1" si="25"/>
        <v>4.0408999999999997</v>
      </c>
      <c r="Y21" s="12">
        <v>0</v>
      </c>
      <c r="Z21" s="1">
        <f t="shared" ca="1" si="26"/>
        <v>4.9000000000000004</v>
      </c>
      <c r="AA21" s="1">
        <f t="shared" ca="1" si="27"/>
        <v>0</v>
      </c>
      <c r="AB21" s="1">
        <f t="shared" ca="1" si="28"/>
        <v>0</v>
      </c>
      <c r="AC21" s="1">
        <f t="shared" ca="1" si="29"/>
        <v>0</v>
      </c>
      <c r="AD21" s="260">
        <f t="shared" ca="1" si="30"/>
        <v>4</v>
      </c>
      <c r="AE21" s="29">
        <f t="shared" ca="1" si="22"/>
        <v>500000</v>
      </c>
      <c r="AF21" s="1">
        <f t="shared" ca="1" si="31"/>
        <v>3</v>
      </c>
      <c r="AG21" s="1">
        <f t="shared" ca="1" si="32"/>
        <v>4</v>
      </c>
      <c r="AH21" s="263">
        <f t="shared" ca="1" si="33"/>
        <v>4.0403099999999998</v>
      </c>
      <c r="AI21" s="1"/>
    </row>
    <row r="22" spans="2:80" s="2" customFormat="1" x14ac:dyDescent="0.2">
      <c r="C22" s="2" t="str">
        <f t="shared" si="23"/>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13"/>
        <v>500000</v>
      </c>
      <c r="M22" s="13">
        <f t="shared" ca="1" si="24"/>
        <v>6</v>
      </c>
      <c r="N22" s="13">
        <f t="array" aca="1" ref="N22" ca="1">IF($AI$15,SUM(($K$17:$K$25&gt;=K22)/COUNTIF($K$17:$K$25,$K$17:$K$25)),SUM(($L$17:$L$25&gt;=L22)/COUNTIF($L$17:$L$25,$L$17:$L$25)))</f>
        <v>3.9999999999999991</v>
      </c>
      <c r="O22" s="5" t="str">
        <f t="shared" ca="1" si="14"/>
        <v/>
      </c>
      <c r="P22" s="3" t="str">
        <f t="shared" ca="1" si="15"/>
        <v/>
      </c>
      <c r="Q22" s="3" t="str">
        <f t="shared" ca="1" si="16"/>
        <v/>
      </c>
      <c r="R22" s="3" t="str">
        <f t="shared" ca="1" si="17"/>
        <v/>
      </c>
      <c r="S22" s="3" t="str">
        <f t="shared" ca="1" si="18"/>
        <v/>
      </c>
      <c r="T22" s="3" t="str">
        <f t="shared" ca="1" si="19"/>
        <v/>
      </c>
      <c r="U22" s="3" t="str">
        <f t="shared" ca="1" si="20"/>
        <v/>
      </c>
      <c r="V22" s="55" t="str">
        <f t="shared" ca="1" si="21"/>
        <v/>
      </c>
      <c r="W22" s="62">
        <v>0</v>
      </c>
      <c r="X22" s="21">
        <f t="shared" ca="1" si="25"/>
        <v>4.0408999999999997</v>
      </c>
      <c r="Y22" s="12">
        <v>0</v>
      </c>
      <c r="Z22" s="1">
        <f t="shared" ca="1" si="26"/>
        <v>4.9000000000000004</v>
      </c>
      <c r="AA22" s="1">
        <f t="shared" ca="1" si="27"/>
        <v>0</v>
      </c>
      <c r="AB22" s="1">
        <f t="shared" ca="1" si="28"/>
        <v>0</v>
      </c>
      <c r="AC22" s="1">
        <f t="shared" ca="1" si="29"/>
        <v>0</v>
      </c>
      <c r="AD22" s="260">
        <f t="shared" ca="1" si="30"/>
        <v>4</v>
      </c>
      <c r="AE22" s="29">
        <f t="shared" ca="1" si="22"/>
        <v>500000</v>
      </c>
      <c r="AF22" s="1">
        <f t="shared" ca="1" si="31"/>
        <v>3</v>
      </c>
      <c r="AG22" s="1">
        <f t="shared" ca="1" si="32"/>
        <v>4</v>
      </c>
      <c r="AH22" s="263">
        <f t="shared" ca="1" si="33"/>
        <v>4.0403099999999998</v>
      </c>
      <c r="AI22" s="1"/>
    </row>
    <row r="23" spans="2:80" s="2" customFormat="1" x14ac:dyDescent="0.2">
      <c r="C23" s="2" t="str">
        <f t="shared" si="23"/>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13"/>
        <v>500000</v>
      </c>
      <c r="M23" s="13">
        <f t="shared" ca="1" si="24"/>
        <v>6</v>
      </c>
      <c r="N23" s="13">
        <f t="array" aca="1" ref="N23" ca="1">IF($AI$15,SUM(($K$17:$K$25&gt;=K23)/COUNTIF($K$17:$K$25,$K$17:$K$25)),SUM(($L$17:$L$25&gt;=L23)/COUNTIF($L$17:$L$25,$L$17:$L$25)))</f>
        <v>3.9999999999999991</v>
      </c>
      <c r="O23" s="5" t="str">
        <f t="shared" ca="1" si="14"/>
        <v/>
      </c>
      <c r="P23" s="3" t="str">
        <f t="shared" ca="1" si="15"/>
        <v/>
      </c>
      <c r="Q23" s="3" t="str">
        <f t="shared" ca="1" si="16"/>
        <v/>
      </c>
      <c r="R23" s="3" t="str">
        <f t="shared" ca="1" si="17"/>
        <v/>
      </c>
      <c r="S23" s="3" t="str">
        <f t="shared" ca="1" si="18"/>
        <v/>
      </c>
      <c r="T23" s="3" t="str">
        <f t="shared" ca="1" si="19"/>
        <v/>
      </c>
      <c r="U23" s="3" t="str">
        <f t="shared" ca="1" si="20"/>
        <v/>
      </c>
      <c r="V23" s="55" t="str">
        <f t="shared" ca="1" si="21"/>
        <v/>
      </c>
      <c r="W23" s="62">
        <v>0</v>
      </c>
      <c r="X23" s="21">
        <f t="shared" ca="1" si="25"/>
        <v>4.0408999999999997</v>
      </c>
      <c r="Y23" s="12">
        <v>0</v>
      </c>
      <c r="Z23" s="1">
        <f t="shared" ca="1" si="26"/>
        <v>4.9000000000000004</v>
      </c>
      <c r="AA23" s="1">
        <f t="shared" ca="1" si="27"/>
        <v>0</v>
      </c>
      <c r="AB23" s="1">
        <f t="shared" ca="1" si="28"/>
        <v>0</v>
      </c>
      <c r="AC23" s="1">
        <f t="shared" ca="1" si="29"/>
        <v>0</v>
      </c>
      <c r="AD23" s="260">
        <f t="shared" ca="1" si="30"/>
        <v>4</v>
      </c>
      <c r="AE23" s="29">
        <v>0</v>
      </c>
      <c r="AF23" s="1">
        <f t="shared" ca="1" si="31"/>
        <v>7</v>
      </c>
      <c r="AG23" s="1">
        <f t="shared" ca="1" si="32"/>
        <v>4</v>
      </c>
      <c r="AH23" s="263">
        <f t="shared" ca="1" si="33"/>
        <v>4.0407099999999998</v>
      </c>
      <c r="AI23" s="1"/>
    </row>
    <row r="24" spans="2:80" s="2" customFormat="1" x14ac:dyDescent="0.2">
      <c r="C24" s="2" t="str">
        <f t="shared" si="23"/>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13"/>
        <v>500000</v>
      </c>
      <c r="M24" s="13">
        <f t="shared" ca="1" si="24"/>
        <v>6</v>
      </c>
      <c r="N24" s="13">
        <f t="array" aca="1" ref="N24" ca="1">IF($AI$15,SUM(($K$17:$K$25&gt;=K24)/COUNTIF($K$17:$K$25,$K$17:$K$25)),SUM(($L$17:$L$25&gt;=L24)/COUNTIF($L$17:$L$25,$L$17:$L$25)))</f>
        <v>3.9999999999999991</v>
      </c>
      <c r="O24" s="5" t="str">
        <f t="shared" ca="1" si="14"/>
        <v/>
      </c>
      <c r="P24" s="3" t="str">
        <f t="shared" ca="1" si="15"/>
        <v/>
      </c>
      <c r="Q24" s="3" t="str">
        <f t="shared" ca="1" si="16"/>
        <v/>
      </c>
      <c r="R24" s="3" t="str">
        <f t="shared" ca="1" si="17"/>
        <v/>
      </c>
      <c r="S24" s="3" t="str">
        <f t="shared" ca="1" si="18"/>
        <v/>
      </c>
      <c r="T24" s="3" t="str">
        <f t="shared" ca="1" si="19"/>
        <v/>
      </c>
      <c r="U24" s="3" t="str">
        <f t="shared" ca="1" si="20"/>
        <v/>
      </c>
      <c r="V24" s="55" t="str">
        <f t="shared" ca="1" si="21"/>
        <v/>
      </c>
      <c r="W24" s="62">
        <v>0</v>
      </c>
      <c r="X24" s="21">
        <f t="shared" ca="1" si="25"/>
        <v>4.0408999999999997</v>
      </c>
      <c r="Y24" s="12">
        <v>0</v>
      </c>
      <c r="Z24" s="1">
        <f t="shared" ca="1" si="26"/>
        <v>4.9000000000000004</v>
      </c>
      <c r="AA24" s="1">
        <f t="shared" ca="1" si="27"/>
        <v>0</v>
      </c>
      <c r="AB24" s="1">
        <f t="shared" ca="1" si="28"/>
        <v>0</v>
      </c>
      <c r="AC24" s="1">
        <f t="shared" ca="1" si="29"/>
        <v>0</v>
      </c>
      <c r="AD24" s="260">
        <f t="shared" ca="1" si="30"/>
        <v>4</v>
      </c>
      <c r="AE24" s="29">
        <v>0</v>
      </c>
      <c r="AF24" s="1">
        <f t="shared" ca="1" si="31"/>
        <v>7</v>
      </c>
      <c r="AG24" s="1">
        <f t="shared" ca="1" si="32"/>
        <v>4</v>
      </c>
      <c r="AH24" s="263">
        <f t="shared" ca="1" si="33"/>
        <v>4.0407099999999998</v>
      </c>
      <c r="AI24" s="1"/>
    </row>
    <row r="25" spans="2:80" s="2" customFormat="1" ht="12.75" thickBot="1" x14ac:dyDescent="0.25">
      <c r="C25" s="2" t="str">
        <f t="shared" si="23"/>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13"/>
        <v>500000</v>
      </c>
      <c r="M25" s="13">
        <f t="shared" ca="1" si="24"/>
        <v>6</v>
      </c>
      <c r="N25" s="13">
        <f t="array" aca="1" ref="N25" ca="1">IF($AI$15,SUM(($K$17:$K$25&gt;=K25)/COUNTIF($K$17:$K$25,$K$17:$K$25)),SUM(($L$17:$L$25&gt;=L25)/COUNTIF($L$17:$L$25,$L$17:$L$25)))</f>
        <v>3.9999999999999991</v>
      </c>
      <c r="O25" s="56" t="str">
        <f t="shared" ca="1" si="14"/>
        <v/>
      </c>
      <c r="P25" s="57" t="str">
        <f t="shared" ca="1" si="15"/>
        <v/>
      </c>
      <c r="Q25" s="57" t="str">
        <f t="shared" ca="1" si="16"/>
        <v/>
      </c>
      <c r="R25" s="57" t="str">
        <f t="shared" ca="1" si="17"/>
        <v/>
      </c>
      <c r="S25" s="57" t="str">
        <f t="shared" ca="1" si="18"/>
        <v/>
      </c>
      <c r="T25" s="57" t="str">
        <f t="shared" ca="1" si="19"/>
        <v/>
      </c>
      <c r="U25" s="57" t="str">
        <f t="shared" ca="1" si="20"/>
        <v/>
      </c>
      <c r="V25" s="58" t="str">
        <f t="shared" ca="1" si="21"/>
        <v/>
      </c>
      <c r="W25" s="62">
        <v>0</v>
      </c>
      <c r="X25" s="22">
        <f t="shared" ca="1" si="25"/>
        <v>4.0408999999999997</v>
      </c>
      <c r="Y25" s="12">
        <v>0</v>
      </c>
      <c r="Z25" s="1">
        <f t="shared" ca="1" si="26"/>
        <v>4.9000000000000004</v>
      </c>
      <c r="AA25" s="1">
        <f t="shared" ca="1" si="27"/>
        <v>0</v>
      </c>
      <c r="AB25" s="1">
        <f t="shared" ca="1" si="28"/>
        <v>0</v>
      </c>
      <c r="AC25" s="1">
        <f t="shared" ca="1" si="29"/>
        <v>0</v>
      </c>
      <c r="AD25" s="260">
        <f t="shared" ca="1" si="30"/>
        <v>4</v>
      </c>
      <c r="AE25" s="29">
        <v>0</v>
      </c>
      <c r="AF25" s="1">
        <f t="shared" ca="1" si="31"/>
        <v>7</v>
      </c>
      <c r="AG25" s="1">
        <f t="shared" ca="1" si="32"/>
        <v>4</v>
      </c>
      <c r="AH25" s="264">
        <f t="shared" ca="1" si="33"/>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Eintracht Frankfurt</v>
      </c>
      <c r="BT29" s="2" t="str">
        <f ca="1">$F$5</f>
        <v>SSV Wildbach</v>
      </c>
      <c r="BU29" s="2" t="str">
        <f ca="1">$F$6</f>
        <v>1. FC Nürnberg</v>
      </c>
      <c r="BV29" s="2" t="str">
        <f>$F$7</f>
        <v/>
      </c>
      <c r="BW29" s="2" t="str">
        <f>$F$8</f>
        <v/>
      </c>
      <c r="BX29" s="2" t="str">
        <f>$F$9</f>
        <v/>
      </c>
      <c r="BY29" s="2" t="str">
        <f>$F$10</f>
        <v/>
      </c>
      <c r="BZ29" s="2" t="str">
        <f>$F$11</f>
        <v/>
      </c>
      <c r="CA29" s="2" t="str">
        <f>$F$12</f>
        <v/>
      </c>
      <c r="CB29" s="51"/>
    </row>
    <row r="30" spans="2:80" s="2" customFormat="1" x14ac:dyDescent="0.2">
      <c r="C30" s="2" t="str">
        <f ca="1">$Q64</f>
        <v>Eintracht Frankfurt</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Eintracht Frankfurt</v>
      </c>
      <c r="BS30" s="6"/>
      <c r="BT30" s="7">
        <f t="shared" ref="BT30:CA32" ca="1" si="35">SUMIFS($X$64:$X$135,$V$64:$V$135,$BR30,$W$64:$W$135,BT$29)+SUMIFS($Y$64:$Y$135,$W$64:$W$135,$BR30,$V$64:$V$135,BT$29)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SSV Wildbach</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SSV Wildbach</v>
      </c>
      <c r="BS31" s="8">
        <f t="shared" ref="BS31:BU38" ca="1" si="37">SUMIFS($X$64:$X$135,$V$64:$V$135,$BR31,$W$64:$W$135,BS$29)+SUMIFS($Y$64:$Y$135,$W$64:$W$135,$BR31,$V$64:$V$135,BS$29)</f>
        <v>0</v>
      </c>
      <c r="BT31" s="6"/>
      <c r="BU31" s="7">
        <f t="shared" ca="1" si="35"/>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1. FC Nürnberg</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1. FC Nürnberg</v>
      </c>
      <c r="BS32" s="8">
        <f t="shared" ca="1" si="37"/>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ca="1">SUMIFS($X$64:$X$135,$V$64:$V$135,$BR33,$W$64:$W$135,BW$29)+SUMIFS($Y$64:$Y$135,$W$64:$W$135,$BR33,$V$64:$V$135,BW$29)</f>
        <v>0</v>
      </c>
      <c r="BX33" s="7">
        <f ca="1">SUMIFS($X$64:$X$135,$V$64:$V$135,$BR33,$W$64:$W$135,BX$29)+SUMIFS($Y$64:$Y$135,$W$64:$W$135,$BR33,$V$64:$V$135,BX$29)</f>
        <v>0</v>
      </c>
      <c r="BY33" s="7">
        <f ca="1">SUMIFS($X$64:$X$135,$V$64:$V$135,$BR33,$W$64:$W$135,BY$29)+SUMIFS($Y$64:$Y$135,$W$64:$W$135,$BR33,$V$64:$V$135,BY$29)</f>
        <v>0</v>
      </c>
      <c r="BZ33" s="7">
        <f ca="1">SUMIFS($X$64:$X$135,$V$64:$V$135,$BR33,$W$64:$W$135,BZ$29)+SUMIFS($Y$64:$Y$135,$W$64:$W$135,$BR33,$V$64:$V$135,BZ$29)</f>
        <v>0</v>
      </c>
      <c r="CA33" s="7">
        <f ca="1">SUMIFS($X$64:$X$135,$V$64:$V$135,$BR33,$W$64:$W$135,CA$29)+SUMIFS($Y$64:$Y$135,$W$64:$W$135,$BR33,$V$64:$V$135,CA$29)</f>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ca="1">SUMIFS($X$64:$X$135,$V$64:$V$135,$BR34,$W$64:$W$135,BV$29)+SUMIFS($Y$64:$Y$135,$W$64:$W$135,$BR34,$V$64:$V$135,BV$29)</f>
        <v>0</v>
      </c>
      <c r="BW34" s="6"/>
      <c r="BX34" s="7">
        <f ca="1">SUMIFS($X$64:$X$135,$V$64:$V$135,$BR34,$W$64:$W$135,BX$29)+SUMIFS($Y$64:$Y$135,$W$64:$W$135,$BR34,$V$64:$V$135,BX$29)</f>
        <v>0</v>
      </c>
      <c r="BY34" s="7">
        <f ca="1">SUMIFS($X$64:$X$135,$V$64:$V$135,$BR34,$W$64:$W$135,BY$29)+SUMIFS($Y$64:$Y$135,$W$64:$W$135,$BR34,$V$64:$V$135,BY$29)</f>
        <v>0</v>
      </c>
      <c r="BZ34" s="7">
        <f ca="1">SUMIFS($X$64:$X$135,$V$64:$V$135,$BR34,$W$64:$W$135,BZ$29)+SUMIFS($Y$64:$Y$135,$W$64:$W$135,$BR34,$V$64:$V$135,BZ$29)</f>
        <v>0</v>
      </c>
      <c r="CA34" s="7">
        <f ca="1">SUMIFS($X$64:$X$135,$V$64:$V$135,$BR34,$W$64:$W$135,CA$29)+SUMIFS($Y$64:$Y$135,$W$64:$W$135,$BR34,$V$64:$V$135,CA$29)</f>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ca="1">SUMIFS($X$64:$X$135,$V$64:$V$135,$BR35,$W$64:$W$135,BV$29)+SUMIFS($Y$64:$Y$135,$W$64:$W$135,$BR35,$V$64:$V$135,BV$29)</f>
        <v>0</v>
      </c>
      <c r="BW35" s="8">
        <f ca="1">SUMIFS($X$64:$X$135,$V$64:$V$135,$BR35,$W$64:$W$135,BW$29)+SUMIFS($Y$64:$Y$135,$W$64:$W$135,$BR35,$V$64:$V$135,BW$29)</f>
        <v>0</v>
      </c>
      <c r="BX35" s="6"/>
      <c r="BY35" s="7">
        <f ca="1">SUMIFS($X$64:$X$135,$V$64:$V$135,$BR35,$W$64:$W$135,BY$29)+SUMIFS($Y$64:$Y$135,$W$64:$W$135,$BR35,$V$64:$V$135,BY$29)</f>
        <v>0</v>
      </c>
      <c r="BZ35" s="7">
        <f ca="1">SUMIFS($X$64:$X$135,$V$64:$V$135,$BR35,$W$64:$W$135,BZ$29)+SUMIFS($Y$64:$Y$135,$W$64:$W$135,$BR35,$V$64:$V$135,BZ$29)</f>
        <v>0</v>
      </c>
      <c r="CA35" s="7">
        <f ca="1">SUMIFS($X$64:$X$135,$V$64:$V$135,$BR35,$W$64:$W$135,CA$29)+SUMIFS($Y$64:$Y$135,$W$64:$W$135,$BR35,$V$64:$V$135,CA$29)</f>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ca="1">SUMIFS($X$64:$X$135,$V$64:$V$135,$BR36,$W$64:$W$135,BV$29)+SUMIFS($Y$64:$Y$135,$W$64:$W$135,$BR36,$V$64:$V$135,BV$29)</f>
        <v>0</v>
      </c>
      <c r="BW36" s="8">
        <f ca="1">SUMIFS($X$64:$X$135,$V$64:$V$135,$BR36,$W$64:$W$135,BW$29)+SUMIFS($Y$64:$Y$135,$W$64:$W$135,$BR36,$V$64:$V$135,BW$29)</f>
        <v>0</v>
      </c>
      <c r="BX36" s="8">
        <f ca="1">SUMIFS($X$64:$X$135,$V$64:$V$135,$BR36,$W$64:$W$135,BX$29)+SUMIFS($Y$64:$Y$135,$W$64:$W$135,$BR36,$V$64:$V$135,BX$29)</f>
        <v>0</v>
      </c>
      <c r="BY36" s="6"/>
      <c r="BZ36" s="7">
        <f ca="1">SUMIFS($X$64:$X$135,$V$64:$V$135,$BR36,$W$64:$W$135,BZ$29)+SUMIFS($Y$64:$Y$135,$W$64:$W$135,$BR36,$V$64:$V$135,BZ$29)</f>
        <v>0</v>
      </c>
      <c r="CA36" s="7">
        <f ca="1">SUMIFS($X$64:$X$135,$V$64:$V$135,$BR36,$W$64:$W$135,CA$29)+SUMIFS($Y$64:$Y$135,$W$64:$W$135,$BR36,$V$64:$V$135,CA$29)</f>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ca="1">SUMIFS($X$64:$X$135,$V$64:$V$135,$BR37,$W$64:$W$135,BV$29)+SUMIFS($Y$64:$Y$135,$W$64:$W$135,$BR37,$V$64:$V$135,BV$29)</f>
        <v>0</v>
      </c>
      <c r="BW37" s="8">
        <f ca="1">SUMIFS($X$64:$X$135,$V$64:$V$135,$BR37,$W$64:$W$135,BW$29)+SUMIFS($Y$64:$Y$135,$W$64:$W$135,$BR37,$V$64:$V$135,BW$29)</f>
        <v>0</v>
      </c>
      <c r="BX37" s="8">
        <f ca="1">SUMIFS($X$64:$X$135,$V$64:$V$135,$BR37,$W$64:$W$135,BX$29)+SUMIFS($Y$64:$Y$135,$W$64:$W$135,$BR37,$V$64:$V$135,BX$29)</f>
        <v>0</v>
      </c>
      <c r="BY37" s="8">
        <f ca="1">SUMIFS($X$64:$X$135,$V$64:$V$135,$BR37,$W$64:$W$135,BY$29)+SUMIFS($Y$64:$Y$135,$W$64:$W$135,$BR37,$V$64:$V$135,BY$29)</f>
        <v>0</v>
      </c>
      <c r="BZ37" s="6"/>
      <c r="CA37" s="7">
        <f ca="1">SUMIFS($X$64:$X$135,$V$64:$V$135,$BR37,$W$64:$W$135,CA$29)+SUMIFS($Y$64:$Y$135,$W$64:$W$135,$BR37,$V$64:$V$135,CA$29)</f>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ca="1">SUMIFS($X$64:$X$135,$V$64:$V$135,$BR38,$W$64:$W$135,BV$29)+SUMIFS($Y$64:$Y$135,$W$64:$W$135,$BR38,$V$64:$V$135,BV$29)</f>
        <v>0</v>
      </c>
      <c r="BW38" s="8">
        <f ca="1">SUMIFS($X$64:$X$135,$V$64:$V$135,$BR38,$W$64:$W$135,BW$29)+SUMIFS($Y$64:$Y$135,$W$64:$W$135,$BR38,$V$64:$V$135,BW$29)</f>
        <v>0</v>
      </c>
      <c r="BX38" s="8">
        <f ca="1">SUMIFS($X$64:$X$135,$V$64:$V$135,$BR38,$W$64:$W$135,BX$29)+SUMIFS($Y$64:$Y$135,$W$64:$W$135,$BR38,$V$64:$V$135,BX$29)</f>
        <v>0</v>
      </c>
      <c r="BY38" s="8">
        <f ca="1">SUMIFS($X$64:$X$135,$V$64:$V$135,$BR38,$W$64:$W$135,BY$29)+SUMIFS($Y$64:$Y$135,$W$64:$W$135,$BR38,$V$64:$V$135,BY$29)</f>
        <v>0</v>
      </c>
      <c r="BZ38" s="8">
        <f ca="1">SUMIFS($X$64:$X$135,$V$64:$V$135,$BR38,$W$64:$W$135,BZ$29)+SUMIFS($Y$64:$Y$135,$W$64:$W$135,$BR38,$V$64:$V$135,BZ$29)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Eintracht Frankfurt</v>
      </c>
      <c r="BT40" s="2" t="str">
        <f ca="1">$F$5</f>
        <v>SSV Wildbach</v>
      </c>
      <c r="BU40" s="2" t="str">
        <f ca="1">$F$6</f>
        <v>1. FC Nürnberg</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Eintracht Frankfurt</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SSV Wildbach</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1. FC Nürnberg</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2: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2: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2: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Eintracht Frankfurt</v>
      </c>
      <c r="BT51" s="2" t="str">
        <f ca="1">$F$5</f>
        <v>SSV Wildbach</v>
      </c>
      <c r="BU51" s="2" t="str">
        <f ca="1">$F$6</f>
        <v>1. FC Nürnberg</v>
      </c>
      <c r="BV51" s="2" t="str">
        <f>$F$7</f>
        <v/>
      </c>
      <c r="BW51" s="2" t="str">
        <f>$F$8</f>
        <v/>
      </c>
      <c r="BX51" s="2" t="str">
        <f>$F$9</f>
        <v/>
      </c>
      <c r="BY51" s="2" t="str">
        <f>$F$10</f>
        <v/>
      </c>
      <c r="BZ51" s="2" t="str">
        <f>$F$11</f>
        <v/>
      </c>
      <c r="CA51" s="2" t="str">
        <f>$F$12</f>
        <v/>
      </c>
      <c r="CB51" s="3"/>
    </row>
    <row r="52" spans="2:80" s="2" customFormat="1" x14ac:dyDescent="0.2">
      <c r="B52" s="2" t="s">
        <v>101</v>
      </c>
      <c r="E52" s="14">
        <f t="array" aca="1" ref="E52" ca="1">IF(O17=C17,SUM(IF(($BR$30:$BR$38=C17)*($BS$29:$CA$29=O18),$BS$30:$CA$38)),0)</f>
        <v>0</v>
      </c>
      <c r="F52" s="3">
        <f t="array" aca="1" ref="F52" ca="1">IF(O17=C17,SUM(IF(($BR$30:$BR$38=C17)*($BS$29:$CA$29=O19),$BS$30:$CA$38)),0)</f>
        <v>0</v>
      </c>
      <c r="G52" s="3">
        <f t="array" aca="1" ref="G52" ca="1">IF(O17=C17,SUM(IF(($BR$30:$BR$38=C17)*($BS$29:$CA$29=O20),$BS$30:$CA$38)),0)</f>
        <v>0</v>
      </c>
      <c r="H52" s="3">
        <f t="array" aca="1" ref="H52" ca="1">IF(O17=C17,SUM(IF(($BR$30:$BR$38=C17)*($BS$29:$CA$29=O21),$BS$30:$CA$38)),0)</f>
        <v>0</v>
      </c>
      <c r="I52" s="3">
        <f t="array" aca="1" ref="I52" ca="1">IF(O17=C17,SUM(IF(($BR$30:$BR$38=C17)*($BS$29:$CA$29=O22),$BS$30:$CA$38)),0)</f>
        <v>0</v>
      </c>
      <c r="J52" s="3">
        <f t="array" aca="1" ref="J52" ca="1">IF(O17=C17,SUM(IF(($BR$30:$BR$38=C17)*($BS$29:$CA$29=O23),$BS$30:$CA$38)),0)</f>
        <v>0</v>
      </c>
      <c r="K52" s="3">
        <f t="array" aca="1" ref="K52" ca="1">IF(O17=C17,SUM(IF(($BR$30:$BR$38=C17)*($BS$29:$CA$29=O$24),$BS$30:$CA$38)),0)</f>
        <v>0</v>
      </c>
      <c r="L52" s="3">
        <f t="array" aca="1" ref="L52" ca="1">IF(O17=C17,SUM(IF(($BR$30:$BR$38=C17)*($BS$29:$CA$29=O$25),$BS$30:$CA$38)),0)</f>
        <v>0</v>
      </c>
      <c r="M52" s="5">
        <f t="array" aca="1" ref="M52" ca="1">IF(P17=C17,SUM(IF(($BR$30:$BR$38=C17)*($BS$29:$CA$29=P18),$BS$30:$CA$38)),0)</f>
        <v>0</v>
      </c>
      <c r="N52" s="3">
        <f t="array" aca="1" ref="N52" ca="1">IF(P17=C17,SUM(IF(($BR$30:$BR$38=C17)*($BS$29:$CA$29=P19),$BS$30:$CA$38)),0)</f>
        <v>0</v>
      </c>
      <c r="O52" s="3">
        <f t="array" aca="1" ref="O52" ca="1">IF(P17=C17,SUM(IF(($BR$30:$BR$38=C17)*($BS$29:$CA$29=P20),$BS$30:$CA$38)),0)</f>
        <v>0</v>
      </c>
      <c r="P52" s="3">
        <f t="array" aca="1" ref="P52" ca="1">IF(P17=C17,SUM(IF(($BR$30:$BR$38=C17)*($BS$29:$CA$29=P21),$BS$30:$CA$38)),0)</f>
        <v>0</v>
      </c>
      <c r="Q52" s="3">
        <f t="array" aca="1" ref="Q52" ca="1">IF(P17=C17,SUM(IF(($BR$30:$BR$38=C17)*($BS$29:$CA$29=P22),$BS$30:$CA$38)),0)</f>
        <v>0</v>
      </c>
      <c r="R52" s="3">
        <f t="array" aca="1" ref="R52" ca="1">IF(P17=C17,SUM(IF(($BR$30:$BR$38=C17)*($BS$29:$CA$29=P23),$BS$30:$CA$38)),0)</f>
        <v>0</v>
      </c>
      <c r="S52" s="3">
        <f t="array" aca="1" ref="S52" ca="1">IF(P17=C17,SUM(IF(($BR$30:$BR$38=C17)*($BS$29:$CA$29=P$24),$BS$30:$CA$38)),0)</f>
        <v>0</v>
      </c>
      <c r="T52" s="3">
        <f t="array" aca="1" ref="T52" ca="1">IF(P17=C17,SUM(IF(($BR$30:$BR$38=C17)*($BS$29:$CA$29=P$25),$BS$30:$CA$38)),0)</f>
        <v>0</v>
      </c>
      <c r="U52" s="5">
        <f t="array" aca="1" ref="U52" ca="1">IF(Q17=C17,SUM(IF(($BR$30:$BR$38=C17)*($BS$29:$CA$29=Q18),$BS$30:$CA$38)),0)</f>
        <v>0</v>
      </c>
      <c r="V52" s="3">
        <f t="array" aca="1" ref="V52" ca="1">IF(Q17=C17,SUM(IF(($BR$30:$BR$38=C17)*($BS$29:$CA$29=Q19),$BS$30:$CA$38)),0)</f>
        <v>0</v>
      </c>
      <c r="W52" s="3">
        <f t="array" aca="1" ref="W52" ca="1">IF(Q17=C17,SUM(IF(($BR$30:$BR$38=C17)*($BS$29:$CA$29=Q20),$BS$30:$CA$38)),0)</f>
        <v>0</v>
      </c>
      <c r="X52" s="3">
        <f t="array" aca="1" ref="X52" ca="1">IF(Q17=C17,SUM(IF(($BR$30:$BR$38=C17)*($BS$29:$CA$29=Q21),$BS$30:$CA$38)),0)</f>
        <v>0</v>
      </c>
      <c r="Y52" s="3">
        <f t="array" aca="1" ref="Y52" ca="1">IF(Q17=C17,SUM(IF(($BR$30:$BR$38=C17)*($BS$29:$CA$29=Q22),$BS$30:$CA$38)),0)</f>
        <v>0</v>
      </c>
      <c r="Z52" s="3">
        <f t="array" aca="1" ref="Z52" ca="1">IF(Q17=C17,SUM(IF(($BR$30:$BR$38=C17)*($BS$29:$CA$29=Q23),$BS$30:$CA$38)),0)</f>
        <v>0</v>
      </c>
      <c r="AA52" s="3">
        <f t="array" aca="1" ref="AA52" ca="1">IF(Q17=C17,SUM(IF(($BR$30:$BR$38=C17)*($BS$29:$CA$29=Q$24),$BS$30:$CA$38)),0)</f>
        <v>0</v>
      </c>
      <c r="AB52" s="3">
        <f t="array" aca="1" ref="AB52" ca="1">IF(Q17=C17,SUM(IF(($BR$30:$BR$38=C17)*($BS$29:$CA$29=Q$25),$BS$30:$CA$38)),0)</f>
        <v>0</v>
      </c>
      <c r="AC52" s="5">
        <f t="array" aca="1" ref="AC52" ca="1">IF(R17=C17,SUM(IF(($BR$30:$BR$38=C17)*($BS$29:$CA$29=R18),$BS$30:$CA$38)),0)</f>
        <v>0</v>
      </c>
      <c r="AD52" s="3">
        <f t="array" aca="1" ref="AD52" ca="1">IF(R17=C17,SUM(IF(($BR$30:$BR$38=C17)*($BS$29:$CA$29=R19),$BS$30:$CA$38)),0)</f>
        <v>0</v>
      </c>
      <c r="AE52" s="3">
        <f t="array" aca="1" ref="AE52" ca="1">IF(R17=C17,SUM(IF(($BR$30:$BR$38=C17)*($BS$29:$CA$29=R20),$BS$30:$CA$38)),0)</f>
        <v>0</v>
      </c>
      <c r="AF52" s="3">
        <f t="array" aca="1" ref="AF52" ca="1">IF(R17=C17,SUM(IF(($BR$30:$BR$38=C17)*($BS$29:$CA$29=R21),$BS$30:$CA$38)),0)</f>
        <v>0</v>
      </c>
      <c r="AG52" s="3">
        <f t="array" aca="1" ref="AG52" ca="1">IF(R17=C17,SUM(IF(($BR$30:$BR$38=C17)*($BS$29:$CA$29=R22),$BS$30:$CA$38)),0)</f>
        <v>0</v>
      </c>
      <c r="AH52" s="3">
        <f t="array" aca="1" ref="AH52" ca="1">IF(R17=C17,SUM(IF(($BR$30:$BR$38=C17)*($BS$29:$CA$29=R23),$BS$30:$CA$38)),0)</f>
        <v>0</v>
      </c>
      <c r="AI52" s="3">
        <f t="array" aca="1" ref="AI52" ca="1">IF(R17=C17,SUM(IF(($BR$30:$BR$38=C17)*($BS$29:$CA$29=R$24),$BS$30:$CA$38)),0)</f>
        <v>0</v>
      </c>
      <c r="AJ52" s="3">
        <f t="array" aca="1" ref="AJ52" ca="1">IF(R17=C17,SUM(IF(($BR$30:$BR$38=C17)*($BS$29:$CA$29=R$25),$BS$30:$CA$38)),0)</f>
        <v>0</v>
      </c>
      <c r="AK52" s="5">
        <f t="array" aca="1" ref="AK52" ca="1">IF(S17=C17,SUM(IF(($BR$30:$BR$38=C17)*($BS$29:$CA$29=S18),$BS$30:$CA$38)),0)</f>
        <v>0</v>
      </c>
      <c r="AL52" s="3">
        <f t="array" aca="1" ref="AL52" ca="1">IF(S17=C17,SUM(IF(($BR$30:$BR$38=C17)*($BS$29:$CA$29=S19),$BS$30:$CA$38)),0)</f>
        <v>0</v>
      </c>
      <c r="AM52" s="3">
        <f t="array" aca="1" ref="AM52" ca="1">IF(S17=C17,SUM(IF(($BR$30:$BR$38=C17)*($BS$29:$CA$29=S20),$BS$30:$CA$38)),0)</f>
        <v>0</v>
      </c>
      <c r="AN52" s="3">
        <f t="array" aca="1" ref="AN52" ca="1">IF(S17=C17,SUM(IF(($BR$30:$BR$38=C17)*($BS$29:$CA$29=S21),$BS$30:$CA$38)),0)</f>
        <v>0</v>
      </c>
      <c r="AO52" s="3">
        <f t="array" aca="1" ref="AO52" ca="1">IF(S17=C17,SUM(IF(($BR$30:$BR$38=C17)*($BS$29:$CA$29=S22),$BS$30:$CA$38)),0)</f>
        <v>0</v>
      </c>
      <c r="AP52" s="3">
        <f t="array" aca="1" ref="AP52" ca="1">IF(S17=C17,SUM(IF(($BR$30:$BR$38=C17)*($BS$29:$CA$29=S23),$BS$30:$CA$38)),0)</f>
        <v>0</v>
      </c>
      <c r="AQ52" s="3">
        <f t="array" aca="1" ref="AQ52" ca="1">IF(S17=C17,SUM(IF(($BR$30:$BR$38=C17)*($BS$29:$CA$29=S$24),$BS$30:$CA$38)),0)</f>
        <v>0</v>
      </c>
      <c r="AR52" s="3">
        <f t="array" aca="1" ref="AR52" ca="1">IF(S17=C17,SUM(IF(($BR$30:$BR$38=C17)*($BS$29:$CA$29=S$25),$BS$30:$CA$38)),0)</f>
        <v>0</v>
      </c>
      <c r="AS52" s="5">
        <f t="array" aca="1" ref="AS52" ca="1">IF(T17=C17,SUM(IF(($BR$30:$BR$38=C17)*($BS$29:$CA$29=T18),$BS$30:$CA$38)),0)</f>
        <v>0</v>
      </c>
      <c r="AT52" s="3">
        <f t="array" aca="1" ref="AT52" ca="1">IF(T17=C17,SUM(IF(($BR$30:$BR$38=C17)*($BS$29:$CA$29=T19),$BS$30:$CA$38)),0)</f>
        <v>0</v>
      </c>
      <c r="AU52" s="3">
        <f t="array" aca="1" ref="AU52" ca="1">IF(T17=C17,SUM(IF(($BR$30:$BR$38=C17)*($BS$29:$CA$29=T20),$BS$30:$CA$38)),0)</f>
        <v>0</v>
      </c>
      <c r="AV52" s="3">
        <f t="array" aca="1" ref="AV52" ca="1">IF(T17=C17,SUM(IF(($BR$30:$BR$38=C17)*($BS$29:$CA$29=T21),$BS$30:$CA$38)),0)</f>
        <v>0</v>
      </c>
      <c r="AW52" s="3">
        <f t="array" aca="1" ref="AW52" ca="1">IF(T17=C17,SUM(IF(($BR$30:$BR$38=C17)*($BS$29:$CA$29=T22),$BS$30:$CA$38)),0)</f>
        <v>0</v>
      </c>
      <c r="AX52" s="3">
        <f t="array" aca="1" ref="AX52" ca="1">IF(T17=C17,SUM(IF(($BR$30:$BR$38=C17)*($BS$29:$CA$29=T23),$BS$30:$CA$38)),0)</f>
        <v>0</v>
      </c>
      <c r="AY52" s="3">
        <f t="array" aca="1" ref="AY52" ca="1">IF(T17=C17,SUM(IF(($BR$30:$BR$38=C17)*($BS$29:$CA$29=T$24),$BS$30:$CA$38)),0)</f>
        <v>0</v>
      </c>
      <c r="AZ52" s="3">
        <f t="array" aca="1" ref="AZ52" ca="1">IF(T17=C17,SUM(IF(($BR$30:$BR$38=C17)*($BS$29:$CA$29=T$25),$BS$30:$CA$38)),0)</f>
        <v>0</v>
      </c>
      <c r="BA52" s="5">
        <f t="array" aca="1" ref="BA52" ca="1">IF(U17=C17,SUM(IF(($BR$30:$BR$38=C17)*($BS$29:$CA$29=U$18),$BS$30:$CA$38)),0)</f>
        <v>0</v>
      </c>
      <c r="BB52" s="3">
        <f t="array" aca="1" ref="BB52" ca="1">IF(U17=C17,SUM(IF(($BR$30:$BR$38=C17)*($BS$29:$CA$29=U$19),$BS$30:$CA$38)),0)</f>
        <v>0</v>
      </c>
      <c r="BC52" s="3">
        <f t="array" aca="1" ref="BC52" ca="1">IF(U17=C17,SUM(IF(($BR$30:$BR$38=C17)*($BS$29:$CA$29=U$20),$BS$30:$CA$38)),0)</f>
        <v>0</v>
      </c>
      <c r="BD52" s="3">
        <f t="array" aca="1" ref="BD52" ca="1">IF(U17=C17,SUM(IF(($BR$30:$BR$38=C17)*($BS$29:$CA$29=U$21),$BS$30:$CA$38)),0)</f>
        <v>0</v>
      </c>
      <c r="BE52" s="3">
        <f t="array" aca="1" ref="BE52" ca="1">IF(U17=C17,SUM(IF(($BR$30:$BR$38=C17)*($BS$29:$CA$29=U$22),$BS$30:$CA$38)),0)</f>
        <v>0</v>
      </c>
      <c r="BF52" s="3">
        <f t="array" aca="1" ref="BF52" ca="1">IF(U17=C17,SUM(IF(($BR$30:$BR$38=C17)*($BS$29:$CA$29=U$23),$BS$30:$CA$38)),0)</f>
        <v>0</v>
      </c>
      <c r="BG52" s="3">
        <f t="array" aca="1" ref="BG52" ca="1">IF(U17=C17,SUM(IF(($BR$30:$BR$38=C17)*($BS$29:$CA$29=U$24),$BS$30:$CA$38)),0)</f>
        <v>0</v>
      </c>
      <c r="BH52" s="3">
        <f t="array" aca="1" ref="BH52" ca="1">IF(U17=C17,SUM(IF(($BR$30:$BR$38=C17)*($BS$29:$CA$29=U$25),$BS$30:$CA$38)),0)</f>
        <v>0</v>
      </c>
      <c r="BI52" s="5">
        <f t="array" aca="1" ref="BI52" ca="1">IF(V17=C17,SUM(IF(($BR$30:$BR$38=C17)*($BS$29:$CA$29=V$18),$BS$30:$CA$38)),0)</f>
        <v>0</v>
      </c>
      <c r="BJ52" s="3">
        <f t="array" aca="1" ref="BJ52" ca="1">IF(V17=C17,SUM(IF(($BR$30:$BR$38=C17)*($BS$29:$CA$29=V$19),$BS$30:$CA$38)),0)</f>
        <v>0</v>
      </c>
      <c r="BK52" s="3">
        <f t="array" aca="1" ref="BK52" ca="1">IF(V17=C17,SUM(IF(($BR$30:$BR$38=C17)*($BS$29:$CA$29=V$20),$BS$30:$CA$38)),0)</f>
        <v>0</v>
      </c>
      <c r="BL52" s="3">
        <f t="array" aca="1" ref="BL52" ca="1">IF(V17=C17,SUM(IF(($BR$30:$BR$38=C17)*($BS$29:$CA$29=V$21),$BS$30:$CA$38)),0)</f>
        <v>0</v>
      </c>
      <c r="BM52" s="3">
        <f t="array" aca="1" ref="BM52" ca="1">IF(V17=C17,SUM(IF(($BR$30:$BR$38=C17)*($BS$29:$CA$29=V$22),$BS$30:$CA$38)),0)</f>
        <v>0</v>
      </c>
      <c r="BN52" s="3">
        <f t="array" aca="1" ref="BN52" ca="1">IF(V17=C17,SUM(IF(($BR$30:$BR$38=C17)*($BS$29:$CA$29=V$23),$BS$30:$CA$38)),0)</f>
        <v>0</v>
      </c>
      <c r="BO52" s="3">
        <f t="array" aca="1" ref="BO52" ca="1">IF(V17=C17,SUM(IF(($BR$30:$BR$38=C17)*($BS$29:$CA$29=V$24),$BS$30:$CA$38)),0)</f>
        <v>0</v>
      </c>
      <c r="BP52" s="15">
        <f t="array" aca="1" ref="BP52" ca="1">IF(V17=C17,SUM(IF(($BR$30:$BR$38=C17)*($BS$29:$CA$29=V$25),$BS$30:$CA$38)),0)</f>
        <v>0</v>
      </c>
      <c r="BQ52" s="3"/>
      <c r="BR52" s="2" t="str">
        <f t="shared" ref="BR52:BR60" ca="1" si="40">F4</f>
        <v>Eintracht Frankfurt</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2:80" s="2" customFormat="1" x14ac:dyDescent="0.2">
      <c r="E53" s="14">
        <f t="array" aca="1" ref="E53" ca="1">IF(O18=C18,SUM(IF(($BR$30:$BR$38=C18)*($BS$29:$CA$29=O17),$BS$30:$CA$38)),0)</f>
        <v>0</v>
      </c>
      <c r="F53" s="3">
        <f t="array" aca="1" ref="F53" ca="1">IF(O18=C18,SUM(IF(($BR$30:$BR$38=C18)*($BS$29:$CA$29=O19),$BS$30:$CA$38)),0)</f>
        <v>0</v>
      </c>
      <c r="G53" s="3">
        <f t="array" aca="1" ref="G53" ca="1">IF(O18=C18,SUM(IF(($BR$30:$BR$38=C18)*($BS$29:$CA$29=O20),$BS$30:$CA$38)),0)</f>
        <v>0</v>
      </c>
      <c r="H53" s="3">
        <f t="array" aca="1" ref="H53" ca="1">IF(O18=C18,SUM(IF(($BR$30:$BR$38=C18)*($BS$29:$CA$29=O21),$BS$30:$CA$38)),0)</f>
        <v>0</v>
      </c>
      <c r="I53" s="3">
        <f t="array" aca="1" ref="I53" ca="1">IF(O18=C18,SUM(IF(($BR$30:$BR$38=C18)*($BS$29:$CA$29=O22),$BS$30:$CA$38)),0)</f>
        <v>0</v>
      </c>
      <c r="J53" s="3">
        <f t="array" aca="1" ref="J53" ca="1">IF(O18=C18,SUM(IF(($BR$30:$BR$38=C18)*($BS$29:$CA$29=O23),$BS$30:$CA$38)),0)</f>
        <v>0</v>
      </c>
      <c r="K53" s="3">
        <f t="array" aca="1" ref="K53" ca="1">IF(O18=C18,SUM(IF(($BR$30:$BR$38=C18)*($BS$29:$CA$29=O$24),$BS$30:$CA$38)),0)</f>
        <v>0</v>
      </c>
      <c r="L53" s="3">
        <f t="array" aca="1" ref="L53" ca="1">IF(O18=C18,SUM(IF(($BR$30:$BR$38=C18)*($BS$29:$CA$29=O$25),$BS$30:$CA$38)),0)</f>
        <v>0</v>
      </c>
      <c r="M53" s="5">
        <f t="array" aca="1" ref="M53" ca="1">IF(P18=C18,SUM(IF(($BR$30:$BR$38=C18)*($BS$29:$CA$29=P17),$BS$30:$CA$38)),0)</f>
        <v>0</v>
      </c>
      <c r="N53" s="3">
        <f t="array" aca="1" ref="N53" ca="1">IF(P18=C18,SUM(IF(($BR$30:$BR$38=C18)*($BS$29:$CA$29=P19),$BS$30:$CA$38)),0)</f>
        <v>0</v>
      </c>
      <c r="O53" s="3">
        <f t="array" aca="1" ref="O53" ca="1">IF(P18=C18,SUM(IF(($BR$30:$BR$38=C18)*($BS$29:$CA$29=P20),$BS$30:$CA$38)),0)</f>
        <v>0</v>
      </c>
      <c r="P53" s="3">
        <f t="array" aca="1" ref="P53" ca="1">IF(P18=C18,SUM(IF(($BR$30:$BR$38=C18)*($BS$29:$CA$29=P21),$BS$30:$CA$38)),0)</f>
        <v>0</v>
      </c>
      <c r="Q53" s="3">
        <f t="array" aca="1" ref="Q53" ca="1">IF(P18=C18,SUM(IF(($BR$30:$BR$38=C18)*($BS$29:$CA$29=P22),$BS$30:$CA$38)),0)</f>
        <v>0</v>
      </c>
      <c r="R53" s="3">
        <f t="array" aca="1" ref="R53" ca="1">IF(P18=C18,SUM(IF(($BR$30:$BR$38=C18)*($BS$29:$CA$29=P23),$BS$30:$CA$38)),0)</f>
        <v>0</v>
      </c>
      <c r="S53" s="3">
        <f t="array" aca="1" ref="S53" ca="1">IF(P18=C18,SUM(IF(($BR$30:$BR$38=C18)*($BS$29:$CA$29=P$24),$BS$30:$CA$38)),0)</f>
        <v>0</v>
      </c>
      <c r="T53" s="3">
        <f t="array" aca="1" ref="T53" ca="1">IF(P18=C18,SUM(IF(($BR$30:$BR$38=C18)*($BS$29:$CA$29=P$25),$BS$30:$CA$38)),0)</f>
        <v>0</v>
      </c>
      <c r="U53" s="5">
        <f t="array" aca="1" ref="U53" ca="1">IF(Q18=C18,SUM(IF(($BR$30:$BR$38=C18)*($BS$29:$CA$29=Q17),$BS$30:$CA$38)),0)</f>
        <v>0</v>
      </c>
      <c r="V53" s="3">
        <f t="array" aca="1" ref="V53" ca="1">IF(Q18=C18,SUM(IF(($BR$30:$BR$38=C18)*($BS$29:$CA$29=Q19),$BS$30:$CA$38)),0)</f>
        <v>0</v>
      </c>
      <c r="W53" s="3">
        <f t="array" aca="1" ref="W53" ca="1">IF(Q18=C18,SUM(IF(($BR$30:$BR$38=C18)*($BS$29:$CA$29=Q20),$BS$30:$CA$38)),0)</f>
        <v>0</v>
      </c>
      <c r="X53" s="3">
        <f t="array" aca="1" ref="X53" ca="1">IF(Q18=C18,SUM(IF(($BR$30:$BR$38=C18)*($BS$29:$CA$29=Q21),$BS$30:$CA$38)),0)</f>
        <v>0</v>
      </c>
      <c r="Y53" s="3">
        <f t="array" aca="1" ref="Y53" ca="1">IF(Q18=C18,SUM(IF(($BR$30:$BR$38=C18)*($BS$29:$CA$29=Q22),$BS$30:$CA$38)),0)</f>
        <v>0</v>
      </c>
      <c r="Z53" s="3">
        <f t="array" aca="1" ref="Z53" ca="1">IF(Q18=C18,SUM(IF(($BR$30:$BR$38=C18)*($BS$29:$CA$29=Q23),$BS$30:$CA$38)),0)</f>
        <v>0</v>
      </c>
      <c r="AA53" s="3">
        <f t="array" aca="1" ref="AA53" ca="1">IF(Q18=C18,SUM(IF(($BR$30:$BR$38=C18)*($BS$29:$CA$29=Q$24),$BS$30:$CA$38)),0)</f>
        <v>0</v>
      </c>
      <c r="AB53" s="3">
        <f t="array" aca="1" ref="AB53" ca="1">IF(Q18=C18,SUM(IF(($BR$30:$BR$38=C18)*($BS$29:$CA$29=Q$25),$BS$30:$CA$38)),0)</f>
        <v>0</v>
      </c>
      <c r="AC53" s="5">
        <f t="array" aca="1" ref="AC53" ca="1">IF(R18=C18,SUM(IF(($BR$30:$BR$38=C18)*($BS$29:$CA$29=R17),$BS$30:$CA$38)),0)</f>
        <v>0</v>
      </c>
      <c r="AD53" s="3">
        <f t="array" aca="1" ref="AD53" ca="1">IF(R18=C18,SUM(IF(($BR$30:$BR$38=C18)*($BS$29:$CA$29=R19),$BS$30:$CA$38)),0)</f>
        <v>0</v>
      </c>
      <c r="AE53" s="3">
        <f t="array" aca="1" ref="AE53" ca="1">IF(R18=C18,SUM(IF(($BR$30:$BR$38=C18)*($BS$29:$CA$29=R20),$BS$30:$CA$38)),0)</f>
        <v>0</v>
      </c>
      <c r="AF53" s="3">
        <f t="array" aca="1" ref="AF53" ca="1">IF(R18=C18,SUM(IF(($BR$30:$BR$38=C18)*($BS$29:$CA$29=R21),$BS$30:$CA$38)),0)</f>
        <v>0</v>
      </c>
      <c r="AG53" s="3">
        <f t="array" aca="1" ref="AG53" ca="1">IF(R18=C18,SUM(IF(($BR$30:$BR$38=C18)*($BS$29:$CA$29=R22),$BS$30:$CA$38)),0)</f>
        <v>0</v>
      </c>
      <c r="AH53" s="3">
        <f t="array" aca="1" ref="AH53" ca="1">IF(R18=C18,SUM(IF(($BR$30:$BR$38=C18)*($BS$29:$CA$29=R23),$BS$30:$CA$38)),0)</f>
        <v>0</v>
      </c>
      <c r="AI53" s="3">
        <f t="array" aca="1" ref="AI53" ca="1">IF(R18=C18,SUM(IF(($BR$30:$BR$38=C18)*($BS$29:$CA$29=R$24),$BS$30:$CA$38)),0)</f>
        <v>0</v>
      </c>
      <c r="AJ53" s="3">
        <f t="array" aca="1" ref="AJ53" ca="1">IF(R18=C18,SUM(IF(($BR$30:$BR$38=C18)*($BS$29:$CA$29=R$25),$BS$30:$CA$38)),0)</f>
        <v>0</v>
      </c>
      <c r="AK53" s="5">
        <f t="array" aca="1" ref="AK53" ca="1">IF(S18=C18,SUM(IF(($BR$30:$BR$38=C18)*($BS$29:$CA$29=S17),$BS$30:$CA$38)),0)</f>
        <v>0</v>
      </c>
      <c r="AL53" s="3">
        <f t="array" aca="1" ref="AL53" ca="1">IF(S18=C18,SUM(IF(($BR$30:$BR$38=C18)*($BS$29:$CA$29=S19),$BS$30:$CA$38)),0)</f>
        <v>0</v>
      </c>
      <c r="AM53" s="3">
        <f t="array" aca="1" ref="AM53" ca="1">IF(S18=C18,SUM(IF(($BR$30:$BR$38=C18)*($BS$29:$CA$29=S20),$BS$30:$CA$38)),0)</f>
        <v>0</v>
      </c>
      <c r="AN53" s="3">
        <f t="array" aca="1" ref="AN53" ca="1">IF(S18=C18,SUM(IF(($BR$30:$BR$38=C18)*($BS$29:$CA$29=S21),$BS$30:$CA$38)),0)</f>
        <v>0</v>
      </c>
      <c r="AO53" s="3">
        <f t="array" aca="1" ref="AO53" ca="1">IF(S18=C18,SUM(IF(($BR$30:$BR$38=C18)*($BS$29:$CA$29=S22),$BS$30:$CA$38)),0)</f>
        <v>0</v>
      </c>
      <c r="AP53" s="3">
        <f t="array" aca="1" ref="AP53" ca="1">IF(S18=C18,SUM(IF(($BR$30:$BR$38=C18)*($BS$29:$CA$29=S23),$BS$30:$CA$38)),0)</f>
        <v>0</v>
      </c>
      <c r="AQ53" s="3">
        <f t="array" aca="1" ref="AQ53" ca="1">IF(S18=C18,SUM(IF(($BR$30:$BR$38=C18)*($BS$29:$CA$29=S$24),$BS$30:$CA$38)),0)</f>
        <v>0</v>
      </c>
      <c r="AR53" s="3">
        <f t="array" aca="1" ref="AR53" ca="1">IF(S18=C18,SUM(IF(($BR$30:$BR$38=C18)*($BS$29:$CA$29=S$25),$BS$30:$CA$38)),0)</f>
        <v>0</v>
      </c>
      <c r="AS53" s="5">
        <f t="array" aca="1" ref="AS53" ca="1">IF(T18=C18,SUM(IF(($BR$30:$BR$38=C18)*($BS$29:$CA$29=T17),$BS$30:$CA$38)),0)</f>
        <v>0</v>
      </c>
      <c r="AT53" s="3">
        <f t="array" aca="1" ref="AT53" ca="1">IF(T18=C18,SUM(IF(($BR$30:$BR$38=C18)*($BS$29:$CA$29=T19),$BS$30:$CA$38)),0)</f>
        <v>0</v>
      </c>
      <c r="AU53" s="3">
        <f t="array" aca="1" ref="AU53" ca="1">IF(T18=C18,SUM(IF(($BR$30:$BR$38=C18)*($BS$29:$CA$29=T20),$BS$30:$CA$38)),0)</f>
        <v>0</v>
      </c>
      <c r="AV53" s="3">
        <f t="array" aca="1" ref="AV53" ca="1">IF(T18=C18,SUM(IF(($BR$30:$BR$38=C18)*($BS$29:$CA$29=T21),$BS$30:$CA$38)),0)</f>
        <v>0</v>
      </c>
      <c r="AW53" s="3">
        <f t="array" aca="1" ref="AW53" ca="1">IF(T18=C18,SUM(IF(($BR$30:$BR$38=C18)*($BS$29:$CA$29=T22),$BS$30:$CA$38)),0)</f>
        <v>0</v>
      </c>
      <c r="AX53" s="3">
        <f t="array" aca="1" ref="AX53" ca="1">IF(T18=C18,SUM(IF(($BR$30:$BR$38=C18)*($BS$29:$CA$29=T23),$BS$30:$CA$38)),0)</f>
        <v>0</v>
      </c>
      <c r="AY53" s="3">
        <f t="array" aca="1" ref="AY53" ca="1">IF(T18=C18,SUM(IF(($BR$30:$BR$38=C18)*($BS$29:$CA$29=T$24),$BS$30:$CA$38)),0)</f>
        <v>0</v>
      </c>
      <c r="AZ53" s="3">
        <f t="array" aca="1" ref="AZ53" ca="1">IF(T18=C18,SUM(IF(($BR$30:$BR$38=C18)*($BS$29:$CA$29=T$25),$BS$30:$CA$38)),0)</f>
        <v>0</v>
      </c>
      <c r="BA53" s="5">
        <f t="array" aca="1" ref="BA53" ca="1">IF(U18=C18,SUM(IF(($BR$30:$BR$38=C18)*($BS$29:$CA$29=U$17),$BS$30:$CA$38)),0)</f>
        <v>0</v>
      </c>
      <c r="BB53" s="3">
        <f t="array" aca="1" ref="BB53" ca="1">IF(U18=C18,SUM(IF(($BR$30:$BR$38=C18)*($BS$29:$CA$29=U$19),$BS$30:$CA$38)),0)</f>
        <v>0</v>
      </c>
      <c r="BC53" s="3">
        <f t="array" aca="1" ref="BC53" ca="1">IF(U18=C18,SUM(IF(($BR$30:$BR$38=C18)*($BS$29:$CA$29=U$20),$BS$30:$CA$38)),0)</f>
        <v>0</v>
      </c>
      <c r="BD53" s="3">
        <f t="array" aca="1" ref="BD53" ca="1">IF(U18=C18,SUM(IF(($BR$30:$BR$38=C18)*($BS$29:$CA$29=U$21),$BS$30:$CA$38)),0)</f>
        <v>0</v>
      </c>
      <c r="BE53" s="3">
        <f t="array" aca="1" ref="BE53" ca="1">IF(U18=C18,SUM(IF(($BR$30:$BR$38=C18)*($BS$29:$CA$29=U$22),$BS$30:$CA$38)),0)</f>
        <v>0</v>
      </c>
      <c r="BF53" s="3">
        <f t="array" aca="1" ref="BF53" ca="1">IF(U18=C18,SUM(IF(($BR$30:$BR$38=C18)*($BS$29:$CA$29=U$23),$BS$30:$CA$38)),0)</f>
        <v>0</v>
      </c>
      <c r="BG53" s="3">
        <f t="array" aca="1" ref="BG53" ca="1">IF(U18=C18,SUM(IF(($BR$30:$BR$38=C18)*($BS$29:$CA$29=U$24),$BS$30:$CA$38)),0)</f>
        <v>0</v>
      </c>
      <c r="BH53" s="3">
        <f t="array" aca="1" ref="BH53" ca="1">IF(U18=C18,SUM(IF(($BR$30:$BR$38=C18)*($BS$29:$CA$29=U$25),$BS$30:$CA$38)),0)</f>
        <v>0</v>
      </c>
      <c r="BI53" s="5">
        <f t="array" aca="1" ref="BI53" ca="1">IF(V18=C18,SUM(IF(($BR$30:$BR$38=C18)*($BS$29:$CA$29=V$17),$BS$30:$CA$38)),0)</f>
        <v>0</v>
      </c>
      <c r="BJ53" s="3">
        <f t="array" aca="1" ref="BJ53" ca="1">IF(V18=C18,SUM(IF(($BR$30:$BR$38=C18)*($BS$29:$CA$29=V$19),$BS$30:$CA$38)),0)</f>
        <v>0</v>
      </c>
      <c r="BK53" s="3">
        <f t="array" aca="1" ref="BK53" ca="1">IF(V18=C18,SUM(IF(($BR$30:$BR$38=C18)*($BS$29:$CA$29=V$20),$BS$30:$CA$38)),0)</f>
        <v>0</v>
      </c>
      <c r="BL53" s="3">
        <f t="array" aca="1" ref="BL53" ca="1">IF(V18=C18,SUM(IF(($BR$30:$BR$38=C18)*($BS$29:$CA$29=V$21),$BS$30:$CA$38)),0)</f>
        <v>0</v>
      </c>
      <c r="BM53" s="3">
        <f t="array" aca="1" ref="BM53" ca="1">IF(V18=C18,SUM(IF(($BR$30:$BR$38=C18)*($BS$29:$CA$29=V$22),$BS$30:$CA$38)),0)</f>
        <v>0</v>
      </c>
      <c r="BN53" s="3">
        <f t="array" aca="1" ref="BN53" ca="1">IF(V18=C18,SUM(IF(($BR$30:$BR$38=C18)*($BS$29:$CA$29=V$23),$BS$30:$CA$38)),0)</f>
        <v>0</v>
      </c>
      <c r="BO53" s="3">
        <f t="array" aca="1" ref="BO53" ca="1">IF(V18=C18,SUM(IF(($BR$30:$BR$38=C18)*($BS$29:$CA$29=V$24),$BS$30:$CA$38)),0)</f>
        <v>0</v>
      </c>
      <c r="BP53" s="15">
        <f t="array" aca="1" ref="BP53" ca="1">IF(V18=C18,SUM(IF(($BR$30:$BR$38=C18)*($BS$29:$CA$29=V$25),$BS$30:$CA$38)),0)</f>
        <v>0</v>
      </c>
      <c r="BQ53" s="3"/>
      <c r="BR53" s="2" t="str">
        <f t="shared" ca="1" si="40"/>
        <v>SSV Wildbach</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2:80" s="2" customFormat="1" x14ac:dyDescent="0.2">
      <c r="E54" s="14">
        <f t="array" aca="1" ref="E54" ca="1">IF(O19=C19,SUM(IF(($BR$30:$BR$38=C19)*($BS$29:$CA$29=O17),$BS$30:$CA$38)),0)</f>
        <v>0</v>
      </c>
      <c r="F54" s="3">
        <f t="array" aca="1" ref="F54" ca="1">IF(O19=C19,SUM(IF(($BR$30:$BR$38=C19)*($BS$29:$CA$29=O18),$BS$30:$CA$38)),0)</f>
        <v>0</v>
      </c>
      <c r="G54" s="3">
        <f t="array" aca="1" ref="G54" ca="1">IF(O19=C19,SUM(IF(($BR$30:$BR$38=C19)*($BS$29:$CA$29=O20),$BS$30:$CA$38)),0)</f>
        <v>0</v>
      </c>
      <c r="H54" s="3">
        <f t="array" aca="1" ref="H54" ca="1">IF(O19=C19,SUM(IF(($BR$30:$BR$38=C19)*($BS$29:$CA$29=O21),$BS$30:$CA$38)),0)</f>
        <v>0</v>
      </c>
      <c r="I54" s="3">
        <f t="array" aca="1" ref="I54" ca="1">IF(O19=C19,SUM(IF(($BR$30:$BR$38=C19)*($BS$29:$CA$29=O22),$BS$30:$CA$38)),0)</f>
        <v>0</v>
      </c>
      <c r="J54" s="3">
        <f t="array" aca="1" ref="J54" ca="1">IF(O19=C19,SUM(IF(($BR$30:$BR$38=C19)*($BS$29:$CA$29=O23),$BS$30:$CA$38)),0)</f>
        <v>0</v>
      </c>
      <c r="K54" s="3">
        <f t="array" aca="1" ref="K54" ca="1">IF(O19=C19,SUM(IF(($BR$30:$BR$38=C19)*($BS$29:$CA$29=O$24),$BS$30:$CA$38)),0)</f>
        <v>0</v>
      </c>
      <c r="L54" s="3">
        <f t="array" aca="1" ref="L54" ca="1">IF(O19=C19,SUM(IF(($BR$30:$BR$38=C19)*($BS$29:$CA$29=O$25),$BS$30:$CA$38)),0)</f>
        <v>0</v>
      </c>
      <c r="M54" s="5">
        <f t="array" aca="1" ref="M54" ca="1">IF(P19=C19,SUM(IF(($BR$30:$BR$38=C19)*($BS$29:$CA$29=P17),$BS$30:$CA$38)),0)</f>
        <v>0</v>
      </c>
      <c r="N54" s="3">
        <f t="array" aca="1" ref="N54" ca="1">IF(P19=C19,SUM(IF(($BR$30:$BR$38=C19)*($BS$29:$CA$29=P18),$BS$30:$CA$38)),0)</f>
        <v>0</v>
      </c>
      <c r="O54" s="3">
        <f t="array" aca="1" ref="O54" ca="1">IF(P19=C19,SUM(IF(($BR$30:$BR$38=C19)*($BS$29:$CA$29=P20),$BS$30:$CA$38)),0)</f>
        <v>0</v>
      </c>
      <c r="P54" s="3">
        <f t="array" aca="1" ref="P54" ca="1">IF(P19=C19,SUM(IF(($BR$30:$BR$38=C19)*($BS$29:$CA$29=P21),$BS$30:$CA$38)),0)</f>
        <v>0</v>
      </c>
      <c r="Q54" s="3">
        <f t="array" aca="1" ref="Q54" ca="1">IF(P19=C19,SUM(IF(($BR$30:$BR$38=C19)*($BS$29:$CA$29=P22),$BS$30:$CA$38)),0)</f>
        <v>0</v>
      </c>
      <c r="R54" s="3">
        <f t="array" aca="1" ref="R54" ca="1">IF(P19=C19,SUM(IF(($BR$30:$BR$38=C19)*($BS$29:$CA$29=P23),$BS$30:$CA$38)),0)</f>
        <v>0</v>
      </c>
      <c r="S54" s="3">
        <f t="array" aca="1" ref="S54" ca="1">IF(P19=C19,SUM(IF(($BR$30:$BR$38=C19)*($BS$29:$CA$29=P$24),$BS$30:$CA$38)),0)</f>
        <v>0</v>
      </c>
      <c r="T54" s="3">
        <f t="array" aca="1" ref="T54" ca="1">IF(P19=C19,SUM(IF(($BR$30:$BR$38=C19)*($BS$29:$CA$29=P$25),$BS$30:$CA$38)),0)</f>
        <v>0</v>
      </c>
      <c r="U54" s="5">
        <f t="array" aca="1" ref="U54" ca="1">IF(Q19=C19,SUM(IF(($BR$30:$BR$38=C19)*($BS$29:$CA$29=Q17),$BS$30:$CA$38)),0)</f>
        <v>0</v>
      </c>
      <c r="V54" s="3">
        <f t="array" aca="1" ref="V54" ca="1">IF(Q19=C19,SUM(IF(($BR$30:$BR$38=C19)*($BS$29:$CA$29=Q18),$BS$30:$CA$38)),0)</f>
        <v>0</v>
      </c>
      <c r="W54" s="3">
        <f t="array" aca="1" ref="W54" ca="1">IF(Q19=C19,SUM(IF(($BR$30:$BR$38=C19)*($BS$29:$CA$29=Q20),$BS$30:$CA$38)),0)</f>
        <v>0</v>
      </c>
      <c r="X54" s="3">
        <f t="array" aca="1" ref="X54" ca="1">IF(Q19=C19,SUM(IF(($BR$30:$BR$38=C19)*($BS$29:$CA$29=Q21),$BS$30:$CA$38)),0)</f>
        <v>0</v>
      </c>
      <c r="Y54" s="3">
        <f t="array" aca="1" ref="Y54" ca="1">IF(Q19=C19,SUM(IF(($BR$30:$BR$38=C19)*($BS$29:$CA$29=Q22),$BS$30:$CA$38)),0)</f>
        <v>0</v>
      </c>
      <c r="Z54" s="3">
        <f t="array" aca="1" ref="Z54" ca="1">IF(Q19=C19,SUM(IF(($BR$30:$BR$38=C19)*($BS$29:$CA$29=Q23),$BS$30:$CA$38)),0)</f>
        <v>0</v>
      </c>
      <c r="AA54" s="3">
        <f t="array" aca="1" ref="AA54" ca="1">IF(Q19=C19,SUM(IF(($BR$30:$BR$38=C19)*($BS$29:$CA$29=Q$24),$BS$30:$CA$38)),0)</f>
        <v>0</v>
      </c>
      <c r="AB54" s="3">
        <f t="array" aca="1" ref="AB54" ca="1">IF(Q19=C19,SUM(IF(($BR$30:$BR$38=C19)*($BS$29:$CA$29=Q$25),$BS$30:$CA$38)),0)</f>
        <v>0</v>
      </c>
      <c r="AC54" s="5">
        <f t="array" aca="1" ref="AC54" ca="1">IF(R19=C19,SUM(IF(($BR$30:$BR$38=C19)*($BS$29:$CA$29=R17),$BS$30:$CA$38)),0)</f>
        <v>0</v>
      </c>
      <c r="AD54" s="3">
        <f t="array" aca="1" ref="AD54" ca="1">IF(R19=C19,SUM(IF(($BR$30:$BR$38=C19)*($BS$29:$CA$29=R18),$BS$30:$CA$38)),0)</f>
        <v>0</v>
      </c>
      <c r="AE54" s="3">
        <f t="array" aca="1" ref="AE54" ca="1">IF(R19=C19,SUM(IF(($BR$30:$BR$38=C19)*($BS$29:$CA$29=R20),$BS$30:$CA$38)),0)</f>
        <v>0</v>
      </c>
      <c r="AF54" s="3">
        <f t="array" aca="1" ref="AF54" ca="1">IF(R19=C19,SUM(IF(($BR$30:$BR$38=C19)*($BS$29:$CA$29=R21),$BS$30:$CA$38)),0)</f>
        <v>0</v>
      </c>
      <c r="AG54" s="3">
        <f t="array" aca="1" ref="AG54" ca="1">IF(R19=C19,SUM(IF(($BR$30:$BR$38=C19)*($BS$29:$CA$29=R22),$BS$30:$CA$38)),0)</f>
        <v>0</v>
      </c>
      <c r="AH54" s="3">
        <f t="array" aca="1" ref="AH54" ca="1">IF(R19=C19,SUM(IF(($BR$30:$BR$38=C19)*($BS$29:$CA$29=R23),$BS$30:$CA$38)),0)</f>
        <v>0</v>
      </c>
      <c r="AI54" s="3">
        <f t="array" aca="1" ref="AI54" ca="1">IF(R19=C19,SUM(IF(($BR$30:$BR$38=C19)*($BS$29:$CA$29=R$24),$BS$30:$CA$38)),0)</f>
        <v>0</v>
      </c>
      <c r="AJ54" s="3">
        <f t="array" aca="1" ref="AJ54" ca="1">IF(R19=C19,SUM(IF(($BR$30:$BR$38=C19)*($BS$29:$CA$29=R$25),$BS$30:$CA$38)),0)</f>
        <v>0</v>
      </c>
      <c r="AK54" s="5">
        <f t="array" aca="1" ref="AK54" ca="1">IF(S19=C19,SUM(IF(($BR$30:$BR$38=C19)*($BS$29:$CA$29=S17),$BS$30:$CA$38)),0)</f>
        <v>0</v>
      </c>
      <c r="AL54" s="3">
        <f t="array" aca="1" ref="AL54" ca="1">IF(S19=C19,SUM(IF(($BR$30:$BR$38=C19)*($BS$29:$CA$29=S18),$BS$30:$CA$38)),0)</f>
        <v>0</v>
      </c>
      <c r="AM54" s="3">
        <f t="array" aca="1" ref="AM54" ca="1">IF(S19=C19,SUM(IF(($BR$30:$BR$38=C19)*($BS$29:$CA$29=S20),$BS$30:$CA$38)),0)</f>
        <v>0</v>
      </c>
      <c r="AN54" s="3">
        <f t="array" aca="1" ref="AN54" ca="1">IF(S19=C19,SUM(IF(($BR$30:$BR$38=C19)*($BS$29:$CA$29=S21),$BS$30:$CA$38)),0)</f>
        <v>0</v>
      </c>
      <c r="AO54" s="3">
        <f t="array" aca="1" ref="AO54" ca="1">IF(S19=C19,SUM(IF(($BR$30:$BR$38=C19)*($BS$29:$CA$29=S22),$BS$30:$CA$38)),0)</f>
        <v>0</v>
      </c>
      <c r="AP54" s="3">
        <f t="array" aca="1" ref="AP54" ca="1">IF(S19=C19,SUM(IF(($BR$30:$BR$38=C19)*($BS$29:$CA$29=S23),$BS$30:$CA$38)),0)</f>
        <v>0</v>
      </c>
      <c r="AQ54" s="3">
        <f t="array" aca="1" ref="AQ54" ca="1">IF(S19=C19,SUM(IF(($BR$30:$BR$38=C19)*($BS$29:$CA$29=S$24),$BS$30:$CA$38)),0)</f>
        <v>0</v>
      </c>
      <c r="AR54" s="3">
        <f t="array" aca="1" ref="AR54" ca="1">IF(S19=C19,SUM(IF(($BR$30:$BR$38=C19)*($BS$29:$CA$29=S$25),$BS$30:$CA$38)),0)</f>
        <v>0</v>
      </c>
      <c r="AS54" s="5">
        <f t="array" aca="1" ref="AS54" ca="1">IF(T19=C19,SUM(IF(($BR$30:$BR$38=C19)*($BS$29:$CA$29=T17),$BS$30:$CA$38)),0)</f>
        <v>0</v>
      </c>
      <c r="AT54" s="3">
        <f t="array" aca="1" ref="AT54" ca="1">IF(T19=C19,SUM(IF(($BR$30:$BR$38=C19)*($BS$29:$CA$29=T18),$BS$30:$CA$38)),0)</f>
        <v>0</v>
      </c>
      <c r="AU54" s="3">
        <f t="array" aca="1" ref="AU54" ca="1">IF(T19=C19,SUM(IF(($BR$30:$BR$38=C19)*($BS$29:$CA$29=T20),$BS$30:$CA$38)),0)</f>
        <v>0</v>
      </c>
      <c r="AV54" s="3">
        <f t="array" aca="1" ref="AV54" ca="1">IF(T19=C19,SUM(IF(($BR$30:$BR$38=C19)*($BS$29:$CA$29=T21),$BS$30:$CA$38)),0)</f>
        <v>0</v>
      </c>
      <c r="AW54" s="3">
        <f t="array" aca="1" ref="AW54" ca="1">IF(T19=C19,SUM(IF(($BR$30:$BR$38=C19)*($BS$29:$CA$29=T22),$BS$30:$CA$38)),0)</f>
        <v>0</v>
      </c>
      <c r="AX54" s="3">
        <f t="array" aca="1" ref="AX54" ca="1">IF(T19=C19,SUM(IF(($BR$30:$BR$38=C19)*($BS$29:$CA$29=T23),$BS$30:$CA$38)),0)</f>
        <v>0</v>
      </c>
      <c r="AY54" s="3">
        <f t="array" aca="1" ref="AY54" ca="1">IF(T19=C19,SUM(IF(($BR$30:$BR$38=C19)*($BS$29:$CA$29=T$24),$BS$30:$CA$38)),0)</f>
        <v>0</v>
      </c>
      <c r="AZ54" s="3">
        <f t="array" aca="1" ref="AZ54" ca="1">IF(T19=C19,SUM(IF(($BR$30:$BR$38=C19)*($BS$29:$CA$29=T$25),$BS$30:$CA$38)),0)</f>
        <v>0</v>
      </c>
      <c r="BA54" s="5">
        <f t="array" aca="1" ref="BA54" ca="1">IF(U19=C19,SUM(IF(($BR$30:$BR$38=C19)*($BS$29:$CA$29=U$17),$BS$30:$CA$38)),0)</f>
        <v>0</v>
      </c>
      <c r="BB54" s="3">
        <f t="array" aca="1" ref="BB54" ca="1">IF(U19=C19,SUM(IF(($BR$30:$BR$38=C19)*($BS$29:$CA$29=U$18),$BS$30:$CA$38)),0)</f>
        <v>0</v>
      </c>
      <c r="BC54" s="3">
        <f t="array" aca="1" ref="BC54" ca="1">IF(U19=C19,SUM(IF(($BR$30:$BR$38=C19)*($BS$29:$CA$29=U$20),$BS$30:$CA$38)),0)</f>
        <v>0</v>
      </c>
      <c r="BD54" s="3">
        <f t="array" aca="1" ref="BD54" ca="1">IF(U19=C19,SUM(IF(($BR$30:$BR$38=C19)*($BS$29:$CA$29=U$21),$BS$30:$CA$38)),0)</f>
        <v>0</v>
      </c>
      <c r="BE54" s="3">
        <f t="array" aca="1" ref="BE54" ca="1">IF(U19=C19,SUM(IF(($BR$30:$BR$38=C19)*($BS$29:$CA$29=U$22),$BS$30:$CA$38)),0)</f>
        <v>0</v>
      </c>
      <c r="BF54" s="3">
        <f t="array" aca="1" ref="BF54" ca="1">IF(U19=C19,SUM(IF(($BR$30:$BR$38=C19)*($BS$29:$CA$29=U$23),$BS$30:$CA$38)),0)</f>
        <v>0</v>
      </c>
      <c r="BG54" s="3">
        <f t="array" aca="1" ref="BG54" ca="1">IF(U19=C19,SUM(IF(($BR$30:$BR$38=C19)*($BS$29:$CA$29=U$24),$BS$30:$CA$38)),0)</f>
        <v>0</v>
      </c>
      <c r="BH54" s="3">
        <f t="array" aca="1" ref="BH54" ca="1">IF(U19=C19,SUM(IF(($BR$30:$BR$38=C19)*($BS$29:$CA$29=U$25),$BS$30:$CA$38)),0)</f>
        <v>0</v>
      </c>
      <c r="BI54" s="5">
        <f t="array" aca="1" ref="BI54" ca="1">IF(V19=C19,SUM(IF(($BR$30:$BR$38=C19)*($BS$29:$CA$29=V$17),$BS$30:$CA$38)),0)</f>
        <v>0</v>
      </c>
      <c r="BJ54" s="3">
        <f t="array" aca="1" ref="BJ54" ca="1">IF(V19=C19,SUM(IF(($BR$30:$BR$38=C19)*($BS$29:$CA$29=V$18),$BS$30:$CA$38)),0)</f>
        <v>0</v>
      </c>
      <c r="BK54" s="3">
        <f t="array" aca="1" ref="BK54" ca="1">IF(V19=C19,SUM(IF(($BR$30:$BR$38=C19)*($BS$29:$CA$29=V$20),$BS$30:$CA$38)),0)</f>
        <v>0</v>
      </c>
      <c r="BL54" s="3">
        <f t="array" aca="1" ref="BL54" ca="1">IF(V19=C19,SUM(IF(($BR$30:$BR$38=C19)*($BS$29:$CA$29=V$21),$BS$30:$CA$38)),0)</f>
        <v>0</v>
      </c>
      <c r="BM54" s="3">
        <f t="array" aca="1" ref="BM54" ca="1">IF(V19=C19,SUM(IF(($BR$30:$BR$38=C19)*($BS$29:$CA$29=V$22),$BS$30:$CA$38)),0)</f>
        <v>0</v>
      </c>
      <c r="BN54" s="3">
        <f t="array" aca="1" ref="BN54" ca="1">IF(V19=C19,SUM(IF(($BR$30:$BR$38=C19)*($BS$29:$CA$29=V$23),$BS$30:$CA$38)),0)</f>
        <v>0</v>
      </c>
      <c r="BO54" s="3">
        <f t="array" aca="1" ref="BO54" ca="1">IF(V19=C19,SUM(IF(($BR$30:$BR$38=C19)*($BS$29:$CA$29=V$24),$BS$30:$CA$38)),0)</f>
        <v>0</v>
      </c>
      <c r="BP54" s="15">
        <f t="array" aca="1" ref="BP54" ca="1">IF(V19=C19,SUM(IF(($BR$30:$BR$38=C19)*($BS$29:$CA$29=V$25),$BS$30:$CA$38)),0)</f>
        <v>0</v>
      </c>
      <c r="BQ54" s="3"/>
      <c r="BR54" s="2" t="str">
        <f t="shared" ca="1" si="40"/>
        <v>1. FC Nürnberg</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2:80" s="2" customFormat="1" x14ac:dyDescent="0.2">
      <c r="E55" s="14">
        <f t="array" aca="1" ref="E55" ca="1">IF(O20=C20,SUM(IF(($BR$30:$BR$38=C20)*($BS$29:$CA$29=O17),$BS$30:$CA$38)),0)</f>
        <v>0</v>
      </c>
      <c r="F55" s="3">
        <f t="array" aca="1" ref="F55" ca="1">IF(O20=C20,SUM(IF(($BR$30:$BR$38=C20)*($BS$29:$CA$29=O18),$BS$30:$CA$38)),0)</f>
        <v>0</v>
      </c>
      <c r="G55" s="3">
        <f t="array" aca="1" ref="G55" ca="1">IF(O20=C20,SUM(IF(($BR$30:$BR$38=C20)*($BS$29:$CA$29=O19),$BS$30:$CA$38)),0)</f>
        <v>0</v>
      </c>
      <c r="H55" s="3">
        <f t="array" aca="1" ref="H55" ca="1">IF(O20=C20,SUM(IF(($BR$30:$BR$38=C20)*($BS$29:$CA$29=O21),$BS$30:$CA$38)),0)</f>
        <v>0</v>
      </c>
      <c r="I55" s="3">
        <f t="array" aca="1" ref="I55" ca="1">IF(O20=C20,SUM(IF(($BR$30:$BR$38=C20)*($BS$29:$CA$29=O22),$BS$30:$CA$38)),0)</f>
        <v>0</v>
      </c>
      <c r="J55" s="3">
        <f t="array" aca="1" ref="J55" ca="1">IF(O20=C20,SUM(IF(($BR$30:$BR$38=C20)*($BS$29:$CA$29=O23),$BS$30:$CA$38)),0)</f>
        <v>0</v>
      </c>
      <c r="K55" s="3">
        <f t="array" aca="1" ref="K55" ca="1">IF(O20=C20,SUM(IF(($BR$30:$BR$38=C20)*($BS$29:$CA$29=O$24),$BS$30:$CA$38)),0)</f>
        <v>0</v>
      </c>
      <c r="L55" s="3">
        <f t="array" aca="1" ref="L55" ca="1">IF(O20=C20,SUM(IF(($BR$30:$BR$38=C20)*($BS$29:$CA$29=O$25),$BS$30:$CA$38)),0)</f>
        <v>0</v>
      </c>
      <c r="M55" s="5">
        <f t="array" aca="1" ref="M55" ca="1">IF(P20=C20,SUM(IF(($BR$30:$BR$38=C20)*($BS$29:$CA$29=P17),$BS$30:$CA$38)),0)</f>
        <v>0</v>
      </c>
      <c r="N55" s="3">
        <f t="array" aca="1" ref="N55" ca="1">IF(P20=C20,SUM(IF(($BR$30:$BR$38=C20)*($BS$29:$CA$29=P18),$BS$30:$CA$38)),0)</f>
        <v>0</v>
      </c>
      <c r="O55" s="3">
        <f t="array" aca="1" ref="O55" ca="1">IF(P20=C20,SUM(IF(($BR$30:$BR$38=C20)*($BS$29:$CA$29=P19),$BS$30:$CA$38)),0)</f>
        <v>0</v>
      </c>
      <c r="P55" s="3">
        <f t="array" aca="1" ref="P55" ca="1">IF(P20=C20,SUM(IF(($BR$30:$BR$38=C20)*($BS$29:$CA$29=P21),$BS$30:$CA$38)),0)</f>
        <v>0</v>
      </c>
      <c r="Q55" s="3">
        <f t="array" aca="1" ref="Q55" ca="1">IF(P20=C20,SUM(IF(($BR$30:$BR$38=C20)*($BS$29:$CA$29=P22),$BS$30:$CA$38)),0)</f>
        <v>0</v>
      </c>
      <c r="R55" s="3">
        <f t="array" aca="1" ref="R55" ca="1">IF(P20=C20,SUM(IF(($BR$30:$BR$38=C20)*($BS$29:$CA$29=P23),$BS$30:$CA$38)),0)</f>
        <v>0</v>
      </c>
      <c r="S55" s="3">
        <f t="array" aca="1" ref="S55" ca="1">IF(P20=C20,SUM(IF(($BR$30:$BR$38=C20)*($BS$29:$CA$29=P$24),$BS$30:$CA$38)),0)</f>
        <v>0</v>
      </c>
      <c r="T55" s="3">
        <f t="array" aca="1" ref="T55" ca="1">IF(P20=C20,SUM(IF(($BR$30:$BR$38=C20)*($BS$29:$CA$29=P$25),$BS$30:$CA$38)),0)</f>
        <v>0</v>
      </c>
      <c r="U55" s="5">
        <f t="array" aca="1" ref="U55" ca="1">IF(Q20=C20,SUM(IF(($BR$30:$BR$38=C20)*($BS$29:$CA$29=Q17),$BS$30:$CA$38)),0)</f>
        <v>0</v>
      </c>
      <c r="V55" s="3">
        <f t="array" aca="1" ref="V55" ca="1">IF(Q20=C20,SUM(IF(($BR$30:$BR$38=C20)*($BS$29:$CA$29=Q18),$BS$30:$CA$38)),0)</f>
        <v>0</v>
      </c>
      <c r="W55" s="3">
        <f t="array" aca="1" ref="W55" ca="1">IF(Q20=C20,SUM(IF(($BR$30:$BR$38=C20)*($BS$29:$CA$29=Q19),$BS$30:$CA$38)),0)</f>
        <v>0</v>
      </c>
      <c r="X55" s="3">
        <f t="array" aca="1" ref="X55" ca="1">IF(Q20=C20,SUM(IF(($BR$30:$BR$38=C20)*($BS$29:$CA$29=Q21),$BS$30:$CA$38)),0)</f>
        <v>0</v>
      </c>
      <c r="Y55" s="3">
        <f t="array" aca="1" ref="Y55" ca="1">IF(Q20=C20,SUM(IF(($BR$30:$BR$38=C20)*($BS$29:$CA$29=Q22),$BS$30:$CA$38)),0)</f>
        <v>0</v>
      </c>
      <c r="Z55" s="3">
        <f t="array" aca="1" ref="Z55" ca="1">IF(Q20=C20,SUM(IF(($BR$30:$BR$38=C20)*($BS$29:$CA$29=Q23),$BS$30:$CA$38)),0)</f>
        <v>0</v>
      </c>
      <c r="AA55" s="3">
        <f t="array" aca="1" ref="AA55" ca="1">IF(Q20=C20,SUM(IF(($BR$30:$BR$38=C20)*($BS$29:$CA$29=Q$24),$BS$30:$CA$38)),0)</f>
        <v>0</v>
      </c>
      <c r="AB55" s="3">
        <f t="array" aca="1" ref="AB55" ca="1">IF(Q20=C20,SUM(IF(($BR$30:$BR$38=C20)*($BS$29:$CA$29=Q$25),$BS$30:$CA$38)),0)</f>
        <v>0</v>
      </c>
      <c r="AC55" s="5">
        <f t="array" aca="1" ref="AC55" ca="1">IF(R20=C20,SUM(IF(($BR$30:$BR$38=C20)*($BS$29:$CA$29=R17),$BS$30:$CA$38)),0)</f>
        <v>0</v>
      </c>
      <c r="AD55" s="3">
        <f t="array" aca="1" ref="AD55" ca="1">IF(R20=C20,SUM(IF(($BR$30:$BR$38=C20)*($BS$29:$CA$29=R18),$BS$30:$CA$38)),0)</f>
        <v>0</v>
      </c>
      <c r="AE55" s="3">
        <f t="array" aca="1" ref="AE55" ca="1">IF(R20=C20,SUM(IF(($BR$30:$BR$38=C20)*($BS$29:$CA$29=R19),$BS$30:$CA$38)),0)</f>
        <v>0</v>
      </c>
      <c r="AF55" s="3">
        <f t="array" aca="1" ref="AF55" ca="1">IF(R20=C20,SUM(IF(($BR$30:$BR$38=C20)*($BS$29:$CA$29=R21),$BS$30:$CA$38)),0)</f>
        <v>0</v>
      </c>
      <c r="AG55" s="3">
        <f t="array" aca="1" ref="AG55" ca="1">IF(R20=C20,SUM(IF(($BR$30:$BR$38=C20)*($BS$29:$CA$29=R22),$BS$30:$CA$38)),0)</f>
        <v>0</v>
      </c>
      <c r="AH55" s="3">
        <f t="array" aca="1" ref="AH55" ca="1">IF(R20=C20,SUM(IF(($BR$30:$BR$38=C20)*($BS$29:$CA$29=R23),$BS$30:$CA$38)),0)</f>
        <v>0</v>
      </c>
      <c r="AI55" s="3">
        <f t="array" aca="1" ref="AI55" ca="1">IF(R20=C20,SUM(IF(($BR$30:$BR$38=C20)*($BS$29:$CA$29=R$24),$BS$30:$CA$38)),0)</f>
        <v>0</v>
      </c>
      <c r="AJ55" s="3">
        <f t="array" aca="1" ref="AJ55" ca="1">IF(R20=C20,SUM(IF(($BR$30:$BR$38=C20)*($BS$29:$CA$29=R$25),$BS$30:$CA$38)),0)</f>
        <v>0</v>
      </c>
      <c r="AK55" s="5">
        <f t="array" aca="1" ref="AK55" ca="1">IF(S20=C20,SUM(IF(($BR$30:$BR$38=C20)*($BS$29:$CA$29=S17),$BS$30:$CA$38)),0)</f>
        <v>0</v>
      </c>
      <c r="AL55" s="3">
        <f t="array" aca="1" ref="AL55" ca="1">IF(S20=C20,SUM(IF(($BR$30:$BR$38=C20)*($BS$29:$CA$29=S18),$BS$30:$CA$38)),0)</f>
        <v>0</v>
      </c>
      <c r="AM55" s="3">
        <f t="array" aca="1" ref="AM55" ca="1">IF(S20=C20,SUM(IF(($BR$30:$BR$38=C20)*($BS$29:$CA$29=S19),$BS$30:$CA$38)),0)</f>
        <v>0</v>
      </c>
      <c r="AN55" s="3">
        <f t="array" aca="1" ref="AN55" ca="1">IF(S20=C20,SUM(IF(($BR$30:$BR$38=C20)*($BS$29:$CA$29=S21),$BS$30:$CA$38)),0)</f>
        <v>0</v>
      </c>
      <c r="AO55" s="3">
        <f t="array" aca="1" ref="AO55" ca="1">IF(S20=C20,SUM(IF(($BR$30:$BR$38=C20)*($BS$29:$CA$29=S22),$BS$30:$CA$38)),0)</f>
        <v>0</v>
      </c>
      <c r="AP55" s="3">
        <f t="array" aca="1" ref="AP55" ca="1">IF(S20=C20,SUM(IF(($BR$30:$BR$38=C20)*($BS$29:$CA$29=S23),$BS$30:$CA$38)),0)</f>
        <v>0</v>
      </c>
      <c r="AQ55" s="3">
        <f t="array" aca="1" ref="AQ55" ca="1">IF(S20=C20,SUM(IF(($BR$30:$BR$38=C20)*($BS$29:$CA$29=S$24),$BS$30:$CA$38)),0)</f>
        <v>0</v>
      </c>
      <c r="AR55" s="3">
        <f t="array" aca="1" ref="AR55" ca="1">IF(S20=C20,SUM(IF(($BR$30:$BR$38=C20)*($BS$29:$CA$29=S$25),$BS$30:$CA$38)),0)</f>
        <v>0</v>
      </c>
      <c r="AS55" s="5">
        <f t="array" aca="1" ref="AS55" ca="1">IF(T20=C20,SUM(IF(($BR$30:$BR$38=C20)*($BS$29:$CA$29=T17),$BS$30:$CA$38)),0)</f>
        <v>0</v>
      </c>
      <c r="AT55" s="3">
        <f t="array" aca="1" ref="AT55" ca="1">IF(T20=C20,SUM(IF(($BR$30:$BR$38=C20)*($BS$29:$CA$29=T18),$BS$30:$CA$38)),0)</f>
        <v>0</v>
      </c>
      <c r="AU55" s="3">
        <f t="array" aca="1" ref="AU55" ca="1">IF(T20=C20,SUM(IF(($BR$30:$BR$38=C20)*($BS$29:$CA$29=T19),$BS$30:$CA$38)),0)</f>
        <v>0</v>
      </c>
      <c r="AV55" s="3">
        <f t="array" aca="1" ref="AV55" ca="1">IF(T20=C20,SUM(IF(($BR$30:$BR$38=C20)*($BS$29:$CA$29=T21),$BS$30:$CA$38)),0)</f>
        <v>0</v>
      </c>
      <c r="AW55" s="3">
        <f t="array" aca="1" ref="AW55" ca="1">IF(T20=C20,SUM(IF(($BR$30:$BR$38=C20)*($BS$29:$CA$29=T22),$BS$30:$CA$38)),0)</f>
        <v>0</v>
      </c>
      <c r="AX55" s="3">
        <f t="array" aca="1" ref="AX55" ca="1">IF(T20=C20,SUM(IF(($BR$30:$BR$38=C20)*($BS$29:$CA$29=T23),$BS$30:$CA$38)),0)</f>
        <v>0</v>
      </c>
      <c r="AY55" s="3">
        <f t="array" aca="1" ref="AY55" ca="1">IF(T20=C20,SUM(IF(($BR$30:$BR$38=C20)*($BS$29:$CA$29=T$24),$BS$30:$CA$38)),0)</f>
        <v>0</v>
      </c>
      <c r="AZ55" s="3">
        <f t="array" aca="1" ref="AZ55" ca="1">IF(T20=C20,SUM(IF(($BR$30:$BR$38=C20)*($BS$29:$CA$29=T$25),$BS$30:$CA$38)),0)</f>
        <v>0</v>
      </c>
      <c r="BA55" s="5">
        <f t="array" aca="1" ref="BA55" ca="1">IF(U20=C20,SUM(IF(($BR$30:$BR$38=C20)*($BS$29:$CA$29=U$17),$BS$30:$CA$38)),0)</f>
        <v>0</v>
      </c>
      <c r="BB55" s="3">
        <f t="array" aca="1" ref="BB55" ca="1">IF(U20=C20,SUM(IF(($BR$30:$BR$38=C20)*($BS$29:$CA$29=U$18),$BS$30:$CA$38)),0)</f>
        <v>0</v>
      </c>
      <c r="BC55" s="3">
        <f t="array" aca="1" ref="BC55" ca="1">IF(U20=C20,SUM(IF(($BR$30:$BR$38=C20)*($BS$29:$CA$29=U$19),$BS$30:$CA$38)),0)</f>
        <v>0</v>
      </c>
      <c r="BD55" s="3">
        <f t="array" aca="1" ref="BD55" ca="1">IF(U20=C20,SUM(IF(($BR$30:$BR$38=C20)*($BS$29:$CA$29=U$21),$BS$30:$CA$38)),0)</f>
        <v>0</v>
      </c>
      <c r="BE55" s="3">
        <f t="array" aca="1" ref="BE55" ca="1">IF(U20=C20,SUM(IF(($BR$30:$BR$38=C20)*($BS$29:$CA$29=U$22),$BS$30:$CA$38)),0)</f>
        <v>0</v>
      </c>
      <c r="BF55" s="3">
        <f t="array" aca="1" ref="BF55" ca="1">IF(U20=C20,SUM(IF(($BR$30:$BR$38=C20)*($BS$29:$CA$29=U$23),$BS$30:$CA$38)),0)</f>
        <v>0</v>
      </c>
      <c r="BG55" s="3">
        <f t="array" aca="1" ref="BG55" ca="1">IF(U20=C20,SUM(IF(($BR$30:$BR$38=C20)*($BS$29:$CA$29=U$24),$BS$30:$CA$38)),0)</f>
        <v>0</v>
      </c>
      <c r="BH55" s="3">
        <f t="array" aca="1" ref="BH55" ca="1">IF(U20=C20,SUM(IF(($BR$30:$BR$38=C20)*($BS$29:$CA$29=U$25),$BS$30:$CA$38)),0)</f>
        <v>0</v>
      </c>
      <c r="BI55" s="5">
        <f t="array" aca="1" ref="BI55" ca="1">IF(V20=C20,SUM(IF(($BR$30:$BR$38=C20)*($BS$29:$CA$29=V$17),$BS$30:$CA$38)),0)</f>
        <v>0</v>
      </c>
      <c r="BJ55" s="3">
        <f t="array" aca="1" ref="BJ55" ca="1">IF(V20=C20,SUM(IF(($BR$30:$BR$38=C20)*($BS$29:$CA$29=V$18),$BS$30:$CA$38)),0)</f>
        <v>0</v>
      </c>
      <c r="BK55" s="3">
        <f t="array" aca="1" ref="BK55" ca="1">IF(V20=C20,SUM(IF(($BR$30:$BR$38=C20)*($BS$29:$CA$29=V$19),$BS$30:$CA$38)),0)</f>
        <v>0</v>
      </c>
      <c r="BL55" s="3">
        <f t="array" aca="1" ref="BL55" ca="1">IF(V20=C20,SUM(IF(($BR$30:$BR$38=C20)*($BS$29:$CA$29=V$21),$BS$30:$CA$38)),0)</f>
        <v>0</v>
      </c>
      <c r="BM55" s="3">
        <f t="array" aca="1" ref="BM55" ca="1">IF(V20=C20,SUM(IF(($BR$30:$BR$38=C20)*($BS$29:$CA$29=V$22),$BS$30:$CA$38)),0)</f>
        <v>0</v>
      </c>
      <c r="BN55" s="3">
        <f t="array" aca="1" ref="BN55" ca="1">IF(V20=C20,SUM(IF(($BR$30:$BR$38=C20)*($BS$29:$CA$29=V$23),$BS$30:$CA$38)),0)</f>
        <v>0</v>
      </c>
      <c r="BO55" s="3">
        <f t="array" aca="1" ref="BO55" ca="1">IF(V20=C20,SUM(IF(($BR$30:$BR$38=C20)*($BS$29:$CA$29=V$24),$BS$30:$CA$38)),0)</f>
        <v>0</v>
      </c>
      <c r="BP55" s="15">
        <f t="array" aca="1" ref="BP55" ca="1">IF(V20=C20,SUM(IF(($BR$30:$BR$38=C20)*($BS$29:$CA$29=V$25),$BS$30:$CA$38)),0)</f>
        <v>0</v>
      </c>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2:80" s="2" customFormat="1" x14ac:dyDescent="0.2">
      <c r="E56" s="14">
        <f t="array" aca="1" ref="E56" ca="1">IF(O21=C21,SUM(IF(($BR$30:$BR$38=C21)*($BS$29:$CA$29=O17),$BS$30:$CA$38)),0)</f>
        <v>0</v>
      </c>
      <c r="F56" s="3">
        <f t="array" aca="1" ref="F56" ca="1">IF(O21=C21,SUM(IF(($BR$30:$BR$38=C21)*($BS$29:$CA$29=O18),$BS$30:$CA$38)),0)</f>
        <v>0</v>
      </c>
      <c r="G56" s="3">
        <f t="array" aca="1" ref="G56" ca="1">IF(O21=C21,SUM(IF(($BR$30:$BR$38=C21)*($BS$29:$CA$29=O19),$BS$30:$CA$38)),0)</f>
        <v>0</v>
      </c>
      <c r="H56" s="3">
        <f t="array" aca="1" ref="H56" ca="1">IF(O21=C21,SUM(IF(($BR$30:$BR$38=C21)*($BS$29:$CA$29=O20),$BS$30:$CA$38)),0)</f>
        <v>0</v>
      </c>
      <c r="I56" s="3">
        <f t="array" aca="1" ref="I56" ca="1">IF(O21=C21,SUM(IF(($BR$30:$BR$38=C21)*($BS$29:$CA$29=O22),$BS$30:$CA$38)),0)</f>
        <v>0</v>
      </c>
      <c r="J56" s="3">
        <f t="array" aca="1" ref="J56" ca="1">IF(O21=C21,SUM(IF(($BR$30:$BR$38=C21)*($BS$29:$CA$29=O23),$BS$30:$CA$38)),0)</f>
        <v>0</v>
      </c>
      <c r="K56" s="3">
        <f t="array" aca="1" ref="K56" ca="1">IF(O21=C21,SUM(IF(($BR$30:$BR$38=C21)*($BS$29:$CA$29=O$24),$BS$30:$CA$38)),0)</f>
        <v>0</v>
      </c>
      <c r="L56" s="3">
        <f t="array" aca="1" ref="L56" ca="1">IF(O21=C21,SUM(IF(($BR$30:$BR$38=C21)*($BS$29:$CA$29=O$25),$BS$30:$CA$38)),0)</f>
        <v>0</v>
      </c>
      <c r="M56" s="5">
        <f t="array" aca="1" ref="M56" ca="1">IF(P21=C21,SUM(IF(($BR$30:$BR$38=C21)*($BS$29:$CA$29=P17),$BS$30:$CA$38)),0)</f>
        <v>0</v>
      </c>
      <c r="N56" s="3">
        <f t="array" aca="1" ref="N56" ca="1">IF(P21=C21,SUM(IF(($BR$30:$BR$38=C21)*($BS$29:$CA$29=P18),$BS$30:$CA$38)),0)</f>
        <v>0</v>
      </c>
      <c r="O56" s="3">
        <f t="array" aca="1" ref="O56" ca="1">IF(P21=C21,SUM(IF(($BR$30:$BR$38=C21)*($BS$29:$CA$29=P19),$BS$30:$CA$38)),0)</f>
        <v>0</v>
      </c>
      <c r="P56" s="3">
        <f t="array" aca="1" ref="P56" ca="1">IF(P21=C21,SUM(IF(($BR$30:$BR$38=C21)*($BS$29:$CA$29=P20),$BS$30:$CA$38)),0)</f>
        <v>0</v>
      </c>
      <c r="Q56" s="3">
        <f t="array" aca="1" ref="Q56" ca="1">IF(P21=C21,SUM(IF(($BR$30:$BR$38=C21)*($BS$29:$CA$29=P22),$BS$30:$CA$38)),0)</f>
        <v>0</v>
      </c>
      <c r="R56" s="3">
        <f t="array" aca="1" ref="R56" ca="1">IF(P21=C21,SUM(IF(($BR$30:$BR$38=C21)*($BS$29:$CA$29=P23),$BS$30:$CA$38)),0)</f>
        <v>0</v>
      </c>
      <c r="S56" s="3">
        <f t="array" aca="1" ref="S56" ca="1">IF(P21=C21,SUM(IF(($BR$30:$BR$38=C21)*($BS$29:$CA$29=P$24),$BS$30:$CA$38)),0)</f>
        <v>0</v>
      </c>
      <c r="T56" s="3">
        <f t="array" aca="1" ref="T56" ca="1">IF(P21=C21,SUM(IF(($BR$30:$BR$38=C21)*($BS$29:$CA$29=P$25),$BS$30:$CA$38)),0)</f>
        <v>0</v>
      </c>
      <c r="U56" s="5">
        <f t="array" aca="1" ref="U56" ca="1">IF(Q21=C21,SUM(IF(($BR$30:$BR$38=C21)*($BS$29:$CA$29=Q17),$BS$30:$CA$38)),0)</f>
        <v>0</v>
      </c>
      <c r="V56" s="3">
        <f t="array" aca="1" ref="V56" ca="1">IF(Q21=C21,SUM(IF(($BR$30:$BR$38=C21)*($BS$29:$CA$29=Q18),$BS$30:$CA$38)),0)</f>
        <v>0</v>
      </c>
      <c r="W56" s="3">
        <f t="array" aca="1" ref="W56" ca="1">IF(Q21=C21,SUM(IF(($BR$30:$BR$38=C21)*($BS$29:$CA$29=Q19),$BS$30:$CA$38)),0)</f>
        <v>0</v>
      </c>
      <c r="X56" s="3">
        <f t="array" aca="1" ref="X56" ca="1">IF(Q21=C21,SUM(IF(($BR$30:$BR$38=C21)*($BS$29:$CA$29=Q20),$BS$30:$CA$38)),0)</f>
        <v>0</v>
      </c>
      <c r="Y56" s="3">
        <f t="array" aca="1" ref="Y56" ca="1">IF(Q21=C21,SUM(IF(($BR$30:$BR$38=C21)*($BS$29:$CA$29=Q22),$BS$30:$CA$38)),0)</f>
        <v>0</v>
      </c>
      <c r="Z56" s="3">
        <f t="array" aca="1" ref="Z56" ca="1">IF(Q21=C21,SUM(IF(($BR$30:$BR$38=C21)*($BS$29:$CA$29=Q23),$BS$30:$CA$38)),0)</f>
        <v>0</v>
      </c>
      <c r="AA56" s="3">
        <f t="array" aca="1" ref="AA56" ca="1">IF(Q21=C21,SUM(IF(($BR$30:$BR$38=C21)*($BS$29:$CA$29=Q$24),$BS$30:$CA$38)),0)</f>
        <v>0</v>
      </c>
      <c r="AB56" s="3">
        <f t="array" aca="1" ref="AB56" ca="1">IF(Q21=C21,SUM(IF(($BR$30:$BR$38=C21)*($BS$29:$CA$29=Q$25),$BS$30:$CA$38)),0)</f>
        <v>0</v>
      </c>
      <c r="AC56" s="5">
        <f t="array" aca="1" ref="AC56" ca="1">IF(R21=C21,SUM(IF(($BR$30:$BR$38=C21)*($BS$29:$CA$29=R17),$BS$30:$CA$38)),0)</f>
        <v>0</v>
      </c>
      <c r="AD56" s="3">
        <f t="array" aca="1" ref="AD56" ca="1">IF(R21=C21,SUM(IF(($BR$30:$BR$38=C21)*($BS$29:$CA$29=R18),$BS$30:$CA$38)),0)</f>
        <v>0</v>
      </c>
      <c r="AE56" s="3">
        <f t="array" aca="1" ref="AE56" ca="1">IF(R21=C21,SUM(IF(($BR$30:$BR$38=C21)*($BS$29:$CA$29=R19),$BS$30:$CA$38)),0)</f>
        <v>0</v>
      </c>
      <c r="AF56" s="3">
        <f t="array" aca="1" ref="AF56" ca="1">IF(R21=C21,SUM(IF(($BR$30:$BR$38=C21)*($BS$29:$CA$29=R20),$BS$30:$CA$38)),0)</f>
        <v>0</v>
      </c>
      <c r="AG56" s="3">
        <f t="array" aca="1" ref="AG56" ca="1">IF(R21=C21,SUM(IF(($BR$30:$BR$38=C21)*($BS$29:$CA$29=R22),$BS$30:$CA$38)),0)</f>
        <v>0</v>
      </c>
      <c r="AH56" s="3">
        <f t="array" aca="1" ref="AH56" ca="1">IF(R21=C21,SUM(IF(($BR$30:$BR$38=C21)*($BS$29:$CA$29=R23),$BS$30:$CA$38)),0)</f>
        <v>0</v>
      </c>
      <c r="AI56" s="3">
        <f t="array" aca="1" ref="AI56" ca="1">IF(R21=C21,SUM(IF(($BR$30:$BR$38=C21)*($BS$29:$CA$29=R$24),$BS$30:$CA$38)),0)</f>
        <v>0</v>
      </c>
      <c r="AJ56" s="3">
        <f t="array" aca="1" ref="AJ56" ca="1">IF(R21=C21,SUM(IF(($BR$30:$BR$38=C21)*($BS$29:$CA$29=R$25),$BS$30:$CA$38)),0)</f>
        <v>0</v>
      </c>
      <c r="AK56" s="5">
        <f t="array" aca="1" ref="AK56" ca="1">IF(S21=C21,SUM(IF(($BR$30:$BR$38=C21)*($BS$29:$CA$29=S17),$BS$30:$CA$38)),0)</f>
        <v>0</v>
      </c>
      <c r="AL56" s="3">
        <f t="array" aca="1" ref="AL56" ca="1">IF(S21=C21,SUM(IF(($BR$30:$BR$38=C21)*($BS$29:$CA$29=S18),$BS$30:$CA$38)),0)</f>
        <v>0</v>
      </c>
      <c r="AM56" s="3">
        <f t="array" aca="1" ref="AM56" ca="1">IF(S21=C21,SUM(IF(($BR$30:$BR$38=C21)*($BS$29:$CA$29=S19),$BS$30:$CA$38)),0)</f>
        <v>0</v>
      </c>
      <c r="AN56" s="3">
        <f t="array" aca="1" ref="AN56" ca="1">IF(S21=C21,SUM(IF(($BR$30:$BR$38=C21)*($BS$29:$CA$29=S20),$BS$30:$CA$38)),0)</f>
        <v>0</v>
      </c>
      <c r="AO56" s="3">
        <f t="array" aca="1" ref="AO56" ca="1">IF(S21=C21,SUM(IF(($BR$30:$BR$38=C21)*($BS$29:$CA$29=S22),$BS$30:$CA$38)),0)</f>
        <v>0</v>
      </c>
      <c r="AP56" s="3">
        <f t="array" aca="1" ref="AP56" ca="1">IF(S21=C21,SUM(IF(($BR$30:$BR$38=C21)*($BS$29:$CA$29=S23),$BS$30:$CA$38)),0)</f>
        <v>0</v>
      </c>
      <c r="AQ56" s="3">
        <f t="array" aca="1" ref="AQ56" ca="1">IF(S21=C21,SUM(IF(($BR$30:$BR$38=C21)*($BS$29:$CA$29=S$24),$BS$30:$CA$38)),0)</f>
        <v>0</v>
      </c>
      <c r="AR56" s="3">
        <f t="array" aca="1" ref="AR56" ca="1">IF(S21=C21,SUM(IF(($BR$30:$BR$38=C21)*($BS$29:$CA$29=S$25),$BS$30:$CA$38)),0)</f>
        <v>0</v>
      </c>
      <c r="AS56" s="5">
        <f t="array" aca="1" ref="AS56" ca="1">IF(T21=C21,SUM(IF(($BR$30:$BR$38=C21)*($BS$29:$CA$29=T17),$BS$30:$CA$38)),0)</f>
        <v>0</v>
      </c>
      <c r="AT56" s="3">
        <f t="array" aca="1" ref="AT56" ca="1">IF(T21=C21,SUM(IF(($BR$30:$BR$38=C21)*($BS$29:$CA$29=T18),$BS$30:$CA$38)),0)</f>
        <v>0</v>
      </c>
      <c r="AU56" s="3">
        <f t="array" aca="1" ref="AU56" ca="1">IF(T21=C21,SUM(IF(($BR$30:$BR$38=C21)*($BS$29:$CA$29=T19),$BS$30:$CA$38)),0)</f>
        <v>0</v>
      </c>
      <c r="AV56" s="3">
        <f t="array" aca="1" ref="AV56" ca="1">IF(T21=C21,SUM(IF(($BR$30:$BR$38=C21)*($BS$29:$CA$29=T20),$BS$30:$CA$38)),0)</f>
        <v>0</v>
      </c>
      <c r="AW56" s="3">
        <f t="array" aca="1" ref="AW56" ca="1">IF(T21=C21,SUM(IF(($BR$30:$BR$38=C21)*($BS$29:$CA$29=T22),$BS$30:$CA$38)),0)</f>
        <v>0</v>
      </c>
      <c r="AX56" s="3">
        <f t="array" aca="1" ref="AX56" ca="1">IF(T21=C21,SUM(IF(($BR$30:$BR$38=C21)*($BS$29:$CA$29=T23),$BS$30:$CA$38)),0)</f>
        <v>0</v>
      </c>
      <c r="AY56" s="3">
        <f t="array" aca="1" ref="AY56" ca="1">IF(T21=C21,SUM(IF(($BR$30:$BR$38=C21)*($BS$29:$CA$29=T$24),$BS$30:$CA$38)),0)</f>
        <v>0</v>
      </c>
      <c r="AZ56" s="3">
        <f t="array" aca="1" ref="AZ56" ca="1">IF(T21=C21,SUM(IF(($BR$30:$BR$38=C21)*($BS$29:$CA$29=T$25),$BS$30:$CA$38)),0)</f>
        <v>0</v>
      </c>
      <c r="BA56" s="5">
        <f t="array" aca="1" ref="BA56" ca="1">IF(U21=C21,SUM(IF(($BR$30:$BR$38=C21)*($BS$29:$CA$29=U$17),$BS$30:$CA$38)),0)</f>
        <v>0</v>
      </c>
      <c r="BB56" s="3">
        <f t="array" aca="1" ref="BB56" ca="1">IF(U21=C21,SUM(IF(($BR$30:$BR$38=C21)*($BS$29:$CA$29=U$18),$BS$30:$CA$38)),0)</f>
        <v>0</v>
      </c>
      <c r="BC56" s="3">
        <f t="array" aca="1" ref="BC56" ca="1">IF(U21=C21,SUM(IF(($BR$30:$BR$38=C21)*($BS$29:$CA$29=U$19),$BS$30:$CA$38)),0)</f>
        <v>0</v>
      </c>
      <c r="BD56" s="3">
        <f t="array" aca="1" ref="BD56" ca="1">IF(U21=C21,SUM(IF(($BR$30:$BR$38=C21)*($BS$29:$CA$29=U$20),$BS$30:$CA$38)),0)</f>
        <v>0</v>
      </c>
      <c r="BE56" s="3">
        <f t="array" aca="1" ref="BE56" ca="1">IF(U21=C21,SUM(IF(($BR$30:$BR$38=C21)*($BS$29:$CA$29=U$22),$BS$30:$CA$38)),0)</f>
        <v>0</v>
      </c>
      <c r="BF56" s="3">
        <f t="array" aca="1" ref="BF56" ca="1">IF(U21=C21,SUM(IF(($BR$30:$BR$38=C21)*($BS$29:$CA$29=U$23),$BS$30:$CA$38)),0)</f>
        <v>0</v>
      </c>
      <c r="BG56" s="3">
        <f t="array" aca="1" ref="BG56" ca="1">IF(U21=C21,SUM(IF(($BR$30:$BR$38=C21)*($BS$29:$CA$29=U$24),$BS$30:$CA$38)),0)</f>
        <v>0</v>
      </c>
      <c r="BH56" s="3">
        <f t="array" aca="1" ref="BH56" ca="1">IF(U21=C21,SUM(IF(($BR$30:$BR$38=C21)*($BS$29:$CA$29=U$25),$BS$30:$CA$38)),0)</f>
        <v>0</v>
      </c>
      <c r="BI56" s="5">
        <f t="array" aca="1" ref="BI56" ca="1">IF(V21=C21,SUM(IF(($BR$30:$BR$38=C21)*($BS$29:$CA$29=V$17),$BS$30:$CA$38)),0)</f>
        <v>0</v>
      </c>
      <c r="BJ56" s="3">
        <f t="array" aca="1" ref="BJ56" ca="1">IF(V21=C21,SUM(IF(($BR$30:$BR$38=C21)*($BS$29:$CA$29=V$18),$BS$30:$CA$38)),0)</f>
        <v>0</v>
      </c>
      <c r="BK56" s="3">
        <f t="array" aca="1" ref="BK56" ca="1">IF(V21=C21,SUM(IF(($BR$30:$BR$38=C21)*($BS$29:$CA$29=V$19),$BS$30:$CA$38)),0)</f>
        <v>0</v>
      </c>
      <c r="BL56" s="3">
        <f t="array" aca="1" ref="BL56" ca="1">IF(V21=C21,SUM(IF(($BR$30:$BR$38=C21)*($BS$29:$CA$29=V$20),$BS$30:$CA$38)),0)</f>
        <v>0</v>
      </c>
      <c r="BM56" s="3">
        <f t="array" aca="1" ref="BM56" ca="1">IF(V21=C21,SUM(IF(($BR$30:$BR$38=C21)*($BS$29:$CA$29=V$22),$BS$30:$CA$38)),0)</f>
        <v>0</v>
      </c>
      <c r="BN56" s="3">
        <f t="array" aca="1" ref="BN56" ca="1">IF(V21=C21,SUM(IF(($BR$30:$BR$38=C21)*($BS$29:$CA$29=V$23),$BS$30:$CA$38)),0)</f>
        <v>0</v>
      </c>
      <c r="BO56" s="3">
        <f t="array" aca="1" ref="BO56" ca="1">IF(V21=C21,SUM(IF(($BR$30:$BR$38=C21)*($BS$29:$CA$29=V$24),$BS$30:$CA$38)),0)</f>
        <v>0</v>
      </c>
      <c r="BP56" s="15">
        <f t="array" aca="1" ref="BP56" ca="1">IF(V21=C21,SUM(IF(($BR$30:$BR$38=C21)*($BS$29:$CA$29=V$25),$BS$30:$CA$38)),0)</f>
        <v>0</v>
      </c>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2:80" s="2" customFormat="1" x14ac:dyDescent="0.2">
      <c r="E57" s="14">
        <f t="array" aca="1" ref="E57" ca="1">IF(O22=C22,SUM(IF(($BR$30:$BR$38=C22)*($BS$29:$CA$29=O17),$BS$30:$CA$38)),0)</f>
        <v>0</v>
      </c>
      <c r="F57" s="3">
        <f t="array" aca="1" ref="F57" ca="1">IF(O22=C22,SUM(IF(($BR$30:$BR$38=C22)*($BS$29:$CA$29=O18),$BS$30:$CA$38)),0)</f>
        <v>0</v>
      </c>
      <c r="G57" s="3">
        <f t="array" aca="1" ref="G57" ca="1">IF(O22=C22,SUM(IF(($BR$30:$BR$38=C22)*($BS$29:$CA$29=O19),$BS$30:$CA$38)),0)</f>
        <v>0</v>
      </c>
      <c r="H57" s="3">
        <f t="array" aca="1" ref="H57" ca="1">IF(O22=C22,SUM(IF(($BR$30:$BR$38=C22)*($BS$29:$CA$29=O20),$BS$30:$CA$38)),0)</f>
        <v>0</v>
      </c>
      <c r="I57" s="3">
        <f t="array" aca="1" ref="I57" ca="1">IF(O22=C22,SUM(IF(($BR$30:$BR$38=C22)*($BS$29:$CA$29=O21),$BS$30:$CA$38)),0)</f>
        <v>0</v>
      </c>
      <c r="J57" s="3">
        <f t="array" aca="1" ref="J57" ca="1">IF(O22=C22,SUM(IF(($BR$30:$BR$38=C22)*($BS$29:$CA$29=O23),$BS$30:$CA$38)),0)</f>
        <v>0</v>
      </c>
      <c r="K57" s="3">
        <f t="array" aca="1" ref="K57" ca="1">IF(O22=C22,SUM(IF(($BR$30:$BR$38=C22)*($BS$29:$CA$29=O$24),$BS$30:$CA$38)),0)</f>
        <v>0</v>
      </c>
      <c r="L57" s="3">
        <f t="array" aca="1" ref="L57" ca="1">IF(O22=C22,SUM(IF(($BR$30:$BR$38=C22)*($BS$29:$CA$29=O$25),$BS$30:$CA$38)),0)</f>
        <v>0</v>
      </c>
      <c r="M57" s="5">
        <f t="array" aca="1" ref="M57" ca="1">IF(P22=C22,SUM(IF(($BR$30:$BR$38=C22)*($BS$29:$CA$29=P17),$BS$30:$CA$38)),0)</f>
        <v>0</v>
      </c>
      <c r="N57" s="3">
        <f t="array" aca="1" ref="N57" ca="1">IF(P22=C22,SUM(IF(($BR$30:$BR$38=C22)*($BS$29:$CA$29=P18),$BS$30:$CA$38)),0)</f>
        <v>0</v>
      </c>
      <c r="O57" s="3">
        <f t="array" aca="1" ref="O57" ca="1">IF(P22=C22,SUM(IF(($BR$30:$BR$38=C22)*($BS$29:$CA$29=P19),$BS$30:$CA$38)),0)</f>
        <v>0</v>
      </c>
      <c r="P57" s="3">
        <f t="array" aca="1" ref="P57" ca="1">IF(P22=C22,SUM(IF(($BR$30:$BR$38=C22)*($BS$29:$CA$29=P20),$BS$30:$CA$38)),0)</f>
        <v>0</v>
      </c>
      <c r="Q57" s="3">
        <f t="array" aca="1" ref="Q57" ca="1">IF(P22=C22,SUM(IF(($BR$30:$BR$38=C22)*($BS$29:$CA$29=P21),$BS$30:$CA$38)),0)</f>
        <v>0</v>
      </c>
      <c r="R57" s="3">
        <f t="array" aca="1" ref="R57" ca="1">IF(P22=C22,SUM(IF(($BR$30:$BR$38=C22)*($BS$29:$CA$29=P23),$BS$30:$CA$38)),0)</f>
        <v>0</v>
      </c>
      <c r="S57" s="3">
        <f t="array" aca="1" ref="S57" ca="1">IF(P22=C22,SUM(IF(($BR$30:$BR$38=C22)*($BS$29:$CA$29=P$24),$BS$30:$CA$38)),0)</f>
        <v>0</v>
      </c>
      <c r="T57" s="3">
        <f t="array" aca="1" ref="T57" ca="1">IF(P22=C22,SUM(IF(($BR$30:$BR$38=C22)*($BS$29:$CA$29=P$25),$BS$30:$CA$38)),0)</f>
        <v>0</v>
      </c>
      <c r="U57" s="5">
        <f t="array" aca="1" ref="U57" ca="1">IF(Q22=C22,SUM(IF(($BR$30:$BR$38=C22)*($BS$29:$CA$29=Q17),$BS$30:$CA$38)),0)</f>
        <v>0</v>
      </c>
      <c r="V57" s="3">
        <f t="array" aca="1" ref="V57" ca="1">IF(Q22=C22,SUM(IF(($BR$30:$BR$38=C22)*($BS$29:$CA$29=Q18),$BS$30:$CA$38)),0)</f>
        <v>0</v>
      </c>
      <c r="W57" s="3">
        <f t="array" aca="1" ref="W57" ca="1">IF(Q22=C22,SUM(IF(($BR$30:$BR$38=C22)*($BS$29:$CA$29=Q19),$BS$30:$CA$38)),0)</f>
        <v>0</v>
      </c>
      <c r="X57" s="3">
        <f t="array" aca="1" ref="X57" ca="1">IF(Q22=C22,SUM(IF(($BR$30:$BR$38=C22)*($BS$29:$CA$29=Q20),$BS$30:$CA$38)),0)</f>
        <v>0</v>
      </c>
      <c r="Y57" s="3">
        <f t="array" aca="1" ref="Y57" ca="1">IF(Q22=C22,SUM(IF(($BR$30:$BR$38=C22)*($BS$29:$CA$29=Q21),$BS$30:$CA$38)),0)</f>
        <v>0</v>
      </c>
      <c r="Z57" s="3">
        <f t="array" aca="1" ref="Z57" ca="1">IF(Q22=C22,SUM(IF(($BR$30:$BR$38=C22)*($BS$29:$CA$29=Q23),$BS$30:$CA$38)),0)</f>
        <v>0</v>
      </c>
      <c r="AA57" s="3">
        <f t="array" aca="1" ref="AA57" ca="1">IF(Q22=C22,SUM(IF(($BR$30:$BR$38=C22)*($BS$29:$CA$29=Q$24),$BS$30:$CA$38)),0)</f>
        <v>0</v>
      </c>
      <c r="AB57" s="3">
        <f t="array" aca="1" ref="AB57" ca="1">IF(Q22=C22,SUM(IF(($BR$30:$BR$38=C22)*($BS$29:$CA$29=Q$25),$BS$30:$CA$38)),0)</f>
        <v>0</v>
      </c>
      <c r="AC57" s="5">
        <f t="array" aca="1" ref="AC57" ca="1">IF(R22=C22,SUM(IF(($BR$30:$BR$38=C22)*($BS$29:$CA$29=R17),$BS$30:$CA$38)),0)</f>
        <v>0</v>
      </c>
      <c r="AD57" s="3">
        <f t="array" aca="1" ref="AD57" ca="1">IF(R22=C22,SUM(IF(($BR$30:$BR$38=C22)*($BS$29:$CA$29=R18),$BS$30:$CA$38)),0)</f>
        <v>0</v>
      </c>
      <c r="AE57" s="3">
        <f t="array" aca="1" ref="AE57" ca="1">IF(R22=C22,SUM(IF(($BR$30:$BR$38=C22)*($BS$29:$CA$29=R19),$BS$30:$CA$38)),0)</f>
        <v>0</v>
      </c>
      <c r="AF57" s="3">
        <f t="array" aca="1" ref="AF57" ca="1">IF(R22=C22,SUM(IF(($BR$30:$BR$38=C22)*($BS$29:$CA$29=R20),$BS$30:$CA$38)),0)</f>
        <v>0</v>
      </c>
      <c r="AG57" s="3">
        <f t="array" aca="1" ref="AG57" ca="1">IF(R22=C22,SUM(IF(($BR$30:$BR$38=C22)*($BS$29:$CA$29=R21),$BS$30:$CA$38)),0)</f>
        <v>0</v>
      </c>
      <c r="AH57" s="3">
        <f t="array" aca="1" ref="AH57" ca="1">IF(R22=C22,SUM(IF(($BR$30:$BR$38=C22)*($BS$29:$CA$29=R23),$BS$30:$CA$38)),0)</f>
        <v>0</v>
      </c>
      <c r="AI57" s="3">
        <f t="array" aca="1" ref="AI57" ca="1">IF(R22=C22,SUM(IF(($BR$30:$BR$38=C22)*($BS$29:$CA$29=R$24),$BS$30:$CA$38)),0)</f>
        <v>0</v>
      </c>
      <c r="AJ57" s="3">
        <f t="array" aca="1" ref="AJ57" ca="1">IF(R22=C22,SUM(IF(($BR$30:$BR$38=C22)*($BS$29:$CA$29=R$25),$BS$30:$CA$38)),0)</f>
        <v>0</v>
      </c>
      <c r="AK57" s="5">
        <f t="array" aca="1" ref="AK57" ca="1">IF(S22=C22,SUM(IF(($BR$30:$BR$38=C22)*($BS$29:$CA$29=S17),$BS$30:$CA$38)),0)</f>
        <v>0</v>
      </c>
      <c r="AL57" s="3">
        <f t="array" aca="1" ref="AL57" ca="1">IF(S22=C22,SUM(IF(($BR$30:$BR$38=C22)*($BS$29:$CA$29=S18),$BS$30:$CA$38)),0)</f>
        <v>0</v>
      </c>
      <c r="AM57" s="3">
        <f t="array" aca="1" ref="AM57" ca="1">IF(S22=C22,SUM(IF(($BR$30:$BR$38=C22)*($BS$29:$CA$29=S19),$BS$30:$CA$38)),0)</f>
        <v>0</v>
      </c>
      <c r="AN57" s="3">
        <f t="array" aca="1" ref="AN57" ca="1">IF(S22=C22,SUM(IF(($BR$30:$BR$38=C22)*($BS$29:$CA$29=S20),$BS$30:$CA$38)),0)</f>
        <v>0</v>
      </c>
      <c r="AO57" s="3">
        <f t="array" aca="1" ref="AO57" ca="1">IF(S22=C22,SUM(IF(($BR$30:$BR$38=C22)*($BS$29:$CA$29=S21),$BS$30:$CA$38)),0)</f>
        <v>0</v>
      </c>
      <c r="AP57" s="3">
        <f t="array" aca="1" ref="AP57" ca="1">IF(S22=C22,SUM(IF(($BR$30:$BR$38=C22)*($BS$29:$CA$29=S23),$BS$30:$CA$38)),0)</f>
        <v>0</v>
      </c>
      <c r="AQ57" s="3">
        <f t="array" aca="1" ref="AQ57" ca="1">IF(S22=C22,SUM(IF(($BR$30:$BR$38=C22)*($BS$29:$CA$29=S$24),$BS$30:$CA$38)),0)</f>
        <v>0</v>
      </c>
      <c r="AR57" s="3">
        <f t="array" aca="1" ref="AR57" ca="1">IF(S22=C22,SUM(IF(($BR$30:$BR$38=C22)*($BS$29:$CA$29=S$25),$BS$30:$CA$38)),0)</f>
        <v>0</v>
      </c>
      <c r="AS57" s="5">
        <f t="array" aca="1" ref="AS57" ca="1">IF(T22=C22,SUM(IF(($BR$30:$BR$38=C22)*($BS$29:$CA$29=T17),$BS$30:$CA$38)),0)</f>
        <v>0</v>
      </c>
      <c r="AT57" s="3">
        <f t="array" aca="1" ref="AT57" ca="1">IF(T22=C22,SUM(IF(($BR$30:$BR$38=C22)*($BS$29:$CA$29=T18),$BS$30:$CA$38)),0)</f>
        <v>0</v>
      </c>
      <c r="AU57" s="3">
        <f t="array" aca="1" ref="AU57" ca="1">IF(T22=C22,SUM(IF(($BR$30:$BR$38=C22)*($BS$29:$CA$29=T19),$BS$30:$CA$38)),0)</f>
        <v>0</v>
      </c>
      <c r="AV57" s="3">
        <f t="array" aca="1" ref="AV57" ca="1">IF(T22=C22,SUM(IF(($BR$30:$BR$38=C22)*($BS$29:$CA$29=T20),$BS$30:$CA$38)),0)</f>
        <v>0</v>
      </c>
      <c r="AW57" s="3">
        <f t="array" aca="1" ref="AW57" ca="1">IF(T22=C22,SUM(IF(($BR$30:$BR$38=C22)*($BS$29:$CA$29=T21),$BS$30:$CA$38)),0)</f>
        <v>0</v>
      </c>
      <c r="AX57" s="3">
        <f t="array" aca="1" ref="AX57" ca="1">IF(T22=C22,SUM(IF(($BR$30:$BR$38=C22)*($BS$29:$CA$29=T23),$BS$30:$CA$38)),0)</f>
        <v>0</v>
      </c>
      <c r="AY57" s="3">
        <f t="array" aca="1" ref="AY57" ca="1">IF(T22=C22,SUM(IF(($BR$30:$BR$38=C22)*($BS$29:$CA$29=T$24),$BS$30:$CA$38)),0)</f>
        <v>0</v>
      </c>
      <c r="AZ57" s="3">
        <f t="array" aca="1" ref="AZ57" ca="1">IF(T22=C22,SUM(IF(($BR$30:$BR$38=C22)*($BS$29:$CA$29=T$25),$BS$30:$CA$38)),0)</f>
        <v>0</v>
      </c>
      <c r="BA57" s="5">
        <f t="array" aca="1" ref="BA57" ca="1">IF(U22=C22,SUM(IF(($BR$30:$BR$38=C22)*($BS$29:$CA$29=U$17),$BS$30:$CA$38)),0)</f>
        <v>0</v>
      </c>
      <c r="BB57" s="3">
        <f t="array" aca="1" ref="BB57" ca="1">IF(U22=C22,SUM(IF(($BR$30:$BR$38=C22)*($BS$29:$CA$29=U$18),$BS$30:$CA$38)),0)</f>
        <v>0</v>
      </c>
      <c r="BC57" s="3">
        <f t="array" aca="1" ref="BC57" ca="1">IF(U22=C22,SUM(IF(($BR$30:$BR$38=C22)*($BS$29:$CA$29=U$19),$BS$30:$CA$38)),0)</f>
        <v>0</v>
      </c>
      <c r="BD57" s="3">
        <f t="array" aca="1" ref="BD57" ca="1">IF(U22=C22,SUM(IF(($BR$30:$BR$38=C22)*($BS$29:$CA$29=U$20),$BS$30:$CA$38)),0)</f>
        <v>0</v>
      </c>
      <c r="BE57" s="3">
        <f t="array" aca="1" ref="BE57" ca="1">IF(U22=C22,SUM(IF(($BR$30:$BR$38=C22)*($BS$29:$CA$29=U$21),$BS$30:$CA$38)),0)</f>
        <v>0</v>
      </c>
      <c r="BF57" s="3">
        <f t="array" aca="1" ref="BF57" ca="1">IF(U22=C22,SUM(IF(($BR$30:$BR$38=C22)*($BS$29:$CA$29=U$23),$BS$30:$CA$38)),0)</f>
        <v>0</v>
      </c>
      <c r="BG57" s="3">
        <f t="array" aca="1" ref="BG57" ca="1">IF(U22=C22,SUM(IF(($BR$30:$BR$38=C22)*($BS$29:$CA$29=U$24),$BS$30:$CA$38)),0)</f>
        <v>0</v>
      </c>
      <c r="BH57" s="3">
        <f t="array" aca="1" ref="BH57" ca="1">IF(U22=C22,SUM(IF(($BR$30:$BR$38=C22)*($BS$29:$CA$29=U$25),$BS$30:$CA$38)),0)</f>
        <v>0</v>
      </c>
      <c r="BI57" s="5">
        <f t="array" aca="1" ref="BI57" ca="1">IF(V22=C22,SUM(IF(($BR$30:$BR$38=C22)*($BS$29:$CA$29=V$17),$BS$30:$CA$38)),0)</f>
        <v>0</v>
      </c>
      <c r="BJ57" s="3">
        <f t="array" aca="1" ref="BJ57" ca="1">IF(V22=C22,SUM(IF(($BR$30:$BR$38=C22)*($BS$29:$CA$29=V$18),$BS$30:$CA$38)),0)</f>
        <v>0</v>
      </c>
      <c r="BK57" s="3">
        <f t="array" aca="1" ref="BK57" ca="1">IF(V22=C22,SUM(IF(($BR$30:$BR$38=C22)*($BS$29:$CA$29=V$19),$BS$30:$CA$38)),0)</f>
        <v>0</v>
      </c>
      <c r="BL57" s="3">
        <f t="array" aca="1" ref="BL57" ca="1">IF(V22=C22,SUM(IF(($BR$30:$BR$38=C22)*($BS$29:$CA$29=V$20),$BS$30:$CA$38)),0)</f>
        <v>0</v>
      </c>
      <c r="BM57" s="3">
        <f t="array" aca="1" ref="BM57" ca="1">IF(V22=C22,SUM(IF(($BR$30:$BR$38=C22)*($BS$29:$CA$29=V$21),$BS$30:$CA$38)),0)</f>
        <v>0</v>
      </c>
      <c r="BN57" s="3">
        <f t="array" aca="1" ref="BN57" ca="1">IF(V22=C22,SUM(IF(($BR$30:$BR$38=C22)*($BS$29:$CA$29=V$23),$BS$30:$CA$38)),0)</f>
        <v>0</v>
      </c>
      <c r="BO57" s="3">
        <f t="array" aca="1" ref="BO57" ca="1">IF(V22=C22,SUM(IF(($BR$30:$BR$38=C22)*($BS$29:$CA$29=V$24),$BS$30:$CA$38)),0)</f>
        <v>0</v>
      </c>
      <c r="BP57" s="15">
        <f t="array" aca="1" ref="BP57" ca="1">IF(V22=C22,SUM(IF(($BR$30:$BR$38=C22)*($BS$29:$CA$29=V$25),$BS$30:$CA$38)),0)</f>
        <v>0</v>
      </c>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2:80" s="2" customFormat="1" x14ac:dyDescent="0.2">
      <c r="E58" s="14">
        <f t="array" aca="1" ref="E58" ca="1">IF(O23=C23,SUM(IF(($BR$30:$BR$38=C23)*($BS$29:$CA$29=O$17),$BS$30:$CA$38)),0)</f>
        <v>0</v>
      </c>
      <c r="F58" s="3">
        <f t="array" aca="1" ref="F58" ca="1">IF(O23=C23,SUM(IF(($BR$30:$BR$38=C23)*($BS$29:$CA$29=O$18),$BS$30:$CA$38)),0)</f>
        <v>0</v>
      </c>
      <c r="G58" s="3">
        <f t="array" aca="1" ref="G58" ca="1">IF(O23=C23,SUM(IF(($BR$30:$BR$38=C23)*($BS$29:$CA$29=O$19),$BS$30:$CA$38)),0)</f>
        <v>0</v>
      </c>
      <c r="H58" s="3">
        <f t="array" aca="1" ref="H58" ca="1">IF(O23=C23,SUM(IF(($BR$30:$BR$38=C23)*($BS$29:$CA$29=O$20),$BS$30:$CA$38)),0)</f>
        <v>0</v>
      </c>
      <c r="I58" s="3">
        <f t="array" aca="1" ref="I58" ca="1">IF(O23=C23,SUM(IF(($BR$30:$BR$38=C23)*($BS$29:$CA$29=O$21),$BS$30:$CA$38)),0)</f>
        <v>0</v>
      </c>
      <c r="J58" s="3">
        <f t="array" aca="1" ref="J58" ca="1">IF(O23=C23,SUM(IF(($BR$30:$BR$38=C23)*($BS$29:$CA$29=O$22),$BS$30:$CA$38)),0)</f>
        <v>0</v>
      </c>
      <c r="K58" s="3">
        <f t="array" aca="1" ref="K58" ca="1">IF(O23=C23,SUM(IF(($BR$30:$BR$38=C23)*($BS$29:$CA$29=O$24),$BS$30:$CA$38)),0)</f>
        <v>0</v>
      </c>
      <c r="L58" s="3">
        <f t="array" aca="1" ref="L58" ca="1">IF(O23=C23,SUM(IF(($BR$30:$BR$38=C23)*($BS$29:$CA$29=O$25),$BS$30:$CA$38)),0)</f>
        <v>0</v>
      </c>
      <c r="M58" s="5">
        <f t="array" aca="1" ref="M58" ca="1">IF(P23=C23,SUM(IF(($BR$30:$BR$38=C23)*($BS$29:$CA$29=P$17),$BS$30:$CA$38)),0)</f>
        <v>0</v>
      </c>
      <c r="N58" s="3">
        <f t="array" aca="1" ref="N58" ca="1">IF(P23=C23,SUM(IF(($BR$30:$BR$38=C23)*($BS$29:$CA$29=P$18),$BS$30:$CA$38)),0)</f>
        <v>0</v>
      </c>
      <c r="O58" s="3">
        <f t="array" aca="1" ref="O58" ca="1">IF(P23=C23,SUM(IF(($BR$30:$BR$38=C23)*($BS$29:$CA$29=P$19),$BS$30:$CA$38)),0)</f>
        <v>0</v>
      </c>
      <c r="P58" s="3">
        <f t="array" aca="1" ref="P58" ca="1">IF(P23=C23,SUM(IF(($BR$30:$BR$38=C23)*($BS$29:$CA$29=P$20),$BS$30:$CA$38)),0)</f>
        <v>0</v>
      </c>
      <c r="Q58" s="3">
        <f t="array" aca="1" ref="Q58" ca="1">IF(P23=C23,SUM(IF(($BR$30:$BR$38=C23)*($BS$29:$CA$29=P$21),$BS$30:$CA$38)),0)</f>
        <v>0</v>
      </c>
      <c r="R58" s="3">
        <f t="array" aca="1" ref="R58" ca="1">IF(P23=C23,SUM(IF(($BR$30:$BR$38=C23)*($BS$29:$CA$29=P$22),$BS$30:$CA$38)),0)</f>
        <v>0</v>
      </c>
      <c r="S58" s="3">
        <f t="array" aca="1" ref="S58" ca="1">IF(P23=C23,SUM(IF(($BR$30:$BR$38=C23)*($BS$29:$CA$29=P$24),$BS$30:$CA$38)),0)</f>
        <v>0</v>
      </c>
      <c r="T58" s="3">
        <f t="array" aca="1" ref="T58" ca="1">IF(P23=C23,SUM(IF(($BR$30:$BR$38=C23)*($BS$29:$CA$29=P$25),$BS$30:$CA$38)),0)</f>
        <v>0</v>
      </c>
      <c r="U58" s="5">
        <f t="array" aca="1" ref="U58" ca="1">IF(Q23=C23,SUM(IF(($BR$30:$BR$38=C23)*($BS$29:$CA$29=Q$17),$BS$30:$CA$38)),0)</f>
        <v>0</v>
      </c>
      <c r="V58" s="3">
        <f t="array" aca="1" ref="V58" ca="1">IF(Q23=C23,SUM(IF(($BR$30:$BR$38=C23)*($BS$29:$CA$29=Q$18),$BS$30:$CA$38)),0)</f>
        <v>0</v>
      </c>
      <c r="W58" s="3">
        <f t="array" aca="1" ref="W58" ca="1">IF(Q23=C23,SUM(IF(($BR$30:$BR$38=C23)*($BS$29:$CA$29=Q$19),$BS$30:$CA$38)),0)</f>
        <v>0</v>
      </c>
      <c r="X58" s="3">
        <f t="array" aca="1" ref="X58" ca="1">IF(Q23=C23,SUM(IF(($BR$30:$BR$38=C23)*($BS$29:$CA$29=Q$20),$BS$30:$CA$38)),0)</f>
        <v>0</v>
      </c>
      <c r="Y58" s="3">
        <f t="array" aca="1" ref="Y58" ca="1">IF(Q23=C23,SUM(IF(($BR$30:$BR$38=C23)*($BS$29:$CA$29=Q$21),$BS$30:$CA$38)),0)</f>
        <v>0</v>
      </c>
      <c r="Z58" s="3">
        <f t="array" aca="1" ref="Z58" ca="1">IF(Q23=C23,SUM(IF(($BR$30:$BR$38=C23)*($BS$29:$CA$29=Q$22),$BS$30:$CA$38)),0)</f>
        <v>0</v>
      </c>
      <c r="AA58" s="3">
        <f t="array" aca="1" ref="AA58" ca="1">IF(Q23=C23,SUM(IF(($BR$30:$BR$38=C23)*($BS$29:$CA$29=Q$24),$BS$30:$CA$38)),0)</f>
        <v>0</v>
      </c>
      <c r="AB58" s="3">
        <f t="array" aca="1" ref="AB58" ca="1">IF(Q23=C23,SUM(IF(($BR$30:$BR$38=C23)*($BS$29:$CA$29=Q$25),$BS$30:$CA$38)),0)</f>
        <v>0</v>
      </c>
      <c r="AC58" s="5">
        <f t="array" aca="1" ref="AC58" ca="1">IF(R23=C23,SUM(IF(($BR$30:$BR$38=C23)*($BS$29:$CA$29=R$17),$BS$30:$CA$38)),0)</f>
        <v>0</v>
      </c>
      <c r="AD58" s="3">
        <f t="array" aca="1" ref="AD58" ca="1">IF(R23=C23,SUM(IF(($BR$30:$BR$38=C23)*($BS$29:$CA$29=R$18),$BS$30:$CA$38)),0)</f>
        <v>0</v>
      </c>
      <c r="AE58" s="3">
        <f t="array" aca="1" ref="AE58" ca="1">IF(R23=C23,SUM(IF(($BR$30:$BR$38=C23)*($BS$29:$CA$29=R$19),$BS$30:$CA$38)),0)</f>
        <v>0</v>
      </c>
      <c r="AF58" s="3">
        <f t="array" aca="1" ref="AF58" ca="1">IF(R23=C23,SUM(IF(($BR$30:$BR$38=C23)*($BS$29:$CA$29=R$20),$BS$30:$CA$38)),0)</f>
        <v>0</v>
      </c>
      <c r="AG58" s="3">
        <f t="array" aca="1" ref="AG58" ca="1">IF(R23=C23,SUM(IF(($BR$30:$BR$38=C23)*($BS$29:$CA$29=R$21),$BS$30:$CA$38)),0)</f>
        <v>0</v>
      </c>
      <c r="AH58" s="3">
        <f t="array" aca="1" ref="AH58" ca="1">IF(R23=C23,SUM(IF(($BR$30:$BR$38=C23)*($BS$29:$CA$29=R$22),$BS$30:$CA$38)),0)</f>
        <v>0</v>
      </c>
      <c r="AI58" s="3">
        <f t="array" aca="1" ref="AI58" ca="1">IF(R23=C23,SUM(IF(($BR$30:$BR$38=C23)*($BS$29:$CA$29=R$24),$BS$30:$CA$38)),0)</f>
        <v>0</v>
      </c>
      <c r="AJ58" s="3">
        <f t="array" aca="1" ref="AJ58" ca="1">IF(R23=C23,SUM(IF(($BR$30:$BR$38=C23)*($BS$29:$CA$29=R$25),$BS$30:$CA$38)),0)</f>
        <v>0</v>
      </c>
      <c r="AK58" s="5">
        <f t="array" aca="1" ref="AK58" ca="1">IF(S23=C23,SUM(IF(($BR$30:$BR$38=C23)*($BS$29:$CA$29=S$17),$BS$30:$CA$38)),0)</f>
        <v>0</v>
      </c>
      <c r="AL58" s="3">
        <f t="array" aca="1" ref="AL58" ca="1">IF(S23=C23,SUM(IF(($BR$30:$BR$38=C23)*($BS$29:$CA$29=S$18),$BS$30:$CA$38)),0)</f>
        <v>0</v>
      </c>
      <c r="AM58" s="3">
        <f t="array" aca="1" ref="AM58" ca="1">IF(S23=C23,SUM(IF(($BR$30:$BR$38=C23)*($BS$29:$CA$29=S$19),$BS$30:$CA$38)),0)</f>
        <v>0</v>
      </c>
      <c r="AN58" s="3">
        <f t="array" aca="1" ref="AN58" ca="1">IF(S23=C23,SUM(IF(($BR$30:$BR$38=C23)*($BS$29:$CA$29=S$20),$BS$30:$CA$38)),0)</f>
        <v>0</v>
      </c>
      <c r="AO58" s="3">
        <f t="array" aca="1" ref="AO58" ca="1">IF(S23=C23,SUM(IF(($BR$30:$BR$38=C23)*($BS$29:$CA$29=S$21),$BS$30:$CA$38)),0)</f>
        <v>0</v>
      </c>
      <c r="AP58" s="3">
        <f t="array" aca="1" ref="AP58" ca="1">IF(S23=C23,SUM(IF(($BR$30:$BR$38=C23)*($BS$29:$CA$29=S$22),$BS$30:$CA$38)),0)</f>
        <v>0</v>
      </c>
      <c r="AQ58" s="3">
        <f t="array" aca="1" ref="AQ58" ca="1">IF(S23=C23,SUM(IF(($BR$30:$BR$38=C23)*($BS$29:$CA$29=S$24),$BS$30:$CA$38)),0)</f>
        <v>0</v>
      </c>
      <c r="AR58" s="3">
        <f t="array" aca="1" ref="AR58" ca="1">IF(S23=C23,SUM(IF(($BR$30:$BR$38=C23)*($BS$29:$CA$29=S$25),$BS$30:$CA$38)),0)</f>
        <v>0</v>
      </c>
      <c r="AS58" s="5">
        <f t="array" aca="1" ref="AS58" ca="1">IF(T23=C23,SUM(IF(($BR$30:$BR$38=C23)*($BS$29:$CA$29=T$17),$BS$30:$CA$38)),0)</f>
        <v>0</v>
      </c>
      <c r="AT58" s="3">
        <f t="array" aca="1" ref="AT58" ca="1">IF(T23=C23,SUM(IF(($BR$30:$BR$38=C23)*($BS$29:$CA$29=T$18),$BS$30:$CA$38)),0)</f>
        <v>0</v>
      </c>
      <c r="AU58" s="3">
        <f t="array" aca="1" ref="AU58" ca="1">IF(T23=C23,SUM(IF(($BR$30:$BR$38=C23)*($BS$29:$CA$29=T$19),$BS$30:$CA$38)),0)</f>
        <v>0</v>
      </c>
      <c r="AV58" s="3">
        <f t="array" aca="1" ref="AV58" ca="1">IF(T23=C23,SUM(IF(($BR$30:$BR$38=C23)*($BS$29:$CA$29=T$20),$BS$30:$CA$38)),0)</f>
        <v>0</v>
      </c>
      <c r="AW58" s="3">
        <f t="array" aca="1" ref="AW58" ca="1">IF(T23=C23,SUM(IF(($BR$30:$BR$38=C23)*($BS$29:$CA$29=T$21),$BS$30:$CA$38)),0)</f>
        <v>0</v>
      </c>
      <c r="AX58" s="3">
        <f t="array" aca="1" ref="AX58" ca="1">IF(T23=C23,SUM(IF(($BR$30:$BR$38=C23)*($BS$29:$CA$29=T$22),$BS$30:$CA$38)),0)</f>
        <v>0</v>
      </c>
      <c r="AY58" s="3">
        <f t="array" aca="1" ref="AY58" ca="1">IF(T23=C23,SUM(IF(($BR$30:$BR$38=C23)*($BS$29:$CA$29=T$24),$BS$30:$CA$38)),0)</f>
        <v>0</v>
      </c>
      <c r="AZ58" s="3">
        <f t="array" aca="1" ref="AZ58" ca="1">IF(T23=C23,SUM(IF(($BR$30:$BR$38=C23)*($BS$29:$CA$29=T$25),$BS$30:$CA$38)),0)</f>
        <v>0</v>
      </c>
      <c r="BA58" s="5">
        <f t="array" aca="1" ref="BA58" ca="1">IF(U23=C23,SUM(IF(($BR$30:$BR$38=C23)*($BS$29:$CA$29=U$17),$BS$30:$CA$38)),0)</f>
        <v>0</v>
      </c>
      <c r="BB58" s="3">
        <f t="array" aca="1" ref="BB58" ca="1">IF(U23=C23,SUM(IF(($BR$30:$BR$38=C23)*($BS$29:$CA$29=U$18),$BS$30:$CA$38)),0)</f>
        <v>0</v>
      </c>
      <c r="BC58" s="3">
        <f t="array" aca="1" ref="BC58" ca="1">IF(U23=C23,SUM(IF(($BR$30:$BR$38=C23)*($BS$29:$CA$29=U$19),$BS$30:$CA$38)),0)</f>
        <v>0</v>
      </c>
      <c r="BD58" s="3">
        <f t="array" aca="1" ref="BD58" ca="1">IF(U23=C23,SUM(IF(($BR$30:$BR$38=C23)*($BS$29:$CA$29=U$20),$BS$30:$CA$38)),0)</f>
        <v>0</v>
      </c>
      <c r="BE58" s="3">
        <f t="array" aca="1" ref="BE58" ca="1">IF(U23=C23,SUM(IF(($BR$30:$BR$38=C23)*($BS$29:$CA$29=U$21),$BS$30:$CA$38)),0)</f>
        <v>0</v>
      </c>
      <c r="BF58" s="3">
        <f t="array" aca="1" ref="BF58" ca="1">IF(U23=C23,SUM(IF(($BR$30:$BR$38=C23)*($BS$29:$CA$29=U$22),$BS$30:$CA$38)),0)</f>
        <v>0</v>
      </c>
      <c r="BG58" s="3">
        <f t="array" aca="1" ref="BG58" ca="1">IF(U23=C23,SUM(IF(($BR$30:$BR$38=C23)*($BS$29:$CA$29=U$24),$BS$30:$CA$38)),0)</f>
        <v>0</v>
      </c>
      <c r="BH58" s="3">
        <f t="array" aca="1" ref="BH58" ca="1">IF(U23=C23,SUM(IF(($BR$30:$BR$38=C23)*($BS$29:$CA$29=U$25),$BS$30:$CA$38)),0)</f>
        <v>0</v>
      </c>
      <c r="BI58" s="5">
        <f t="array" aca="1" ref="BI58" ca="1">IF(V23=C23,SUM(IF(($BR$30:$BR$38=C23)*($BS$29:$CA$29=V$17),$BS$30:$CA$38)),0)</f>
        <v>0</v>
      </c>
      <c r="BJ58" s="3">
        <f t="array" aca="1" ref="BJ58" ca="1">IF(V23=C23,SUM(IF(($BR$30:$BR$38=C23)*($BS$29:$CA$29=V$18),$BS$30:$CA$38)),0)</f>
        <v>0</v>
      </c>
      <c r="BK58" s="3">
        <f t="array" aca="1" ref="BK58" ca="1">IF(V23=C23,SUM(IF(($BR$30:$BR$38=C23)*($BS$29:$CA$29=V$19),$BS$30:$CA$38)),0)</f>
        <v>0</v>
      </c>
      <c r="BL58" s="3">
        <f t="array" aca="1" ref="BL58" ca="1">IF(V23=C23,SUM(IF(($BR$30:$BR$38=C23)*($BS$29:$CA$29=V$20),$BS$30:$CA$38)),0)</f>
        <v>0</v>
      </c>
      <c r="BM58" s="3">
        <f t="array" aca="1" ref="BM58" ca="1">IF(V23=C23,SUM(IF(($BR$30:$BR$38=C23)*($BS$29:$CA$29=V$21),$BS$30:$CA$38)),0)</f>
        <v>0</v>
      </c>
      <c r="BN58" s="3">
        <f t="array" aca="1" ref="BN58" ca="1">IF(V23=C23,SUM(IF(($BR$30:$BR$38=C23)*($BS$29:$CA$29=V$22),$BS$30:$CA$38)),0)</f>
        <v>0</v>
      </c>
      <c r="BO58" s="3">
        <f t="array" aca="1" ref="BO58" ca="1">IF(V23=C23,SUM(IF(($BR$30:$BR$38=C23)*($BS$29:$CA$29=V$24),$BS$30:$CA$38)),0)</f>
        <v>0</v>
      </c>
      <c r="BP58" s="15">
        <f t="array" aca="1" ref="BP58" ca="1">IF(V23=C23,SUM(IF(($BR$30:$BR$38=C23)*($BS$29:$CA$29=V$25),$BS$30:$CA$38)),0)</f>
        <v>0</v>
      </c>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2:80" s="2" customFormat="1" x14ac:dyDescent="0.2">
      <c r="E59" s="14">
        <f t="array" aca="1" ref="E59" ca="1">IF(O24=C24,SUM(IF(($BR$30:$BR$38=C24)*($BS$29:$CA$29=O$17),$BS$30:$CA$38)),0)</f>
        <v>0</v>
      </c>
      <c r="F59" s="3">
        <f t="array" aca="1" ref="F59" ca="1">IF(O24=C24,SUM(IF(($BR$30:$BR$38=C24)*($BS$29:$CA$29=O$18),$BS$30:$CA$38)),0)</f>
        <v>0</v>
      </c>
      <c r="G59" s="3">
        <f t="array" aca="1" ref="G59" ca="1">IF(O24=C24,SUM(IF(($BR$30:$BR$38=C24)*($BS$29:$CA$29=O$19),$BS$30:$CA$38)),0)</f>
        <v>0</v>
      </c>
      <c r="H59" s="3">
        <f t="array" aca="1" ref="H59" ca="1">IF(O24=C24,SUM(IF(($BR$30:$BR$38=C24)*($BS$29:$CA$29=O$20),$BS$30:$CA$38)),0)</f>
        <v>0</v>
      </c>
      <c r="I59" s="3">
        <f t="array" aca="1" ref="I59" ca="1">IF(O24=C24,SUM(IF(($BR$30:$BR$38=C24)*($BS$29:$CA$29=O$21),$BS$30:$CA$38)),0)</f>
        <v>0</v>
      </c>
      <c r="J59" s="3">
        <f t="array" aca="1" ref="J59" ca="1">IF(O24=C24,SUM(IF(($BR$30:$BR$38=C24)*($BS$29:$CA$29=O$22),$BS$30:$CA$38)),0)</f>
        <v>0</v>
      </c>
      <c r="K59" s="3">
        <f t="array" aca="1" ref="K59" ca="1">IF(O24=C24,SUM(IF(($BR$30:$BR$38=C24)*($BS$29:$CA$29=O$23),$BS$30:$CA$38)),0)</f>
        <v>0</v>
      </c>
      <c r="L59" s="3">
        <f t="array" aca="1" ref="L59" ca="1">IF(O24=C24,SUM(IF(($BR$30:$BR$38=C24)*($BS$29:$CA$29=O$25),$BS$30:$CA$38)),0)</f>
        <v>0</v>
      </c>
      <c r="M59" s="5">
        <f t="array" aca="1" ref="M59" ca="1">IF(P24=C24,SUM(IF(($BR$30:$BR$38=C24)*($BS$29:$CA$29=P$17),$BS$30:$CA$38)),0)</f>
        <v>0</v>
      </c>
      <c r="N59" s="3">
        <f t="array" aca="1" ref="N59" ca="1">IF(P24=C24,SUM(IF(($BR$30:$BR$38=C24)*($BS$29:$CA$29=P$18),$BS$30:$CA$38)),0)</f>
        <v>0</v>
      </c>
      <c r="O59" s="3">
        <f t="array" aca="1" ref="O59" ca="1">IF(P24=C24,SUM(IF(($BR$30:$BR$38=C24)*($BS$29:$CA$29=P$19),$BS$30:$CA$38)),0)</f>
        <v>0</v>
      </c>
      <c r="P59" s="3">
        <f t="array" aca="1" ref="P59" ca="1">IF(P24=C24,SUM(IF(($BR$30:$BR$38=C24)*($BS$29:$CA$29=P$20),$BS$30:$CA$38)),0)</f>
        <v>0</v>
      </c>
      <c r="Q59" s="3">
        <f t="array" aca="1" ref="Q59" ca="1">IF(P24=C24,SUM(IF(($BR$30:$BR$38=C24)*($BS$29:$CA$29=P$21),$BS$30:$CA$38)),0)</f>
        <v>0</v>
      </c>
      <c r="R59" s="3">
        <f t="array" aca="1" ref="R59" ca="1">IF(P24=C24,SUM(IF(($BR$30:$BR$38=C24)*($BS$29:$CA$29=P$22),$BS$30:$CA$38)),0)</f>
        <v>0</v>
      </c>
      <c r="S59" s="3">
        <f t="array" aca="1" ref="S59" ca="1">IF(P24=C24,SUM(IF(($BR$30:$BR$38=C24)*($BS$29:$CA$29=P$23),$BS$30:$CA$38)),0)</f>
        <v>0</v>
      </c>
      <c r="T59" s="3">
        <f t="array" aca="1" ref="T59" ca="1">IF(P24=C24,SUM(IF(($BR$30:$BR$38=C24)*($BS$29:$CA$29=P$25),$BS$30:$CA$38)),0)</f>
        <v>0</v>
      </c>
      <c r="U59" s="5">
        <f t="array" aca="1" ref="U59" ca="1">IF(Q24=C24,SUM(IF(($BR$30:$BR$38=C24)*($BS$29:$CA$29=Q$17),$BS$30:$CA$38)),0)</f>
        <v>0</v>
      </c>
      <c r="V59" s="3">
        <f t="array" aca="1" ref="V59" ca="1">IF(Q24=C24,SUM(IF(($BR$30:$BR$38=C24)*($BS$29:$CA$29=Q$18),$BS$30:$CA$38)),0)</f>
        <v>0</v>
      </c>
      <c r="W59" s="3">
        <f t="array" aca="1" ref="W59" ca="1">IF(Q24=C24,SUM(IF(($BR$30:$BR$38=C24)*($BS$29:$CA$29=Q$19),$BS$30:$CA$38)),0)</f>
        <v>0</v>
      </c>
      <c r="X59" s="3">
        <f t="array" aca="1" ref="X59" ca="1">IF(Q24=C24,SUM(IF(($BR$30:$BR$38=C24)*($BS$29:$CA$29=Q$20),$BS$30:$CA$38)),0)</f>
        <v>0</v>
      </c>
      <c r="Y59" s="3">
        <f t="array" aca="1" ref="Y59" ca="1">IF(Q24=C24,SUM(IF(($BR$30:$BR$38=C24)*($BS$29:$CA$29=Q$21),$BS$30:$CA$38)),0)</f>
        <v>0</v>
      </c>
      <c r="Z59" s="3">
        <f t="array" aca="1" ref="Z59" ca="1">IF(Q24=C24,SUM(IF(($BR$30:$BR$38=C24)*($BS$29:$CA$29=Q$22),$BS$30:$CA$38)),0)</f>
        <v>0</v>
      </c>
      <c r="AA59" s="3">
        <f t="array" aca="1" ref="AA59" ca="1">IF(Q24=C24,SUM(IF(($BR$30:$BR$38=C24)*($BS$29:$CA$29=Q$23),$BS$30:$CA$38)),0)</f>
        <v>0</v>
      </c>
      <c r="AB59" s="3">
        <f t="array" aca="1" ref="AB59" ca="1">IF(Q24=C24,SUM(IF(($BR$30:$BR$38=C24)*($BS$29:$CA$29=Q$25),$BS$30:$CA$38)),0)</f>
        <v>0</v>
      </c>
      <c r="AC59" s="5">
        <f t="array" aca="1" ref="AC59" ca="1">IF(R24=C24,SUM(IF(($BR$30:$BR$38=C24)*($BS$29:$CA$29=R$17),$BS$30:$CA$38)),0)</f>
        <v>0</v>
      </c>
      <c r="AD59" s="3">
        <f t="array" aca="1" ref="AD59" ca="1">IF(R24=C24,SUM(IF(($BR$30:$BR$38=C24)*($BS$29:$CA$29=R$18),$BS$30:$CA$38)),0)</f>
        <v>0</v>
      </c>
      <c r="AE59" s="3">
        <f t="array" aca="1" ref="AE59" ca="1">IF(R24=C24,SUM(IF(($BR$30:$BR$38=C24)*($BS$29:$CA$29=R$19),$BS$30:$CA$38)),0)</f>
        <v>0</v>
      </c>
      <c r="AF59" s="3">
        <f t="array" aca="1" ref="AF59" ca="1">IF(R24=C24,SUM(IF(($BR$30:$BR$38=C24)*($BS$29:$CA$29=R$20),$BS$30:$CA$38)),0)</f>
        <v>0</v>
      </c>
      <c r="AG59" s="3">
        <f t="array" aca="1" ref="AG59" ca="1">IF(R24=C24,SUM(IF(($BR$30:$BR$38=C24)*($BS$29:$CA$29=R$21),$BS$30:$CA$38)),0)</f>
        <v>0</v>
      </c>
      <c r="AH59" s="3">
        <f t="array" aca="1" ref="AH59" ca="1">IF(R24=C24,SUM(IF(($BR$30:$BR$38=C24)*($BS$29:$CA$29=R$22),$BS$30:$CA$38)),0)</f>
        <v>0</v>
      </c>
      <c r="AI59" s="3">
        <f t="array" aca="1" ref="AI59" ca="1">IF(R24=C24,SUM(IF(($BR$30:$BR$38=C24)*($BS$29:$CA$29=R$23),$BS$30:$CA$38)),0)</f>
        <v>0</v>
      </c>
      <c r="AJ59" s="3">
        <f t="array" aca="1" ref="AJ59" ca="1">IF(R24=C24,SUM(IF(($BR$30:$BR$38=C24)*($BS$29:$CA$29=R$25),$BS$30:$CA$38)),0)</f>
        <v>0</v>
      </c>
      <c r="AK59" s="5">
        <f t="array" aca="1" ref="AK59" ca="1">IF(S24=C24,SUM(IF(($BR$30:$BR$38=C24)*($BS$29:$CA$29=S$17),$BS$30:$CA$38)),0)</f>
        <v>0</v>
      </c>
      <c r="AL59" s="3">
        <f t="array" aca="1" ref="AL59" ca="1">IF(S24=C24,SUM(IF(($BR$30:$BR$38=C24)*($BS$29:$CA$29=S$18),$BS$30:$CA$38)),0)</f>
        <v>0</v>
      </c>
      <c r="AM59" s="3">
        <f t="array" aca="1" ref="AM59" ca="1">IF(S24=C24,SUM(IF(($BR$30:$BR$38=C24)*($BS$29:$CA$29=S$19),$BS$30:$CA$38)),0)</f>
        <v>0</v>
      </c>
      <c r="AN59" s="3">
        <f t="array" aca="1" ref="AN59" ca="1">IF(S24=C24,SUM(IF(($BR$30:$BR$38=C24)*($BS$29:$CA$29=S$20),$BS$30:$CA$38)),0)</f>
        <v>0</v>
      </c>
      <c r="AO59" s="3">
        <f t="array" aca="1" ref="AO59" ca="1">IF(S24=C24,SUM(IF(($BR$30:$BR$38=C24)*($BS$29:$CA$29=S$21),$BS$30:$CA$38)),0)</f>
        <v>0</v>
      </c>
      <c r="AP59" s="3">
        <f t="array" aca="1" ref="AP59" ca="1">IF(S24=C24,SUM(IF(($BR$30:$BR$38=C24)*($BS$29:$CA$29=S$22),$BS$30:$CA$38)),0)</f>
        <v>0</v>
      </c>
      <c r="AQ59" s="3">
        <f t="array" aca="1" ref="AQ59" ca="1">IF(S24=C24,SUM(IF(($BR$30:$BR$38=C24)*($BS$29:$CA$29=S$23),$BS$30:$CA$38)),0)</f>
        <v>0</v>
      </c>
      <c r="AR59" s="3">
        <f t="array" aca="1" ref="AR59" ca="1">IF(S24=C24,SUM(IF(($BR$30:$BR$38=C24)*($BS$29:$CA$29=S$25),$BS$30:$CA$38)),0)</f>
        <v>0</v>
      </c>
      <c r="AS59" s="5">
        <f t="array" aca="1" ref="AS59" ca="1">IF(T24=C24,SUM(IF(($BR$30:$BR$38=C24)*($BS$29:$CA$29=T$17),$BS$30:$CA$38)),0)</f>
        <v>0</v>
      </c>
      <c r="AT59" s="3">
        <f t="array" aca="1" ref="AT59" ca="1">IF(T24=C24,SUM(IF(($BR$30:$BR$38=C24)*($BS$29:$CA$29=T$18),$BS$30:$CA$38)),0)</f>
        <v>0</v>
      </c>
      <c r="AU59" s="3">
        <f t="array" aca="1" ref="AU59" ca="1">IF(T24=C24,SUM(IF(($BR$30:$BR$38=C24)*($BS$29:$CA$29=T$19),$BS$30:$CA$38)),0)</f>
        <v>0</v>
      </c>
      <c r="AV59" s="3">
        <f t="array" aca="1" ref="AV59" ca="1">IF(T24=C24,SUM(IF(($BR$30:$BR$38=C24)*($BS$29:$CA$29=T$20),$BS$30:$CA$38)),0)</f>
        <v>0</v>
      </c>
      <c r="AW59" s="3">
        <f t="array" aca="1" ref="AW59" ca="1">IF(T24=C24,SUM(IF(($BR$30:$BR$38=C24)*($BS$29:$CA$29=T$21),$BS$30:$CA$38)),0)</f>
        <v>0</v>
      </c>
      <c r="AX59" s="3">
        <f t="array" aca="1" ref="AX59" ca="1">IF(T24=C24,SUM(IF(($BR$30:$BR$38=C24)*($BS$29:$CA$29=T$22),$BS$30:$CA$38)),0)</f>
        <v>0</v>
      </c>
      <c r="AY59" s="3">
        <f t="array" aca="1" ref="AY59" ca="1">IF(T24=C24,SUM(IF(($BR$30:$BR$38=C24)*($BS$29:$CA$29=T$23),$BS$30:$CA$38)),0)</f>
        <v>0</v>
      </c>
      <c r="AZ59" s="3">
        <f t="array" aca="1" ref="AZ59" ca="1">IF(T24=C24,SUM(IF(($BR$30:$BR$38=C24)*($BS$29:$CA$29=T$25),$BS$30:$CA$38)),0)</f>
        <v>0</v>
      </c>
      <c r="BA59" s="5">
        <f t="array" aca="1" ref="BA59" ca="1">IF(U24=C24,SUM(IF(($BR$30:$BR$38=C24)*($BS$29:$CA$29=U$17),$BS$30:$CA$38)),0)</f>
        <v>0</v>
      </c>
      <c r="BB59" s="3">
        <f t="array" aca="1" ref="BB59" ca="1">IF(U24=C24,SUM(IF(($BR$30:$BR$38=C24)*($BS$29:$CA$29=U$18),$BS$30:$CA$38)),0)</f>
        <v>0</v>
      </c>
      <c r="BC59" s="3">
        <f t="array" aca="1" ref="BC59" ca="1">IF(U24=C24,SUM(IF(($BR$30:$BR$38=C24)*($BS$29:$CA$29=U$19),$BS$30:$CA$38)),0)</f>
        <v>0</v>
      </c>
      <c r="BD59" s="3">
        <f t="array" aca="1" ref="BD59" ca="1">IF(U24=C24,SUM(IF(($BR$30:$BR$38=C24)*($BS$29:$CA$29=U$20),$BS$30:$CA$38)),0)</f>
        <v>0</v>
      </c>
      <c r="BE59" s="3">
        <f t="array" aca="1" ref="BE59" ca="1">IF(U24=C24,SUM(IF(($BR$30:$BR$38=C24)*($BS$29:$CA$29=U$21),$BS$30:$CA$38)),0)</f>
        <v>0</v>
      </c>
      <c r="BF59" s="3">
        <f t="array" aca="1" ref="BF59" ca="1">IF(U24=C24,SUM(IF(($BR$30:$BR$38=C24)*($BS$29:$CA$29=U$22),$BS$30:$CA$38)),0)</f>
        <v>0</v>
      </c>
      <c r="BG59" s="3">
        <f t="array" aca="1" ref="BG59" ca="1">IF(U24=C24,SUM(IF(($BR$30:$BR$38=C24)*($BS$29:$CA$29=U$23),$BS$30:$CA$38)),0)</f>
        <v>0</v>
      </c>
      <c r="BH59" s="3">
        <f t="array" aca="1" ref="BH59" ca="1">IF(U24=C24,SUM(IF(($BR$30:$BR$38=C24)*($BS$29:$CA$29=U$25),$BS$30:$CA$38)),0)</f>
        <v>0</v>
      </c>
      <c r="BI59" s="5">
        <f t="array" aca="1" ref="BI59" ca="1">IF(V24=C24,SUM(IF(($BR$30:$BR$38=C24)*($BS$29:$CA$29=V$17),$BS$30:$CA$38)),0)</f>
        <v>0</v>
      </c>
      <c r="BJ59" s="3">
        <f t="array" aca="1" ref="BJ59" ca="1">IF(V24=C24,SUM(IF(($BR$30:$BR$38=C24)*($BS$29:$CA$29=V$18),$BS$30:$CA$38)),0)</f>
        <v>0</v>
      </c>
      <c r="BK59" s="3">
        <f t="array" aca="1" ref="BK59" ca="1">IF(V24=C24,SUM(IF(($BR$30:$BR$38=C24)*($BS$29:$CA$29=V$19),$BS$30:$CA$38)),0)</f>
        <v>0</v>
      </c>
      <c r="BL59" s="3">
        <f t="array" aca="1" ref="BL59" ca="1">IF(V24=C24,SUM(IF(($BR$30:$BR$38=C24)*($BS$29:$CA$29=V$20),$BS$30:$CA$38)),0)</f>
        <v>0</v>
      </c>
      <c r="BM59" s="3">
        <f t="array" aca="1" ref="BM59" ca="1">IF(V24=C24,SUM(IF(($BR$30:$BR$38=C24)*($BS$29:$CA$29=V$21),$BS$30:$CA$38)),0)</f>
        <v>0</v>
      </c>
      <c r="BN59" s="3">
        <f t="array" aca="1" ref="BN59" ca="1">IF(V24=C24,SUM(IF(($BR$30:$BR$38=C24)*($BS$29:$CA$29=V$22),$BS$30:$CA$38)),0)</f>
        <v>0</v>
      </c>
      <c r="BO59" s="3">
        <f t="array" aca="1" ref="BO59" ca="1">IF(V24=C24,SUM(IF(($BR$30:$BR$38=C24)*($BS$29:$CA$29=V$23),$BS$30:$CA$38)),0)</f>
        <v>0</v>
      </c>
      <c r="BP59" s="15">
        <f t="array" aca="1" ref="BP59" ca="1">IF(V24=C24,SUM(IF(($BR$30:$BR$38=C24)*($BS$29:$CA$29=V$25),$BS$30:$CA$38)),0)</f>
        <v>0</v>
      </c>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2:80" s="2" customFormat="1" ht="12.75" thickBot="1" x14ac:dyDescent="0.25">
      <c r="E60" s="16">
        <f t="array" aca="1" ref="E60" ca="1">IF(O25=C25,SUM(IF(($BR$30:$BR$38=C25)*($BS$29:$CA$29=O$17),$BS$30:$CA$38)),0)</f>
        <v>0</v>
      </c>
      <c r="F60" s="17">
        <f t="array" aca="1" ref="F60" ca="1">IF(O25=C25,SUM(IF(($BR$30:$BR$38=C25)*($BS$29:$CA$29=O$18),$BS$30:$CA$38)),0)</f>
        <v>0</v>
      </c>
      <c r="G60" s="17">
        <f t="array" aca="1" ref="G60" ca="1">IF(O25=C25,SUM(IF(($BR$30:$BR$38=C25)*($BS$29:$CA$29=O$19),$BS$30:$CA$38)),0)</f>
        <v>0</v>
      </c>
      <c r="H60" s="17">
        <f t="array" aca="1" ref="H60" ca="1">IF(O25=C25,SUM(IF(($BR$30:$BR$38=C25)*($BS$29:$CA$29=O$20),$BS$30:$CA$38)),0)</f>
        <v>0</v>
      </c>
      <c r="I60" s="17">
        <f t="array" aca="1" ref="I60" ca="1">IF(O25=C25,SUM(IF(($BR$30:$BR$38=C25)*($BS$29:$CA$29=O$21),$BS$30:$CA$38)),0)</f>
        <v>0</v>
      </c>
      <c r="J60" s="17">
        <f t="array" aca="1" ref="J60" ca="1">IF(O25=C25,SUM(IF(($BR$30:$BR$38=C25)*($BS$29:$CA$29=O$22),$BS$30:$CA$38)),0)</f>
        <v>0</v>
      </c>
      <c r="K60" s="17">
        <f t="array" aca="1" ref="K60" ca="1">IF(O25=C25,SUM(IF(($BR$30:$BR$38=C25)*($BS$29:$CA$29=O$23),$BS$30:$CA$38)),0)</f>
        <v>0</v>
      </c>
      <c r="L60" s="17">
        <f t="array" aca="1" ref="L60" ca="1">IF(O25=C25,SUM(IF(($BR$30:$BR$38=C25)*($BS$29:$CA$29=O$24),$BS$30:$CA$38)),0)</f>
        <v>0</v>
      </c>
      <c r="M60" s="18">
        <f t="array" aca="1" ref="M60" ca="1">IF(P25=C25,SUM(IF(($BR$30:$BR$38=C25)*($BS$29:$CA$29=P$17),$BS$30:$CA$38)),0)</f>
        <v>0</v>
      </c>
      <c r="N60" s="17">
        <f t="array" aca="1" ref="N60" ca="1">IF(P25=C25,SUM(IF(($BR$30:$BR$38=C25)*($BS$29:$CA$29=P$18),$BS$30:$CA$38)),0)</f>
        <v>0</v>
      </c>
      <c r="O60" s="17">
        <f t="array" aca="1" ref="O60" ca="1">IF(P25=C25,SUM(IF(($BR$30:$BR$38=C25)*($BS$29:$CA$29=P$19),$BS$30:$CA$38)),0)</f>
        <v>0</v>
      </c>
      <c r="P60" s="17">
        <f t="array" aca="1" ref="P60" ca="1">IF(P25=C25,SUM(IF(($BR$30:$BR$38=C25)*($BS$29:$CA$29=P$20),$BS$30:$CA$38)),0)</f>
        <v>0</v>
      </c>
      <c r="Q60" s="17">
        <f t="array" aca="1" ref="Q60" ca="1">IF(P25=C25,SUM(IF(($BR$30:$BR$38=C25)*($BS$29:$CA$29=P$21),$BS$30:$CA$38)),0)</f>
        <v>0</v>
      </c>
      <c r="R60" s="17">
        <f t="array" aca="1" ref="R60" ca="1">IF(P25=C25,SUM(IF(($BR$30:$BR$38=C25)*($BS$29:$CA$29=P$22),$BS$30:$CA$38)),0)</f>
        <v>0</v>
      </c>
      <c r="S60" s="17">
        <f t="array" aca="1" ref="S60" ca="1">IF(P25=C25,SUM(IF(($BR$30:$BR$38=C25)*($BS$29:$CA$29=P$23),$BS$30:$CA$38)),0)</f>
        <v>0</v>
      </c>
      <c r="T60" s="17">
        <f t="array" aca="1" ref="T60" ca="1">IF(P25=C25,SUM(IF(($BR$30:$BR$38=C25)*($BS$29:$CA$29=P$24),$BS$30:$CA$38)),0)</f>
        <v>0</v>
      </c>
      <c r="U60" s="18">
        <f t="array" aca="1" ref="U60" ca="1">IF(Q25=C25,SUM(IF(($BR$30:$BR$38=C25)*($BS$29:$CA$29=Q$17),$BS$30:$CA$38)),0)</f>
        <v>0</v>
      </c>
      <c r="V60" s="17">
        <f t="array" aca="1" ref="V60" ca="1">IF(Q25=C25,SUM(IF(($BR$30:$BR$38=C25)*($BS$29:$CA$29=Q$18),$BS$30:$CA$38)),0)</f>
        <v>0</v>
      </c>
      <c r="W60" s="17">
        <f t="array" aca="1" ref="W60" ca="1">IF(Q25=C25,SUM(IF(($BR$30:$BR$38=C25)*($BS$29:$CA$29=Q$19),$BS$30:$CA$38)),0)</f>
        <v>0</v>
      </c>
      <c r="X60" s="17">
        <f t="array" aca="1" ref="X60" ca="1">IF(Q25=C25,SUM(IF(($BR$30:$BR$38=C25)*($BS$29:$CA$29=Q$20),$BS$30:$CA$38)),0)</f>
        <v>0</v>
      </c>
      <c r="Y60" s="17">
        <f t="array" aca="1" ref="Y60" ca="1">IF(Q25=C25,SUM(IF(($BR$30:$BR$38=C25)*($BS$29:$CA$29=Q$21),$BS$30:$CA$38)),0)</f>
        <v>0</v>
      </c>
      <c r="Z60" s="17">
        <f t="array" aca="1" ref="Z60" ca="1">IF(Q25=C25,SUM(IF(($BR$30:$BR$38=C25)*($BS$29:$CA$29=Q$22),$BS$30:$CA$38)),0)</f>
        <v>0</v>
      </c>
      <c r="AA60" s="17">
        <f t="array" aca="1" ref="AA60" ca="1">IF(Q25=C25,SUM(IF(($BR$30:$BR$38=C25)*($BS$29:$CA$29=Q$23),$BS$30:$CA$38)),0)</f>
        <v>0</v>
      </c>
      <c r="AB60" s="17">
        <f t="array" aca="1" ref="AB60" ca="1">IF(Q25=C25,SUM(IF(($BR$30:$BR$38=C25)*($BS$29:$CA$29=Q$24),$BS$30:$CA$38)),0)</f>
        <v>0</v>
      </c>
      <c r="AC60" s="18">
        <f t="array" aca="1" ref="AC60" ca="1">IF(R25=C25,SUM(IF(($BR$30:$BR$38=C25)*($BS$29:$CA$29=R$17),$BS$30:$CA$38)),0)</f>
        <v>0</v>
      </c>
      <c r="AD60" s="17">
        <f t="array" aca="1" ref="AD60" ca="1">IF(R25=C25,SUM(IF(($BR$30:$BR$38=C25)*($BS$29:$CA$29=R$18),$BS$30:$CA$38)),0)</f>
        <v>0</v>
      </c>
      <c r="AE60" s="17">
        <f t="array" aca="1" ref="AE60" ca="1">IF(R25=C25,SUM(IF(($BR$30:$BR$38=C25)*($BS$29:$CA$29=R$19),$BS$30:$CA$38)),0)</f>
        <v>0</v>
      </c>
      <c r="AF60" s="17">
        <f t="array" aca="1" ref="AF60" ca="1">IF(R25=C25,SUM(IF(($BR$30:$BR$38=C25)*($BS$29:$CA$29=R$20),$BS$30:$CA$38)),0)</f>
        <v>0</v>
      </c>
      <c r="AG60" s="17">
        <f t="array" aca="1" ref="AG60" ca="1">IF(R25=C25,SUM(IF(($BR$30:$BR$38=C25)*($BS$29:$CA$29=R$21),$BS$30:$CA$38)),0)</f>
        <v>0</v>
      </c>
      <c r="AH60" s="17">
        <f t="array" aca="1" ref="AH60" ca="1">IF(R25=C25,SUM(IF(($BR$30:$BR$38=C25)*($BS$29:$CA$29=R$22),$BS$30:$CA$38)),0)</f>
        <v>0</v>
      </c>
      <c r="AI60" s="17">
        <f t="array" aca="1" ref="AI60" ca="1">IF(R25=C25,SUM(IF(($BR$30:$BR$38=C25)*($BS$29:$CA$29=R$23),$BS$30:$CA$38)),0)</f>
        <v>0</v>
      </c>
      <c r="AJ60" s="17">
        <f t="array" aca="1" ref="AJ60" ca="1">IF(R25=C25,SUM(IF(($BR$30:$BR$38=C25)*($BS$29:$CA$29=R$24),$BS$30:$CA$38)),0)</f>
        <v>0</v>
      </c>
      <c r="AK60" s="18">
        <f t="array" aca="1" ref="AK60" ca="1">IF(S25=C25,SUM(IF(($BR$30:$BR$38=C25)*($BS$29:$CA$29=S$17),$BS$30:$CA$38)),0)</f>
        <v>0</v>
      </c>
      <c r="AL60" s="17">
        <f t="array" aca="1" ref="AL60" ca="1">IF(S25=C25,SUM(IF(($BR$30:$BR$38=C25)*($BS$29:$CA$29=S$18),$BS$30:$CA$38)),0)</f>
        <v>0</v>
      </c>
      <c r="AM60" s="17">
        <f t="array" aca="1" ref="AM60" ca="1">IF(S25=C25,SUM(IF(($BR$30:$BR$38=C25)*($BS$29:$CA$29=S$19),$BS$30:$CA$38)),0)</f>
        <v>0</v>
      </c>
      <c r="AN60" s="17">
        <f t="array" aca="1" ref="AN60" ca="1">IF(S25=C25,SUM(IF(($BR$30:$BR$38=C25)*($BS$29:$CA$29=S$20),$BS$30:$CA$38)),0)</f>
        <v>0</v>
      </c>
      <c r="AO60" s="17">
        <f t="array" aca="1" ref="AO60" ca="1">IF(S25=C25,SUM(IF(($BR$30:$BR$38=C25)*($BS$29:$CA$29=S$21),$BS$30:$CA$38)),0)</f>
        <v>0</v>
      </c>
      <c r="AP60" s="17">
        <f t="array" aca="1" ref="AP60" ca="1">IF(S25=C25,SUM(IF(($BR$30:$BR$38=C25)*($BS$29:$CA$29=S$22),$BS$30:$CA$38)),0)</f>
        <v>0</v>
      </c>
      <c r="AQ60" s="17">
        <f t="array" aca="1" ref="AQ60" ca="1">IF(S25=C25,SUM(IF(($BR$30:$BR$38=C25)*($BS$29:$CA$29=S$23),$BS$30:$CA$38)),0)</f>
        <v>0</v>
      </c>
      <c r="AR60" s="17">
        <f t="array" aca="1" ref="AR60" ca="1">IF(S25=C25,SUM(IF(($BR$30:$BR$38=C25)*($BS$29:$CA$29=S$24),$BS$30:$CA$38)),0)</f>
        <v>0</v>
      </c>
      <c r="AS60" s="18">
        <f t="array" aca="1" ref="AS60" ca="1">IF(T25=C25,SUM(IF(($BR$30:$BR$38=C25)*($BS$29:$CA$29=T$17),$BS$30:$CA$38)),0)</f>
        <v>0</v>
      </c>
      <c r="AT60" s="17">
        <f t="array" aca="1" ref="AT60" ca="1">IF(T25=C25,SUM(IF(($BR$30:$BR$38=C25)*($BS$29:$CA$29=T$18),$BS$30:$CA$38)),0)</f>
        <v>0</v>
      </c>
      <c r="AU60" s="17">
        <f t="array" aca="1" ref="AU60" ca="1">IF(T25=C25,SUM(IF(($BR$30:$BR$38=C25)*($BS$29:$CA$29=T$19),$BS$30:$CA$38)),0)</f>
        <v>0</v>
      </c>
      <c r="AV60" s="17">
        <f t="array" aca="1" ref="AV60" ca="1">IF(T25=C25,SUM(IF(($BR$30:$BR$38=C25)*($BS$29:$CA$29=T$20),$BS$30:$CA$38)),0)</f>
        <v>0</v>
      </c>
      <c r="AW60" s="17">
        <f t="array" aca="1" ref="AW60" ca="1">IF(T25=C25,SUM(IF(($BR$30:$BR$38=C25)*($BS$29:$CA$29=T$21),$BS$30:$CA$38)),0)</f>
        <v>0</v>
      </c>
      <c r="AX60" s="17">
        <f t="array" aca="1" ref="AX60" ca="1">IF(T25=C25,SUM(IF(($BR$30:$BR$38=C25)*($BS$29:$CA$29=T$22),$BS$30:$CA$38)),0)</f>
        <v>0</v>
      </c>
      <c r="AY60" s="17">
        <f t="array" aca="1" ref="AY60" ca="1">IF(T25=C25,SUM(IF(($BR$30:$BR$38=C25)*($BS$29:$CA$29=T$23),$BS$30:$CA$38)),0)</f>
        <v>0</v>
      </c>
      <c r="AZ60" s="17">
        <f t="array" aca="1" ref="AZ60" ca="1">IF(T25=C25,SUM(IF(($BR$30:$BR$38=C25)*($BS$29:$CA$29=T$24),$BS$30:$CA$38)),0)</f>
        <v>0</v>
      </c>
      <c r="BA60" s="18">
        <f t="array" aca="1" ref="BA60" ca="1">IF(U25=C25,SUM(IF(($BR$30:$BR$38=C25)*($BS$29:$CA$29=U$17),$BS$30:$CA$38)),0)</f>
        <v>0</v>
      </c>
      <c r="BB60" s="17">
        <f t="array" aca="1" ref="BB60" ca="1">IF(U25=C25,SUM(IF(($BR$30:$BR$38=C25)*($BS$29:$CA$29=U$18),$BS$30:$CA$38)),0)</f>
        <v>0</v>
      </c>
      <c r="BC60" s="17">
        <f t="array" aca="1" ref="BC60" ca="1">IF(U25=C25,SUM(IF(($BR$30:$BR$38=C25)*($BS$29:$CA$29=U$19),$BS$30:$CA$38)),0)</f>
        <v>0</v>
      </c>
      <c r="BD60" s="17">
        <f t="array" aca="1" ref="BD60" ca="1">IF(U25=C25,SUM(IF(($BR$30:$BR$38=C25)*($BS$29:$CA$29=U$20),$BS$30:$CA$38)),0)</f>
        <v>0</v>
      </c>
      <c r="BE60" s="17">
        <f t="array" aca="1" ref="BE60" ca="1">IF(U25=C25,SUM(IF(($BR$30:$BR$38=C25)*($BS$29:$CA$29=U$21),$BS$30:$CA$38)),0)</f>
        <v>0</v>
      </c>
      <c r="BF60" s="17">
        <f t="array" aca="1" ref="BF60" ca="1">IF(U25=C25,SUM(IF(($BR$30:$BR$38=C25)*($BS$29:$CA$29=U$22),$BS$30:$CA$38)),0)</f>
        <v>0</v>
      </c>
      <c r="BG60" s="17">
        <f t="array" aca="1" ref="BG60" ca="1">IF(U25=C25,SUM(IF(($BR$30:$BR$38=C25)*($BS$29:$CA$29=U$23),$BS$30:$CA$38)),0)</f>
        <v>0</v>
      </c>
      <c r="BH60" s="17">
        <f t="array" aca="1" ref="BH60" ca="1">IF(U25=C25,SUM(IF(($BR$30:$BR$38=C25)*($BS$29:$CA$29=U$24),$BS$30:$CA$38)),0)</f>
        <v>0</v>
      </c>
      <c r="BI60" s="18">
        <f t="array" aca="1" ref="BI60" ca="1">IF(V25=C25,SUM(IF(($BR$30:$BR$38=C25)*($BS$29:$CA$29=V$17),$BS$30:$CA$38)),0)</f>
        <v>0</v>
      </c>
      <c r="BJ60" s="17">
        <f t="array" aca="1" ref="BJ60" ca="1">IF(V25=C25,SUM(IF(($BR$30:$BR$38=C25)*($BS$29:$CA$29=V$18),$BS$30:$CA$38)),0)</f>
        <v>0</v>
      </c>
      <c r="BK60" s="17">
        <f t="array" aca="1" ref="BK60" ca="1">IF(V25=C25,SUM(IF(($BR$30:$BR$38=C25)*($BS$29:$CA$29=V$19),$BS$30:$CA$38)),0)</f>
        <v>0</v>
      </c>
      <c r="BL60" s="17">
        <f t="array" aca="1" ref="BL60" ca="1">IF(V25=C25,SUM(IF(($BR$30:$BR$38=C25)*($BS$29:$CA$29=V$20),$BS$30:$CA$38)),0)</f>
        <v>0</v>
      </c>
      <c r="BM60" s="17">
        <f t="array" aca="1" ref="BM60" ca="1">IF(V25=C25,SUM(IF(($BR$30:$BR$38=C25)*($BS$29:$CA$29=V$21),$BS$30:$CA$38)),0)</f>
        <v>0</v>
      </c>
      <c r="BN60" s="17">
        <f t="array" aca="1" ref="BN60" ca="1">IF(V25=C25,SUM(IF(($BR$30:$BR$38=C25)*($BS$29:$CA$29=V$22),$BS$30:$CA$38)),0)</f>
        <v>0</v>
      </c>
      <c r="BO60" s="17">
        <f t="array" aca="1" ref="BO60" ca="1">IF(V25=C25,SUM(IF(($BR$30:$BR$38=C25)*($BS$29:$CA$29=V$23),$BS$30:$CA$38)),0)</f>
        <v>0</v>
      </c>
      <c r="BP60" s="19">
        <f t="array" aca="1" ref="BP60" ca="1">IF(V25=C25,SUM(IF(($BR$30:$BR$38=C25)*($BS$29:$CA$29=V$24),$BS$30:$CA$38)),0)</f>
        <v>0</v>
      </c>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2:80" s="2" customFormat="1" ht="12.75" thickTop="1" x14ac:dyDescent="0.2">
      <c r="AC61" s="3"/>
      <c r="AD61" s="3"/>
      <c r="AE61" s="3"/>
      <c r="AF61" s="3"/>
      <c r="AG61" s="3"/>
      <c r="AH61" s="3"/>
      <c r="AI61" s="3"/>
      <c r="AJ61" s="3"/>
      <c r="AK61" s="3"/>
      <c r="AL61" s="3"/>
      <c r="AM61" s="3"/>
      <c r="AN61" s="3"/>
      <c r="AO61" s="3"/>
      <c r="AP61" s="3"/>
      <c r="AQ61" s="3"/>
      <c r="AR61" s="3"/>
    </row>
    <row r="62" spans="2:80" s="2" customFormat="1" x14ac:dyDescent="0.2">
      <c r="AC62" s="3"/>
      <c r="AD62" s="3"/>
      <c r="AE62" s="3"/>
      <c r="AF62" s="3"/>
      <c r="AG62" s="3"/>
      <c r="AH62" s="3"/>
      <c r="AI62" s="3"/>
      <c r="AJ62" s="3"/>
      <c r="AK62" s="3"/>
      <c r="AL62" s="3"/>
      <c r="AM62" s="3"/>
      <c r="AN62" s="3"/>
      <c r="AO62" s="3"/>
      <c r="AP62" s="3"/>
      <c r="AQ62" s="3"/>
      <c r="AR62" s="3"/>
    </row>
    <row r="63" spans="2: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2:80" s="2" customFormat="1" ht="14.25" thickTop="1" thickBot="1" x14ac:dyDescent="0.25">
      <c r="F64" s="192">
        <v>1000000</v>
      </c>
      <c r="G64" s="193" t="s">
        <v>110</v>
      </c>
      <c r="P64" s="44" t="s">
        <v>6</v>
      </c>
      <c r="Q64" s="59" t="str">
        <f ca="1">IF(PreliminaryRound!$R$13="","",PreliminaryRound!$R$13)</f>
        <v>Eintracht Frankfurt</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IF(PreliminaryRound!$R$23="","",PreliminaryRound!$R$23)</f>
        <v>SSV Wildbach</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IF(PreliminaryRound!$R$33="","",PreliminaryRound!$R$33)</f>
        <v>1. FC Nürnberg</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VFB Essenheim</v>
      </c>
      <c r="G4" s="1">
        <f ca="1">SUMIFS($X$64:$X$135,$V$64:$V$135,$F4)+SUMIFS($Y$64:$Y$135,$W$64:$W$135,$F4)+SUMIFS($AG$64:$AG$135,$V$64:$V$135,$F4)+SUMIFS($AH$64:$AH$135,$W$64:$W$135,$F4)</f>
        <v>180</v>
      </c>
      <c r="H4" s="1">
        <f ca="1">SUMIFS($Y$64:$Y$135,$V$64:$V$135,$F4)+SUMIFS($X$64:$X$135,$W$64:$W$135,$F4)+SUMIFS($AH$64:$AH$135,$V$64:$V$135,$F4)+SUMIFS($AG$64:$AG$135,$W$64:$W$135,$F4)</f>
        <v>181</v>
      </c>
      <c r="I4" s="12">
        <f ca="1">IF(Settings!$G$7,G4-H4,IF(H4=0,IF(G4=0,0,Settings!$F$7),G4/H4))</f>
        <v>-1</v>
      </c>
      <c r="J4" s="1">
        <f ca="1">SUMPRODUCT(($V$64:$V$135=F4)*$AE$64:$AE$135*$AA$64:$AA$135)+SUMPRODUCT(($W$64:$W$135=F4)*$AF$64:$AF$135*$AA$64:$AA$135)</f>
        <v>4</v>
      </c>
      <c r="K4" s="1">
        <f ca="1">SUMPRODUCT(($V$64:$V$135=F4)*$AA$64:$AA$135)+SUMPRODUCT(($W$64:$W$135=F4)*$AA$64:$AA$135)</f>
        <v>4</v>
      </c>
      <c r="L4" s="1">
        <f ca="1">K4-M4-N4</f>
        <v>1</v>
      </c>
      <c r="M4" s="1">
        <f ca="1">SUMPRODUCT(($V$64:$W$135=F4)*($AE$64:$AE$135=$AF$64:$AF$135)*$AA$64:$AA$135)</f>
        <v>2</v>
      </c>
      <c r="N4" s="1">
        <f ca="1">SUMPRODUCT(($V$64:$V$135=F4)*($AE$64:$AE$135&lt;$AF$64:$AF$135)*$AA$64:$AA$135)+SUMPRODUCT(($W$64:$W$135=F4)*($AE$64:$AE$135&gt;$AF$64:$AF$135)*$AA$64:$AA$135)</f>
        <v>1</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v>
      </c>
    </row>
    <row r="5" spans="1:44" s="2" customFormat="1" x14ac:dyDescent="0.2">
      <c r="A5" s="254"/>
      <c r="B5" s="1">
        <v>2</v>
      </c>
      <c r="C5" s="21">
        <f t="shared" ref="C5:C12" ca="1" si="0">RANK(D5,$D$4:$D$12,1)</f>
        <v>3</v>
      </c>
      <c r="D5" s="12">
        <f t="shared" ref="D5:D12" ca="1" si="1">E5+ROW()/1000+(F5="")*10</f>
        <v>3.0049999999999999</v>
      </c>
      <c r="E5" s="266">
        <f t="shared" ref="E5:E12" ca="1" si="2">IF($AI$15,RANK(AH18,AH$17:AH$25,1),RANK(X18,X$17:X$25,1))</f>
        <v>3</v>
      </c>
      <c r="F5" s="1" t="str">
        <f t="shared" ref="F5:F12" ca="1" si="3">$Q65</f>
        <v>FC Grönlingen</v>
      </c>
      <c r="G5" s="1">
        <f t="shared" ref="G5:G12" ca="1" si="4">SUMIFS($X$64:$X$135,$V$64:$V$135,$F5)+SUMIFS($Y$64:$Y$135,$W$64:$W$135,$F5)+SUMIFS($AG$64:$AG$135,$V$64:$V$135,$F5)+SUMIFS($AH$64:$AH$135,$W$64:$W$135,$F5)</f>
        <v>174</v>
      </c>
      <c r="H5" s="1">
        <f t="shared" ref="H5:H12" ca="1" si="5">SUMIFS($Y$64:$Y$135,$V$64:$V$135,$F5)+SUMIFS($X$64:$X$135,$W$64:$W$135,$F5)+SUMIFS($AH$64:$AH$135,$V$64:$V$135,$F5)+SUMIFS($AG$64:$AG$135,$W$64:$W$135,$F5)</f>
        <v>181</v>
      </c>
      <c r="I5" s="12">
        <f ca="1">IF(Settings!$G$7,G5-H5,IF(H5=0,IF(G5=0,0,Settings!$F$7),G5/H5))</f>
        <v>-7</v>
      </c>
      <c r="J5" s="1">
        <f t="shared" ref="J5:J12" ca="1" si="6">SUMPRODUCT(($V$64:$V$135=F5)*$AE$64:$AE$135*$AA$64:$AA$135)+SUMPRODUCT(($W$64:$W$135=F5)*$AF$64:$AF$135*$AA$64:$AA$135)</f>
        <v>3</v>
      </c>
      <c r="K5" s="1">
        <f t="shared" ref="K5:K12" ca="1" si="7">SUMPRODUCT(($V$64:$V$135=F5)*$AA$64:$AA$135)+SUMPRODUCT(($W$64:$W$135=F5)*$AA$64:$AA$135)</f>
        <v>4</v>
      </c>
      <c r="L5" s="1">
        <f t="shared" ref="L5:L12" ca="1" si="8">K5-M5-N5</f>
        <v>0</v>
      </c>
      <c r="M5" s="1">
        <f t="shared" ref="M5:M12" ca="1" si="9">SUMPRODUCT(($V$64:$W$135=F5)*($AE$64:$AE$135=$AF$64:$AF$135)*$AA$64:$AA$135)</f>
        <v>3</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-7</v>
      </c>
    </row>
    <row r="6" spans="1:44" s="2" customFormat="1" x14ac:dyDescent="0.2">
      <c r="A6" s="254"/>
      <c r="B6" s="1">
        <v>3</v>
      </c>
      <c r="C6" s="21">
        <f t="shared" ca="1" si="0"/>
        <v>2</v>
      </c>
      <c r="D6" s="12">
        <f t="shared" ca="1" si="1"/>
        <v>2.0059999999999998</v>
      </c>
      <c r="E6" s="266">
        <f t="shared" ca="1" si="2"/>
        <v>2</v>
      </c>
      <c r="F6" s="1" t="str">
        <f t="shared" ca="1" si="3"/>
        <v>Real Madrid</v>
      </c>
      <c r="G6" s="1">
        <f t="shared" ca="1" si="4"/>
        <v>165</v>
      </c>
      <c r="H6" s="1">
        <f t="shared" ca="1" si="5"/>
        <v>171</v>
      </c>
      <c r="I6" s="12">
        <f ca="1">IF(Settings!$G$7,G6-H6,IF(H6=0,IF(G6=0,0,Settings!$F$7),G6/H6))</f>
        <v>-6</v>
      </c>
      <c r="J6" s="1">
        <f t="shared" ca="1" si="6"/>
        <v>3</v>
      </c>
      <c r="K6" s="1">
        <f t="shared" ca="1" si="7"/>
        <v>4</v>
      </c>
      <c r="L6" s="1">
        <f t="shared" ca="1" si="8"/>
        <v>0</v>
      </c>
      <c r="M6" s="1">
        <f t="shared" ca="1" si="9"/>
        <v>3</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-6</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111</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t="s">
        <v>107</v>
      </c>
      <c r="AD16" s="261" t="s">
        <v>110</v>
      </c>
      <c r="AE16" s="265" t="s">
        <v>182</v>
      </c>
      <c r="AF16" s="1" t="s">
        <v>182</v>
      </c>
      <c r="AG16" s="1" t="s">
        <v>183</v>
      </c>
      <c r="AH16" s="191" t="s">
        <v>170</v>
      </c>
    </row>
    <row r="17" spans="2:80" s="2" customFormat="1" ht="12.75" thickTop="1" x14ac:dyDescent="0.2">
      <c r="C17" s="2" t="str">
        <f ca="1">$Q64</f>
        <v>VFB Essenheim</v>
      </c>
      <c r="D17" s="1">
        <f t="shared" ref="D17:G25" ca="1" si="11">K4</f>
        <v>4</v>
      </c>
      <c r="E17" s="1">
        <f t="shared" ca="1" si="11"/>
        <v>1</v>
      </c>
      <c r="F17" s="1">
        <f t="shared" ca="1" si="11"/>
        <v>2</v>
      </c>
      <c r="G17" s="1">
        <f t="shared" ca="1" si="11"/>
        <v>1</v>
      </c>
      <c r="H17" s="1">
        <f t="shared" ref="H17:K25" ca="1" si="12">G4</f>
        <v>180</v>
      </c>
      <c r="I17" s="1">
        <f t="shared" ca="1" si="12"/>
        <v>181</v>
      </c>
      <c r="J17" s="12">
        <f t="shared" ca="1" si="12"/>
        <v>-1</v>
      </c>
      <c r="K17" s="1">
        <f t="shared" ca="1" si="12"/>
        <v>4</v>
      </c>
      <c r="L17" s="29">
        <f t="shared" ref="L17:L25" ca="1" si="13">K17*$F$64+(J17+$H$65)*$F$65+H17*$F$66</f>
        <v>4499180</v>
      </c>
      <c r="M17" s="13">
        <f ca="1">IF($AI$15,COUNTIF($K$17:$K$25,K17),COUNTIF($L$17:$L$25,L17))</f>
        <v>1</v>
      </c>
      <c r="N17" s="13">
        <f t="array" aca="1" ref="N17" ca="1">IF($AI$15,SUM(($K$17:$K$25&gt;=K17)/COUNTIF($K$17:$K$25,$K$17:$K$25)),SUM(($L$17:$L$25&gt;=L17)/COUNTIF($L$17:$L$25,$L$17:$L$25)))</f>
        <v>1</v>
      </c>
      <c r="O17" s="52" t="str">
        <f t="shared" ref="O17:O25" ca="1" si="14">IF(AND(M17&gt;1,N17=1),C17,"")</f>
        <v/>
      </c>
      <c r="P17" s="53" t="str">
        <f t="shared" ref="P17:P25" ca="1" si="15">IF(AND(M17&gt;1,N17=2),C17,"")</f>
        <v/>
      </c>
      <c r="Q17" s="53" t="str">
        <f t="shared" ref="Q17:Q25" ca="1" si="16">IF(AND(M17&gt;1,N17=3),C17,"")</f>
        <v/>
      </c>
      <c r="R17" s="53" t="str">
        <f t="shared" ref="R17:R25" ca="1" si="17">IF(AND(M17&gt;1,N17=4),C17,"")</f>
        <v/>
      </c>
      <c r="S17" s="53" t="str">
        <f t="shared" ref="S17:S25" ca="1" si="18">IF(AND(M17&gt;1,N17=5),C17,"")</f>
        <v/>
      </c>
      <c r="T17" s="53" t="str">
        <f t="shared" ref="T17:T25" ca="1" si="19">IF(AND($M17&gt;1,$N17=6),$C17,"")</f>
        <v/>
      </c>
      <c r="U17" s="53" t="str">
        <f t="shared" ref="U17:U25" ca="1" si="20">IF(AND($M17&gt;1,$N17=7),$C17,"")</f>
        <v/>
      </c>
      <c r="V17" s="54" t="str">
        <f t="shared" ref="V17:V25" ca="1" si="21">IF(AND($M17&gt;1,$N17=8),$C17,"")</f>
        <v/>
      </c>
      <c r="W17" s="62">
        <f ca="1">AA17*$F$64+(AB17+$H$65)*$F$65+AC17*$F$66</f>
        <v>500000</v>
      </c>
      <c r="X17" s="20">
        <f ca="1">RANK($L17,$L$17:$L$25)+RANK($W17,$W$17:$W$25)/100+(9-$Y17)/10000</f>
        <v>1.0108999999999999</v>
      </c>
      <c r="Y17" s="740">
        <f ca="1">INDEX(PreliminaryRound!$AQ$12:$AQ$37,MATCH($C17,PreliminaryRound!$AO$12:$AO$37,0))</f>
        <v>0</v>
      </c>
      <c r="Z17" s="1">
        <f ca="1">RANK($W17,$W$17:$W$25)+(9-$Y17)/10</f>
        <v>1.9</v>
      </c>
      <c r="AA17" s="1">
        <f ca="1">SUM(E30:BP30)</f>
        <v>0</v>
      </c>
      <c r="AB17" s="1">
        <f ca="1">SUM(E41:BP41)</f>
        <v>0</v>
      </c>
      <c r="AC17" s="1">
        <f ca="1">SUM(E52:BP52)</f>
        <v>0</v>
      </c>
      <c r="AD17" s="260">
        <f ca="1">RANK($K17,$K$17:$K$25)</f>
        <v>1</v>
      </c>
      <c r="AE17" s="29">
        <f t="shared" ref="AE17:AE22" ca="1" si="22">(J17+$H$65)*$F$65+H17*$F$66</f>
        <v>499180</v>
      </c>
      <c r="AF17" s="1">
        <f ca="1">RANK($AE17,$AE$17:$AE$25)</f>
        <v>4</v>
      </c>
      <c r="AG17" s="1">
        <f ca="1">RANK($W17,$W$17:$W$25)</f>
        <v>1</v>
      </c>
      <c r="AH17" s="262">
        <f ca="1">AD17+AG17/100+AF17/10000+(10-Y17)/1000000</f>
        <v>1.01041</v>
      </c>
      <c r="AI17" s="1"/>
    </row>
    <row r="18" spans="2:80" s="2" customFormat="1" x14ac:dyDescent="0.2">
      <c r="C18" s="2" t="str">
        <f t="shared" ref="C18:C25" ca="1" si="23">$Q65</f>
        <v>FC Grönlingen</v>
      </c>
      <c r="D18" s="1">
        <f t="shared" ca="1" si="11"/>
        <v>4</v>
      </c>
      <c r="E18" s="1">
        <f t="shared" ca="1" si="11"/>
        <v>0</v>
      </c>
      <c r="F18" s="1">
        <f t="shared" ca="1" si="11"/>
        <v>3</v>
      </c>
      <c r="G18" s="1">
        <f t="shared" ca="1" si="11"/>
        <v>1</v>
      </c>
      <c r="H18" s="1">
        <f t="shared" ca="1" si="12"/>
        <v>174</v>
      </c>
      <c r="I18" s="1">
        <f t="shared" ca="1" si="12"/>
        <v>181</v>
      </c>
      <c r="J18" s="12">
        <f t="shared" ca="1" si="12"/>
        <v>-7</v>
      </c>
      <c r="K18" s="1">
        <f t="shared" ca="1" si="12"/>
        <v>3</v>
      </c>
      <c r="L18" s="29">
        <f t="shared" ca="1" si="13"/>
        <v>3493174</v>
      </c>
      <c r="M18" s="13">
        <f t="shared" ref="M18:M25" ca="1" si="24">IF($AI$15,COUNTIF($K$17:$K$25,K18),COUNTIF($L$17:$L$25,L18))</f>
        <v>1</v>
      </c>
      <c r="N18" s="13">
        <f t="array" aca="1" ref="N18" ca="1">IF($AI$15,SUM(($K$17:$K$25&gt;=K18)/COUNTIF($K$17:$K$25,$K$17:$K$25)),SUM(($L$17:$L$25&gt;=L18)/COUNTIF($L$17:$L$25,$L$17:$L$25)))</f>
        <v>3</v>
      </c>
      <c r="O18" s="5" t="str">
        <f t="shared" ca="1" si="14"/>
        <v/>
      </c>
      <c r="P18" s="3" t="str">
        <f t="shared" ca="1" si="15"/>
        <v/>
      </c>
      <c r="Q18" s="3" t="str">
        <f t="shared" ca="1" si="16"/>
        <v/>
      </c>
      <c r="R18" s="3" t="str">
        <f t="shared" ca="1" si="17"/>
        <v/>
      </c>
      <c r="S18" s="3" t="str">
        <f t="shared" ca="1" si="18"/>
        <v/>
      </c>
      <c r="T18" s="3" t="str">
        <f t="shared" ca="1" si="19"/>
        <v/>
      </c>
      <c r="U18" s="3" t="str">
        <f t="shared" ca="1" si="20"/>
        <v/>
      </c>
      <c r="V18" s="55" t="str">
        <f t="shared" ca="1" si="21"/>
        <v/>
      </c>
      <c r="W18" s="62">
        <f ca="1">AA18*$F$64+(AB18+$H$65)*$F$65+AC18*$F$66</f>
        <v>500000</v>
      </c>
      <c r="X18" s="21">
        <f t="shared" ref="X18:X25" ca="1" si="25">RANK($L18,$L$17:$L$25)+RANK($W18,$W$17:$W$25)/100+(9-$Y18)/10000</f>
        <v>3.0108999999999999</v>
      </c>
      <c r="Y18" s="740">
        <f ca="1">INDEX(PreliminaryRound!$AQ$12:$AQ$37,MATCH($C18,PreliminaryRound!$AO$12:$AO$37,0))</f>
        <v>0</v>
      </c>
      <c r="Z18" s="1">
        <f t="shared" ref="Z18:Z25" ca="1" si="26">RANK($W18,$W$17:$W$25)+(9-$Y18)/10</f>
        <v>1.9</v>
      </c>
      <c r="AA18" s="1">
        <f t="shared" ref="AA18:AA25" ca="1" si="27">SUM(E31:BP31)</f>
        <v>0</v>
      </c>
      <c r="AB18" s="1">
        <f t="shared" ref="AB18:AB25" ca="1" si="28">SUM(E42:BP42)</f>
        <v>0</v>
      </c>
      <c r="AC18" s="1">
        <f t="shared" ref="AC18:AC25" ca="1" si="29">SUM(E53:BP53)</f>
        <v>0</v>
      </c>
      <c r="AD18" s="260">
        <f t="shared" ref="AD18:AD25" ca="1" si="30">RANK($K18,$K$17:$K$25)</f>
        <v>2</v>
      </c>
      <c r="AE18" s="29">
        <f t="shared" ca="1" si="22"/>
        <v>493174</v>
      </c>
      <c r="AF18" s="1">
        <f t="shared" ref="AF18:AF25" ca="1" si="31">RANK($AE18,$AE$17:$AE$25)</f>
        <v>6</v>
      </c>
      <c r="AG18" s="1">
        <f t="shared" ref="AG18:AG25" ca="1" si="32">RANK($W18,$W$17:$W$25)</f>
        <v>1</v>
      </c>
      <c r="AH18" s="263">
        <f t="shared" ref="AH18:AH25" ca="1" si="33">AD18+AG18/100+AF18/10000+(10-Y18)/1000000</f>
        <v>2.0106099999999998</v>
      </c>
      <c r="AI18" s="1"/>
    </row>
    <row r="19" spans="2:80" s="2" customFormat="1" x14ac:dyDescent="0.2">
      <c r="C19" s="2" t="str">
        <f t="shared" ca="1" si="23"/>
        <v>Real Madrid</v>
      </c>
      <c r="D19" s="1">
        <f t="shared" ca="1" si="11"/>
        <v>4</v>
      </c>
      <c r="E19" s="1">
        <f t="shared" ca="1" si="11"/>
        <v>0</v>
      </c>
      <c r="F19" s="1">
        <f t="shared" ca="1" si="11"/>
        <v>3</v>
      </c>
      <c r="G19" s="1">
        <f t="shared" ca="1" si="11"/>
        <v>1</v>
      </c>
      <c r="H19" s="1">
        <f t="shared" ca="1" si="12"/>
        <v>165</v>
      </c>
      <c r="I19" s="1">
        <f t="shared" ca="1" si="12"/>
        <v>171</v>
      </c>
      <c r="J19" s="12">
        <f t="shared" ca="1" si="12"/>
        <v>-6</v>
      </c>
      <c r="K19" s="1">
        <f t="shared" ca="1" si="12"/>
        <v>3</v>
      </c>
      <c r="L19" s="29">
        <f t="shared" ca="1" si="13"/>
        <v>3494165</v>
      </c>
      <c r="M19" s="13">
        <f t="shared" ca="1" si="24"/>
        <v>1</v>
      </c>
      <c r="N19" s="13">
        <f t="array" aca="1" ref="N19" ca="1">IF($AI$15,SUM(($K$17:$K$25&gt;=K19)/COUNTIF($K$17:$K$25,$K$17:$K$25)),SUM(($L$17:$L$25&gt;=L19)/COUNTIF($L$17:$L$25,$L$17:$L$25)))</f>
        <v>2</v>
      </c>
      <c r="O19" s="5" t="str">
        <f t="shared" ca="1" si="14"/>
        <v/>
      </c>
      <c r="P19" s="3" t="str">
        <f t="shared" ca="1" si="15"/>
        <v/>
      </c>
      <c r="Q19" s="3" t="str">
        <f t="shared" ca="1" si="16"/>
        <v/>
      </c>
      <c r="R19" s="3" t="str">
        <f t="shared" ca="1" si="17"/>
        <v/>
      </c>
      <c r="S19" s="3" t="str">
        <f t="shared" ca="1" si="18"/>
        <v/>
      </c>
      <c r="T19" s="3" t="str">
        <f t="shared" ca="1" si="19"/>
        <v/>
      </c>
      <c r="U19" s="3" t="str">
        <f t="shared" ca="1" si="20"/>
        <v/>
      </c>
      <c r="V19" s="55" t="str">
        <f t="shared" ca="1" si="21"/>
        <v/>
      </c>
      <c r="W19" s="62">
        <f ca="1">AA19*$F$64+(AB19+$H$65)*$F$65+AC19*$F$66</f>
        <v>500000</v>
      </c>
      <c r="X19" s="21">
        <f t="shared" ca="1" si="25"/>
        <v>2.0108999999999999</v>
      </c>
      <c r="Y19" s="740">
        <f ca="1">INDEX(PreliminaryRound!$AQ$12:$AQ$37,MATCH($C19,PreliminaryRound!$AO$12:$AO$37,0))</f>
        <v>0</v>
      </c>
      <c r="Z19" s="1">
        <f t="shared" ca="1" si="26"/>
        <v>1.9</v>
      </c>
      <c r="AA19" s="1">
        <f t="shared" ca="1" si="27"/>
        <v>0</v>
      </c>
      <c r="AB19" s="1">
        <f t="shared" ca="1" si="28"/>
        <v>0</v>
      </c>
      <c r="AC19" s="1">
        <f t="shared" ca="1" si="29"/>
        <v>0</v>
      </c>
      <c r="AD19" s="260">
        <f t="shared" ca="1" si="30"/>
        <v>2</v>
      </c>
      <c r="AE19" s="29">
        <f t="shared" ca="1" si="22"/>
        <v>494165</v>
      </c>
      <c r="AF19" s="1">
        <f t="shared" ca="1" si="31"/>
        <v>5</v>
      </c>
      <c r="AG19" s="1">
        <f t="shared" ca="1" si="32"/>
        <v>1</v>
      </c>
      <c r="AH19" s="263">
        <f t="shared" ca="1" si="33"/>
        <v>2.01051</v>
      </c>
      <c r="AI19" s="1"/>
    </row>
    <row r="20" spans="2:80" s="2" customFormat="1" x14ac:dyDescent="0.2">
      <c r="C20" s="2" t="str">
        <f t="shared" si="23"/>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13"/>
        <v>500000</v>
      </c>
      <c r="M20" s="13">
        <f t="shared" ca="1" si="24"/>
        <v>6</v>
      </c>
      <c r="N20" s="13">
        <f t="array" aca="1" ref="N20" ca="1">IF($AI$15,SUM(($K$17:$K$25&gt;=K20)/COUNTIF($K$17:$K$25,$K$17:$K$25)),SUM(($L$17:$L$25&gt;=L20)/COUNTIF($L$17:$L$25,$L$17:$L$25)))</f>
        <v>3.9999999999999991</v>
      </c>
      <c r="O20" s="5" t="str">
        <f t="shared" ca="1" si="14"/>
        <v/>
      </c>
      <c r="P20" s="3" t="str">
        <f t="shared" ca="1" si="15"/>
        <v/>
      </c>
      <c r="Q20" s="3" t="str">
        <f t="shared" ca="1" si="16"/>
        <v/>
      </c>
      <c r="R20" s="3" t="str">
        <f t="shared" ca="1" si="17"/>
        <v/>
      </c>
      <c r="S20" s="3" t="str">
        <f t="shared" ca="1" si="18"/>
        <v/>
      </c>
      <c r="T20" s="3" t="str">
        <f t="shared" ca="1" si="19"/>
        <v/>
      </c>
      <c r="U20" s="3" t="str">
        <f t="shared" ca="1" si="20"/>
        <v/>
      </c>
      <c r="V20" s="55" t="str">
        <f t="shared" ca="1" si="21"/>
        <v/>
      </c>
      <c r="W20" s="62">
        <v>0</v>
      </c>
      <c r="X20" s="21">
        <f t="shared" ca="1" si="25"/>
        <v>4.0408999999999997</v>
      </c>
      <c r="Y20" s="12">
        <v>0</v>
      </c>
      <c r="Z20" s="1">
        <f t="shared" ca="1" si="26"/>
        <v>4.9000000000000004</v>
      </c>
      <c r="AA20" s="1">
        <f t="shared" ca="1" si="27"/>
        <v>0</v>
      </c>
      <c r="AB20" s="1">
        <f t="shared" ca="1" si="28"/>
        <v>0</v>
      </c>
      <c r="AC20" s="1">
        <f t="shared" ca="1" si="29"/>
        <v>0</v>
      </c>
      <c r="AD20" s="260">
        <f t="shared" ca="1" si="30"/>
        <v>4</v>
      </c>
      <c r="AE20" s="29">
        <f t="shared" ca="1" si="22"/>
        <v>500000</v>
      </c>
      <c r="AF20" s="1">
        <f t="shared" ca="1" si="31"/>
        <v>1</v>
      </c>
      <c r="AG20" s="1">
        <f t="shared" ca="1" si="32"/>
        <v>4</v>
      </c>
      <c r="AH20" s="263">
        <f t="shared" ca="1" si="33"/>
        <v>4.0401099999999994</v>
      </c>
      <c r="AI20" s="1"/>
    </row>
    <row r="21" spans="2:80" s="2" customFormat="1" x14ac:dyDescent="0.2">
      <c r="C21" s="2" t="str">
        <f t="shared" si="23"/>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13"/>
        <v>500000</v>
      </c>
      <c r="M21" s="13">
        <f t="shared" ca="1" si="24"/>
        <v>6</v>
      </c>
      <c r="N21" s="13">
        <f t="array" aca="1" ref="N21" ca="1">IF($AI$15,SUM(($K$17:$K$25&gt;=K21)/COUNTIF($K$17:$K$25,$K$17:$K$25)),SUM(($L$17:$L$25&gt;=L21)/COUNTIF($L$17:$L$25,$L$17:$L$25)))</f>
        <v>3.9999999999999991</v>
      </c>
      <c r="O21" s="5" t="str">
        <f t="shared" ca="1" si="14"/>
        <v/>
      </c>
      <c r="P21" s="3" t="str">
        <f t="shared" ca="1" si="15"/>
        <v/>
      </c>
      <c r="Q21" s="3" t="str">
        <f t="shared" ca="1" si="16"/>
        <v/>
      </c>
      <c r="R21" s="3" t="str">
        <f t="shared" ca="1" si="17"/>
        <v/>
      </c>
      <c r="S21" s="3" t="str">
        <f t="shared" ca="1" si="18"/>
        <v/>
      </c>
      <c r="T21" s="3" t="str">
        <f t="shared" ca="1" si="19"/>
        <v/>
      </c>
      <c r="U21" s="3" t="str">
        <f t="shared" ca="1" si="20"/>
        <v/>
      </c>
      <c r="V21" s="55" t="str">
        <f t="shared" ca="1" si="21"/>
        <v/>
      </c>
      <c r="W21" s="62">
        <v>0</v>
      </c>
      <c r="X21" s="21">
        <f t="shared" ca="1" si="25"/>
        <v>4.0408999999999997</v>
      </c>
      <c r="Y21" s="12">
        <v>0</v>
      </c>
      <c r="Z21" s="1">
        <f t="shared" ca="1" si="26"/>
        <v>4.9000000000000004</v>
      </c>
      <c r="AA21" s="1">
        <f t="shared" ca="1" si="27"/>
        <v>0</v>
      </c>
      <c r="AB21" s="1">
        <f t="shared" ca="1" si="28"/>
        <v>0</v>
      </c>
      <c r="AC21" s="1">
        <f t="shared" ca="1" si="29"/>
        <v>0</v>
      </c>
      <c r="AD21" s="260">
        <f t="shared" ca="1" si="30"/>
        <v>4</v>
      </c>
      <c r="AE21" s="29">
        <f t="shared" ca="1" si="22"/>
        <v>500000</v>
      </c>
      <c r="AF21" s="1">
        <f t="shared" ca="1" si="31"/>
        <v>1</v>
      </c>
      <c r="AG21" s="1">
        <f t="shared" ca="1" si="32"/>
        <v>4</v>
      </c>
      <c r="AH21" s="263">
        <f t="shared" ca="1" si="33"/>
        <v>4.0401099999999994</v>
      </c>
      <c r="AI21" s="1"/>
    </row>
    <row r="22" spans="2:80" s="2" customFormat="1" x14ac:dyDescent="0.2">
      <c r="C22" s="2" t="str">
        <f t="shared" si="23"/>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13"/>
        <v>500000</v>
      </c>
      <c r="M22" s="13">
        <f t="shared" ca="1" si="24"/>
        <v>6</v>
      </c>
      <c r="N22" s="13">
        <f t="array" aca="1" ref="N22" ca="1">IF($AI$15,SUM(($K$17:$K$25&gt;=K22)/COUNTIF($K$17:$K$25,$K$17:$K$25)),SUM(($L$17:$L$25&gt;=L22)/COUNTIF($L$17:$L$25,$L$17:$L$25)))</f>
        <v>3.9999999999999991</v>
      </c>
      <c r="O22" s="5" t="str">
        <f t="shared" ca="1" si="14"/>
        <v/>
      </c>
      <c r="P22" s="3" t="str">
        <f t="shared" ca="1" si="15"/>
        <v/>
      </c>
      <c r="Q22" s="3" t="str">
        <f t="shared" ca="1" si="16"/>
        <v/>
      </c>
      <c r="R22" s="3" t="str">
        <f t="shared" ca="1" si="17"/>
        <v/>
      </c>
      <c r="S22" s="3" t="str">
        <f t="shared" ca="1" si="18"/>
        <v/>
      </c>
      <c r="T22" s="3" t="str">
        <f t="shared" ca="1" si="19"/>
        <v/>
      </c>
      <c r="U22" s="3" t="str">
        <f t="shared" ca="1" si="20"/>
        <v/>
      </c>
      <c r="V22" s="55" t="str">
        <f t="shared" ca="1" si="21"/>
        <v/>
      </c>
      <c r="W22" s="62">
        <v>0</v>
      </c>
      <c r="X22" s="21">
        <f t="shared" ca="1" si="25"/>
        <v>4.0408999999999997</v>
      </c>
      <c r="Y22" s="12">
        <v>0</v>
      </c>
      <c r="Z22" s="1">
        <f t="shared" ca="1" si="26"/>
        <v>4.9000000000000004</v>
      </c>
      <c r="AA22" s="1">
        <f t="shared" ca="1" si="27"/>
        <v>0</v>
      </c>
      <c r="AB22" s="1">
        <f t="shared" ca="1" si="28"/>
        <v>0</v>
      </c>
      <c r="AC22" s="1">
        <f t="shared" ca="1" si="29"/>
        <v>0</v>
      </c>
      <c r="AD22" s="260">
        <f t="shared" ca="1" si="30"/>
        <v>4</v>
      </c>
      <c r="AE22" s="29">
        <f t="shared" ca="1" si="22"/>
        <v>500000</v>
      </c>
      <c r="AF22" s="1">
        <f t="shared" ca="1" si="31"/>
        <v>1</v>
      </c>
      <c r="AG22" s="1">
        <f t="shared" ca="1" si="32"/>
        <v>4</v>
      </c>
      <c r="AH22" s="263">
        <f t="shared" ca="1" si="33"/>
        <v>4.0401099999999994</v>
      </c>
      <c r="AI22" s="1"/>
    </row>
    <row r="23" spans="2:80" s="2" customFormat="1" x14ac:dyDescent="0.2">
      <c r="C23" s="2" t="str">
        <f t="shared" si="23"/>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13"/>
        <v>500000</v>
      </c>
      <c r="M23" s="13">
        <f t="shared" ca="1" si="24"/>
        <v>6</v>
      </c>
      <c r="N23" s="13">
        <f t="array" aca="1" ref="N23" ca="1">IF($AI$15,SUM(($K$17:$K$25&gt;=K23)/COUNTIF($K$17:$K$25,$K$17:$K$25)),SUM(($L$17:$L$25&gt;=L23)/COUNTIF($L$17:$L$25,$L$17:$L$25)))</f>
        <v>3.9999999999999991</v>
      </c>
      <c r="O23" s="5" t="str">
        <f t="shared" ca="1" si="14"/>
        <v/>
      </c>
      <c r="P23" s="3" t="str">
        <f t="shared" ca="1" si="15"/>
        <v/>
      </c>
      <c r="Q23" s="3" t="str">
        <f t="shared" ca="1" si="16"/>
        <v/>
      </c>
      <c r="R23" s="3" t="str">
        <f t="shared" ca="1" si="17"/>
        <v/>
      </c>
      <c r="S23" s="3" t="str">
        <f t="shared" ca="1" si="18"/>
        <v/>
      </c>
      <c r="T23" s="3" t="str">
        <f t="shared" ca="1" si="19"/>
        <v/>
      </c>
      <c r="U23" s="3" t="str">
        <f t="shared" ca="1" si="20"/>
        <v/>
      </c>
      <c r="V23" s="55" t="str">
        <f t="shared" ca="1" si="21"/>
        <v/>
      </c>
      <c r="W23" s="62">
        <v>0</v>
      </c>
      <c r="X23" s="21">
        <f t="shared" ca="1" si="25"/>
        <v>4.0408999999999997</v>
      </c>
      <c r="Y23" s="12">
        <v>0</v>
      </c>
      <c r="Z23" s="1">
        <f t="shared" ca="1" si="26"/>
        <v>4.9000000000000004</v>
      </c>
      <c r="AA23" s="1">
        <f t="shared" ca="1" si="27"/>
        <v>0</v>
      </c>
      <c r="AB23" s="1">
        <f t="shared" ca="1" si="28"/>
        <v>0</v>
      </c>
      <c r="AC23" s="1">
        <f t="shared" ca="1" si="29"/>
        <v>0</v>
      </c>
      <c r="AD23" s="260">
        <f t="shared" ca="1" si="30"/>
        <v>4</v>
      </c>
      <c r="AE23" s="29">
        <v>0</v>
      </c>
      <c r="AF23" s="1">
        <f t="shared" ca="1" si="31"/>
        <v>7</v>
      </c>
      <c r="AG23" s="1">
        <f t="shared" ca="1" si="32"/>
        <v>4</v>
      </c>
      <c r="AH23" s="263">
        <f t="shared" ca="1" si="33"/>
        <v>4.0407099999999998</v>
      </c>
      <c r="AI23" s="1"/>
    </row>
    <row r="24" spans="2:80" s="2" customFormat="1" x14ac:dyDescent="0.2">
      <c r="C24" s="2" t="str">
        <f t="shared" si="23"/>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13"/>
        <v>500000</v>
      </c>
      <c r="M24" s="13">
        <f t="shared" ca="1" si="24"/>
        <v>6</v>
      </c>
      <c r="N24" s="13">
        <f t="array" aca="1" ref="N24" ca="1">IF($AI$15,SUM(($K$17:$K$25&gt;=K24)/COUNTIF($K$17:$K$25,$K$17:$K$25)),SUM(($L$17:$L$25&gt;=L24)/COUNTIF($L$17:$L$25,$L$17:$L$25)))</f>
        <v>3.9999999999999991</v>
      </c>
      <c r="O24" s="5" t="str">
        <f t="shared" ca="1" si="14"/>
        <v/>
      </c>
      <c r="P24" s="3" t="str">
        <f t="shared" ca="1" si="15"/>
        <v/>
      </c>
      <c r="Q24" s="3" t="str">
        <f t="shared" ca="1" si="16"/>
        <v/>
      </c>
      <c r="R24" s="3" t="str">
        <f t="shared" ca="1" si="17"/>
        <v/>
      </c>
      <c r="S24" s="3" t="str">
        <f t="shared" ca="1" si="18"/>
        <v/>
      </c>
      <c r="T24" s="3" t="str">
        <f t="shared" ca="1" si="19"/>
        <v/>
      </c>
      <c r="U24" s="3" t="str">
        <f t="shared" ca="1" si="20"/>
        <v/>
      </c>
      <c r="V24" s="55" t="str">
        <f t="shared" ca="1" si="21"/>
        <v/>
      </c>
      <c r="W24" s="62">
        <v>0</v>
      </c>
      <c r="X24" s="21">
        <f t="shared" ca="1" si="25"/>
        <v>4.0408999999999997</v>
      </c>
      <c r="Y24" s="12">
        <v>0</v>
      </c>
      <c r="Z24" s="1">
        <f t="shared" ca="1" si="26"/>
        <v>4.9000000000000004</v>
      </c>
      <c r="AA24" s="1">
        <f t="shared" ca="1" si="27"/>
        <v>0</v>
      </c>
      <c r="AB24" s="1">
        <f t="shared" ca="1" si="28"/>
        <v>0</v>
      </c>
      <c r="AC24" s="1">
        <f t="shared" ca="1" si="29"/>
        <v>0</v>
      </c>
      <c r="AD24" s="260">
        <f t="shared" ca="1" si="30"/>
        <v>4</v>
      </c>
      <c r="AE24" s="29">
        <v>0</v>
      </c>
      <c r="AF24" s="1">
        <f t="shared" ca="1" si="31"/>
        <v>7</v>
      </c>
      <c r="AG24" s="1">
        <f t="shared" ca="1" si="32"/>
        <v>4</v>
      </c>
      <c r="AH24" s="263">
        <f t="shared" ca="1" si="33"/>
        <v>4.0407099999999998</v>
      </c>
      <c r="AI24" s="1"/>
    </row>
    <row r="25" spans="2:80" s="2" customFormat="1" ht="12.75" thickBot="1" x14ac:dyDescent="0.25">
      <c r="C25" s="2" t="str">
        <f t="shared" si="23"/>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13"/>
        <v>500000</v>
      </c>
      <c r="M25" s="13">
        <f t="shared" ca="1" si="24"/>
        <v>6</v>
      </c>
      <c r="N25" s="13">
        <f t="array" aca="1" ref="N25" ca="1">IF($AI$15,SUM(($K$17:$K$25&gt;=K25)/COUNTIF($K$17:$K$25,$K$17:$K$25)),SUM(($L$17:$L$25&gt;=L25)/COUNTIF($L$17:$L$25,$L$17:$L$25)))</f>
        <v>3.9999999999999991</v>
      </c>
      <c r="O25" s="56" t="str">
        <f t="shared" ca="1" si="14"/>
        <v/>
      </c>
      <c r="P25" s="57" t="str">
        <f t="shared" ca="1" si="15"/>
        <v/>
      </c>
      <c r="Q25" s="57" t="str">
        <f t="shared" ca="1" si="16"/>
        <v/>
      </c>
      <c r="R25" s="57" t="str">
        <f t="shared" ca="1" si="17"/>
        <v/>
      </c>
      <c r="S25" s="57" t="str">
        <f t="shared" ca="1" si="18"/>
        <v/>
      </c>
      <c r="T25" s="57" t="str">
        <f t="shared" ca="1" si="19"/>
        <v/>
      </c>
      <c r="U25" s="57" t="str">
        <f t="shared" ca="1" si="20"/>
        <v/>
      </c>
      <c r="V25" s="58" t="str">
        <f t="shared" ca="1" si="21"/>
        <v/>
      </c>
      <c r="W25" s="62">
        <v>0</v>
      </c>
      <c r="X25" s="22">
        <f t="shared" ca="1" si="25"/>
        <v>4.0408999999999997</v>
      </c>
      <c r="Y25" s="12">
        <v>0</v>
      </c>
      <c r="Z25" s="1">
        <f t="shared" ca="1" si="26"/>
        <v>4.9000000000000004</v>
      </c>
      <c r="AA25" s="1">
        <f t="shared" ca="1" si="27"/>
        <v>0</v>
      </c>
      <c r="AB25" s="1">
        <f t="shared" ca="1" si="28"/>
        <v>0</v>
      </c>
      <c r="AC25" s="1">
        <f t="shared" ca="1" si="29"/>
        <v>0</v>
      </c>
      <c r="AD25" s="260">
        <f t="shared" ca="1" si="30"/>
        <v>4</v>
      </c>
      <c r="AE25" s="29">
        <v>0</v>
      </c>
      <c r="AF25" s="1">
        <f t="shared" ca="1" si="31"/>
        <v>7</v>
      </c>
      <c r="AG25" s="1">
        <f t="shared" ca="1" si="32"/>
        <v>4</v>
      </c>
      <c r="AH25" s="264">
        <f t="shared" ca="1" si="33"/>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VFB Essenheim</v>
      </c>
      <c r="BT29" s="2" t="str">
        <f ca="1">$F$5</f>
        <v>FC Grönlingen</v>
      </c>
      <c r="BU29" s="2" t="str">
        <f ca="1">$F$6</f>
        <v>Real Madrid</v>
      </c>
      <c r="BV29" s="2" t="str">
        <f>$F$7</f>
        <v/>
      </c>
      <c r="BW29" s="2" t="str">
        <f>$F$8</f>
        <v/>
      </c>
      <c r="BX29" s="2" t="str">
        <f>$F$9</f>
        <v/>
      </c>
      <c r="BY29" s="2" t="str">
        <f>$F$10</f>
        <v/>
      </c>
      <c r="BZ29" s="2" t="str">
        <f>$F$11</f>
        <v/>
      </c>
      <c r="CA29" s="2" t="str">
        <f>$F$12</f>
        <v/>
      </c>
      <c r="CB29" s="51"/>
    </row>
    <row r="30" spans="2:80" s="2" customFormat="1" x14ac:dyDescent="0.2">
      <c r="C30" s="2" t="str">
        <f ca="1">$Q64</f>
        <v>VFB Essenheim</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VFB Essenheim</v>
      </c>
      <c r="BS30" s="6"/>
      <c r="BT30" s="7">
        <f t="shared" ref="BT30:CA32" ca="1" si="35">SUMIFS($X$64:$X$135,$V$64:$V$135,$BR30,$W$64:$W$135,BT$29)+SUMIFS($Y$64:$Y$135,$W$64:$W$135,$BR30,$V$64:$V$135,BT$29)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FC Grönlingen</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FC Grönlingen</v>
      </c>
      <c r="BS31" s="8">
        <f t="shared" ref="BS31:BU38" ca="1" si="37">SUMIFS($X$64:$X$135,$V$64:$V$135,$BR31,$W$64:$W$135,BS$29)+SUMIFS($Y$64:$Y$135,$W$64:$W$135,$BR31,$V$64:$V$135,BS$29)</f>
        <v>0</v>
      </c>
      <c r="BT31" s="6"/>
      <c r="BU31" s="7">
        <f t="shared" ca="1" si="35"/>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Real Madrid</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Real Madrid</v>
      </c>
      <c r="BS32" s="8">
        <f t="shared" ca="1" si="37"/>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ca="1">SUMIFS($X$64:$X$135,$V$64:$V$135,$BR33,$W$64:$W$135,BW$29)+SUMIFS($Y$64:$Y$135,$W$64:$W$135,$BR33,$V$64:$V$135,BW$29)</f>
        <v>0</v>
      </c>
      <c r="BX33" s="7">
        <f ca="1">SUMIFS($X$64:$X$135,$V$64:$V$135,$BR33,$W$64:$W$135,BX$29)+SUMIFS($Y$64:$Y$135,$W$64:$W$135,$BR33,$V$64:$V$135,BX$29)</f>
        <v>0</v>
      </c>
      <c r="BY33" s="7">
        <f ca="1">SUMIFS($X$64:$X$135,$V$64:$V$135,$BR33,$W$64:$W$135,BY$29)+SUMIFS($Y$64:$Y$135,$W$64:$W$135,$BR33,$V$64:$V$135,BY$29)</f>
        <v>0</v>
      </c>
      <c r="BZ33" s="7">
        <f ca="1">SUMIFS($X$64:$X$135,$V$64:$V$135,$BR33,$W$64:$W$135,BZ$29)+SUMIFS($Y$64:$Y$135,$W$64:$W$135,$BR33,$V$64:$V$135,BZ$29)</f>
        <v>0</v>
      </c>
      <c r="CA33" s="7">
        <f ca="1">SUMIFS($X$64:$X$135,$V$64:$V$135,$BR33,$W$64:$W$135,CA$29)+SUMIFS($Y$64:$Y$135,$W$64:$W$135,$BR33,$V$64:$V$135,CA$29)</f>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ca="1">SUMIFS($X$64:$X$135,$V$64:$V$135,$BR34,$W$64:$W$135,BV$29)+SUMIFS($Y$64:$Y$135,$W$64:$W$135,$BR34,$V$64:$V$135,BV$29)</f>
        <v>0</v>
      </c>
      <c r="BW34" s="6"/>
      <c r="BX34" s="7">
        <f ca="1">SUMIFS($X$64:$X$135,$V$64:$V$135,$BR34,$W$64:$W$135,BX$29)+SUMIFS($Y$64:$Y$135,$W$64:$W$135,$BR34,$V$64:$V$135,BX$29)</f>
        <v>0</v>
      </c>
      <c r="BY34" s="7">
        <f ca="1">SUMIFS($X$64:$X$135,$V$64:$V$135,$BR34,$W$64:$W$135,BY$29)+SUMIFS($Y$64:$Y$135,$W$64:$W$135,$BR34,$V$64:$V$135,BY$29)</f>
        <v>0</v>
      </c>
      <c r="BZ34" s="7">
        <f ca="1">SUMIFS($X$64:$X$135,$V$64:$V$135,$BR34,$W$64:$W$135,BZ$29)+SUMIFS($Y$64:$Y$135,$W$64:$W$135,$BR34,$V$64:$V$135,BZ$29)</f>
        <v>0</v>
      </c>
      <c r="CA34" s="7">
        <f ca="1">SUMIFS($X$64:$X$135,$V$64:$V$135,$BR34,$W$64:$W$135,CA$29)+SUMIFS($Y$64:$Y$135,$W$64:$W$135,$BR34,$V$64:$V$135,CA$29)</f>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ca="1">SUMIFS($X$64:$X$135,$V$64:$V$135,$BR35,$W$64:$W$135,BV$29)+SUMIFS($Y$64:$Y$135,$W$64:$W$135,$BR35,$V$64:$V$135,BV$29)</f>
        <v>0</v>
      </c>
      <c r="BW35" s="8">
        <f ca="1">SUMIFS($X$64:$X$135,$V$64:$V$135,$BR35,$W$64:$W$135,BW$29)+SUMIFS($Y$64:$Y$135,$W$64:$W$135,$BR35,$V$64:$V$135,BW$29)</f>
        <v>0</v>
      </c>
      <c r="BX35" s="6"/>
      <c r="BY35" s="7">
        <f ca="1">SUMIFS($X$64:$X$135,$V$64:$V$135,$BR35,$W$64:$W$135,BY$29)+SUMIFS($Y$64:$Y$135,$W$64:$W$135,$BR35,$V$64:$V$135,BY$29)</f>
        <v>0</v>
      </c>
      <c r="BZ35" s="7">
        <f ca="1">SUMIFS($X$64:$X$135,$V$64:$V$135,$BR35,$W$64:$W$135,BZ$29)+SUMIFS($Y$64:$Y$135,$W$64:$W$135,$BR35,$V$64:$V$135,BZ$29)</f>
        <v>0</v>
      </c>
      <c r="CA35" s="7">
        <f ca="1">SUMIFS($X$64:$X$135,$V$64:$V$135,$BR35,$W$64:$W$135,CA$29)+SUMIFS($Y$64:$Y$135,$W$64:$W$135,$BR35,$V$64:$V$135,CA$29)</f>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ca="1">SUMIFS($X$64:$X$135,$V$64:$V$135,$BR36,$W$64:$W$135,BV$29)+SUMIFS($Y$64:$Y$135,$W$64:$W$135,$BR36,$V$64:$V$135,BV$29)</f>
        <v>0</v>
      </c>
      <c r="BW36" s="8">
        <f ca="1">SUMIFS($X$64:$X$135,$V$64:$V$135,$BR36,$W$64:$W$135,BW$29)+SUMIFS($Y$64:$Y$135,$W$64:$W$135,$BR36,$V$64:$V$135,BW$29)</f>
        <v>0</v>
      </c>
      <c r="BX36" s="8">
        <f ca="1">SUMIFS($X$64:$X$135,$V$64:$V$135,$BR36,$W$64:$W$135,BX$29)+SUMIFS($Y$64:$Y$135,$W$64:$W$135,$BR36,$V$64:$V$135,BX$29)</f>
        <v>0</v>
      </c>
      <c r="BY36" s="6"/>
      <c r="BZ36" s="7">
        <f ca="1">SUMIFS($X$64:$X$135,$V$64:$V$135,$BR36,$W$64:$W$135,BZ$29)+SUMIFS($Y$64:$Y$135,$W$64:$W$135,$BR36,$V$64:$V$135,BZ$29)</f>
        <v>0</v>
      </c>
      <c r="CA36" s="7">
        <f ca="1">SUMIFS($X$64:$X$135,$V$64:$V$135,$BR36,$W$64:$W$135,CA$29)+SUMIFS($Y$64:$Y$135,$W$64:$W$135,$BR36,$V$64:$V$135,CA$29)</f>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ca="1">SUMIFS($X$64:$X$135,$V$64:$V$135,$BR37,$W$64:$W$135,BV$29)+SUMIFS($Y$64:$Y$135,$W$64:$W$135,$BR37,$V$64:$V$135,BV$29)</f>
        <v>0</v>
      </c>
      <c r="BW37" s="8">
        <f ca="1">SUMIFS($X$64:$X$135,$V$64:$V$135,$BR37,$W$64:$W$135,BW$29)+SUMIFS($Y$64:$Y$135,$W$64:$W$135,$BR37,$V$64:$V$135,BW$29)</f>
        <v>0</v>
      </c>
      <c r="BX37" s="8">
        <f ca="1">SUMIFS($X$64:$X$135,$V$64:$V$135,$BR37,$W$64:$W$135,BX$29)+SUMIFS($Y$64:$Y$135,$W$64:$W$135,$BR37,$V$64:$V$135,BX$29)</f>
        <v>0</v>
      </c>
      <c r="BY37" s="8">
        <f ca="1">SUMIFS($X$64:$X$135,$V$64:$V$135,$BR37,$W$64:$W$135,BY$29)+SUMIFS($Y$64:$Y$135,$W$64:$W$135,$BR37,$V$64:$V$135,BY$29)</f>
        <v>0</v>
      </c>
      <c r="BZ37" s="6"/>
      <c r="CA37" s="7">
        <f ca="1">SUMIFS($X$64:$X$135,$V$64:$V$135,$BR37,$W$64:$W$135,CA$29)+SUMIFS($Y$64:$Y$135,$W$64:$W$135,$BR37,$V$64:$V$135,CA$29)</f>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ca="1">SUMIFS($X$64:$X$135,$V$64:$V$135,$BR38,$W$64:$W$135,BV$29)+SUMIFS($Y$64:$Y$135,$W$64:$W$135,$BR38,$V$64:$V$135,BV$29)</f>
        <v>0</v>
      </c>
      <c r="BW38" s="8">
        <f ca="1">SUMIFS($X$64:$X$135,$V$64:$V$135,$BR38,$W$64:$W$135,BW$29)+SUMIFS($Y$64:$Y$135,$W$64:$W$135,$BR38,$V$64:$V$135,BW$29)</f>
        <v>0</v>
      </c>
      <c r="BX38" s="8">
        <f ca="1">SUMIFS($X$64:$X$135,$V$64:$V$135,$BR38,$W$64:$W$135,BX$29)+SUMIFS($Y$64:$Y$135,$W$64:$W$135,$BR38,$V$64:$V$135,BX$29)</f>
        <v>0</v>
      </c>
      <c r="BY38" s="8">
        <f ca="1">SUMIFS($X$64:$X$135,$V$64:$V$135,$BR38,$W$64:$W$135,BY$29)+SUMIFS($Y$64:$Y$135,$W$64:$W$135,$BR38,$V$64:$V$135,BY$29)</f>
        <v>0</v>
      </c>
      <c r="BZ38" s="8">
        <f ca="1">SUMIFS($X$64:$X$135,$V$64:$V$135,$BR38,$W$64:$W$135,BZ$29)+SUMIFS($Y$64:$Y$135,$W$64:$W$135,$BR38,$V$64:$V$135,BZ$29)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VFB Essenheim</v>
      </c>
      <c r="BT40" s="2" t="str">
        <f ca="1">$F$5</f>
        <v>FC Grönlingen</v>
      </c>
      <c r="BU40" s="2" t="str">
        <f ca="1">$F$6</f>
        <v>Real Madrid</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VFB Essenheim</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FC Grönlingen</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Real Madrid</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2: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2: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2: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VFB Essenheim</v>
      </c>
      <c r="BT51" s="2" t="str">
        <f ca="1">$F$5</f>
        <v>FC Grönlingen</v>
      </c>
      <c r="BU51" s="2" t="str">
        <f ca="1">$F$6</f>
        <v>Real Madrid</v>
      </c>
      <c r="BV51" s="2" t="str">
        <f>$F$7</f>
        <v/>
      </c>
      <c r="BW51" s="2" t="str">
        <f>$F$8</f>
        <v/>
      </c>
      <c r="BX51" s="2" t="str">
        <f>$F$9</f>
        <v/>
      </c>
      <c r="BY51" s="2" t="str">
        <f>$F$10</f>
        <v/>
      </c>
      <c r="BZ51" s="2" t="str">
        <f>$F$11</f>
        <v/>
      </c>
      <c r="CA51" s="2" t="str">
        <f>$F$12</f>
        <v/>
      </c>
      <c r="CB51" s="3"/>
    </row>
    <row r="52" spans="2:80" s="2" customFormat="1" x14ac:dyDescent="0.2">
      <c r="B52" s="2" t="s">
        <v>101</v>
      </c>
      <c r="E52" s="14">
        <f t="array" aca="1" ref="E52" ca="1">IF(O17=C17,SUM(IF(($BR$30:$BR$38=C17)*($BS$29:$CA$29=O18),$BS$30:$CA$38)),0)</f>
        <v>0</v>
      </c>
      <c r="F52" s="3">
        <f t="array" aca="1" ref="F52" ca="1">IF(O17=C17,SUM(IF(($BR$30:$BR$38=C17)*($BS$29:$CA$29=O19),$BS$30:$CA$38)),0)</f>
        <v>0</v>
      </c>
      <c r="G52" s="3">
        <f t="array" aca="1" ref="G52" ca="1">IF(O17=C17,SUM(IF(($BR$30:$BR$38=C17)*($BS$29:$CA$29=O20),$BS$30:$CA$38)),0)</f>
        <v>0</v>
      </c>
      <c r="H52" s="3">
        <f t="array" aca="1" ref="H52" ca="1">IF(O17=C17,SUM(IF(($BR$30:$BR$38=C17)*($BS$29:$CA$29=O21),$BS$30:$CA$38)),0)</f>
        <v>0</v>
      </c>
      <c r="I52" s="3">
        <f t="array" aca="1" ref="I52" ca="1">IF(O17=C17,SUM(IF(($BR$30:$BR$38=C17)*($BS$29:$CA$29=O22),$BS$30:$CA$38)),0)</f>
        <v>0</v>
      </c>
      <c r="J52" s="3">
        <f t="array" aca="1" ref="J52" ca="1">IF(O17=C17,SUM(IF(($BR$30:$BR$38=C17)*($BS$29:$CA$29=O23),$BS$30:$CA$38)),0)</f>
        <v>0</v>
      </c>
      <c r="K52" s="3">
        <f t="array" aca="1" ref="K52" ca="1">IF(O17=C17,SUM(IF(($BR$30:$BR$38=C17)*($BS$29:$CA$29=O$24),$BS$30:$CA$38)),0)</f>
        <v>0</v>
      </c>
      <c r="L52" s="3">
        <f t="array" aca="1" ref="L52" ca="1">IF(O17=C17,SUM(IF(($BR$30:$BR$38=C17)*($BS$29:$CA$29=O$25),$BS$30:$CA$38)),0)</f>
        <v>0</v>
      </c>
      <c r="M52" s="5">
        <f t="array" aca="1" ref="M52" ca="1">IF(P17=C17,SUM(IF(($BR$30:$BR$38=C17)*($BS$29:$CA$29=P18),$BS$30:$CA$38)),0)</f>
        <v>0</v>
      </c>
      <c r="N52" s="3">
        <f t="array" aca="1" ref="N52" ca="1">IF(P17=C17,SUM(IF(($BR$30:$BR$38=C17)*($BS$29:$CA$29=P19),$BS$30:$CA$38)),0)</f>
        <v>0</v>
      </c>
      <c r="O52" s="3">
        <f t="array" aca="1" ref="O52" ca="1">IF(P17=C17,SUM(IF(($BR$30:$BR$38=C17)*($BS$29:$CA$29=P20),$BS$30:$CA$38)),0)</f>
        <v>0</v>
      </c>
      <c r="P52" s="3">
        <f t="array" aca="1" ref="P52" ca="1">IF(P17=C17,SUM(IF(($BR$30:$BR$38=C17)*($BS$29:$CA$29=P21),$BS$30:$CA$38)),0)</f>
        <v>0</v>
      </c>
      <c r="Q52" s="3">
        <f t="array" aca="1" ref="Q52" ca="1">IF(P17=C17,SUM(IF(($BR$30:$BR$38=C17)*($BS$29:$CA$29=P22),$BS$30:$CA$38)),0)</f>
        <v>0</v>
      </c>
      <c r="R52" s="3">
        <f t="array" aca="1" ref="R52" ca="1">IF(P17=C17,SUM(IF(($BR$30:$BR$38=C17)*($BS$29:$CA$29=P23),$BS$30:$CA$38)),0)</f>
        <v>0</v>
      </c>
      <c r="S52" s="3">
        <f t="array" aca="1" ref="S52" ca="1">IF(P17=C17,SUM(IF(($BR$30:$BR$38=C17)*($BS$29:$CA$29=P$24),$BS$30:$CA$38)),0)</f>
        <v>0</v>
      </c>
      <c r="T52" s="3">
        <f t="array" aca="1" ref="T52" ca="1">IF(P17=C17,SUM(IF(($BR$30:$BR$38=C17)*($BS$29:$CA$29=P$25),$BS$30:$CA$38)),0)</f>
        <v>0</v>
      </c>
      <c r="U52" s="5">
        <f t="array" aca="1" ref="U52" ca="1">IF(Q17=C17,SUM(IF(($BR$30:$BR$38=C17)*($BS$29:$CA$29=Q18),$BS$30:$CA$38)),0)</f>
        <v>0</v>
      </c>
      <c r="V52" s="3">
        <f t="array" aca="1" ref="V52" ca="1">IF(Q17=C17,SUM(IF(($BR$30:$BR$38=C17)*($BS$29:$CA$29=Q19),$BS$30:$CA$38)),0)</f>
        <v>0</v>
      </c>
      <c r="W52" s="3">
        <f t="array" aca="1" ref="W52" ca="1">IF(Q17=C17,SUM(IF(($BR$30:$BR$38=C17)*($BS$29:$CA$29=Q20),$BS$30:$CA$38)),0)</f>
        <v>0</v>
      </c>
      <c r="X52" s="3">
        <f t="array" aca="1" ref="X52" ca="1">IF(Q17=C17,SUM(IF(($BR$30:$BR$38=C17)*($BS$29:$CA$29=Q21),$BS$30:$CA$38)),0)</f>
        <v>0</v>
      </c>
      <c r="Y52" s="3">
        <f t="array" aca="1" ref="Y52" ca="1">IF(Q17=C17,SUM(IF(($BR$30:$BR$38=C17)*($BS$29:$CA$29=Q22),$BS$30:$CA$38)),0)</f>
        <v>0</v>
      </c>
      <c r="Z52" s="3">
        <f t="array" aca="1" ref="Z52" ca="1">IF(Q17=C17,SUM(IF(($BR$30:$BR$38=C17)*($BS$29:$CA$29=Q23),$BS$30:$CA$38)),0)</f>
        <v>0</v>
      </c>
      <c r="AA52" s="3">
        <f t="array" aca="1" ref="AA52" ca="1">IF(Q17=C17,SUM(IF(($BR$30:$BR$38=C17)*($BS$29:$CA$29=Q$24),$BS$30:$CA$38)),0)</f>
        <v>0</v>
      </c>
      <c r="AB52" s="3">
        <f t="array" aca="1" ref="AB52" ca="1">IF(Q17=C17,SUM(IF(($BR$30:$BR$38=C17)*($BS$29:$CA$29=Q$25),$BS$30:$CA$38)),0)</f>
        <v>0</v>
      </c>
      <c r="AC52" s="5">
        <f t="array" aca="1" ref="AC52" ca="1">IF(R17=C17,SUM(IF(($BR$30:$BR$38=C17)*($BS$29:$CA$29=R18),$BS$30:$CA$38)),0)</f>
        <v>0</v>
      </c>
      <c r="AD52" s="3">
        <f t="array" aca="1" ref="AD52" ca="1">IF(R17=C17,SUM(IF(($BR$30:$BR$38=C17)*($BS$29:$CA$29=R19),$BS$30:$CA$38)),0)</f>
        <v>0</v>
      </c>
      <c r="AE52" s="3">
        <f t="array" aca="1" ref="AE52" ca="1">IF(R17=C17,SUM(IF(($BR$30:$BR$38=C17)*($BS$29:$CA$29=R20),$BS$30:$CA$38)),0)</f>
        <v>0</v>
      </c>
      <c r="AF52" s="3">
        <f t="array" aca="1" ref="AF52" ca="1">IF(R17=C17,SUM(IF(($BR$30:$BR$38=C17)*($BS$29:$CA$29=R21),$BS$30:$CA$38)),0)</f>
        <v>0</v>
      </c>
      <c r="AG52" s="3">
        <f t="array" aca="1" ref="AG52" ca="1">IF(R17=C17,SUM(IF(($BR$30:$BR$38=C17)*($BS$29:$CA$29=R22),$BS$30:$CA$38)),0)</f>
        <v>0</v>
      </c>
      <c r="AH52" s="3">
        <f t="array" aca="1" ref="AH52" ca="1">IF(R17=C17,SUM(IF(($BR$30:$BR$38=C17)*($BS$29:$CA$29=R23),$BS$30:$CA$38)),0)</f>
        <v>0</v>
      </c>
      <c r="AI52" s="3">
        <f t="array" aca="1" ref="AI52" ca="1">IF(R17=C17,SUM(IF(($BR$30:$BR$38=C17)*($BS$29:$CA$29=R$24),$BS$30:$CA$38)),0)</f>
        <v>0</v>
      </c>
      <c r="AJ52" s="3">
        <f t="array" aca="1" ref="AJ52" ca="1">IF(R17=C17,SUM(IF(($BR$30:$BR$38=C17)*($BS$29:$CA$29=R$25),$BS$30:$CA$38)),0)</f>
        <v>0</v>
      </c>
      <c r="AK52" s="5">
        <f t="array" aca="1" ref="AK52" ca="1">IF(S17=C17,SUM(IF(($BR$30:$BR$38=C17)*($BS$29:$CA$29=S18),$BS$30:$CA$38)),0)</f>
        <v>0</v>
      </c>
      <c r="AL52" s="3">
        <f t="array" aca="1" ref="AL52" ca="1">IF(S17=C17,SUM(IF(($BR$30:$BR$38=C17)*($BS$29:$CA$29=S19),$BS$30:$CA$38)),0)</f>
        <v>0</v>
      </c>
      <c r="AM52" s="3">
        <f t="array" aca="1" ref="AM52" ca="1">IF(S17=C17,SUM(IF(($BR$30:$BR$38=C17)*($BS$29:$CA$29=S20),$BS$30:$CA$38)),0)</f>
        <v>0</v>
      </c>
      <c r="AN52" s="3">
        <f t="array" aca="1" ref="AN52" ca="1">IF(S17=C17,SUM(IF(($BR$30:$BR$38=C17)*($BS$29:$CA$29=S21),$BS$30:$CA$38)),0)</f>
        <v>0</v>
      </c>
      <c r="AO52" s="3">
        <f t="array" aca="1" ref="AO52" ca="1">IF(S17=C17,SUM(IF(($BR$30:$BR$38=C17)*($BS$29:$CA$29=S22),$BS$30:$CA$38)),0)</f>
        <v>0</v>
      </c>
      <c r="AP52" s="3">
        <f t="array" aca="1" ref="AP52" ca="1">IF(S17=C17,SUM(IF(($BR$30:$BR$38=C17)*($BS$29:$CA$29=S23),$BS$30:$CA$38)),0)</f>
        <v>0</v>
      </c>
      <c r="AQ52" s="3">
        <f t="array" aca="1" ref="AQ52" ca="1">IF(S17=C17,SUM(IF(($BR$30:$BR$38=C17)*($BS$29:$CA$29=S$24),$BS$30:$CA$38)),0)</f>
        <v>0</v>
      </c>
      <c r="AR52" s="3">
        <f t="array" aca="1" ref="AR52" ca="1">IF(S17=C17,SUM(IF(($BR$30:$BR$38=C17)*($BS$29:$CA$29=S$25),$BS$30:$CA$38)),0)</f>
        <v>0</v>
      </c>
      <c r="AS52" s="5">
        <f t="array" aca="1" ref="AS52" ca="1">IF(T17=C17,SUM(IF(($BR$30:$BR$38=C17)*($BS$29:$CA$29=T18),$BS$30:$CA$38)),0)</f>
        <v>0</v>
      </c>
      <c r="AT52" s="3">
        <f t="array" aca="1" ref="AT52" ca="1">IF(T17=C17,SUM(IF(($BR$30:$BR$38=C17)*($BS$29:$CA$29=T19),$BS$30:$CA$38)),0)</f>
        <v>0</v>
      </c>
      <c r="AU52" s="3">
        <f t="array" aca="1" ref="AU52" ca="1">IF(T17=C17,SUM(IF(($BR$30:$BR$38=C17)*($BS$29:$CA$29=T20),$BS$30:$CA$38)),0)</f>
        <v>0</v>
      </c>
      <c r="AV52" s="3">
        <f t="array" aca="1" ref="AV52" ca="1">IF(T17=C17,SUM(IF(($BR$30:$BR$38=C17)*($BS$29:$CA$29=T21),$BS$30:$CA$38)),0)</f>
        <v>0</v>
      </c>
      <c r="AW52" s="3">
        <f t="array" aca="1" ref="AW52" ca="1">IF(T17=C17,SUM(IF(($BR$30:$BR$38=C17)*($BS$29:$CA$29=T22),$BS$30:$CA$38)),0)</f>
        <v>0</v>
      </c>
      <c r="AX52" s="3">
        <f t="array" aca="1" ref="AX52" ca="1">IF(T17=C17,SUM(IF(($BR$30:$BR$38=C17)*($BS$29:$CA$29=T23),$BS$30:$CA$38)),0)</f>
        <v>0</v>
      </c>
      <c r="AY52" s="3">
        <f t="array" aca="1" ref="AY52" ca="1">IF(T17=C17,SUM(IF(($BR$30:$BR$38=C17)*($BS$29:$CA$29=T$24),$BS$30:$CA$38)),0)</f>
        <v>0</v>
      </c>
      <c r="AZ52" s="3">
        <f t="array" aca="1" ref="AZ52" ca="1">IF(T17=C17,SUM(IF(($BR$30:$BR$38=C17)*($BS$29:$CA$29=T$25),$BS$30:$CA$38)),0)</f>
        <v>0</v>
      </c>
      <c r="BA52" s="5">
        <f t="array" aca="1" ref="BA52" ca="1">IF(U17=C17,SUM(IF(($BR$30:$BR$38=C17)*($BS$29:$CA$29=U$18),$BS$30:$CA$38)),0)</f>
        <v>0</v>
      </c>
      <c r="BB52" s="3">
        <f t="array" aca="1" ref="BB52" ca="1">IF(U17=C17,SUM(IF(($BR$30:$BR$38=C17)*($BS$29:$CA$29=U$19),$BS$30:$CA$38)),0)</f>
        <v>0</v>
      </c>
      <c r="BC52" s="3">
        <f t="array" aca="1" ref="BC52" ca="1">IF(U17=C17,SUM(IF(($BR$30:$BR$38=C17)*($BS$29:$CA$29=U$20),$BS$30:$CA$38)),0)</f>
        <v>0</v>
      </c>
      <c r="BD52" s="3">
        <f t="array" aca="1" ref="BD52" ca="1">IF(U17=C17,SUM(IF(($BR$30:$BR$38=C17)*($BS$29:$CA$29=U$21),$BS$30:$CA$38)),0)</f>
        <v>0</v>
      </c>
      <c r="BE52" s="3">
        <f t="array" aca="1" ref="BE52" ca="1">IF(U17=C17,SUM(IF(($BR$30:$BR$38=C17)*($BS$29:$CA$29=U$22),$BS$30:$CA$38)),0)</f>
        <v>0</v>
      </c>
      <c r="BF52" s="3">
        <f t="array" aca="1" ref="BF52" ca="1">IF(U17=C17,SUM(IF(($BR$30:$BR$38=C17)*($BS$29:$CA$29=U$23),$BS$30:$CA$38)),0)</f>
        <v>0</v>
      </c>
      <c r="BG52" s="3">
        <f t="array" aca="1" ref="BG52" ca="1">IF(U17=C17,SUM(IF(($BR$30:$BR$38=C17)*($BS$29:$CA$29=U$24),$BS$30:$CA$38)),0)</f>
        <v>0</v>
      </c>
      <c r="BH52" s="3">
        <f t="array" aca="1" ref="BH52" ca="1">IF(U17=C17,SUM(IF(($BR$30:$BR$38=C17)*($BS$29:$CA$29=U$25),$BS$30:$CA$38)),0)</f>
        <v>0</v>
      </c>
      <c r="BI52" s="5">
        <f t="array" aca="1" ref="BI52" ca="1">IF(V17=C17,SUM(IF(($BR$30:$BR$38=C17)*($BS$29:$CA$29=V$18),$BS$30:$CA$38)),0)</f>
        <v>0</v>
      </c>
      <c r="BJ52" s="3">
        <f t="array" aca="1" ref="BJ52" ca="1">IF(V17=C17,SUM(IF(($BR$30:$BR$38=C17)*($BS$29:$CA$29=V$19),$BS$30:$CA$38)),0)</f>
        <v>0</v>
      </c>
      <c r="BK52" s="3">
        <f t="array" aca="1" ref="BK52" ca="1">IF(V17=C17,SUM(IF(($BR$30:$BR$38=C17)*($BS$29:$CA$29=V$20),$BS$30:$CA$38)),0)</f>
        <v>0</v>
      </c>
      <c r="BL52" s="3">
        <f t="array" aca="1" ref="BL52" ca="1">IF(V17=C17,SUM(IF(($BR$30:$BR$38=C17)*($BS$29:$CA$29=V$21),$BS$30:$CA$38)),0)</f>
        <v>0</v>
      </c>
      <c r="BM52" s="3">
        <f t="array" aca="1" ref="BM52" ca="1">IF(V17=C17,SUM(IF(($BR$30:$BR$38=C17)*($BS$29:$CA$29=V$22),$BS$30:$CA$38)),0)</f>
        <v>0</v>
      </c>
      <c r="BN52" s="3">
        <f t="array" aca="1" ref="BN52" ca="1">IF(V17=C17,SUM(IF(($BR$30:$BR$38=C17)*($BS$29:$CA$29=V$23),$BS$30:$CA$38)),0)</f>
        <v>0</v>
      </c>
      <c r="BO52" s="3">
        <f t="array" aca="1" ref="BO52" ca="1">IF(V17=C17,SUM(IF(($BR$30:$BR$38=C17)*($BS$29:$CA$29=V$24),$BS$30:$CA$38)),0)</f>
        <v>0</v>
      </c>
      <c r="BP52" s="15">
        <f t="array" aca="1" ref="BP52" ca="1">IF(V17=C17,SUM(IF(($BR$30:$BR$38=C17)*($BS$29:$CA$29=V$25),$BS$30:$CA$38)),0)</f>
        <v>0</v>
      </c>
      <c r="BQ52" s="3"/>
      <c r="BR52" s="2" t="str">
        <f t="shared" ref="BR52:BR60" ca="1" si="40">F4</f>
        <v>VFB Essenheim</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2:80" s="2" customFormat="1" x14ac:dyDescent="0.2">
      <c r="E53" s="14">
        <f t="array" aca="1" ref="E53" ca="1">IF(O18=C18,SUM(IF(($BR$30:$BR$38=C18)*($BS$29:$CA$29=O17),$BS$30:$CA$38)),0)</f>
        <v>0</v>
      </c>
      <c r="F53" s="3">
        <f t="array" aca="1" ref="F53" ca="1">IF(O18=C18,SUM(IF(($BR$30:$BR$38=C18)*($BS$29:$CA$29=O19),$BS$30:$CA$38)),0)</f>
        <v>0</v>
      </c>
      <c r="G53" s="3">
        <f t="array" aca="1" ref="G53" ca="1">IF(O18=C18,SUM(IF(($BR$30:$BR$38=C18)*($BS$29:$CA$29=O20),$BS$30:$CA$38)),0)</f>
        <v>0</v>
      </c>
      <c r="H53" s="3">
        <f t="array" aca="1" ref="H53" ca="1">IF(O18=C18,SUM(IF(($BR$30:$BR$38=C18)*($BS$29:$CA$29=O21),$BS$30:$CA$38)),0)</f>
        <v>0</v>
      </c>
      <c r="I53" s="3">
        <f t="array" aca="1" ref="I53" ca="1">IF(O18=C18,SUM(IF(($BR$30:$BR$38=C18)*($BS$29:$CA$29=O22),$BS$30:$CA$38)),0)</f>
        <v>0</v>
      </c>
      <c r="J53" s="3">
        <f t="array" aca="1" ref="J53" ca="1">IF(O18=C18,SUM(IF(($BR$30:$BR$38=C18)*($BS$29:$CA$29=O23),$BS$30:$CA$38)),0)</f>
        <v>0</v>
      </c>
      <c r="K53" s="3">
        <f t="array" aca="1" ref="K53" ca="1">IF(O18=C18,SUM(IF(($BR$30:$BR$38=C18)*($BS$29:$CA$29=O$24),$BS$30:$CA$38)),0)</f>
        <v>0</v>
      </c>
      <c r="L53" s="3">
        <f t="array" aca="1" ref="L53" ca="1">IF(O18=C18,SUM(IF(($BR$30:$BR$38=C18)*($BS$29:$CA$29=O$25),$BS$30:$CA$38)),0)</f>
        <v>0</v>
      </c>
      <c r="M53" s="5">
        <f t="array" aca="1" ref="M53" ca="1">IF(P18=C18,SUM(IF(($BR$30:$BR$38=C18)*($BS$29:$CA$29=P17),$BS$30:$CA$38)),0)</f>
        <v>0</v>
      </c>
      <c r="N53" s="3">
        <f t="array" aca="1" ref="N53" ca="1">IF(P18=C18,SUM(IF(($BR$30:$BR$38=C18)*($BS$29:$CA$29=P19),$BS$30:$CA$38)),0)</f>
        <v>0</v>
      </c>
      <c r="O53" s="3">
        <f t="array" aca="1" ref="O53" ca="1">IF(P18=C18,SUM(IF(($BR$30:$BR$38=C18)*($BS$29:$CA$29=P20),$BS$30:$CA$38)),0)</f>
        <v>0</v>
      </c>
      <c r="P53" s="3">
        <f t="array" aca="1" ref="P53" ca="1">IF(P18=C18,SUM(IF(($BR$30:$BR$38=C18)*($BS$29:$CA$29=P21),$BS$30:$CA$38)),0)</f>
        <v>0</v>
      </c>
      <c r="Q53" s="3">
        <f t="array" aca="1" ref="Q53" ca="1">IF(P18=C18,SUM(IF(($BR$30:$BR$38=C18)*($BS$29:$CA$29=P22),$BS$30:$CA$38)),0)</f>
        <v>0</v>
      </c>
      <c r="R53" s="3">
        <f t="array" aca="1" ref="R53" ca="1">IF(P18=C18,SUM(IF(($BR$30:$BR$38=C18)*($BS$29:$CA$29=P23),$BS$30:$CA$38)),0)</f>
        <v>0</v>
      </c>
      <c r="S53" s="3">
        <f t="array" aca="1" ref="S53" ca="1">IF(P18=C18,SUM(IF(($BR$30:$BR$38=C18)*($BS$29:$CA$29=P$24),$BS$30:$CA$38)),0)</f>
        <v>0</v>
      </c>
      <c r="T53" s="3">
        <f t="array" aca="1" ref="T53" ca="1">IF(P18=C18,SUM(IF(($BR$30:$BR$38=C18)*($BS$29:$CA$29=P$25),$BS$30:$CA$38)),0)</f>
        <v>0</v>
      </c>
      <c r="U53" s="5">
        <f t="array" aca="1" ref="U53" ca="1">IF(Q18=C18,SUM(IF(($BR$30:$BR$38=C18)*($BS$29:$CA$29=Q17),$BS$30:$CA$38)),0)</f>
        <v>0</v>
      </c>
      <c r="V53" s="3">
        <f t="array" aca="1" ref="V53" ca="1">IF(Q18=C18,SUM(IF(($BR$30:$BR$38=C18)*($BS$29:$CA$29=Q19),$BS$30:$CA$38)),0)</f>
        <v>0</v>
      </c>
      <c r="W53" s="3">
        <f t="array" aca="1" ref="W53" ca="1">IF(Q18=C18,SUM(IF(($BR$30:$BR$38=C18)*($BS$29:$CA$29=Q20),$BS$30:$CA$38)),0)</f>
        <v>0</v>
      </c>
      <c r="X53" s="3">
        <f t="array" aca="1" ref="X53" ca="1">IF(Q18=C18,SUM(IF(($BR$30:$BR$38=C18)*($BS$29:$CA$29=Q21),$BS$30:$CA$38)),0)</f>
        <v>0</v>
      </c>
      <c r="Y53" s="3">
        <f t="array" aca="1" ref="Y53" ca="1">IF(Q18=C18,SUM(IF(($BR$30:$BR$38=C18)*($BS$29:$CA$29=Q22),$BS$30:$CA$38)),0)</f>
        <v>0</v>
      </c>
      <c r="Z53" s="3">
        <f t="array" aca="1" ref="Z53" ca="1">IF(Q18=C18,SUM(IF(($BR$30:$BR$38=C18)*($BS$29:$CA$29=Q23),$BS$30:$CA$38)),0)</f>
        <v>0</v>
      </c>
      <c r="AA53" s="3">
        <f t="array" aca="1" ref="AA53" ca="1">IF(Q18=C18,SUM(IF(($BR$30:$BR$38=C18)*($BS$29:$CA$29=Q$24),$BS$30:$CA$38)),0)</f>
        <v>0</v>
      </c>
      <c r="AB53" s="3">
        <f t="array" aca="1" ref="AB53" ca="1">IF(Q18=C18,SUM(IF(($BR$30:$BR$38=C18)*($BS$29:$CA$29=Q$25),$BS$30:$CA$38)),0)</f>
        <v>0</v>
      </c>
      <c r="AC53" s="5">
        <f t="array" aca="1" ref="AC53" ca="1">IF(R18=C18,SUM(IF(($BR$30:$BR$38=C18)*($BS$29:$CA$29=R17),$BS$30:$CA$38)),0)</f>
        <v>0</v>
      </c>
      <c r="AD53" s="3">
        <f t="array" aca="1" ref="AD53" ca="1">IF(R18=C18,SUM(IF(($BR$30:$BR$38=C18)*($BS$29:$CA$29=R19),$BS$30:$CA$38)),0)</f>
        <v>0</v>
      </c>
      <c r="AE53" s="3">
        <f t="array" aca="1" ref="AE53" ca="1">IF(R18=C18,SUM(IF(($BR$30:$BR$38=C18)*($BS$29:$CA$29=R20),$BS$30:$CA$38)),0)</f>
        <v>0</v>
      </c>
      <c r="AF53" s="3">
        <f t="array" aca="1" ref="AF53" ca="1">IF(R18=C18,SUM(IF(($BR$30:$BR$38=C18)*($BS$29:$CA$29=R21),$BS$30:$CA$38)),0)</f>
        <v>0</v>
      </c>
      <c r="AG53" s="3">
        <f t="array" aca="1" ref="AG53" ca="1">IF(R18=C18,SUM(IF(($BR$30:$BR$38=C18)*($BS$29:$CA$29=R22),$BS$30:$CA$38)),0)</f>
        <v>0</v>
      </c>
      <c r="AH53" s="3">
        <f t="array" aca="1" ref="AH53" ca="1">IF(R18=C18,SUM(IF(($BR$30:$BR$38=C18)*($BS$29:$CA$29=R23),$BS$30:$CA$38)),0)</f>
        <v>0</v>
      </c>
      <c r="AI53" s="3">
        <f t="array" aca="1" ref="AI53" ca="1">IF(R18=C18,SUM(IF(($BR$30:$BR$38=C18)*($BS$29:$CA$29=R$24),$BS$30:$CA$38)),0)</f>
        <v>0</v>
      </c>
      <c r="AJ53" s="3">
        <f t="array" aca="1" ref="AJ53" ca="1">IF(R18=C18,SUM(IF(($BR$30:$BR$38=C18)*($BS$29:$CA$29=R$25),$BS$30:$CA$38)),0)</f>
        <v>0</v>
      </c>
      <c r="AK53" s="5">
        <f t="array" aca="1" ref="AK53" ca="1">IF(S18=C18,SUM(IF(($BR$30:$BR$38=C18)*($BS$29:$CA$29=S17),$BS$30:$CA$38)),0)</f>
        <v>0</v>
      </c>
      <c r="AL53" s="3">
        <f t="array" aca="1" ref="AL53" ca="1">IF(S18=C18,SUM(IF(($BR$30:$BR$38=C18)*($BS$29:$CA$29=S19),$BS$30:$CA$38)),0)</f>
        <v>0</v>
      </c>
      <c r="AM53" s="3">
        <f t="array" aca="1" ref="AM53" ca="1">IF(S18=C18,SUM(IF(($BR$30:$BR$38=C18)*($BS$29:$CA$29=S20),$BS$30:$CA$38)),0)</f>
        <v>0</v>
      </c>
      <c r="AN53" s="3">
        <f t="array" aca="1" ref="AN53" ca="1">IF(S18=C18,SUM(IF(($BR$30:$BR$38=C18)*($BS$29:$CA$29=S21),$BS$30:$CA$38)),0)</f>
        <v>0</v>
      </c>
      <c r="AO53" s="3">
        <f t="array" aca="1" ref="AO53" ca="1">IF(S18=C18,SUM(IF(($BR$30:$BR$38=C18)*($BS$29:$CA$29=S22),$BS$30:$CA$38)),0)</f>
        <v>0</v>
      </c>
      <c r="AP53" s="3">
        <f t="array" aca="1" ref="AP53" ca="1">IF(S18=C18,SUM(IF(($BR$30:$BR$38=C18)*($BS$29:$CA$29=S23),$BS$30:$CA$38)),0)</f>
        <v>0</v>
      </c>
      <c r="AQ53" s="3">
        <f t="array" aca="1" ref="AQ53" ca="1">IF(S18=C18,SUM(IF(($BR$30:$BR$38=C18)*($BS$29:$CA$29=S$24),$BS$30:$CA$38)),0)</f>
        <v>0</v>
      </c>
      <c r="AR53" s="3">
        <f t="array" aca="1" ref="AR53" ca="1">IF(S18=C18,SUM(IF(($BR$30:$BR$38=C18)*($BS$29:$CA$29=S$25),$BS$30:$CA$38)),0)</f>
        <v>0</v>
      </c>
      <c r="AS53" s="5">
        <f t="array" aca="1" ref="AS53" ca="1">IF(T18=C18,SUM(IF(($BR$30:$BR$38=C18)*($BS$29:$CA$29=T17),$BS$30:$CA$38)),0)</f>
        <v>0</v>
      </c>
      <c r="AT53" s="3">
        <f t="array" aca="1" ref="AT53" ca="1">IF(T18=C18,SUM(IF(($BR$30:$BR$38=C18)*($BS$29:$CA$29=T19),$BS$30:$CA$38)),0)</f>
        <v>0</v>
      </c>
      <c r="AU53" s="3">
        <f t="array" aca="1" ref="AU53" ca="1">IF(T18=C18,SUM(IF(($BR$30:$BR$38=C18)*($BS$29:$CA$29=T20),$BS$30:$CA$38)),0)</f>
        <v>0</v>
      </c>
      <c r="AV53" s="3">
        <f t="array" aca="1" ref="AV53" ca="1">IF(T18=C18,SUM(IF(($BR$30:$BR$38=C18)*($BS$29:$CA$29=T21),$BS$30:$CA$38)),0)</f>
        <v>0</v>
      </c>
      <c r="AW53" s="3">
        <f t="array" aca="1" ref="AW53" ca="1">IF(T18=C18,SUM(IF(($BR$30:$BR$38=C18)*($BS$29:$CA$29=T22),$BS$30:$CA$38)),0)</f>
        <v>0</v>
      </c>
      <c r="AX53" s="3">
        <f t="array" aca="1" ref="AX53" ca="1">IF(T18=C18,SUM(IF(($BR$30:$BR$38=C18)*($BS$29:$CA$29=T23),$BS$30:$CA$38)),0)</f>
        <v>0</v>
      </c>
      <c r="AY53" s="3">
        <f t="array" aca="1" ref="AY53" ca="1">IF(T18=C18,SUM(IF(($BR$30:$BR$38=C18)*($BS$29:$CA$29=T$24),$BS$30:$CA$38)),0)</f>
        <v>0</v>
      </c>
      <c r="AZ53" s="3">
        <f t="array" aca="1" ref="AZ53" ca="1">IF(T18=C18,SUM(IF(($BR$30:$BR$38=C18)*($BS$29:$CA$29=T$25),$BS$30:$CA$38)),0)</f>
        <v>0</v>
      </c>
      <c r="BA53" s="5">
        <f t="array" aca="1" ref="BA53" ca="1">IF(U18=C18,SUM(IF(($BR$30:$BR$38=C18)*($BS$29:$CA$29=U$17),$BS$30:$CA$38)),0)</f>
        <v>0</v>
      </c>
      <c r="BB53" s="3">
        <f t="array" aca="1" ref="BB53" ca="1">IF(U18=C18,SUM(IF(($BR$30:$BR$38=C18)*($BS$29:$CA$29=U$19),$BS$30:$CA$38)),0)</f>
        <v>0</v>
      </c>
      <c r="BC53" s="3">
        <f t="array" aca="1" ref="BC53" ca="1">IF(U18=C18,SUM(IF(($BR$30:$BR$38=C18)*($BS$29:$CA$29=U$20),$BS$30:$CA$38)),0)</f>
        <v>0</v>
      </c>
      <c r="BD53" s="3">
        <f t="array" aca="1" ref="BD53" ca="1">IF(U18=C18,SUM(IF(($BR$30:$BR$38=C18)*($BS$29:$CA$29=U$21),$BS$30:$CA$38)),0)</f>
        <v>0</v>
      </c>
      <c r="BE53" s="3">
        <f t="array" aca="1" ref="BE53" ca="1">IF(U18=C18,SUM(IF(($BR$30:$BR$38=C18)*($BS$29:$CA$29=U$22),$BS$30:$CA$38)),0)</f>
        <v>0</v>
      </c>
      <c r="BF53" s="3">
        <f t="array" aca="1" ref="BF53" ca="1">IF(U18=C18,SUM(IF(($BR$30:$BR$38=C18)*($BS$29:$CA$29=U$23),$BS$30:$CA$38)),0)</f>
        <v>0</v>
      </c>
      <c r="BG53" s="3">
        <f t="array" aca="1" ref="BG53" ca="1">IF(U18=C18,SUM(IF(($BR$30:$BR$38=C18)*($BS$29:$CA$29=U$24),$BS$30:$CA$38)),0)</f>
        <v>0</v>
      </c>
      <c r="BH53" s="3">
        <f t="array" aca="1" ref="BH53" ca="1">IF(U18=C18,SUM(IF(($BR$30:$BR$38=C18)*($BS$29:$CA$29=U$25),$BS$30:$CA$38)),0)</f>
        <v>0</v>
      </c>
      <c r="BI53" s="5">
        <f t="array" aca="1" ref="BI53" ca="1">IF(V18=C18,SUM(IF(($BR$30:$BR$38=C18)*($BS$29:$CA$29=V$17),$BS$30:$CA$38)),0)</f>
        <v>0</v>
      </c>
      <c r="BJ53" s="3">
        <f t="array" aca="1" ref="BJ53" ca="1">IF(V18=C18,SUM(IF(($BR$30:$BR$38=C18)*($BS$29:$CA$29=V$19),$BS$30:$CA$38)),0)</f>
        <v>0</v>
      </c>
      <c r="BK53" s="3">
        <f t="array" aca="1" ref="BK53" ca="1">IF(V18=C18,SUM(IF(($BR$30:$BR$38=C18)*($BS$29:$CA$29=V$20),$BS$30:$CA$38)),0)</f>
        <v>0</v>
      </c>
      <c r="BL53" s="3">
        <f t="array" aca="1" ref="BL53" ca="1">IF(V18=C18,SUM(IF(($BR$30:$BR$38=C18)*($BS$29:$CA$29=V$21),$BS$30:$CA$38)),0)</f>
        <v>0</v>
      </c>
      <c r="BM53" s="3">
        <f t="array" aca="1" ref="BM53" ca="1">IF(V18=C18,SUM(IF(($BR$30:$BR$38=C18)*($BS$29:$CA$29=V$22),$BS$30:$CA$38)),0)</f>
        <v>0</v>
      </c>
      <c r="BN53" s="3">
        <f t="array" aca="1" ref="BN53" ca="1">IF(V18=C18,SUM(IF(($BR$30:$BR$38=C18)*($BS$29:$CA$29=V$23),$BS$30:$CA$38)),0)</f>
        <v>0</v>
      </c>
      <c r="BO53" s="3">
        <f t="array" aca="1" ref="BO53" ca="1">IF(V18=C18,SUM(IF(($BR$30:$BR$38=C18)*($BS$29:$CA$29=V$24),$BS$30:$CA$38)),0)</f>
        <v>0</v>
      </c>
      <c r="BP53" s="15">
        <f t="array" aca="1" ref="BP53" ca="1">IF(V18=C18,SUM(IF(($BR$30:$BR$38=C18)*($BS$29:$CA$29=V$25),$BS$30:$CA$38)),0)</f>
        <v>0</v>
      </c>
      <c r="BQ53" s="3"/>
      <c r="BR53" s="2" t="str">
        <f t="shared" ca="1" si="40"/>
        <v>FC Grönlingen</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2:80" s="2" customFormat="1" x14ac:dyDescent="0.2">
      <c r="E54" s="14">
        <f t="array" aca="1" ref="E54" ca="1">IF(O19=C19,SUM(IF(($BR$30:$BR$38=C19)*($BS$29:$CA$29=O17),$BS$30:$CA$38)),0)</f>
        <v>0</v>
      </c>
      <c r="F54" s="3">
        <f t="array" aca="1" ref="F54" ca="1">IF(O19=C19,SUM(IF(($BR$30:$BR$38=C19)*($BS$29:$CA$29=O18),$BS$30:$CA$38)),0)</f>
        <v>0</v>
      </c>
      <c r="G54" s="3">
        <f t="array" aca="1" ref="G54" ca="1">IF(O19=C19,SUM(IF(($BR$30:$BR$38=C19)*($BS$29:$CA$29=O20),$BS$30:$CA$38)),0)</f>
        <v>0</v>
      </c>
      <c r="H54" s="3">
        <f t="array" aca="1" ref="H54" ca="1">IF(O19=C19,SUM(IF(($BR$30:$BR$38=C19)*($BS$29:$CA$29=O21),$BS$30:$CA$38)),0)</f>
        <v>0</v>
      </c>
      <c r="I54" s="3">
        <f t="array" aca="1" ref="I54" ca="1">IF(O19=C19,SUM(IF(($BR$30:$BR$38=C19)*($BS$29:$CA$29=O22),$BS$30:$CA$38)),0)</f>
        <v>0</v>
      </c>
      <c r="J54" s="3">
        <f t="array" aca="1" ref="J54" ca="1">IF(O19=C19,SUM(IF(($BR$30:$BR$38=C19)*($BS$29:$CA$29=O23),$BS$30:$CA$38)),0)</f>
        <v>0</v>
      </c>
      <c r="K54" s="3">
        <f t="array" aca="1" ref="K54" ca="1">IF(O19=C19,SUM(IF(($BR$30:$BR$38=C19)*($BS$29:$CA$29=O$24),$BS$30:$CA$38)),0)</f>
        <v>0</v>
      </c>
      <c r="L54" s="3">
        <f t="array" aca="1" ref="L54" ca="1">IF(O19=C19,SUM(IF(($BR$30:$BR$38=C19)*($BS$29:$CA$29=O$25),$BS$30:$CA$38)),0)</f>
        <v>0</v>
      </c>
      <c r="M54" s="5">
        <f t="array" aca="1" ref="M54" ca="1">IF(P19=C19,SUM(IF(($BR$30:$BR$38=C19)*($BS$29:$CA$29=P17),$BS$30:$CA$38)),0)</f>
        <v>0</v>
      </c>
      <c r="N54" s="3">
        <f t="array" aca="1" ref="N54" ca="1">IF(P19=C19,SUM(IF(($BR$30:$BR$38=C19)*($BS$29:$CA$29=P18),$BS$30:$CA$38)),0)</f>
        <v>0</v>
      </c>
      <c r="O54" s="3">
        <f t="array" aca="1" ref="O54" ca="1">IF(P19=C19,SUM(IF(($BR$30:$BR$38=C19)*($BS$29:$CA$29=P20),$BS$30:$CA$38)),0)</f>
        <v>0</v>
      </c>
      <c r="P54" s="3">
        <f t="array" aca="1" ref="P54" ca="1">IF(P19=C19,SUM(IF(($BR$30:$BR$38=C19)*($BS$29:$CA$29=P21),$BS$30:$CA$38)),0)</f>
        <v>0</v>
      </c>
      <c r="Q54" s="3">
        <f t="array" aca="1" ref="Q54" ca="1">IF(P19=C19,SUM(IF(($BR$30:$BR$38=C19)*($BS$29:$CA$29=P22),$BS$30:$CA$38)),0)</f>
        <v>0</v>
      </c>
      <c r="R54" s="3">
        <f t="array" aca="1" ref="R54" ca="1">IF(P19=C19,SUM(IF(($BR$30:$BR$38=C19)*($BS$29:$CA$29=P23),$BS$30:$CA$38)),0)</f>
        <v>0</v>
      </c>
      <c r="S54" s="3">
        <f t="array" aca="1" ref="S54" ca="1">IF(P19=C19,SUM(IF(($BR$30:$BR$38=C19)*($BS$29:$CA$29=P$24),$BS$30:$CA$38)),0)</f>
        <v>0</v>
      </c>
      <c r="T54" s="3">
        <f t="array" aca="1" ref="T54" ca="1">IF(P19=C19,SUM(IF(($BR$30:$BR$38=C19)*($BS$29:$CA$29=P$25),$BS$30:$CA$38)),0)</f>
        <v>0</v>
      </c>
      <c r="U54" s="5">
        <f t="array" aca="1" ref="U54" ca="1">IF(Q19=C19,SUM(IF(($BR$30:$BR$38=C19)*($BS$29:$CA$29=Q17),$BS$30:$CA$38)),0)</f>
        <v>0</v>
      </c>
      <c r="V54" s="3">
        <f t="array" aca="1" ref="V54" ca="1">IF(Q19=C19,SUM(IF(($BR$30:$BR$38=C19)*($BS$29:$CA$29=Q18),$BS$30:$CA$38)),0)</f>
        <v>0</v>
      </c>
      <c r="W54" s="3">
        <f t="array" aca="1" ref="W54" ca="1">IF(Q19=C19,SUM(IF(($BR$30:$BR$38=C19)*($BS$29:$CA$29=Q20),$BS$30:$CA$38)),0)</f>
        <v>0</v>
      </c>
      <c r="X54" s="3">
        <f t="array" aca="1" ref="X54" ca="1">IF(Q19=C19,SUM(IF(($BR$30:$BR$38=C19)*($BS$29:$CA$29=Q21),$BS$30:$CA$38)),0)</f>
        <v>0</v>
      </c>
      <c r="Y54" s="3">
        <f t="array" aca="1" ref="Y54" ca="1">IF(Q19=C19,SUM(IF(($BR$30:$BR$38=C19)*($BS$29:$CA$29=Q22),$BS$30:$CA$38)),0)</f>
        <v>0</v>
      </c>
      <c r="Z54" s="3">
        <f t="array" aca="1" ref="Z54" ca="1">IF(Q19=C19,SUM(IF(($BR$30:$BR$38=C19)*($BS$29:$CA$29=Q23),$BS$30:$CA$38)),0)</f>
        <v>0</v>
      </c>
      <c r="AA54" s="3">
        <f t="array" aca="1" ref="AA54" ca="1">IF(Q19=C19,SUM(IF(($BR$30:$BR$38=C19)*($BS$29:$CA$29=Q$24),$BS$30:$CA$38)),0)</f>
        <v>0</v>
      </c>
      <c r="AB54" s="3">
        <f t="array" aca="1" ref="AB54" ca="1">IF(Q19=C19,SUM(IF(($BR$30:$BR$38=C19)*($BS$29:$CA$29=Q$25),$BS$30:$CA$38)),0)</f>
        <v>0</v>
      </c>
      <c r="AC54" s="5">
        <f t="array" aca="1" ref="AC54" ca="1">IF(R19=C19,SUM(IF(($BR$30:$BR$38=C19)*($BS$29:$CA$29=R17),$BS$30:$CA$38)),0)</f>
        <v>0</v>
      </c>
      <c r="AD54" s="3">
        <f t="array" aca="1" ref="AD54" ca="1">IF(R19=C19,SUM(IF(($BR$30:$BR$38=C19)*($BS$29:$CA$29=R18),$BS$30:$CA$38)),0)</f>
        <v>0</v>
      </c>
      <c r="AE54" s="3">
        <f t="array" aca="1" ref="AE54" ca="1">IF(R19=C19,SUM(IF(($BR$30:$BR$38=C19)*($BS$29:$CA$29=R20),$BS$30:$CA$38)),0)</f>
        <v>0</v>
      </c>
      <c r="AF54" s="3">
        <f t="array" aca="1" ref="AF54" ca="1">IF(R19=C19,SUM(IF(($BR$30:$BR$38=C19)*($BS$29:$CA$29=R21),$BS$30:$CA$38)),0)</f>
        <v>0</v>
      </c>
      <c r="AG54" s="3">
        <f t="array" aca="1" ref="AG54" ca="1">IF(R19=C19,SUM(IF(($BR$30:$BR$38=C19)*($BS$29:$CA$29=R22),$BS$30:$CA$38)),0)</f>
        <v>0</v>
      </c>
      <c r="AH54" s="3">
        <f t="array" aca="1" ref="AH54" ca="1">IF(R19=C19,SUM(IF(($BR$30:$BR$38=C19)*($BS$29:$CA$29=R23),$BS$30:$CA$38)),0)</f>
        <v>0</v>
      </c>
      <c r="AI54" s="3">
        <f t="array" aca="1" ref="AI54" ca="1">IF(R19=C19,SUM(IF(($BR$30:$BR$38=C19)*($BS$29:$CA$29=R$24),$BS$30:$CA$38)),0)</f>
        <v>0</v>
      </c>
      <c r="AJ54" s="3">
        <f t="array" aca="1" ref="AJ54" ca="1">IF(R19=C19,SUM(IF(($BR$30:$BR$38=C19)*($BS$29:$CA$29=R$25),$BS$30:$CA$38)),0)</f>
        <v>0</v>
      </c>
      <c r="AK54" s="5">
        <f t="array" aca="1" ref="AK54" ca="1">IF(S19=C19,SUM(IF(($BR$30:$BR$38=C19)*($BS$29:$CA$29=S17),$BS$30:$CA$38)),0)</f>
        <v>0</v>
      </c>
      <c r="AL54" s="3">
        <f t="array" aca="1" ref="AL54" ca="1">IF(S19=C19,SUM(IF(($BR$30:$BR$38=C19)*($BS$29:$CA$29=S18),$BS$30:$CA$38)),0)</f>
        <v>0</v>
      </c>
      <c r="AM54" s="3">
        <f t="array" aca="1" ref="AM54" ca="1">IF(S19=C19,SUM(IF(($BR$30:$BR$38=C19)*($BS$29:$CA$29=S20),$BS$30:$CA$38)),0)</f>
        <v>0</v>
      </c>
      <c r="AN54" s="3">
        <f t="array" aca="1" ref="AN54" ca="1">IF(S19=C19,SUM(IF(($BR$30:$BR$38=C19)*($BS$29:$CA$29=S21),$BS$30:$CA$38)),0)</f>
        <v>0</v>
      </c>
      <c r="AO54" s="3">
        <f t="array" aca="1" ref="AO54" ca="1">IF(S19=C19,SUM(IF(($BR$30:$BR$38=C19)*($BS$29:$CA$29=S22),$BS$30:$CA$38)),0)</f>
        <v>0</v>
      </c>
      <c r="AP54" s="3">
        <f t="array" aca="1" ref="AP54" ca="1">IF(S19=C19,SUM(IF(($BR$30:$BR$38=C19)*($BS$29:$CA$29=S23),$BS$30:$CA$38)),0)</f>
        <v>0</v>
      </c>
      <c r="AQ54" s="3">
        <f t="array" aca="1" ref="AQ54" ca="1">IF(S19=C19,SUM(IF(($BR$30:$BR$38=C19)*($BS$29:$CA$29=S$24),$BS$30:$CA$38)),0)</f>
        <v>0</v>
      </c>
      <c r="AR54" s="3">
        <f t="array" aca="1" ref="AR54" ca="1">IF(S19=C19,SUM(IF(($BR$30:$BR$38=C19)*($BS$29:$CA$29=S$25),$BS$30:$CA$38)),0)</f>
        <v>0</v>
      </c>
      <c r="AS54" s="5">
        <f t="array" aca="1" ref="AS54" ca="1">IF(T19=C19,SUM(IF(($BR$30:$BR$38=C19)*($BS$29:$CA$29=T17),$BS$30:$CA$38)),0)</f>
        <v>0</v>
      </c>
      <c r="AT54" s="3">
        <f t="array" aca="1" ref="AT54" ca="1">IF(T19=C19,SUM(IF(($BR$30:$BR$38=C19)*($BS$29:$CA$29=T18),$BS$30:$CA$38)),0)</f>
        <v>0</v>
      </c>
      <c r="AU54" s="3">
        <f t="array" aca="1" ref="AU54" ca="1">IF(T19=C19,SUM(IF(($BR$30:$BR$38=C19)*($BS$29:$CA$29=T20),$BS$30:$CA$38)),0)</f>
        <v>0</v>
      </c>
      <c r="AV54" s="3">
        <f t="array" aca="1" ref="AV54" ca="1">IF(T19=C19,SUM(IF(($BR$30:$BR$38=C19)*($BS$29:$CA$29=T21),$BS$30:$CA$38)),0)</f>
        <v>0</v>
      </c>
      <c r="AW54" s="3">
        <f t="array" aca="1" ref="AW54" ca="1">IF(T19=C19,SUM(IF(($BR$30:$BR$38=C19)*($BS$29:$CA$29=T22),$BS$30:$CA$38)),0)</f>
        <v>0</v>
      </c>
      <c r="AX54" s="3">
        <f t="array" aca="1" ref="AX54" ca="1">IF(T19=C19,SUM(IF(($BR$30:$BR$38=C19)*($BS$29:$CA$29=T23),$BS$30:$CA$38)),0)</f>
        <v>0</v>
      </c>
      <c r="AY54" s="3">
        <f t="array" aca="1" ref="AY54" ca="1">IF(T19=C19,SUM(IF(($BR$30:$BR$38=C19)*($BS$29:$CA$29=T$24),$BS$30:$CA$38)),0)</f>
        <v>0</v>
      </c>
      <c r="AZ54" s="3">
        <f t="array" aca="1" ref="AZ54" ca="1">IF(T19=C19,SUM(IF(($BR$30:$BR$38=C19)*($BS$29:$CA$29=T$25),$BS$30:$CA$38)),0)</f>
        <v>0</v>
      </c>
      <c r="BA54" s="5">
        <f t="array" aca="1" ref="BA54" ca="1">IF(U19=C19,SUM(IF(($BR$30:$BR$38=C19)*($BS$29:$CA$29=U$17),$BS$30:$CA$38)),0)</f>
        <v>0</v>
      </c>
      <c r="BB54" s="3">
        <f t="array" aca="1" ref="BB54" ca="1">IF(U19=C19,SUM(IF(($BR$30:$BR$38=C19)*($BS$29:$CA$29=U$18),$BS$30:$CA$38)),0)</f>
        <v>0</v>
      </c>
      <c r="BC54" s="3">
        <f t="array" aca="1" ref="BC54" ca="1">IF(U19=C19,SUM(IF(($BR$30:$BR$38=C19)*($BS$29:$CA$29=U$20),$BS$30:$CA$38)),0)</f>
        <v>0</v>
      </c>
      <c r="BD54" s="3">
        <f t="array" aca="1" ref="BD54" ca="1">IF(U19=C19,SUM(IF(($BR$30:$BR$38=C19)*($BS$29:$CA$29=U$21),$BS$30:$CA$38)),0)</f>
        <v>0</v>
      </c>
      <c r="BE54" s="3">
        <f t="array" aca="1" ref="BE54" ca="1">IF(U19=C19,SUM(IF(($BR$30:$BR$38=C19)*($BS$29:$CA$29=U$22),$BS$30:$CA$38)),0)</f>
        <v>0</v>
      </c>
      <c r="BF54" s="3">
        <f t="array" aca="1" ref="BF54" ca="1">IF(U19=C19,SUM(IF(($BR$30:$BR$38=C19)*($BS$29:$CA$29=U$23),$BS$30:$CA$38)),0)</f>
        <v>0</v>
      </c>
      <c r="BG54" s="3">
        <f t="array" aca="1" ref="BG54" ca="1">IF(U19=C19,SUM(IF(($BR$30:$BR$38=C19)*($BS$29:$CA$29=U$24),$BS$30:$CA$38)),0)</f>
        <v>0</v>
      </c>
      <c r="BH54" s="3">
        <f t="array" aca="1" ref="BH54" ca="1">IF(U19=C19,SUM(IF(($BR$30:$BR$38=C19)*($BS$29:$CA$29=U$25),$BS$30:$CA$38)),0)</f>
        <v>0</v>
      </c>
      <c r="BI54" s="5">
        <f t="array" aca="1" ref="BI54" ca="1">IF(V19=C19,SUM(IF(($BR$30:$BR$38=C19)*($BS$29:$CA$29=V$17),$BS$30:$CA$38)),0)</f>
        <v>0</v>
      </c>
      <c r="BJ54" s="3">
        <f t="array" aca="1" ref="BJ54" ca="1">IF(V19=C19,SUM(IF(($BR$30:$BR$38=C19)*($BS$29:$CA$29=V$18),$BS$30:$CA$38)),0)</f>
        <v>0</v>
      </c>
      <c r="BK54" s="3">
        <f t="array" aca="1" ref="BK54" ca="1">IF(V19=C19,SUM(IF(($BR$30:$BR$38=C19)*($BS$29:$CA$29=V$20),$BS$30:$CA$38)),0)</f>
        <v>0</v>
      </c>
      <c r="BL54" s="3">
        <f t="array" aca="1" ref="BL54" ca="1">IF(V19=C19,SUM(IF(($BR$30:$BR$38=C19)*($BS$29:$CA$29=V$21),$BS$30:$CA$38)),0)</f>
        <v>0</v>
      </c>
      <c r="BM54" s="3">
        <f t="array" aca="1" ref="BM54" ca="1">IF(V19=C19,SUM(IF(($BR$30:$BR$38=C19)*($BS$29:$CA$29=V$22),$BS$30:$CA$38)),0)</f>
        <v>0</v>
      </c>
      <c r="BN54" s="3">
        <f t="array" aca="1" ref="BN54" ca="1">IF(V19=C19,SUM(IF(($BR$30:$BR$38=C19)*($BS$29:$CA$29=V$23),$BS$30:$CA$38)),0)</f>
        <v>0</v>
      </c>
      <c r="BO54" s="3">
        <f t="array" aca="1" ref="BO54" ca="1">IF(V19=C19,SUM(IF(($BR$30:$BR$38=C19)*($BS$29:$CA$29=V$24),$BS$30:$CA$38)),0)</f>
        <v>0</v>
      </c>
      <c r="BP54" s="15">
        <f t="array" aca="1" ref="BP54" ca="1">IF(V19=C19,SUM(IF(($BR$30:$BR$38=C19)*($BS$29:$CA$29=V$25),$BS$30:$CA$38)),0)</f>
        <v>0</v>
      </c>
      <c r="BQ54" s="3"/>
      <c r="BR54" s="2" t="str">
        <f t="shared" ca="1" si="40"/>
        <v>Real Madrid</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2:80" s="2" customFormat="1" x14ac:dyDescent="0.2">
      <c r="E55" s="14">
        <f t="array" aca="1" ref="E55" ca="1">IF(O20=C20,SUM(IF(($BR$30:$BR$38=C20)*($BS$29:$CA$29=O17),$BS$30:$CA$38)),0)</f>
        <v>0</v>
      </c>
      <c r="F55" s="3">
        <f t="array" aca="1" ref="F55" ca="1">IF(O20=C20,SUM(IF(($BR$30:$BR$38=C20)*($BS$29:$CA$29=O18),$BS$30:$CA$38)),0)</f>
        <v>0</v>
      </c>
      <c r="G55" s="3">
        <f t="array" aca="1" ref="G55" ca="1">IF(O20=C20,SUM(IF(($BR$30:$BR$38=C20)*($BS$29:$CA$29=O19),$BS$30:$CA$38)),0)</f>
        <v>0</v>
      </c>
      <c r="H55" s="3">
        <f t="array" aca="1" ref="H55" ca="1">IF(O20=C20,SUM(IF(($BR$30:$BR$38=C20)*($BS$29:$CA$29=O21),$BS$30:$CA$38)),0)</f>
        <v>0</v>
      </c>
      <c r="I55" s="3">
        <f t="array" aca="1" ref="I55" ca="1">IF(O20=C20,SUM(IF(($BR$30:$BR$38=C20)*($BS$29:$CA$29=O22),$BS$30:$CA$38)),0)</f>
        <v>0</v>
      </c>
      <c r="J55" s="3">
        <f t="array" aca="1" ref="J55" ca="1">IF(O20=C20,SUM(IF(($BR$30:$BR$38=C20)*($BS$29:$CA$29=O23),$BS$30:$CA$38)),0)</f>
        <v>0</v>
      </c>
      <c r="K55" s="3">
        <f t="array" aca="1" ref="K55" ca="1">IF(O20=C20,SUM(IF(($BR$30:$BR$38=C20)*($BS$29:$CA$29=O$24),$BS$30:$CA$38)),0)</f>
        <v>0</v>
      </c>
      <c r="L55" s="3">
        <f t="array" aca="1" ref="L55" ca="1">IF(O20=C20,SUM(IF(($BR$30:$BR$38=C20)*($BS$29:$CA$29=O$25),$BS$30:$CA$38)),0)</f>
        <v>0</v>
      </c>
      <c r="M55" s="5">
        <f t="array" aca="1" ref="M55" ca="1">IF(P20=C20,SUM(IF(($BR$30:$BR$38=C20)*($BS$29:$CA$29=P17),$BS$30:$CA$38)),0)</f>
        <v>0</v>
      </c>
      <c r="N55" s="3">
        <f t="array" aca="1" ref="N55" ca="1">IF(P20=C20,SUM(IF(($BR$30:$BR$38=C20)*($BS$29:$CA$29=P18),$BS$30:$CA$38)),0)</f>
        <v>0</v>
      </c>
      <c r="O55" s="3">
        <f t="array" aca="1" ref="O55" ca="1">IF(P20=C20,SUM(IF(($BR$30:$BR$38=C20)*($BS$29:$CA$29=P19),$BS$30:$CA$38)),0)</f>
        <v>0</v>
      </c>
      <c r="P55" s="3">
        <f t="array" aca="1" ref="P55" ca="1">IF(P20=C20,SUM(IF(($BR$30:$BR$38=C20)*($BS$29:$CA$29=P21),$BS$30:$CA$38)),0)</f>
        <v>0</v>
      </c>
      <c r="Q55" s="3">
        <f t="array" aca="1" ref="Q55" ca="1">IF(P20=C20,SUM(IF(($BR$30:$BR$38=C20)*($BS$29:$CA$29=P22),$BS$30:$CA$38)),0)</f>
        <v>0</v>
      </c>
      <c r="R55" s="3">
        <f t="array" aca="1" ref="R55" ca="1">IF(P20=C20,SUM(IF(($BR$30:$BR$38=C20)*($BS$29:$CA$29=P23),$BS$30:$CA$38)),0)</f>
        <v>0</v>
      </c>
      <c r="S55" s="3">
        <f t="array" aca="1" ref="S55" ca="1">IF(P20=C20,SUM(IF(($BR$30:$BR$38=C20)*($BS$29:$CA$29=P$24),$BS$30:$CA$38)),0)</f>
        <v>0</v>
      </c>
      <c r="T55" s="3">
        <f t="array" aca="1" ref="T55" ca="1">IF(P20=C20,SUM(IF(($BR$30:$BR$38=C20)*($BS$29:$CA$29=P$25),$BS$30:$CA$38)),0)</f>
        <v>0</v>
      </c>
      <c r="U55" s="5">
        <f t="array" aca="1" ref="U55" ca="1">IF(Q20=C20,SUM(IF(($BR$30:$BR$38=C20)*($BS$29:$CA$29=Q17),$BS$30:$CA$38)),0)</f>
        <v>0</v>
      </c>
      <c r="V55" s="3">
        <f t="array" aca="1" ref="V55" ca="1">IF(Q20=C20,SUM(IF(($BR$30:$BR$38=C20)*($BS$29:$CA$29=Q18),$BS$30:$CA$38)),0)</f>
        <v>0</v>
      </c>
      <c r="W55" s="3">
        <f t="array" aca="1" ref="W55" ca="1">IF(Q20=C20,SUM(IF(($BR$30:$BR$38=C20)*($BS$29:$CA$29=Q19),$BS$30:$CA$38)),0)</f>
        <v>0</v>
      </c>
      <c r="X55" s="3">
        <f t="array" aca="1" ref="X55" ca="1">IF(Q20=C20,SUM(IF(($BR$30:$BR$38=C20)*($BS$29:$CA$29=Q21),$BS$30:$CA$38)),0)</f>
        <v>0</v>
      </c>
      <c r="Y55" s="3">
        <f t="array" aca="1" ref="Y55" ca="1">IF(Q20=C20,SUM(IF(($BR$30:$BR$38=C20)*($BS$29:$CA$29=Q22),$BS$30:$CA$38)),0)</f>
        <v>0</v>
      </c>
      <c r="Z55" s="3">
        <f t="array" aca="1" ref="Z55" ca="1">IF(Q20=C20,SUM(IF(($BR$30:$BR$38=C20)*($BS$29:$CA$29=Q23),$BS$30:$CA$38)),0)</f>
        <v>0</v>
      </c>
      <c r="AA55" s="3">
        <f t="array" aca="1" ref="AA55" ca="1">IF(Q20=C20,SUM(IF(($BR$30:$BR$38=C20)*($BS$29:$CA$29=Q$24),$BS$30:$CA$38)),0)</f>
        <v>0</v>
      </c>
      <c r="AB55" s="3">
        <f t="array" aca="1" ref="AB55" ca="1">IF(Q20=C20,SUM(IF(($BR$30:$BR$38=C20)*($BS$29:$CA$29=Q$25),$BS$30:$CA$38)),0)</f>
        <v>0</v>
      </c>
      <c r="AC55" s="5">
        <f t="array" aca="1" ref="AC55" ca="1">IF(R20=C20,SUM(IF(($BR$30:$BR$38=C20)*($BS$29:$CA$29=R17),$BS$30:$CA$38)),0)</f>
        <v>0</v>
      </c>
      <c r="AD55" s="3">
        <f t="array" aca="1" ref="AD55" ca="1">IF(R20=C20,SUM(IF(($BR$30:$BR$38=C20)*($BS$29:$CA$29=R18),$BS$30:$CA$38)),0)</f>
        <v>0</v>
      </c>
      <c r="AE55" s="3">
        <f t="array" aca="1" ref="AE55" ca="1">IF(R20=C20,SUM(IF(($BR$30:$BR$38=C20)*($BS$29:$CA$29=R19),$BS$30:$CA$38)),0)</f>
        <v>0</v>
      </c>
      <c r="AF55" s="3">
        <f t="array" aca="1" ref="AF55" ca="1">IF(R20=C20,SUM(IF(($BR$30:$BR$38=C20)*($BS$29:$CA$29=R21),$BS$30:$CA$38)),0)</f>
        <v>0</v>
      </c>
      <c r="AG55" s="3">
        <f t="array" aca="1" ref="AG55" ca="1">IF(R20=C20,SUM(IF(($BR$30:$BR$38=C20)*($BS$29:$CA$29=R22),$BS$30:$CA$38)),0)</f>
        <v>0</v>
      </c>
      <c r="AH55" s="3">
        <f t="array" aca="1" ref="AH55" ca="1">IF(R20=C20,SUM(IF(($BR$30:$BR$38=C20)*($BS$29:$CA$29=R23),$BS$30:$CA$38)),0)</f>
        <v>0</v>
      </c>
      <c r="AI55" s="3">
        <f t="array" aca="1" ref="AI55" ca="1">IF(R20=C20,SUM(IF(($BR$30:$BR$38=C20)*($BS$29:$CA$29=R$24),$BS$30:$CA$38)),0)</f>
        <v>0</v>
      </c>
      <c r="AJ55" s="3">
        <f t="array" aca="1" ref="AJ55" ca="1">IF(R20=C20,SUM(IF(($BR$30:$BR$38=C20)*($BS$29:$CA$29=R$25),$BS$30:$CA$38)),0)</f>
        <v>0</v>
      </c>
      <c r="AK55" s="5">
        <f t="array" aca="1" ref="AK55" ca="1">IF(S20=C20,SUM(IF(($BR$30:$BR$38=C20)*($BS$29:$CA$29=S17),$BS$30:$CA$38)),0)</f>
        <v>0</v>
      </c>
      <c r="AL55" s="3">
        <f t="array" aca="1" ref="AL55" ca="1">IF(S20=C20,SUM(IF(($BR$30:$BR$38=C20)*($BS$29:$CA$29=S18),$BS$30:$CA$38)),0)</f>
        <v>0</v>
      </c>
      <c r="AM55" s="3">
        <f t="array" aca="1" ref="AM55" ca="1">IF(S20=C20,SUM(IF(($BR$30:$BR$38=C20)*($BS$29:$CA$29=S19),$BS$30:$CA$38)),0)</f>
        <v>0</v>
      </c>
      <c r="AN55" s="3">
        <f t="array" aca="1" ref="AN55" ca="1">IF(S20=C20,SUM(IF(($BR$30:$BR$38=C20)*($BS$29:$CA$29=S21),$BS$30:$CA$38)),0)</f>
        <v>0</v>
      </c>
      <c r="AO55" s="3">
        <f t="array" aca="1" ref="AO55" ca="1">IF(S20=C20,SUM(IF(($BR$30:$BR$38=C20)*($BS$29:$CA$29=S22),$BS$30:$CA$38)),0)</f>
        <v>0</v>
      </c>
      <c r="AP55" s="3">
        <f t="array" aca="1" ref="AP55" ca="1">IF(S20=C20,SUM(IF(($BR$30:$BR$38=C20)*($BS$29:$CA$29=S23),$BS$30:$CA$38)),0)</f>
        <v>0</v>
      </c>
      <c r="AQ55" s="3">
        <f t="array" aca="1" ref="AQ55" ca="1">IF(S20=C20,SUM(IF(($BR$30:$BR$38=C20)*($BS$29:$CA$29=S$24),$BS$30:$CA$38)),0)</f>
        <v>0</v>
      </c>
      <c r="AR55" s="3">
        <f t="array" aca="1" ref="AR55" ca="1">IF(S20=C20,SUM(IF(($BR$30:$BR$38=C20)*($BS$29:$CA$29=S$25),$BS$30:$CA$38)),0)</f>
        <v>0</v>
      </c>
      <c r="AS55" s="5">
        <f t="array" aca="1" ref="AS55" ca="1">IF(T20=C20,SUM(IF(($BR$30:$BR$38=C20)*($BS$29:$CA$29=T17),$BS$30:$CA$38)),0)</f>
        <v>0</v>
      </c>
      <c r="AT55" s="3">
        <f t="array" aca="1" ref="AT55" ca="1">IF(T20=C20,SUM(IF(($BR$30:$BR$38=C20)*($BS$29:$CA$29=T18),$BS$30:$CA$38)),0)</f>
        <v>0</v>
      </c>
      <c r="AU55" s="3">
        <f t="array" aca="1" ref="AU55" ca="1">IF(T20=C20,SUM(IF(($BR$30:$BR$38=C20)*($BS$29:$CA$29=T19),$BS$30:$CA$38)),0)</f>
        <v>0</v>
      </c>
      <c r="AV55" s="3">
        <f t="array" aca="1" ref="AV55" ca="1">IF(T20=C20,SUM(IF(($BR$30:$BR$38=C20)*($BS$29:$CA$29=T21),$BS$30:$CA$38)),0)</f>
        <v>0</v>
      </c>
      <c r="AW55" s="3">
        <f t="array" aca="1" ref="AW55" ca="1">IF(T20=C20,SUM(IF(($BR$30:$BR$38=C20)*($BS$29:$CA$29=T22),$BS$30:$CA$38)),0)</f>
        <v>0</v>
      </c>
      <c r="AX55" s="3">
        <f t="array" aca="1" ref="AX55" ca="1">IF(T20=C20,SUM(IF(($BR$30:$BR$38=C20)*($BS$29:$CA$29=T23),$BS$30:$CA$38)),0)</f>
        <v>0</v>
      </c>
      <c r="AY55" s="3">
        <f t="array" aca="1" ref="AY55" ca="1">IF(T20=C20,SUM(IF(($BR$30:$BR$38=C20)*($BS$29:$CA$29=T$24),$BS$30:$CA$38)),0)</f>
        <v>0</v>
      </c>
      <c r="AZ55" s="3">
        <f t="array" aca="1" ref="AZ55" ca="1">IF(T20=C20,SUM(IF(($BR$30:$BR$38=C20)*($BS$29:$CA$29=T$25),$BS$30:$CA$38)),0)</f>
        <v>0</v>
      </c>
      <c r="BA55" s="5">
        <f t="array" aca="1" ref="BA55" ca="1">IF(U20=C20,SUM(IF(($BR$30:$BR$38=C20)*($BS$29:$CA$29=U$17),$BS$30:$CA$38)),0)</f>
        <v>0</v>
      </c>
      <c r="BB55" s="3">
        <f t="array" aca="1" ref="BB55" ca="1">IF(U20=C20,SUM(IF(($BR$30:$BR$38=C20)*($BS$29:$CA$29=U$18),$BS$30:$CA$38)),0)</f>
        <v>0</v>
      </c>
      <c r="BC55" s="3">
        <f t="array" aca="1" ref="BC55" ca="1">IF(U20=C20,SUM(IF(($BR$30:$BR$38=C20)*($BS$29:$CA$29=U$19),$BS$30:$CA$38)),0)</f>
        <v>0</v>
      </c>
      <c r="BD55" s="3">
        <f t="array" aca="1" ref="BD55" ca="1">IF(U20=C20,SUM(IF(($BR$30:$BR$38=C20)*($BS$29:$CA$29=U$21),$BS$30:$CA$38)),0)</f>
        <v>0</v>
      </c>
      <c r="BE55" s="3">
        <f t="array" aca="1" ref="BE55" ca="1">IF(U20=C20,SUM(IF(($BR$30:$BR$38=C20)*($BS$29:$CA$29=U$22),$BS$30:$CA$38)),0)</f>
        <v>0</v>
      </c>
      <c r="BF55" s="3">
        <f t="array" aca="1" ref="BF55" ca="1">IF(U20=C20,SUM(IF(($BR$30:$BR$38=C20)*($BS$29:$CA$29=U$23),$BS$30:$CA$38)),0)</f>
        <v>0</v>
      </c>
      <c r="BG55" s="3">
        <f t="array" aca="1" ref="BG55" ca="1">IF(U20=C20,SUM(IF(($BR$30:$BR$38=C20)*($BS$29:$CA$29=U$24),$BS$30:$CA$38)),0)</f>
        <v>0</v>
      </c>
      <c r="BH55" s="3">
        <f t="array" aca="1" ref="BH55" ca="1">IF(U20=C20,SUM(IF(($BR$30:$BR$38=C20)*($BS$29:$CA$29=U$25),$BS$30:$CA$38)),0)</f>
        <v>0</v>
      </c>
      <c r="BI55" s="5">
        <f t="array" aca="1" ref="BI55" ca="1">IF(V20=C20,SUM(IF(($BR$30:$BR$38=C20)*($BS$29:$CA$29=V$17),$BS$30:$CA$38)),0)</f>
        <v>0</v>
      </c>
      <c r="BJ55" s="3">
        <f t="array" aca="1" ref="BJ55" ca="1">IF(V20=C20,SUM(IF(($BR$30:$BR$38=C20)*($BS$29:$CA$29=V$18),$BS$30:$CA$38)),0)</f>
        <v>0</v>
      </c>
      <c r="BK55" s="3">
        <f t="array" aca="1" ref="BK55" ca="1">IF(V20=C20,SUM(IF(($BR$30:$BR$38=C20)*($BS$29:$CA$29=V$19),$BS$30:$CA$38)),0)</f>
        <v>0</v>
      </c>
      <c r="BL55" s="3">
        <f t="array" aca="1" ref="BL55" ca="1">IF(V20=C20,SUM(IF(($BR$30:$BR$38=C20)*($BS$29:$CA$29=V$21),$BS$30:$CA$38)),0)</f>
        <v>0</v>
      </c>
      <c r="BM55" s="3">
        <f t="array" aca="1" ref="BM55" ca="1">IF(V20=C20,SUM(IF(($BR$30:$BR$38=C20)*($BS$29:$CA$29=V$22),$BS$30:$CA$38)),0)</f>
        <v>0</v>
      </c>
      <c r="BN55" s="3">
        <f t="array" aca="1" ref="BN55" ca="1">IF(V20=C20,SUM(IF(($BR$30:$BR$38=C20)*($BS$29:$CA$29=V$23),$BS$30:$CA$38)),0)</f>
        <v>0</v>
      </c>
      <c r="BO55" s="3">
        <f t="array" aca="1" ref="BO55" ca="1">IF(V20=C20,SUM(IF(($BR$30:$BR$38=C20)*($BS$29:$CA$29=V$24),$BS$30:$CA$38)),0)</f>
        <v>0</v>
      </c>
      <c r="BP55" s="15">
        <f t="array" aca="1" ref="BP55" ca="1">IF(V20=C20,SUM(IF(($BR$30:$BR$38=C20)*($BS$29:$CA$29=V$25),$BS$30:$CA$38)),0)</f>
        <v>0</v>
      </c>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2:80" s="2" customFormat="1" x14ac:dyDescent="0.2">
      <c r="E56" s="14">
        <f t="array" aca="1" ref="E56" ca="1">IF(O21=C21,SUM(IF(($BR$30:$BR$38=C21)*($BS$29:$CA$29=O17),$BS$30:$CA$38)),0)</f>
        <v>0</v>
      </c>
      <c r="F56" s="3">
        <f t="array" aca="1" ref="F56" ca="1">IF(O21=C21,SUM(IF(($BR$30:$BR$38=C21)*($BS$29:$CA$29=O18),$BS$30:$CA$38)),0)</f>
        <v>0</v>
      </c>
      <c r="G56" s="3">
        <f t="array" aca="1" ref="G56" ca="1">IF(O21=C21,SUM(IF(($BR$30:$BR$38=C21)*($BS$29:$CA$29=O19),$BS$30:$CA$38)),0)</f>
        <v>0</v>
      </c>
      <c r="H56" s="3">
        <f t="array" aca="1" ref="H56" ca="1">IF(O21=C21,SUM(IF(($BR$30:$BR$38=C21)*($BS$29:$CA$29=O20),$BS$30:$CA$38)),0)</f>
        <v>0</v>
      </c>
      <c r="I56" s="3">
        <f t="array" aca="1" ref="I56" ca="1">IF(O21=C21,SUM(IF(($BR$30:$BR$38=C21)*($BS$29:$CA$29=O22),$BS$30:$CA$38)),0)</f>
        <v>0</v>
      </c>
      <c r="J56" s="3">
        <f t="array" aca="1" ref="J56" ca="1">IF(O21=C21,SUM(IF(($BR$30:$BR$38=C21)*($BS$29:$CA$29=O23),$BS$30:$CA$38)),0)</f>
        <v>0</v>
      </c>
      <c r="K56" s="3">
        <f t="array" aca="1" ref="K56" ca="1">IF(O21=C21,SUM(IF(($BR$30:$BR$38=C21)*($BS$29:$CA$29=O$24),$BS$30:$CA$38)),0)</f>
        <v>0</v>
      </c>
      <c r="L56" s="3">
        <f t="array" aca="1" ref="L56" ca="1">IF(O21=C21,SUM(IF(($BR$30:$BR$38=C21)*($BS$29:$CA$29=O$25),$BS$30:$CA$38)),0)</f>
        <v>0</v>
      </c>
      <c r="M56" s="5">
        <f t="array" aca="1" ref="M56" ca="1">IF(P21=C21,SUM(IF(($BR$30:$BR$38=C21)*($BS$29:$CA$29=P17),$BS$30:$CA$38)),0)</f>
        <v>0</v>
      </c>
      <c r="N56" s="3">
        <f t="array" aca="1" ref="N56" ca="1">IF(P21=C21,SUM(IF(($BR$30:$BR$38=C21)*($BS$29:$CA$29=P18),$BS$30:$CA$38)),0)</f>
        <v>0</v>
      </c>
      <c r="O56" s="3">
        <f t="array" aca="1" ref="O56" ca="1">IF(P21=C21,SUM(IF(($BR$30:$BR$38=C21)*($BS$29:$CA$29=P19),$BS$30:$CA$38)),0)</f>
        <v>0</v>
      </c>
      <c r="P56" s="3">
        <f t="array" aca="1" ref="P56" ca="1">IF(P21=C21,SUM(IF(($BR$30:$BR$38=C21)*($BS$29:$CA$29=P20),$BS$30:$CA$38)),0)</f>
        <v>0</v>
      </c>
      <c r="Q56" s="3">
        <f t="array" aca="1" ref="Q56" ca="1">IF(P21=C21,SUM(IF(($BR$30:$BR$38=C21)*($BS$29:$CA$29=P22),$BS$30:$CA$38)),0)</f>
        <v>0</v>
      </c>
      <c r="R56" s="3">
        <f t="array" aca="1" ref="R56" ca="1">IF(P21=C21,SUM(IF(($BR$30:$BR$38=C21)*($BS$29:$CA$29=P23),$BS$30:$CA$38)),0)</f>
        <v>0</v>
      </c>
      <c r="S56" s="3">
        <f t="array" aca="1" ref="S56" ca="1">IF(P21=C21,SUM(IF(($BR$30:$BR$38=C21)*($BS$29:$CA$29=P$24),$BS$30:$CA$38)),0)</f>
        <v>0</v>
      </c>
      <c r="T56" s="3">
        <f t="array" aca="1" ref="T56" ca="1">IF(P21=C21,SUM(IF(($BR$30:$BR$38=C21)*($BS$29:$CA$29=P$25),$BS$30:$CA$38)),0)</f>
        <v>0</v>
      </c>
      <c r="U56" s="5">
        <f t="array" aca="1" ref="U56" ca="1">IF(Q21=C21,SUM(IF(($BR$30:$BR$38=C21)*($BS$29:$CA$29=Q17),$BS$30:$CA$38)),0)</f>
        <v>0</v>
      </c>
      <c r="V56" s="3">
        <f t="array" aca="1" ref="V56" ca="1">IF(Q21=C21,SUM(IF(($BR$30:$BR$38=C21)*($BS$29:$CA$29=Q18),$BS$30:$CA$38)),0)</f>
        <v>0</v>
      </c>
      <c r="W56" s="3">
        <f t="array" aca="1" ref="W56" ca="1">IF(Q21=C21,SUM(IF(($BR$30:$BR$38=C21)*($BS$29:$CA$29=Q19),$BS$30:$CA$38)),0)</f>
        <v>0</v>
      </c>
      <c r="X56" s="3">
        <f t="array" aca="1" ref="X56" ca="1">IF(Q21=C21,SUM(IF(($BR$30:$BR$38=C21)*($BS$29:$CA$29=Q20),$BS$30:$CA$38)),0)</f>
        <v>0</v>
      </c>
      <c r="Y56" s="3">
        <f t="array" aca="1" ref="Y56" ca="1">IF(Q21=C21,SUM(IF(($BR$30:$BR$38=C21)*($BS$29:$CA$29=Q22),$BS$30:$CA$38)),0)</f>
        <v>0</v>
      </c>
      <c r="Z56" s="3">
        <f t="array" aca="1" ref="Z56" ca="1">IF(Q21=C21,SUM(IF(($BR$30:$BR$38=C21)*($BS$29:$CA$29=Q23),$BS$30:$CA$38)),0)</f>
        <v>0</v>
      </c>
      <c r="AA56" s="3">
        <f t="array" aca="1" ref="AA56" ca="1">IF(Q21=C21,SUM(IF(($BR$30:$BR$38=C21)*($BS$29:$CA$29=Q$24),$BS$30:$CA$38)),0)</f>
        <v>0</v>
      </c>
      <c r="AB56" s="3">
        <f t="array" aca="1" ref="AB56" ca="1">IF(Q21=C21,SUM(IF(($BR$30:$BR$38=C21)*($BS$29:$CA$29=Q$25),$BS$30:$CA$38)),0)</f>
        <v>0</v>
      </c>
      <c r="AC56" s="5">
        <f t="array" aca="1" ref="AC56" ca="1">IF(R21=C21,SUM(IF(($BR$30:$BR$38=C21)*($BS$29:$CA$29=R17),$BS$30:$CA$38)),0)</f>
        <v>0</v>
      </c>
      <c r="AD56" s="3">
        <f t="array" aca="1" ref="AD56" ca="1">IF(R21=C21,SUM(IF(($BR$30:$BR$38=C21)*($BS$29:$CA$29=R18),$BS$30:$CA$38)),0)</f>
        <v>0</v>
      </c>
      <c r="AE56" s="3">
        <f t="array" aca="1" ref="AE56" ca="1">IF(R21=C21,SUM(IF(($BR$30:$BR$38=C21)*($BS$29:$CA$29=R19),$BS$30:$CA$38)),0)</f>
        <v>0</v>
      </c>
      <c r="AF56" s="3">
        <f t="array" aca="1" ref="AF56" ca="1">IF(R21=C21,SUM(IF(($BR$30:$BR$38=C21)*($BS$29:$CA$29=R20),$BS$30:$CA$38)),0)</f>
        <v>0</v>
      </c>
      <c r="AG56" s="3">
        <f t="array" aca="1" ref="AG56" ca="1">IF(R21=C21,SUM(IF(($BR$30:$BR$38=C21)*($BS$29:$CA$29=R22),$BS$30:$CA$38)),0)</f>
        <v>0</v>
      </c>
      <c r="AH56" s="3">
        <f t="array" aca="1" ref="AH56" ca="1">IF(R21=C21,SUM(IF(($BR$30:$BR$38=C21)*($BS$29:$CA$29=R23),$BS$30:$CA$38)),0)</f>
        <v>0</v>
      </c>
      <c r="AI56" s="3">
        <f t="array" aca="1" ref="AI56" ca="1">IF(R21=C21,SUM(IF(($BR$30:$BR$38=C21)*($BS$29:$CA$29=R$24),$BS$30:$CA$38)),0)</f>
        <v>0</v>
      </c>
      <c r="AJ56" s="3">
        <f t="array" aca="1" ref="AJ56" ca="1">IF(R21=C21,SUM(IF(($BR$30:$BR$38=C21)*($BS$29:$CA$29=R$25),$BS$30:$CA$38)),0)</f>
        <v>0</v>
      </c>
      <c r="AK56" s="5">
        <f t="array" aca="1" ref="AK56" ca="1">IF(S21=C21,SUM(IF(($BR$30:$BR$38=C21)*($BS$29:$CA$29=S17),$BS$30:$CA$38)),0)</f>
        <v>0</v>
      </c>
      <c r="AL56" s="3">
        <f t="array" aca="1" ref="AL56" ca="1">IF(S21=C21,SUM(IF(($BR$30:$BR$38=C21)*($BS$29:$CA$29=S18),$BS$30:$CA$38)),0)</f>
        <v>0</v>
      </c>
      <c r="AM56" s="3">
        <f t="array" aca="1" ref="AM56" ca="1">IF(S21=C21,SUM(IF(($BR$30:$BR$38=C21)*($BS$29:$CA$29=S19),$BS$30:$CA$38)),0)</f>
        <v>0</v>
      </c>
      <c r="AN56" s="3">
        <f t="array" aca="1" ref="AN56" ca="1">IF(S21=C21,SUM(IF(($BR$30:$BR$38=C21)*($BS$29:$CA$29=S20),$BS$30:$CA$38)),0)</f>
        <v>0</v>
      </c>
      <c r="AO56" s="3">
        <f t="array" aca="1" ref="AO56" ca="1">IF(S21=C21,SUM(IF(($BR$30:$BR$38=C21)*($BS$29:$CA$29=S22),$BS$30:$CA$38)),0)</f>
        <v>0</v>
      </c>
      <c r="AP56" s="3">
        <f t="array" aca="1" ref="AP56" ca="1">IF(S21=C21,SUM(IF(($BR$30:$BR$38=C21)*($BS$29:$CA$29=S23),$BS$30:$CA$38)),0)</f>
        <v>0</v>
      </c>
      <c r="AQ56" s="3">
        <f t="array" aca="1" ref="AQ56" ca="1">IF(S21=C21,SUM(IF(($BR$30:$BR$38=C21)*($BS$29:$CA$29=S$24),$BS$30:$CA$38)),0)</f>
        <v>0</v>
      </c>
      <c r="AR56" s="3">
        <f t="array" aca="1" ref="AR56" ca="1">IF(S21=C21,SUM(IF(($BR$30:$BR$38=C21)*($BS$29:$CA$29=S$25),$BS$30:$CA$38)),0)</f>
        <v>0</v>
      </c>
      <c r="AS56" s="5">
        <f t="array" aca="1" ref="AS56" ca="1">IF(T21=C21,SUM(IF(($BR$30:$BR$38=C21)*($BS$29:$CA$29=T17),$BS$30:$CA$38)),0)</f>
        <v>0</v>
      </c>
      <c r="AT56" s="3">
        <f t="array" aca="1" ref="AT56" ca="1">IF(T21=C21,SUM(IF(($BR$30:$BR$38=C21)*($BS$29:$CA$29=T18),$BS$30:$CA$38)),0)</f>
        <v>0</v>
      </c>
      <c r="AU56" s="3">
        <f t="array" aca="1" ref="AU56" ca="1">IF(T21=C21,SUM(IF(($BR$30:$BR$38=C21)*($BS$29:$CA$29=T19),$BS$30:$CA$38)),0)</f>
        <v>0</v>
      </c>
      <c r="AV56" s="3">
        <f t="array" aca="1" ref="AV56" ca="1">IF(T21=C21,SUM(IF(($BR$30:$BR$38=C21)*($BS$29:$CA$29=T20),$BS$30:$CA$38)),0)</f>
        <v>0</v>
      </c>
      <c r="AW56" s="3">
        <f t="array" aca="1" ref="AW56" ca="1">IF(T21=C21,SUM(IF(($BR$30:$BR$38=C21)*($BS$29:$CA$29=T22),$BS$30:$CA$38)),0)</f>
        <v>0</v>
      </c>
      <c r="AX56" s="3">
        <f t="array" aca="1" ref="AX56" ca="1">IF(T21=C21,SUM(IF(($BR$30:$BR$38=C21)*($BS$29:$CA$29=T23),$BS$30:$CA$38)),0)</f>
        <v>0</v>
      </c>
      <c r="AY56" s="3">
        <f t="array" aca="1" ref="AY56" ca="1">IF(T21=C21,SUM(IF(($BR$30:$BR$38=C21)*($BS$29:$CA$29=T$24),$BS$30:$CA$38)),0)</f>
        <v>0</v>
      </c>
      <c r="AZ56" s="3">
        <f t="array" aca="1" ref="AZ56" ca="1">IF(T21=C21,SUM(IF(($BR$30:$BR$38=C21)*($BS$29:$CA$29=T$25),$BS$30:$CA$38)),0)</f>
        <v>0</v>
      </c>
      <c r="BA56" s="5">
        <f t="array" aca="1" ref="BA56" ca="1">IF(U21=C21,SUM(IF(($BR$30:$BR$38=C21)*($BS$29:$CA$29=U$17),$BS$30:$CA$38)),0)</f>
        <v>0</v>
      </c>
      <c r="BB56" s="3">
        <f t="array" aca="1" ref="BB56" ca="1">IF(U21=C21,SUM(IF(($BR$30:$BR$38=C21)*($BS$29:$CA$29=U$18),$BS$30:$CA$38)),0)</f>
        <v>0</v>
      </c>
      <c r="BC56" s="3">
        <f t="array" aca="1" ref="BC56" ca="1">IF(U21=C21,SUM(IF(($BR$30:$BR$38=C21)*($BS$29:$CA$29=U$19),$BS$30:$CA$38)),0)</f>
        <v>0</v>
      </c>
      <c r="BD56" s="3">
        <f t="array" aca="1" ref="BD56" ca="1">IF(U21=C21,SUM(IF(($BR$30:$BR$38=C21)*($BS$29:$CA$29=U$20),$BS$30:$CA$38)),0)</f>
        <v>0</v>
      </c>
      <c r="BE56" s="3">
        <f t="array" aca="1" ref="BE56" ca="1">IF(U21=C21,SUM(IF(($BR$30:$BR$38=C21)*($BS$29:$CA$29=U$22),$BS$30:$CA$38)),0)</f>
        <v>0</v>
      </c>
      <c r="BF56" s="3">
        <f t="array" aca="1" ref="BF56" ca="1">IF(U21=C21,SUM(IF(($BR$30:$BR$38=C21)*($BS$29:$CA$29=U$23),$BS$30:$CA$38)),0)</f>
        <v>0</v>
      </c>
      <c r="BG56" s="3">
        <f t="array" aca="1" ref="BG56" ca="1">IF(U21=C21,SUM(IF(($BR$30:$BR$38=C21)*($BS$29:$CA$29=U$24),$BS$30:$CA$38)),0)</f>
        <v>0</v>
      </c>
      <c r="BH56" s="3">
        <f t="array" aca="1" ref="BH56" ca="1">IF(U21=C21,SUM(IF(($BR$30:$BR$38=C21)*($BS$29:$CA$29=U$25),$BS$30:$CA$38)),0)</f>
        <v>0</v>
      </c>
      <c r="BI56" s="5">
        <f t="array" aca="1" ref="BI56" ca="1">IF(V21=C21,SUM(IF(($BR$30:$BR$38=C21)*($BS$29:$CA$29=V$17),$BS$30:$CA$38)),0)</f>
        <v>0</v>
      </c>
      <c r="BJ56" s="3">
        <f t="array" aca="1" ref="BJ56" ca="1">IF(V21=C21,SUM(IF(($BR$30:$BR$38=C21)*($BS$29:$CA$29=V$18),$BS$30:$CA$38)),0)</f>
        <v>0</v>
      </c>
      <c r="BK56" s="3">
        <f t="array" aca="1" ref="BK56" ca="1">IF(V21=C21,SUM(IF(($BR$30:$BR$38=C21)*($BS$29:$CA$29=V$19),$BS$30:$CA$38)),0)</f>
        <v>0</v>
      </c>
      <c r="BL56" s="3">
        <f t="array" aca="1" ref="BL56" ca="1">IF(V21=C21,SUM(IF(($BR$30:$BR$38=C21)*($BS$29:$CA$29=V$20),$BS$30:$CA$38)),0)</f>
        <v>0</v>
      </c>
      <c r="BM56" s="3">
        <f t="array" aca="1" ref="BM56" ca="1">IF(V21=C21,SUM(IF(($BR$30:$BR$38=C21)*($BS$29:$CA$29=V$22),$BS$30:$CA$38)),0)</f>
        <v>0</v>
      </c>
      <c r="BN56" s="3">
        <f t="array" aca="1" ref="BN56" ca="1">IF(V21=C21,SUM(IF(($BR$30:$BR$38=C21)*($BS$29:$CA$29=V$23),$BS$30:$CA$38)),0)</f>
        <v>0</v>
      </c>
      <c r="BO56" s="3">
        <f t="array" aca="1" ref="BO56" ca="1">IF(V21=C21,SUM(IF(($BR$30:$BR$38=C21)*($BS$29:$CA$29=V$24),$BS$30:$CA$38)),0)</f>
        <v>0</v>
      </c>
      <c r="BP56" s="15">
        <f t="array" aca="1" ref="BP56" ca="1">IF(V21=C21,SUM(IF(($BR$30:$BR$38=C21)*($BS$29:$CA$29=V$25),$BS$30:$CA$38)),0)</f>
        <v>0</v>
      </c>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2:80" s="2" customFormat="1" x14ac:dyDescent="0.2">
      <c r="E57" s="14">
        <f t="array" aca="1" ref="E57" ca="1">IF(O22=C22,SUM(IF(($BR$30:$BR$38=C22)*($BS$29:$CA$29=O17),$BS$30:$CA$38)),0)</f>
        <v>0</v>
      </c>
      <c r="F57" s="3">
        <f t="array" aca="1" ref="F57" ca="1">IF(O22=C22,SUM(IF(($BR$30:$BR$38=C22)*($BS$29:$CA$29=O18),$BS$30:$CA$38)),0)</f>
        <v>0</v>
      </c>
      <c r="G57" s="3">
        <f t="array" aca="1" ref="G57" ca="1">IF(O22=C22,SUM(IF(($BR$30:$BR$38=C22)*($BS$29:$CA$29=O19),$BS$30:$CA$38)),0)</f>
        <v>0</v>
      </c>
      <c r="H57" s="3">
        <f t="array" aca="1" ref="H57" ca="1">IF(O22=C22,SUM(IF(($BR$30:$BR$38=C22)*($BS$29:$CA$29=O20),$BS$30:$CA$38)),0)</f>
        <v>0</v>
      </c>
      <c r="I57" s="3">
        <f t="array" aca="1" ref="I57" ca="1">IF(O22=C22,SUM(IF(($BR$30:$BR$38=C22)*($BS$29:$CA$29=O21),$BS$30:$CA$38)),0)</f>
        <v>0</v>
      </c>
      <c r="J57" s="3">
        <f t="array" aca="1" ref="J57" ca="1">IF(O22=C22,SUM(IF(($BR$30:$BR$38=C22)*($BS$29:$CA$29=O23),$BS$30:$CA$38)),0)</f>
        <v>0</v>
      </c>
      <c r="K57" s="3">
        <f t="array" aca="1" ref="K57" ca="1">IF(O22=C22,SUM(IF(($BR$30:$BR$38=C22)*($BS$29:$CA$29=O$24),$BS$30:$CA$38)),0)</f>
        <v>0</v>
      </c>
      <c r="L57" s="3">
        <f t="array" aca="1" ref="L57" ca="1">IF(O22=C22,SUM(IF(($BR$30:$BR$38=C22)*($BS$29:$CA$29=O$25),$BS$30:$CA$38)),0)</f>
        <v>0</v>
      </c>
      <c r="M57" s="5">
        <f t="array" aca="1" ref="M57" ca="1">IF(P22=C22,SUM(IF(($BR$30:$BR$38=C22)*($BS$29:$CA$29=P17),$BS$30:$CA$38)),0)</f>
        <v>0</v>
      </c>
      <c r="N57" s="3">
        <f t="array" aca="1" ref="N57" ca="1">IF(P22=C22,SUM(IF(($BR$30:$BR$38=C22)*($BS$29:$CA$29=P18),$BS$30:$CA$38)),0)</f>
        <v>0</v>
      </c>
      <c r="O57" s="3">
        <f t="array" aca="1" ref="O57" ca="1">IF(P22=C22,SUM(IF(($BR$30:$BR$38=C22)*($BS$29:$CA$29=P19),$BS$30:$CA$38)),0)</f>
        <v>0</v>
      </c>
      <c r="P57" s="3">
        <f t="array" aca="1" ref="P57" ca="1">IF(P22=C22,SUM(IF(($BR$30:$BR$38=C22)*($BS$29:$CA$29=P20),$BS$30:$CA$38)),0)</f>
        <v>0</v>
      </c>
      <c r="Q57" s="3">
        <f t="array" aca="1" ref="Q57" ca="1">IF(P22=C22,SUM(IF(($BR$30:$BR$38=C22)*($BS$29:$CA$29=P21),$BS$30:$CA$38)),0)</f>
        <v>0</v>
      </c>
      <c r="R57" s="3">
        <f t="array" aca="1" ref="R57" ca="1">IF(P22=C22,SUM(IF(($BR$30:$BR$38=C22)*($BS$29:$CA$29=P23),$BS$30:$CA$38)),0)</f>
        <v>0</v>
      </c>
      <c r="S57" s="3">
        <f t="array" aca="1" ref="S57" ca="1">IF(P22=C22,SUM(IF(($BR$30:$BR$38=C22)*($BS$29:$CA$29=P$24),$BS$30:$CA$38)),0)</f>
        <v>0</v>
      </c>
      <c r="T57" s="3">
        <f t="array" aca="1" ref="T57" ca="1">IF(P22=C22,SUM(IF(($BR$30:$BR$38=C22)*($BS$29:$CA$29=P$25),$BS$30:$CA$38)),0)</f>
        <v>0</v>
      </c>
      <c r="U57" s="5">
        <f t="array" aca="1" ref="U57" ca="1">IF(Q22=C22,SUM(IF(($BR$30:$BR$38=C22)*($BS$29:$CA$29=Q17),$BS$30:$CA$38)),0)</f>
        <v>0</v>
      </c>
      <c r="V57" s="3">
        <f t="array" aca="1" ref="V57" ca="1">IF(Q22=C22,SUM(IF(($BR$30:$BR$38=C22)*($BS$29:$CA$29=Q18),$BS$30:$CA$38)),0)</f>
        <v>0</v>
      </c>
      <c r="W57" s="3">
        <f t="array" aca="1" ref="W57" ca="1">IF(Q22=C22,SUM(IF(($BR$30:$BR$38=C22)*($BS$29:$CA$29=Q19),$BS$30:$CA$38)),0)</f>
        <v>0</v>
      </c>
      <c r="X57" s="3">
        <f t="array" aca="1" ref="X57" ca="1">IF(Q22=C22,SUM(IF(($BR$30:$BR$38=C22)*($BS$29:$CA$29=Q20),$BS$30:$CA$38)),0)</f>
        <v>0</v>
      </c>
      <c r="Y57" s="3">
        <f t="array" aca="1" ref="Y57" ca="1">IF(Q22=C22,SUM(IF(($BR$30:$BR$38=C22)*($BS$29:$CA$29=Q21),$BS$30:$CA$38)),0)</f>
        <v>0</v>
      </c>
      <c r="Z57" s="3">
        <f t="array" aca="1" ref="Z57" ca="1">IF(Q22=C22,SUM(IF(($BR$30:$BR$38=C22)*($BS$29:$CA$29=Q23),$BS$30:$CA$38)),0)</f>
        <v>0</v>
      </c>
      <c r="AA57" s="3">
        <f t="array" aca="1" ref="AA57" ca="1">IF(Q22=C22,SUM(IF(($BR$30:$BR$38=C22)*($BS$29:$CA$29=Q$24),$BS$30:$CA$38)),0)</f>
        <v>0</v>
      </c>
      <c r="AB57" s="3">
        <f t="array" aca="1" ref="AB57" ca="1">IF(Q22=C22,SUM(IF(($BR$30:$BR$38=C22)*($BS$29:$CA$29=Q$25),$BS$30:$CA$38)),0)</f>
        <v>0</v>
      </c>
      <c r="AC57" s="5">
        <f t="array" aca="1" ref="AC57" ca="1">IF(R22=C22,SUM(IF(($BR$30:$BR$38=C22)*($BS$29:$CA$29=R17),$BS$30:$CA$38)),0)</f>
        <v>0</v>
      </c>
      <c r="AD57" s="3">
        <f t="array" aca="1" ref="AD57" ca="1">IF(R22=C22,SUM(IF(($BR$30:$BR$38=C22)*($BS$29:$CA$29=R18),$BS$30:$CA$38)),0)</f>
        <v>0</v>
      </c>
      <c r="AE57" s="3">
        <f t="array" aca="1" ref="AE57" ca="1">IF(R22=C22,SUM(IF(($BR$30:$BR$38=C22)*($BS$29:$CA$29=R19),$BS$30:$CA$38)),0)</f>
        <v>0</v>
      </c>
      <c r="AF57" s="3">
        <f t="array" aca="1" ref="AF57" ca="1">IF(R22=C22,SUM(IF(($BR$30:$BR$38=C22)*($BS$29:$CA$29=R20),$BS$30:$CA$38)),0)</f>
        <v>0</v>
      </c>
      <c r="AG57" s="3">
        <f t="array" aca="1" ref="AG57" ca="1">IF(R22=C22,SUM(IF(($BR$30:$BR$38=C22)*($BS$29:$CA$29=R21),$BS$30:$CA$38)),0)</f>
        <v>0</v>
      </c>
      <c r="AH57" s="3">
        <f t="array" aca="1" ref="AH57" ca="1">IF(R22=C22,SUM(IF(($BR$30:$BR$38=C22)*($BS$29:$CA$29=R23),$BS$30:$CA$38)),0)</f>
        <v>0</v>
      </c>
      <c r="AI57" s="3">
        <f t="array" aca="1" ref="AI57" ca="1">IF(R22=C22,SUM(IF(($BR$30:$BR$38=C22)*($BS$29:$CA$29=R$24),$BS$30:$CA$38)),0)</f>
        <v>0</v>
      </c>
      <c r="AJ57" s="3">
        <f t="array" aca="1" ref="AJ57" ca="1">IF(R22=C22,SUM(IF(($BR$30:$BR$38=C22)*($BS$29:$CA$29=R$25),$BS$30:$CA$38)),0)</f>
        <v>0</v>
      </c>
      <c r="AK57" s="5">
        <f t="array" aca="1" ref="AK57" ca="1">IF(S22=C22,SUM(IF(($BR$30:$BR$38=C22)*($BS$29:$CA$29=S17),$BS$30:$CA$38)),0)</f>
        <v>0</v>
      </c>
      <c r="AL57" s="3">
        <f t="array" aca="1" ref="AL57" ca="1">IF(S22=C22,SUM(IF(($BR$30:$BR$38=C22)*($BS$29:$CA$29=S18),$BS$30:$CA$38)),0)</f>
        <v>0</v>
      </c>
      <c r="AM57" s="3">
        <f t="array" aca="1" ref="AM57" ca="1">IF(S22=C22,SUM(IF(($BR$30:$BR$38=C22)*($BS$29:$CA$29=S19),$BS$30:$CA$38)),0)</f>
        <v>0</v>
      </c>
      <c r="AN57" s="3">
        <f t="array" aca="1" ref="AN57" ca="1">IF(S22=C22,SUM(IF(($BR$30:$BR$38=C22)*($BS$29:$CA$29=S20),$BS$30:$CA$38)),0)</f>
        <v>0</v>
      </c>
      <c r="AO57" s="3">
        <f t="array" aca="1" ref="AO57" ca="1">IF(S22=C22,SUM(IF(($BR$30:$BR$38=C22)*($BS$29:$CA$29=S21),$BS$30:$CA$38)),0)</f>
        <v>0</v>
      </c>
      <c r="AP57" s="3">
        <f t="array" aca="1" ref="AP57" ca="1">IF(S22=C22,SUM(IF(($BR$30:$BR$38=C22)*($BS$29:$CA$29=S23),$BS$30:$CA$38)),0)</f>
        <v>0</v>
      </c>
      <c r="AQ57" s="3">
        <f t="array" aca="1" ref="AQ57" ca="1">IF(S22=C22,SUM(IF(($BR$30:$BR$38=C22)*($BS$29:$CA$29=S$24),$BS$30:$CA$38)),0)</f>
        <v>0</v>
      </c>
      <c r="AR57" s="3">
        <f t="array" aca="1" ref="AR57" ca="1">IF(S22=C22,SUM(IF(($BR$30:$BR$38=C22)*($BS$29:$CA$29=S$25),$BS$30:$CA$38)),0)</f>
        <v>0</v>
      </c>
      <c r="AS57" s="5">
        <f t="array" aca="1" ref="AS57" ca="1">IF(T22=C22,SUM(IF(($BR$30:$BR$38=C22)*($BS$29:$CA$29=T17),$BS$30:$CA$38)),0)</f>
        <v>0</v>
      </c>
      <c r="AT57" s="3">
        <f t="array" aca="1" ref="AT57" ca="1">IF(T22=C22,SUM(IF(($BR$30:$BR$38=C22)*($BS$29:$CA$29=T18),$BS$30:$CA$38)),0)</f>
        <v>0</v>
      </c>
      <c r="AU57" s="3">
        <f t="array" aca="1" ref="AU57" ca="1">IF(T22=C22,SUM(IF(($BR$30:$BR$38=C22)*($BS$29:$CA$29=T19),$BS$30:$CA$38)),0)</f>
        <v>0</v>
      </c>
      <c r="AV57" s="3">
        <f t="array" aca="1" ref="AV57" ca="1">IF(T22=C22,SUM(IF(($BR$30:$BR$38=C22)*($BS$29:$CA$29=T20),$BS$30:$CA$38)),0)</f>
        <v>0</v>
      </c>
      <c r="AW57" s="3">
        <f t="array" aca="1" ref="AW57" ca="1">IF(T22=C22,SUM(IF(($BR$30:$BR$38=C22)*($BS$29:$CA$29=T21),$BS$30:$CA$38)),0)</f>
        <v>0</v>
      </c>
      <c r="AX57" s="3">
        <f t="array" aca="1" ref="AX57" ca="1">IF(T22=C22,SUM(IF(($BR$30:$BR$38=C22)*($BS$29:$CA$29=T23),$BS$30:$CA$38)),0)</f>
        <v>0</v>
      </c>
      <c r="AY57" s="3">
        <f t="array" aca="1" ref="AY57" ca="1">IF(T22=C22,SUM(IF(($BR$30:$BR$38=C22)*($BS$29:$CA$29=T$24),$BS$30:$CA$38)),0)</f>
        <v>0</v>
      </c>
      <c r="AZ57" s="3">
        <f t="array" aca="1" ref="AZ57" ca="1">IF(T22=C22,SUM(IF(($BR$30:$BR$38=C22)*($BS$29:$CA$29=T$25),$BS$30:$CA$38)),0)</f>
        <v>0</v>
      </c>
      <c r="BA57" s="5">
        <f t="array" aca="1" ref="BA57" ca="1">IF(U22=C22,SUM(IF(($BR$30:$BR$38=C22)*($BS$29:$CA$29=U$17),$BS$30:$CA$38)),0)</f>
        <v>0</v>
      </c>
      <c r="BB57" s="3">
        <f t="array" aca="1" ref="BB57" ca="1">IF(U22=C22,SUM(IF(($BR$30:$BR$38=C22)*($BS$29:$CA$29=U$18),$BS$30:$CA$38)),0)</f>
        <v>0</v>
      </c>
      <c r="BC57" s="3">
        <f t="array" aca="1" ref="BC57" ca="1">IF(U22=C22,SUM(IF(($BR$30:$BR$38=C22)*($BS$29:$CA$29=U$19),$BS$30:$CA$38)),0)</f>
        <v>0</v>
      </c>
      <c r="BD57" s="3">
        <f t="array" aca="1" ref="BD57" ca="1">IF(U22=C22,SUM(IF(($BR$30:$BR$38=C22)*($BS$29:$CA$29=U$20),$BS$30:$CA$38)),0)</f>
        <v>0</v>
      </c>
      <c r="BE57" s="3">
        <f t="array" aca="1" ref="BE57" ca="1">IF(U22=C22,SUM(IF(($BR$30:$BR$38=C22)*($BS$29:$CA$29=U$21),$BS$30:$CA$38)),0)</f>
        <v>0</v>
      </c>
      <c r="BF57" s="3">
        <f t="array" aca="1" ref="BF57" ca="1">IF(U22=C22,SUM(IF(($BR$30:$BR$38=C22)*($BS$29:$CA$29=U$23),$BS$30:$CA$38)),0)</f>
        <v>0</v>
      </c>
      <c r="BG57" s="3">
        <f t="array" aca="1" ref="BG57" ca="1">IF(U22=C22,SUM(IF(($BR$30:$BR$38=C22)*($BS$29:$CA$29=U$24),$BS$30:$CA$38)),0)</f>
        <v>0</v>
      </c>
      <c r="BH57" s="3">
        <f t="array" aca="1" ref="BH57" ca="1">IF(U22=C22,SUM(IF(($BR$30:$BR$38=C22)*($BS$29:$CA$29=U$25),$BS$30:$CA$38)),0)</f>
        <v>0</v>
      </c>
      <c r="BI57" s="5">
        <f t="array" aca="1" ref="BI57" ca="1">IF(V22=C22,SUM(IF(($BR$30:$BR$38=C22)*($BS$29:$CA$29=V$17),$BS$30:$CA$38)),0)</f>
        <v>0</v>
      </c>
      <c r="BJ57" s="3">
        <f t="array" aca="1" ref="BJ57" ca="1">IF(V22=C22,SUM(IF(($BR$30:$BR$38=C22)*($BS$29:$CA$29=V$18),$BS$30:$CA$38)),0)</f>
        <v>0</v>
      </c>
      <c r="BK57" s="3">
        <f t="array" aca="1" ref="BK57" ca="1">IF(V22=C22,SUM(IF(($BR$30:$BR$38=C22)*($BS$29:$CA$29=V$19),$BS$30:$CA$38)),0)</f>
        <v>0</v>
      </c>
      <c r="BL57" s="3">
        <f t="array" aca="1" ref="BL57" ca="1">IF(V22=C22,SUM(IF(($BR$30:$BR$38=C22)*($BS$29:$CA$29=V$20),$BS$30:$CA$38)),0)</f>
        <v>0</v>
      </c>
      <c r="BM57" s="3">
        <f t="array" aca="1" ref="BM57" ca="1">IF(V22=C22,SUM(IF(($BR$30:$BR$38=C22)*($BS$29:$CA$29=V$21),$BS$30:$CA$38)),0)</f>
        <v>0</v>
      </c>
      <c r="BN57" s="3">
        <f t="array" aca="1" ref="BN57" ca="1">IF(V22=C22,SUM(IF(($BR$30:$BR$38=C22)*($BS$29:$CA$29=V$23),$BS$30:$CA$38)),0)</f>
        <v>0</v>
      </c>
      <c r="BO57" s="3">
        <f t="array" aca="1" ref="BO57" ca="1">IF(V22=C22,SUM(IF(($BR$30:$BR$38=C22)*($BS$29:$CA$29=V$24),$BS$30:$CA$38)),0)</f>
        <v>0</v>
      </c>
      <c r="BP57" s="15">
        <f t="array" aca="1" ref="BP57" ca="1">IF(V22=C22,SUM(IF(($BR$30:$BR$38=C22)*($BS$29:$CA$29=V$25),$BS$30:$CA$38)),0)</f>
        <v>0</v>
      </c>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2:80" s="2" customFormat="1" x14ac:dyDescent="0.2">
      <c r="E58" s="14">
        <f t="array" aca="1" ref="E58" ca="1">IF(O23=C23,SUM(IF(($BR$30:$BR$38=C23)*($BS$29:$CA$29=O$17),$BS$30:$CA$38)),0)</f>
        <v>0</v>
      </c>
      <c r="F58" s="3">
        <f t="array" aca="1" ref="F58" ca="1">IF(O23=C23,SUM(IF(($BR$30:$BR$38=C23)*($BS$29:$CA$29=O$18),$BS$30:$CA$38)),0)</f>
        <v>0</v>
      </c>
      <c r="G58" s="3">
        <f t="array" aca="1" ref="G58" ca="1">IF(O23=C23,SUM(IF(($BR$30:$BR$38=C23)*($BS$29:$CA$29=O$19),$BS$30:$CA$38)),0)</f>
        <v>0</v>
      </c>
      <c r="H58" s="3">
        <f t="array" aca="1" ref="H58" ca="1">IF(O23=C23,SUM(IF(($BR$30:$BR$38=C23)*($BS$29:$CA$29=O$20),$BS$30:$CA$38)),0)</f>
        <v>0</v>
      </c>
      <c r="I58" s="3">
        <f t="array" aca="1" ref="I58" ca="1">IF(O23=C23,SUM(IF(($BR$30:$BR$38=C23)*($BS$29:$CA$29=O$21),$BS$30:$CA$38)),0)</f>
        <v>0</v>
      </c>
      <c r="J58" s="3">
        <f t="array" aca="1" ref="J58" ca="1">IF(O23=C23,SUM(IF(($BR$30:$BR$38=C23)*($BS$29:$CA$29=O$22),$BS$30:$CA$38)),0)</f>
        <v>0</v>
      </c>
      <c r="K58" s="3">
        <f t="array" aca="1" ref="K58" ca="1">IF(O23=C23,SUM(IF(($BR$30:$BR$38=C23)*($BS$29:$CA$29=O$24),$BS$30:$CA$38)),0)</f>
        <v>0</v>
      </c>
      <c r="L58" s="3">
        <f t="array" aca="1" ref="L58" ca="1">IF(O23=C23,SUM(IF(($BR$30:$BR$38=C23)*($BS$29:$CA$29=O$25),$BS$30:$CA$38)),0)</f>
        <v>0</v>
      </c>
      <c r="M58" s="5">
        <f t="array" aca="1" ref="M58" ca="1">IF(P23=C23,SUM(IF(($BR$30:$BR$38=C23)*($BS$29:$CA$29=P$17),$BS$30:$CA$38)),0)</f>
        <v>0</v>
      </c>
      <c r="N58" s="3">
        <f t="array" aca="1" ref="N58" ca="1">IF(P23=C23,SUM(IF(($BR$30:$BR$38=C23)*($BS$29:$CA$29=P$18),$BS$30:$CA$38)),0)</f>
        <v>0</v>
      </c>
      <c r="O58" s="3">
        <f t="array" aca="1" ref="O58" ca="1">IF(P23=C23,SUM(IF(($BR$30:$BR$38=C23)*($BS$29:$CA$29=P$19),$BS$30:$CA$38)),0)</f>
        <v>0</v>
      </c>
      <c r="P58" s="3">
        <f t="array" aca="1" ref="P58" ca="1">IF(P23=C23,SUM(IF(($BR$30:$BR$38=C23)*($BS$29:$CA$29=P$20),$BS$30:$CA$38)),0)</f>
        <v>0</v>
      </c>
      <c r="Q58" s="3">
        <f t="array" aca="1" ref="Q58" ca="1">IF(P23=C23,SUM(IF(($BR$30:$BR$38=C23)*($BS$29:$CA$29=P$21),$BS$30:$CA$38)),0)</f>
        <v>0</v>
      </c>
      <c r="R58" s="3">
        <f t="array" aca="1" ref="R58" ca="1">IF(P23=C23,SUM(IF(($BR$30:$BR$38=C23)*($BS$29:$CA$29=P$22),$BS$30:$CA$38)),0)</f>
        <v>0</v>
      </c>
      <c r="S58" s="3">
        <f t="array" aca="1" ref="S58" ca="1">IF(P23=C23,SUM(IF(($BR$30:$BR$38=C23)*($BS$29:$CA$29=P$24),$BS$30:$CA$38)),0)</f>
        <v>0</v>
      </c>
      <c r="T58" s="3">
        <f t="array" aca="1" ref="T58" ca="1">IF(P23=C23,SUM(IF(($BR$30:$BR$38=C23)*($BS$29:$CA$29=P$25),$BS$30:$CA$38)),0)</f>
        <v>0</v>
      </c>
      <c r="U58" s="5">
        <f t="array" aca="1" ref="U58" ca="1">IF(Q23=C23,SUM(IF(($BR$30:$BR$38=C23)*($BS$29:$CA$29=Q$17),$BS$30:$CA$38)),0)</f>
        <v>0</v>
      </c>
      <c r="V58" s="3">
        <f t="array" aca="1" ref="V58" ca="1">IF(Q23=C23,SUM(IF(($BR$30:$BR$38=C23)*($BS$29:$CA$29=Q$18),$BS$30:$CA$38)),0)</f>
        <v>0</v>
      </c>
      <c r="W58" s="3">
        <f t="array" aca="1" ref="W58" ca="1">IF(Q23=C23,SUM(IF(($BR$30:$BR$38=C23)*($BS$29:$CA$29=Q$19),$BS$30:$CA$38)),0)</f>
        <v>0</v>
      </c>
      <c r="X58" s="3">
        <f t="array" aca="1" ref="X58" ca="1">IF(Q23=C23,SUM(IF(($BR$30:$BR$38=C23)*($BS$29:$CA$29=Q$20),$BS$30:$CA$38)),0)</f>
        <v>0</v>
      </c>
      <c r="Y58" s="3">
        <f t="array" aca="1" ref="Y58" ca="1">IF(Q23=C23,SUM(IF(($BR$30:$BR$38=C23)*($BS$29:$CA$29=Q$21),$BS$30:$CA$38)),0)</f>
        <v>0</v>
      </c>
      <c r="Z58" s="3">
        <f t="array" aca="1" ref="Z58" ca="1">IF(Q23=C23,SUM(IF(($BR$30:$BR$38=C23)*($BS$29:$CA$29=Q$22),$BS$30:$CA$38)),0)</f>
        <v>0</v>
      </c>
      <c r="AA58" s="3">
        <f t="array" aca="1" ref="AA58" ca="1">IF(Q23=C23,SUM(IF(($BR$30:$BR$38=C23)*($BS$29:$CA$29=Q$24),$BS$30:$CA$38)),0)</f>
        <v>0</v>
      </c>
      <c r="AB58" s="3">
        <f t="array" aca="1" ref="AB58" ca="1">IF(Q23=C23,SUM(IF(($BR$30:$BR$38=C23)*($BS$29:$CA$29=Q$25),$BS$30:$CA$38)),0)</f>
        <v>0</v>
      </c>
      <c r="AC58" s="5">
        <f t="array" aca="1" ref="AC58" ca="1">IF(R23=C23,SUM(IF(($BR$30:$BR$38=C23)*($BS$29:$CA$29=R$17),$BS$30:$CA$38)),0)</f>
        <v>0</v>
      </c>
      <c r="AD58" s="3">
        <f t="array" aca="1" ref="AD58" ca="1">IF(R23=C23,SUM(IF(($BR$30:$BR$38=C23)*($BS$29:$CA$29=R$18),$BS$30:$CA$38)),0)</f>
        <v>0</v>
      </c>
      <c r="AE58" s="3">
        <f t="array" aca="1" ref="AE58" ca="1">IF(R23=C23,SUM(IF(($BR$30:$BR$38=C23)*($BS$29:$CA$29=R$19),$BS$30:$CA$38)),0)</f>
        <v>0</v>
      </c>
      <c r="AF58" s="3">
        <f t="array" aca="1" ref="AF58" ca="1">IF(R23=C23,SUM(IF(($BR$30:$BR$38=C23)*($BS$29:$CA$29=R$20),$BS$30:$CA$38)),0)</f>
        <v>0</v>
      </c>
      <c r="AG58" s="3">
        <f t="array" aca="1" ref="AG58" ca="1">IF(R23=C23,SUM(IF(($BR$30:$BR$38=C23)*($BS$29:$CA$29=R$21),$BS$30:$CA$38)),0)</f>
        <v>0</v>
      </c>
      <c r="AH58" s="3">
        <f t="array" aca="1" ref="AH58" ca="1">IF(R23=C23,SUM(IF(($BR$30:$BR$38=C23)*($BS$29:$CA$29=R$22),$BS$30:$CA$38)),0)</f>
        <v>0</v>
      </c>
      <c r="AI58" s="3">
        <f t="array" aca="1" ref="AI58" ca="1">IF(R23=C23,SUM(IF(($BR$30:$BR$38=C23)*($BS$29:$CA$29=R$24),$BS$30:$CA$38)),0)</f>
        <v>0</v>
      </c>
      <c r="AJ58" s="3">
        <f t="array" aca="1" ref="AJ58" ca="1">IF(R23=C23,SUM(IF(($BR$30:$BR$38=C23)*($BS$29:$CA$29=R$25),$BS$30:$CA$38)),0)</f>
        <v>0</v>
      </c>
      <c r="AK58" s="5">
        <f t="array" aca="1" ref="AK58" ca="1">IF(S23=C23,SUM(IF(($BR$30:$BR$38=C23)*($BS$29:$CA$29=S$17),$BS$30:$CA$38)),0)</f>
        <v>0</v>
      </c>
      <c r="AL58" s="3">
        <f t="array" aca="1" ref="AL58" ca="1">IF(S23=C23,SUM(IF(($BR$30:$BR$38=C23)*($BS$29:$CA$29=S$18),$BS$30:$CA$38)),0)</f>
        <v>0</v>
      </c>
      <c r="AM58" s="3">
        <f t="array" aca="1" ref="AM58" ca="1">IF(S23=C23,SUM(IF(($BR$30:$BR$38=C23)*($BS$29:$CA$29=S$19),$BS$30:$CA$38)),0)</f>
        <v>0</v>
      </c>
      <c r="AN58" s="3">
        <f t="array" aca="1" ref="AN58" ca="1">IF(S23=C23,SUM(IF(($BR$30:$BR$38=C23)*($BS$29:$CA$29=S$20),$BS$30:$CA$38)),0)</f>
        <v>0</v>
      </c>
      <c r="AO58" s="3">
        <f t="array" aca="1" ref="AO58" ca="1">IF(S23=C23,SUM(IF(($BR$30:$BR$38=C23)*($BS$29:$CA$29=S$21),$BS$30:$CA$38)),0)</f>
        <v>0</v>
      </c>
      <c r="AP58" s="3">
        <f t="array" aca="1" ref="AP58" ca="1">IF(S23=C23,SUM(IF(($BR$30:$BR$38=C23)*($BS$29:$CA$29=S$22),$BS$30:$CA$38)),0)</f>
        <v>0</v>
      </c>
      <c r="AQ58" s="3">
        <f t="array" aca="1" ref="AQ58" ca="1">IF(S23=C23,SUM(IF(($BR$30:$BR$38=C23)*($BS$29:$CA$29=S$24),$BS$30:$CA$38)),0)</f>
        <v>0</v>
      </c>
      <c r="AR58" s="3">
        <f t="array" aca="1" ref="AR58" ca="1">IF(S23=C23,SUM(IF(($BR$30:$BR$38=C23)*($BS$29:$CA$29=S$25),$BS$30:$CA$38)),0)</f>
        <v>0</v>
      </c>
      <c r="AS58" s="5">
        <f t="array" aca="1" ref="AS58" ca="1">IF(T23=C23,SUM(IF(($BR$30:$BR$38=C23)*($BS$29:$CA$29=T$17),$BS$30:$CA$38)),0)</f>
        <v>0</v>
      </c>
      <c r="AT58" s="3">
        <f t="array" aca="1" ref="AT58" ca="1">IF(T23=C23,SUM(IF(($BR$30:$BR$38=C23)*($BS$29:$CA$29=T$18),$BS$30:$CA$38)),0)</f>
        <v>0</v>
      </c>
      <c r="AU58" s="3">
        <f t="array" aca="1" ref="AU58" ca="1">IF(T23=C23,SUM(IF(($BR$30:$BR$38=C23)*($BS$29:$CA$29=T$19),$BS$30:$CA$38)),0)</f>
        <v>0</v>
      </c>
      <c r="AV58" s="3">
        <f t="array" aca="1" ref="AV58" ca="1">IF(T23=C23,SUM(IF(($BR$30:$BR$38=C23)*($BS$29:$CA$29=T$20),$BS$30:$CA$38)),0)</f>
        <v>0</v>
      </c>
      <c r="AW58" s="3">
        <f t="array" aca="1" ref="AW58" ca="1">IF(T23=C23,SUM(IF(($BR$30:$BR$38=C23)*($BS$29:$CA$29=T$21),$BS$30:$CA$38)),0)</f>
        <v>0</v>
      </c>
      <c r="AX58" s="3">
        <f t="array" aca="1" ref="AX58" ca="1">IF(T23=C23,SUM(IF(($BR$30:$BR$38=C23)*($BS$29:$CA$29=T$22),$BS$30:$CA$38)),0)</f>
        <v>0</v>
      </c>
      <c r="AY58" s="3">
        <f t="array" aca="1" ref="AY58" ca="1">IF(T23=C23,SUM(IF(($BR$30:$BR$38=C23)*($BS$29:$CA$29=T$24),$BS$30:$CA$38)),0)</f>
        <v>0</v>
      </c>
      <c r="AZ58" s="3">
        <f t="array" aca="1" ref="AZ58" ca="1">IF(T23=C23,SUM(IF(($BR$30:$BR$38=C23)*($BS$29:$CA$29=T$25),$BS$30:$CA$38)),0)</f>
        <v>0</v>
      </c>
      <c r="BA58" s="5">
        <f t="array" aca="1" ref="BA58" ca="1">IF(U23=C23,SUM(IF(($BR$30:$BR$38=C23)*($BS$29:$CA$29=U$17),$BS$30:$CA$38)),0)</f>
        <v>0</v>
      </c>
      <c r="BB58" s="3">
        <f t="array" aca="1" ref="BB58" ca="1">IF(U23=C23,SUM(IF(($BR$30:$BR$38=C23)*($BS$29:$CA$29=U$18),$BS$30:$CA$38)),0)</f>
        <v>0</v>
      </c>
      <c r="BC58" s="3">
        <f t="array" aca="1" ref="BC58" ca="1">IF(U23=C23,SUM(IF(($BR$30:$BR$38=C23)*($BS$29:$CA$29=U$19),$BS$30:$CA$38)),0)</f>
        <v>0</v>
      </c>
      <c r="BD58" s="3">
        <f t="array" aca="1" ref="BD58" ca="1">IF(U23=C23,SUM(IF(($BR$30:$BR$38=C23)*($BS$29:$CA$29=U$20),$BS$30:$CA$38)),0)</f>
        <v>0</v>
      </c>
      <c r="BE58" s="3">
        <f t="array" aca="1" ref="BE58" ca="1">IF(U23=C23,SUM(IF(($BR$30:$BR$38=C23)*($BS$29:$CA$29=U$21),$BS$30:$CA$38)),0)</f>
        <v>0</v>
      </c>
      <c r="BF58" s="3">
        <f t="array" aca="1" ref="BF58" ca="1">IF(U23=C23,SUM(IF(($BR$30:$BR$38=C23)*($BS$29:$CA$29=U$22),$BS$30:$CA$38)),0)</f>
        <v>0</v>
      </c>
      <c r="BG58" s="3">
        <f t="array" aca="1" ref="BG58" ca="1">IF(U23=C23,SUM(IF(($BR$30:$BR$38=C23)*($BS$29:$CA$29=U$24),$BS$30:$CA$38)),0)</f>
        <v>0</v>
      </c>
      <c r="BH58" s="3">
        <f t="array" aca="1" ref="BH58" ca="1">IF(U23=C23,SUM(IF(($BR$30:$BR$38=C23)*($BS$29:$CA$29=U$25),$BS$30:$CA$38)),0)</f>
        <v>0</v>
      </c>
      <c r="BI58" s="5">
        <f t="array" aca="1" ref="BI58" ca="1">IF(V23=C23,SUM(IF(($BR$30:$BR$38=C23)*($BS$29:$CA$29=V$17),$BS$30:$CA$38)),0)</f>
        <v>0</v>
      </c>
      <c r="BJ58" s="3">
        <f t="array" aca="1" ref="BJ58" ca="1">IF(V23=C23,SUM(IF(($BR$30:$BR$38=C23)*($BS$29:$CA$29=V$18),$BS$30:$CA$38)),0)</f>
        <v>0</v>
      </c>
      <c r="BK58" s="3">
        <f t="array" aca="1" ref="BK58" ca="1">IF(V23=C23,SUM(IF(($BR$30:$BR$38=C23)*($BS$29:$CA$29=V$19),$BS$30:$CA$38)),0)</f>
        <v>0</v>
      </c>
      <c r="BL58" s="3">
        <f t="array" aca="1" ref="BL58" ca="1">IF(V23=C23,SUM(IF(($BR$30:$BR$38=C23)*($BS$29:$CA$29=V$20),$BS$30:$CA$38)),0)</f>
        <v>0</v>
      </c>
      <c r="BM58" s="3">
        <f t="array" aca="1" ref="BM58" ca="1">IF(V23=C23,SUM(IF(($BR$30:$BR$38=C23)*($BS$29:$CA$29=V$21),$BS$30:$CA$38)),0)</f>
        <v>0</v>
      </c>
      <c r="BN58" s="3">
        <f t="array" aca="1" ref="BN58" ca="1">IF(V23=C23,SUM(IF(($BR$30:$BR$38=C23)*($BS$29:$CA$29=V$22),$BS$30:$CA$38)),0)</f>
        <v>0</v>
      </c>
      <c r="BO58" s="3">
        <f t="array" aca="1" ref="BO58" ca="1">IF(V23=C23,SUM(IF(($BR$30:$BR$38=C23)*($BS$29:$CA$29=V$24),$BS$30:$CA$38)),0)</f>
        <v>0</v>
      </c>
      <c r="BP58" s="15">
        <f t="array" aca="1" ref="BP58" ca="1">IF(V23=C23,SUM(IF(($BR$30:$BR$38=C23)*($BS$29:$CA$29=V$25),$BS$30:$CA$38)),0)</f>
        <v>0</v>
      </c>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2:80" s="2" customFormat="1" x14ac:dyDescent="0.2">
      <c r="E59" s="14">
        <f t="array" aca="1" ref="E59" ca="1">IF(O24=C24,SUM(IF(($BR$30:$BR$38=C24)*($BS$29:$CA$29=O$17),$BS$30:$CA$38)),0)</f>
        <v>0</v>
      </c>
      <c r="F59" s="3">
        <f t="array" aca="1" ref="F59" ca="1">IF(O24=C24,SUM(IF(($BR$30:$BR$38=C24)*($BS$29:$CA$29=O$18),$BS$30:$CA$38)),0)</f>
        <v>0</v>
      </c>
      <c r="G59" s="3">
        <f t="array" aca="1" ref="G59" ca="1">IF(O24=C24,SUM(IF(($BR$30:$BR$38=C24)*($BS$29:$CA$29=O$19),$BS$30:$CA$38)),0)</f>
        <v>0</v>
      </c>
      <c r="H59" s="3">
        <f t="array" aca="1" ref="H59" ca="1">IF(O24=C24,SUM(IF(($BR$30:$BR$38=C24)*($BS$29:$CA$29=O$20),$BS$30:$CA$38)),0)</f>
        <v>0</v>
      </c>
      <c r="I59" s="3">
        <f t="array" aca="1" ref="I59" ca="1">IF(O24=C24,SUM(IF(($BR$30:$BR$38=C24)*($BS$29:$CA$29=O$21),$BS$30:$CA$38)),0)</f>
        <v>0</v>
      </c>
      <c r="J59" s="3">
        <f t="array" aca="1" ref="J59" ca="1">IF(O24=C24,SUM(IF(($BR$30:$BR$38=C24)*($BS$29:$CA$29=O$22),$BS$30:$CA$38)),0)</f>
        <v>0</v>
      </c>
      <c r="K59" s="3">
        <f t="array" aca="1" ref="K59" ca="1">IF(O24=C24,SUM(IF(($BR$30:$BR$38=C24)*($BS$29:$CA$29=O$23),$BS$30:$CA$38)),0)</f>
        <v>0</v>
      </c>
      <c r="L59" s="3">
        <f t="array" aca="1" ref="L59" ca="1">IF(O24=C24,SUM(IF(($BR$30:$BR$38=C24)*($BS$29:$CA$29=O$25),$BS$30:$CA$38)),0)</f>
        <v>0</v>
      </c>
      <c r="M59" s="5">
        <f t="array" aca="1" ref="M59" ca="1">IF(P24=C24,SUM(IF(($BR$30:$BR$38=C24)*($BS$29:$CA$29=P$17),$BS$30:$CA$38)),0)</f>
        <v>0</v>
      </c>
      <c r="N59" s="3">
        <f t="array" aca="1" ref="N59" ca="1">IF(P24=C24,SUM(IF(($BR$30:$BR$38=C24)*($BS$29:$CA$29=P$18),$BS$30:$CA$38)),0)</f>
        <v>0</v>
      </c>
      <c r="O59" s="3">
        <f t="array" aca="1" ref="O59" ca="1">IF(P24=C24,SUM(IF(($BR$30:$BR$38=C24)*($BS$29:$CA$29=P$19),$BS$30:$CA$38)),0)</f>
        <v>0</v>
      </c>
      <c r="P59" s="3">
        <f t="array" aca="1" ref="P59" ca="1">IF(P24=C24,SUM(IF(($BR$30:$BR$38=C24)*($BS$29:$CA$29=P$20),$BS$30:$CA$38)),0)</f>
        <v>0</v>
      </c>
      <c r="Q59" s="3">
        <f t="array" aca="1" ref="Q59" ca="1">IF(P24=C24,SUM(IF(($BR$30:$BR$38=C24)*($BS$29:$CA$29=P$21),$BS$30:$CA$38)),0)</f>
        <v>0</v>
      </c>
      <c r="R59" s="3">
        <f t="array" aca="1" ref="R59" ca="1">IF(P24=C24,SUM(IF(($BR$30:$BR$38=C24)*($BS$29:$CA$29=P$22),$BS$30:$CA$38)),0)</f>
        <v>0</v>
      </c>
      <c r="S59" s="3">
        <f t="array" aca="1" ref="S59" ca="1">IF(P24=C24,SUM(IF(($BR$30:$BR$38=C24)*($BS$29:$CA$29=P$23),$BS$30:$CA$38)),0)</f>
        <v>0</v>
      </c>
      <c r="T59" s="3">
        <f t="array" aca="1" ref="T59" ca="1">IF(P24=C24,SUM(IF(($BR$30:$BR$38=C24)*($BS$29:$CA$29=P$25),$BS$30:$CA$38)),0)</f>
        <v>0</v>
      </c>
      <c r="U59" s="5">
        <f t="array" aca="1" ref="U59" ca="1">IF(Q24=C24,SUM(IF(($BR$30:$BR$38=C24)*($BS$29:$CA$29=Q$17),$BS$30:$CA$38)),0)</f>
        <v>0</v>
      </c>
      <c r="V59" s="3">
        <f t="array" aca="1" ref="V59" ca="1">IF(Q24=C24,SUM(IF(($BR$30:$BR$38=C24)*($BS$29:$CA$29=Q$18),$BS$30:$CA$38)),0)</f>
        <v>0</v>
      </c>
      <c r="W59" s="3">
        <f t="array" aca="1" ref="W59" ca="1">IF(Q24=C24,SUM(IF(($BR$30:$BR$38=C24)*($BS$29:$CA$29=Q$19),$BS$30:$CA$38)),0)</f>
        <v>0</v>
      </c>
      <c r="X59" s="3">
        <f t="array" aca="1" ref="X59" ca="1">IF(Q24=C24,SUM(IF(($BR$30:$BR$38=C24)*($BS$29:$CA$29=Q$20),$BS$30:$CA$38)),0)</f>
        <v>0</v>
      </c>
      <c r="Y59" s="3">
        <f t="array" aca="1" ref="Y59" ca="1">IF(Q24=C24,SUM(IF(($BR$30:$BR$38=C24)*($BS$29:$CA$29=Q$21),$BS$30:$CA$38)),0)</f>
        <v>0</v>
      </c>
      <c r="Z59" s="3">
        <f t="array" aca="1" ref="Z59" ca="1">IF(Q24=C24,SUM(IF(($BR$30:$BR$38=C24)*($BS$29:$CA$29=Q$22),$BS$30:$CA$38)),0)</f>
        <v>0</v>
      </c>
      <c r="AA59" s="3">
        <f t="array" aca="1" ref="AA59" ca="1">IF(Q24=C24,SUM(IF(($BR$30:$BR$38=C24)*($BS$29:$CA$29=Q$23),$BS$30:$CA$38)),0)</f>
        <v>0</v>
      </c>
      <c r="AB59" s="3">
        <f t="array" aca="1" ref="AB59" ca="1">IF(Q24=C24,SUM(IF(($BR$30:$BR$38=C24)*($BS$29:$CA$29=Q$25),$BS$30:$CA$38)),0)</f>
        <v>0</v>
      </c>
      <c r="AC59" s="5">
        <f t="array" aca="1" ref="AC59" ca="1">IF(R24=C24,SUM(IF(($BR$30:$BR$38=C24)*($BS$29:$CA$29=R$17),$BS$30:$CA$38)),0)</f>
        <v>0</v>
      </c>
      <c r="AD59" s="3">
        <f t="array" aca="1" ref="AD59" ca="1">IF(R24=C24,SUM(IF(($BR$30:$BR$38=C24)*($BS$29:$CA$29=R$18),$BS$30:$CA$38)),0)</f>
        <v>0</v>
      </c>
      <c r="AE59" s="3">
        <f t="array" aca="1" ref="AE59" ca="1">IF(R24=C24,SUM(IF(($BR$30:$BR$38=C24)*($BS$29:$CA$29=R$19),$BS$30:$CA$38)),0)</f>
        <v>0</v>
      </c>
      <c r="AF59" s="3">
        <f t="array" aca="1" ref="AF59" ca="1">IF(R24=C24,SUM(IF(($BR$30:$BR$38=C24)*($BS$29:$CA$29=R$20),$BS$30:$CA$38)),0)</f>
        <v>0</v>
      </c>
      <c r="AG59" s="3">
        <f t="array" aca="1" ref="AG59" ca="1">IF(R24=C24,SUM(IF(($BR$30:$BR$38=C24)*($BS$29:$CA$29=R$21),$BS$30:$CA$38)),0)</f>
        <v>0</v>
      </c>
      <c r="AH59" s="3">
        <f t="array" aca="1" ref="AH59" ca="1">IF(R24=C24,SUM(IF(($BR$30:$BR$38=C24)*($BS$29:$CA$29=R$22),$BS$30:$CA$38)),0)</f>
        <v>0</v>
      </c>
      <c r="AI59" s="3">
        <f t="array" aca="1" ref="AI59" ca="1">IF(R24=C24,SUM(IF(($BR$30:$BR$38=C24)*($BS$29:$CA$29=R$23),$BS$30:$CA$38)),0)</f>
        <v>0</v>
      </c>
      <c r="AJ59" s="3">
        <f t="array" aca="1" ref="AJ59" ca="1">IF(R24=C24,SUM(IF(($BR$30:$BR$38=C24)*($BS$29:$CA$29=R$25),$BS$30:$CA$38)),0)</f>
        <v>0</v>
      </c>
      <c r="AK59" s="5">
        <f t="array" aca="1" ref="AK59" ca="1">IF(S24=C24,SUM(IF(($BR$30:$BR$38=C24)*($BS$29:$CA$29=S$17),$BS$30:$CA$38)),0)</f>
        <v>0</v>
      </c>
      <c r="AL59" s="3">
        <f t="array" aca="1" ref="AL59" ca="1">IF(S24=C24,SUM(IF(($BR$30:$BR$38=C24)*($BS$29:$CA$29=S$18),$BS$30:$CA$38)),0)</f>
        <v>0</v>
      </c>
      <c r="AM59" s="3">
        <f t="array" aca="1" ref="AM59" ca="1">IF(S24=C24,SUM(IF(($BR$30:$BR$38=C24)*($BS$29:$CA$29=S$19),$BS$30:$CA$38)),0)</f>
        <v>0</v>
      </c>
      <c r="AN59" s="3">
        <f t="array" aca="1" ref="AN59" ca="1">IF(S24=C24,SUM(IF(($BR$30:$BR$38=C24)*($BS$29:$CA$29=S$20),$BS$30:$CA$38)),0)</f>
        <v>0</v>
      </c>
      <c r="AO59" s="3">
        <f t="array" aca="1" ref="AO59" ca="1">IF(S24=C24,SUM(IF(($BR$30:$BR$38=C24)*($BS$29:$CA$29=S$21),$BS$30:$CA$38)),0)</f>
        <v>0</v>
      </c>
      <c r="AP59" s="3">
        <f t="array" aca="1" ref="AP59" ca="1">IF(S24=C24,SUM(IF(($BR$30:$BR$38=C24)*($BS$29:$CA$29=S$22),$BS$30:$CA$38)),0)</f>
        <v>0</v>
      </c>
      <c r="AQ59" s="3">
        <f t="array" aca="1" ref="AQ59" ca="1">IF(S24=C24,SUM(IF(($BR$30:$BR$38=C24)*($BS$29:$CA$29=S$23),$BS$30:$CA$38)),0)</f>
        <v>0</v>
      </c>
      <c r="AR59" s="3">
        <f t="array" aca="1" ref="AR59" ca="1">IF(S24=C24,SUM(IF(($BR$30:$BR$38=C24)*($BS$29:$CA$29=S$25),$BS$30:$CA$38)),0)</f>
        <v>0</v>
      </c>
      <c r="AS59" s="5">
        <f t="array" aca="1" ref="AS59" ca="1">IF(T24=C24,SUM(IF(($BR$30:$BR$38=C24)*($BS$29:$CA$29=T$17),$BS$30:$CA$38)),0)</f>
        <v>0</v>
      </c>
      <c r="AT59" s="3">
        <f t="array" aca="1" ref="AT59" ca="1">IF(T24=C24,SUM(IF(($BR$30:$BR$38=C24)*($BS$29:$CA$29=T$18),$BS$30:$CA$38)),0)</f>
        <v>0</v>
      </c>
      <c r="AU59" s="3">
        <f t="array" aca="1" ref="AU59" ca="1">IF(T24=C24,SUM(IF(($BR$30:$BR$38=C24)*($BS$29:$CA$29=T$19),$BS$30:$CA$38)),0)</f>
        <v>0</v>
      </c>
      <c r="AV59" s="3">
        <f t="array" aca="1" ref="AV59" ca="1">IF(T24=C24,SUM(IF(($BR$30:$BR$38=C24)*($BS$29:$CA$29=T$20),$BS$30:$CA$38)),0)</f>
        <v>0</v>
      </c>
      <c r="AW59" s="3">
        <f t="array" aca="1" ref="AW59" ca="1">IF(T24=C24,SUM(IF(($BR$30:$BR$38=C24)*($BS$29:$CA$29=T$21),$BS$30:$CA$38)),0)</f>
        <v>0</v>
      </c>
      <c r="AX59" s="3">
        <f t="array" aca="1" ref="AX59" ca="1">IF(T24=C24,SUM(IF(($BR$30:$BR$38=C24)*($BS$29:$CA$29=T$22),$BS$30:$CA$38)),0)</f>
        <v>0</v>
      </c>
      <c r="AY59" s="3">
        <f t="array" aca="1" ref="AY59" ca="1">IF(T24=C24,SUM(IF(($BR$30:$BR$38=C24)*($BS$29:$CA$29=T$23),$BS$30:$CA$38)),0)</f>
        <v>0</v>
      </c>
      <c r="AZ59" s="3">
        <f t="array" aca="1" ref="AZ59" ca="1">IF(T24=C24,SUM(IF(($BR$30:$BR$38=C24)*($BS$29:$CA$29=T$25),$BS$30:$CA$38)),0)</f>
        <v>0</v>
      </c>
      <c r="BA59" s="5">
        <f t="array" aca="1" ref="BA59" ca="1">IF(U24=C24,SUM(IF(($BR$30:$BR$38=C24)*($BS$29:$CA$29=U$17),$BS$30:$CA$38)),0)</f>
        <v>0</v>
      </c>
      <c r="BB59" s="3">
        <f t="array" aca="1" ref="BB59" ca="1">IF(U24=C24,SUM(IF(($BR$30:$BR$38=C24)*($BS$29:$CA$29=U$18),$BS$30:$CA$38)),0)</f>
        <v>0</v>
      </c>
      <c r="BC59" s="3">
        <f t="array" aca="1" ref="BC59" ca="1">IF(U24=C24,SUM(IF(($BR$30:$BR$38=C24)*($BS$29:$CA$29=U$19),$BS$30:$CA$38)),0)</f>
        <v>0</v>
      </c>
      <c r="BD59" s="3">
        <f t="array" aca="1" ref="BD59" ca="1">IF(U24=C24,SUM(IF(($BR$30:$BR$38=C24)*($BS$29:$CA$29=U$20),$BS$30:$CA$38)),0)</f>
        <v>0</v>
      </c>
      <c r="BE59" s="3">
        <f t="array" aca="1" ref="BE59" ca="1">IF(U24=C24,SUM(IF(($BR$30:$BR$38=C24)*($BS$29:$CA$29=U$21),$BS$30:$CA$38)),0)</f>
        <v>0</v>
      </c>
      <c r="BF59" s="3">
        <f t="array" aca="1" ref="BF59" ca="1">IF(U24=C24,SUM(IF(($BR$30:$BR$38=C24)*($BS$29:$CA$29=U$22),$BS$30:$CA$38)),0)</f>
        <v>0</v>
      </c>
      <c r="BG59" s="3">
        <f t="array" aca="1" ref="BG59" ca="1">IF(U24=C24,SUM(IF(($BR$30:$BR$38=C24)*($BS$29:$CA$29=U$23),$BS$30:$CA$38)),0)</f>
        <v>0</v>
      </c>
      <c r="BH59" s="3">
        <f t="array" aca="1" ref="BH59" ca="1">IF(U24=C24,SUM(IF(($BR$30:$BR$38=C24)*($BS$29:$CA$29=U$25),$BS$30:$CA$38)),0)</f>
        <v>0</v>
      </c>
      <c r="BI59" s="5">
        <f t="array" aca="1" ref="BI59" ca="1">IF(V24=C24,SUM(IF(($BR$30:$BR$38=C24)*($BS$29:$CA$29=V$17),$BS$30:$CA$38)),0)</f>
        <v>0</v>
      </c>
      <c r="BJ59" s="3">
        <f t="array" aca="1" ref="BJ59" ca="1">IF(V24=C24,SUM(IF(($BR$30:$BR$38=C24)*($BS$29:$CA$29=V$18),$BS$30:$CA$38)),0)</f>
        <v>0</v>
      </c>
      <c r="BK59" s="3">
        <f t="array" aca="1" ref="BK59" ca="1">IF(V24=C24,SUM(IF(($BR$30:$BR$38=C24)*($BS$29:$CA$29=V$19),$BS$30:$CA$38)),0)</f>
        <v>0</v>
      </c>
      <c r="BL59" s="3">
        <f t="array" aca="1" ref="BL59" ca="1">IF(V24=C24,SUM(IF(($BR$30:$BR$38=C24)*($BS$29:$CA$29=V$20),$BS$30:$CA$38)),0)</f>
        <v>0</v>
      </c>
      <c r="BM59" s="3">
        <f t="array" aca="1" ref="BM59" ca="1">IF(V24=C24,SUM(IF(($BR$30:$BR$38=C24)*($BS$29:$CA$29=V$21),$BS$30:$CA$38)),0)</f>
        <v>0</v>
      </c>
      <c r="BN59" s="3">
        <f t="array" aca="1" ref="BN59" ca="1">IF(V24=C24,SUM(IF(($BR$30:$BR$38=C24)*($BS$29:$CA$29=V$22),$BS$30:$CA$38)),0)</f>
        <v>0</v>
      </c>
      <c r="BO59" s="3">
        <f t="array" aca="1" ref="BO59" ca="1">IF(V24=C24,SUM(IF(($BR$30:$BR$38=C24)*($BS$29:$CA$29=V$23),$BS$30:$CA$38)),0)</f>
        <v>0</v>
      </c>
      <c r="BP59" s="15">
        <f t="array" aca="1" ref="BP59" ca="1">IF(V24=C24,SUM(IF(($BR$30:$BR$38=C24)*($BS$29:$CA$29=V$25),$BS$30:$CA$38)),0)</f>
        <v>0</v>
      </c>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2:80" s="2" customFormat="1" ht="12.75" thickBot="1" x14ac:dyDescent="0.25">
      <c r="E60" s="16">
        <f t="array" aca="1" ref="E60" ca="1">IF(O25=C25,SUM(IF(($BR$30:$BR$38=C25)*($BS$29:$CA$29=O$17),$BS$30:$CA$38)),0)</f>
        <v>0</v>
      </c>
      <c r="F60" s="17">
        <f t="array" aca="1" ref="F60" ca="1">IF(O25=C25,SUM(IF(($BR$30:$BR$38=C25)*($BS$29:$CA$29=O$18),$BS$30:$CA$38)),0)</f>
        <v>0</v>
      </c>
      <c r="G60" s="17">
        <f t="array" aca="1" ref="G60" ca="1">IF(O25=C25,SUM(IF(($BR$30:$BR$38=C25)*($BS$29:$CA$29=O$19),$BS$30:$CA$38)),0)</f>
        <v>0</v>
      </c>
      <c r="H60" s="17">
        <f t="array" aca="1" ref="H60" ca="1">IF(O25=C25,SUM(IF(($BR$30:$BR$38=C25)*($BS$29:$CA$29=O$20),$BS$30:$CA$38)),0)</f>
        <v>0</v>
      </c>
      <c r="I60" s="17">
        <f t="array" aca="1" ref="I60" ca="1">IF(O25=C25,SUM(IF(($BR$30:$BR$38=C25)*($BS$29:$CA$29=O$21),$BS$30:$CA$38)),0)</f>
        <v>0</v>
      </c>
      <c r="J60" s="17">
        <f t="array" aca="1" ref="J60" ca="1">IF(O25=C25,SUM(IF(($BR$30:$BR$38=C25)*($BS$29:$CA$29=O$22),$BS$30:$CA$38)),0)</f>
        <v>0</v>
      </c>
      <c r="K60" s="17">
        <f t="array" aca="1" ref="K60" ca="1">IF(O25=C25,SUM(IF(($BR$30:$BR$38=C25)*($BS$29:$CA$29=O$23),$BS$30:$CA$38)),0)</f>
        <v>0</v>
      </c>
      <c r="L60" s="17">
        <f t="array" aca="1" ref="L60" ca="1">IF(O25=C25,SUM(IF(($BR$30:$BR$38=C25)*($BS$29:$CA$29=O$24),$BS$30:$CA$38)),0)</f>
        <v>0</v>
      </c>
      <c r="M60" s="18">
        <f t="array" aca="1" ref="M60" ca="1">IF(P25=C25,SUM(IF(($BR$30:$BR$38=C25)*($BS$29:$CA$29=P$17),$BS$30:$CA$38)),0)</f>
        <v>0</v>
      </c>
      <c r="N60" s="17">
        <f t="array" aca="1" ref="N60" ca="1">IF(P25=C25,SUM(IF(($BR$30:$BR$38=C25)*($BS$29:$CA$29=P$18),$BS$30:$CA$38)),0)</f>
        <v>0</v>
      </c>
      <c r="O60" s="17">
        <f t="array" aca="1" ref="O60" ca="1">IF(P25=C25,SUM(IF(($BR$30:$BR$38=C25)*($BS$29:$CA$29=P$19),$BS$30:$CA$38)),0)</f>
        <v>0</v>
      </c>
      <c r="P60" s="17">
        <f t="array" aca="1" ref="P60" ca="1">IF(P25=C25,SUM(IF(($BR$30:$BR$38=C25)*($BS$29:$CA$29=P$20),$BS$30:$CA$38)),0)</f>
        <v>0</v>
      </c>
      <c r="Q60" s="17">
        <f t="array" aca="1" ref="Q60" ca="1">IF(P25=C25,SUM(IF(($BR$30:$BR$38=C25)*($BS$29:$CA$29=P$21),$BS$30:$CA$38)),0)</f>
        <v>0</v>
      </c>
      <c r="R60" s="17">
        <f t="array" aca="1" ref="R60" ca="1">IF(P25=C25,SUM(IF(($BR$30:$BR$38=C25)*($BS$29:$CA$29=P$22),$BS$30:$CA$38)),0)</f>
        <v>0</v>
      </c>
      <c r="S60" s="17">
        <f t="array" aca="1" ref="S60" ca="1">IF(P25=C25,SUM(IF(($BR$30:$BR$38=C25)*($BS$29:$CA$29=P$23),$BS$30:$CA$38)),0)</f>
        <v>0</v>
      </c>
      <c r="T60" s="17">
        <f t="array" aca="1" ref="T60" ca="1">IF(P25=C25,SUM(IF(($BR$30:$BR$38=C25)*($BS$29:$CA$29=P$24),$BS$30:$CA$38)),0)</f>
        <v>0</v>
      </c>
      <c r="U60" s="18">
        <f t="array" aca="1" ref="U60" ca="1">IF(Q25=C25,SUM(IF(($BR$30:$BR$38=C25)*($BS$29:$CA$29=Q$17),$BS$30:$CA$38)),0)</f>
        <v>0</v>
      </c>
      <c r="V60" s="17">
        <f t="array" aca="1" ref="V60" ca="1">IF(Q25=C25,SUM(IF(($BR$30:$BR$38=C25)*($BS$29:$CA$29=Q$18),$BS$30:$CA$38)),0)</f>
        <v>0</v>
      </c>
      <c r="W60" s="17">
        <f t="array" aca="1" ref="W60" ca="1">IF(Q25=C25,SUM(IF(($BR$30:$BR$38=C25)*($BS$29:$CA$29=Q$19),$BS$30:$CA$38)),0)</f>
        <v>0</v>
      </c>
      <c r="X60" s="17">
        <f t="array" aca="1" ref="X60" ca="1">IF(Q25=C25,SUM(IF(($BR$30:$BR$38=C25)*($BS$29:$CA$29=Q$20),$BS$30:$CA$38)),0)</f>
        <v>0</v>
      </c>
      <c r="Y60" s="17">
        <f t="array" aca="1" ref="Y60" ca="1">IF(Q25=C25,SUM(IF(($BR$30:$BR$38=C25)*($BS$29:$CA$29=Q$21),$BS$30:$CA$38)),0)</f>
        <v>0</v>
      </c>
      <c r="Z60" s="17">
        <f t="array" aca="1" ref="Z60" ca="1">IF(Q25=C25,SUM(IF(($BR$30:$BR$38=C25)*($BS$29:$CA$29=Q$22),$BS$30:$CA$38)),0)</f>
        <v>0</v>
      </c>
      <c r="AA60" s="17">
        <f t="array" aca="1" ref="AA60" ca="1">IF(Q25=C25,SUM(IF(($BR$30:$BR$38=C25)*($BS$29:$CA$29=Q$23),$BS$30:$CA$38)),0)</f>
        <v>0</v>
      </c>
      <c r="AB60" s="17">
        <f t="array" aca="1" ref="AB60" ca="1">IF(Q25=C25,SUM(IF(($BR$30:$BR$38=C25)*($BS$29:$CA$29=Q$24),$BS$30:$CA$38)),0)</f>
        <v>0</v>
      </c>
      <c r="AC60" s="18">
        <f t="array" aca="1" ref="AC60" ca="1">IF(R25=C25,SUM(IF(($BR$30:$BR$38=C25)*($BS$29:$CA$29=R$17),$BS$30:$CA$38)),0)</f>
        <v>0</v>
      </c>
      <c r="AD60" s="17">
        <f t="array" aca="1" ref="AD60" ca="1">IF(R25=C25,SUM(IF(($BR$30:$BR$38=C25)*($BS$29:$CA$29=R$18),$BS$30:$CA$38)),0)</f>
        <v>0</v>
      </c>
      <c r="AE60" s="17">
        <f t="array" aca="1" ref="AE60" ca="1">IF(R25=C25,SUM(IF(($BR$30:$BR$38=C25)*($BS$29:$CA$29=R$19),$BS$30:$CA$38)),0)</f>
        <v>0</v>
      </c>
      <c r="AF60" s="17">
        <f t="array" aca="1" ref="AF60" ca="1">IF(R25=C25,SUM(IF(($BR$30:$BR$38=C25)*($BS$29:$CA$29=R$20),$BS$30:$CA$38)),0)</f>
        <v>0</v>
      </c>
      <c r="AG60" s="17">
        <f t="array" aca="1" ref="AG60" ca="1">IF(R25=C25,SUM(IF(($BR$30:$BR$38=C25)*($BS$29:$CA$29=R$21),$BS$30:$CA$38)),0)</f>
        <v>0</v>
      </c>
      <c r="AH60" s="17">
        <f t="array" aca="1" ref="AH60" ca="1">IF(R25=C25,SUM(IF(($BR$30:$BR$38=C25)*($BS$29:$CA$29=R$22),$BS$30:$CA$38)),0)</f>
        <v>0</v>
      </c>
      <c r="AI60" s="17">
        <f t="array" aca="1" ref="AI60" ca="1">IF(R25=C25,SUM(IF(($BR$30:$BR$38=C25)*($BS$29:$CA$29=R$23),$BS$30:$CA$38)),0)</f>
        <v>0</v>
      </c>
      <c r="AJ60" s="17">
        <f t="array" aca="1" ref="AJ60" ca="1">IF(R25=C25,SUM(IF(($BR$30:$BR$38=C25)*($BS$29:$CA$29=R$24),$BS$30:$CA$38)),0)</f>
        <v>0</v>
      </c>
      <c r="AK60" s="18">
        <f t="array" aca="1" ref="AK60" ca="1">IF(S25=C25,SUM(IF(($BR$30:$BR$38=C25)*($BS$29:$CA$29=S$17),$BS$30:$CA$38)),0)</f>
        <v>0</v>
      </c>
      <c r="AL60" s="17">
        <f t="array" aca="1" ref="AL60" ca="1">IF(S25=C25,SUM(IF(($BR$30:$BR$38=C25)*($BS$29:$CA$29=S$18),$BS$30:$CA$38)),0)</f>
        <v>0</v>
      </c>
      <c r="AM60" s="17">
        <f t="array" aca="1" ref="AM60" ca="1">IF(S25=C25,SUM(IF(($BR$30:$BR$38=C25)*($BS$29:$CA$29=S$19),$BS$30:$CA$38)),0)</f>
        <v>0</v>
      </c>
      <c r="AN60" s="17">
        <f t="array" aca="1" ref="AN60" ca="1">IF(S25=C25,SUM(IF(($BR$30:$BR$38=C25)*($BS$29:$CA$29=S$20),$BS$30:$CA$38)),0)</f>
        <v>0</v>
      </c>
      <c r="AO60" s="17">
        <f t="array" aca="1" ref="AO60" ca="1">IF(S25=C25,SUM(IF(($BR$30:$BR$38=C25)*($BS$29:$CA$29=S$21),$BS$30:$CA$38)),0)</f>
        <v>0</v>
      </c>
      <c r="AP60" s="17">
        <f t="array" aca="1" ref="AP60" ca="1">IF(S25=C25,SUM(IF(($BR$30:$BR$38=C25)*($BS$29:$CA$29=S$22),$BS$30:$CA$38)),0)</f>
        <v>0</v>
      </c>
      <c r="AQ60" s="17">
        <f t="array" aca="1" ref="AQ60" ca="1">IF(S25=C25,SUM(IF(($BR$30:$BR$38=C25)*($BS$29:$CA$29=S$23),$BS$30:$CA$38)),0)</f>
        <v>0</v>
      </c>
      <c r="AR60" s="17">
        <f t="array" aca="1" ref="AR60" ca="1">IF(S25=C25,SUM(IF(($BR$30:$BR$38=C25)*($BS$29:$CA$29=S$24),$BS$30:$CA$38)),0)</f>
        <v>0</v>
      </c>
      <c r="AS60" s="18">
        <f t="array" aca="1" ref="AS60" ca="1">IF(T25=C25,SUM(IF(($BR$30:$BR$38=C25)*($BS$29:$CA$29=T$17),$BS$30:$CA$38)),0)</f>
        <v>0</v>
      </c>
      <c r="AT60" s="17">
        <f t="array" aca="1" ref="AT60" ca="1">IF(T25=C25,SUM(IF(($BR$30:$BR$38=C25)*($BS$29:$CA$29=T$18),$BS$30:$CA$38)),0)</f>
        <v>0</v>
      </c>
      <c r="AU60" s="17">
        <f t="array" aca="1" ref="AU60" ca="1">IF(T25=C25,SUM(IF(($BR$30:$BR$38=C25)*($BS$29:$CA$29=T$19),$BS$30:$CA$38)),0)</f>
        <v>0</v>
      </c>
      <c r="AV60" s="17">
        <f t="array" aca="1" ref="AV60" ca="1">IF(T25=C25,SUM(IF(($BR$30:$BR$38=C25)*($BS$29:$CA$29=T$20),$BS$30:$CA$38)),0)</f>
        <v>0</v>
      </c>
      <c r="AW60" s="17">
        <f t="array" aca="1" ref="AW60" ca="1">IF(T25=C25,SUM(IF(($BR$30:$BR$38=C25)*($BS$29:$CA$29=T$21),$BS$30:$CA$38)),0)</f>
        <v>0</v>
      </c>
      <c r="AX60" s="17">
        <f t="array" aca="1" ref="AX60" ca="1">IF(T25=C25,SUM(IF(($BR$30:$BR$38=C25)*($BS$29:$CA$29=T$22),$BS$30:$CA$38)),0)</f>
        <v>0</v>
      </c>
      <c r="AY60" s="17">
        <f t="array" aca="1" ref="AY60" ca="1">IF(T25=C25,SUM(IF(($BR$30:$BR$38=C25)*($BS$29:$CA$29=T$23),$BS$30:$CA$38)),0)</f>
        <v>0</v>
      </c>
      <c r="AZ60" s="17">
        <f t="array" aca="1" ref="AZ60" ca="1">IF(T25=C25,SUM(IF(($BR$30:$BR$38=C25)*($BS$29:$CA$29=T$24),$BS$30:$CA$38)),0)</f>
        <v>0</v>
      </c>
      <c r="BA60" s="18">
        <f t="array" aca="1" ref="BA60" ca="1">IF(U25=C25,SUM(IF(($BR$30:$BR$38=C25)*($BS$29:$CA$29=U$17),$BS$30:$CA$38)),0)</f>
        <v>0</v>
      </c>
      <c r="BB60" s="17">
        <f t="array" aca="1" ref="BB60" ca="1">IF(U25=C25,SUM(IF(($BR$30:$BR$38=C25)*($BS$29:$CA$29=U$18),$BS$30:$CA$38)),0)</f>
        <v>0</v>
      </c>
      <c r="BC60" s="17">
        <f t="array" aca="1" ref="BC60" ca="1">IF(U25=C25,SUM(IF(($BR$30:$BR$38=C25)*($BS$29:$CA$29=U$19),$BS$30:$CA$38)),0)</f>
        <v>0</v>
      </c>
      <c r="BD60" s="17">
        <f t="array" aca="1" ref="BD60" ca="1">IF(U25=C25,SUM(IF(($BR$30:$BR$38=C25)*($BS$29:$CA$29=U$20),$BS$30:$CA$38)),0)</f>
        <v>0</v>
      </c>
      <c r="BE60" s="17">
        <f t="array" aca="1" ref="BE60" ca="1">IF(U25=C25,SUM(IF(($BR$30:$BR$38=C25)*($BS$29:$CA$29=U$21),$BS$30:$CA$38)),0)</f>
        <v>0</v>
      </c>
      <c r="BF60" s="17">
        <f t="array" aca="1" ref="BF60" ca="1">IF(U25=C25,SUM(IF(($BR$30:$BR$38=C25)*($BS$29:$CA$29=U$22),$BS$30:$CA$38)),0)</f>
        <v>0</v>
      </c>
      <c r="BG60" s="17">
        <f t="array" aca="1" ref="BG60" ca="1">IF(U25=C25,SUM(IF(($BR$30:$BR$38=C25)*($BS$29:$CA$29=U$23),$BS$30:$CA$38)),0)</f>
        <v>0</v>
      </c>
      <c r="BH60" s="17">
        <f t="array" aca="1" ref="BH60" ca="1">IF(U25=C25,SUM(IF(($BR$30:$BR$38=C25)*($BS$29:$CA$29=U$24),$BS$30:$CA$38)),0)</f>
        <v>0</v>
      </c>
      <c r="BI60" s="18">
        <f t="array" aca="1" ref="BI60" ca="1">IF(V25=C25,SUM(IF(($BR$30:$BR$38=C25)*($BS$29:$CA$29=V$17),$BS$30:$CA$38)),0)</f>
        <v>0</v>
      </c>
      <c r="BJ60" s="17">
        <f t="array" aca="1" ref="BJ60" ca="1">IF(V25=C25,SUM(IF(($BR$30:$BR$38=C25)*($BS$29:$CA$29=V$18),$BS$30:$CA$38)),0)</f>
        <v>0</v>
      </c>
      <c r="BK60" s="17">
        <f t="array" aca="1" ref="BK60" ca="1">IF(V25=C25,SUM(IF(($BR$30:$BR$38=C25)*($BS$29:$CA$29=V$19),$BS$30:$CA$38)),0)</f>
        <v>0</v>
      </c>
      <c r="BL60" s="17">
        <f t="array" aca="1" ref="BL60" ca="1">IF(V25=C25,SUM(IF(($BR$30:$BR$38=C25)*($BS$29:$CA$29=V$20),$BS$30:$CA$38)),0)</f>
        <v>0</v>
      </c>
      <c r="BM60" s="17">
        <f t="array" aca="1" ref="BM60" ca="1">IF(V25=C25,SUM(IF(($BR$30:$BR$38=C25)*($BS$29:$CA$29=V$21),$BS$30:$CA$38)),0)</f>
        <v>0</v>
      </c>
      <c r="BN60" s="17">
        <f t="array" aca="1" ref="BN60" ca="1">IF(V25=C25,SUM(IF(($BR$30:$BR$38=C25)*($BS$29:$CA$29=V$22),$BS$30:$CA$38)),0)</f>
        <v>0</v>
      </c>
      <c r="BO60" s="17">
        <f t="array" aca="1" ref="BO60" ca="1">IF(V25=C25,SUM(IF(($BR$30:$BR$38=C25)*($BS$29:$CA$29=V$23),$BS$30:$CA$38)),0)</f>
        <v>0</v>
      </c>
      <c r="BP60" s="19">
        <f t="array" aca="1" ref="BP60" ca="1">IF(V25=C25,SUM(IF(($BR$30:$BR$38=C25)*($BS$29:$CA$29=V$24),$BS$30:$CA$38)),0)</f>
        <v>0</v>
      </c>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2:80" s="2" customFormat="1" ht="12.75" thickTop="1" x14ac:dyDescent="0.2">
      <c r="AC61" s="3"/>
      <c r="AD61" s="3"/>
      <c r="AE61" s="3"/>
      <c r="AF61" s="3"/>
      <c r="AG61" s="3"/>
      <c r="AH61" s="3"/>
      <c r="AI61" s="3"/>
      <c r="AJ61" s="3"/>
      <c r="AK61" s="3"/>
      <c r="AL61" s="3"/>
      <c r="AM61" s="3"/>
      <c r="AN61" s="3"/>
      <c r="AO61" s="3"/>
      <c r="AP61" s="3"/>
      <c r="AQ61" s="3"/>
      <c r="AR61" s="3"/>
    </row>
    <row r="62" spans="2:80" s="2" customFormat="1" x14ac:dyDescent="0.2">
      <c r="AC62" s="3"/>
      <c r="AD62" s="3"/>
      <c r="AE62" s="3"/>
      <c r="AF62" s="3"/>
      <c r="AG62" s="3"/>
      <c r="AH62" s="3"/>
      <c r="AI62" s="3"/>
      <c r="AJ62" s="3"/>
      <c r="AK62" s="3"/>
      <c r="AL62" s="3"/>
      <c r="AM62" s="3"/>
      <c r="AN62" s="3"/>
      <c r="AO62" s="3"/>
      <c r="AP62" s="3"/>
      <c r="AQ62" s="3"/>
      <c r="AR62" s="3"/>
    </row>
    <row r="63" spans="2: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2:80" s="2" customFormat="1" ht="14.25" thickTop="1" thickBot="1" x14ac:dyDescent="0.25">
      <c r="F64" s="192">
        <v>1000000</v>
      </c>
      <c r="G64" s="193" t="s">
        <v>110</v>
      </c>
      <c r="P64" s="44" t="s">
        <v>6</v>
      </c>
      <c r="Q64" s="59" t="str">
        <f ca="1">IF(PreliminaryRound!$R$14="","",PreliminaryRound!$R$14)</f>
        <v>VFB Essenheim</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IF(PreliminaryRound!$R$24="","",PreliminaryRound!$R$24)</f>
        <v>FC Grönlingen</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IF(PreliminaryRound!$R$34="","",PreliminaryRound!$R$34)</f>
        <v>Real Madrid</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Maibach 1822 eV</v>
      </c>
      <c r="G4" s="1">
        <f ca="1">SUMIFS($X$64:$X$135,$V$64:$V$135,$F4)+SUMIFS($Y$64:$Y$135,$W$64:$W$135,$F4)+SUMIFS($AG$64:$AG$135,$V$64:$V$135,$F4)+SUMIFS($AH$64:$AH$135,$W$64:$W$135,$F4)</f>
        <v>174</v>
      </c>
      <c r="H4" s="1">
        <f ca="1">SUMIFS($Y$64:$Y$135,$V$64:$V$135,$F4)+SUMIFS($X$64:$X$135,$W$64:$W$135,$F4)+SUMIFS($AH$64:$AH$135,$V$64:$V$135,$F4)+SUMIFS($AG$64:$AG$135,$W$64:$W$135,$F4)</f>
        <v>174</v>
      </c>
      <c r="I4" s="12">
        <f ca="1">IF(Settings!$G$7,G4-H4,IF(H4=0,IF(G4=0,0,Settings!$F$7),G4/H4))</f>
        <v>0</v>
      </c>
      <c r="J4" s="1">
        <f ca="1">SUMPRODUCT(($V$64:$V$135=F4)*$AE$64:$AE$135*$AA$64:$AA$135)+SUMPRODUCT(($W$64:$W$135=F4)*$AF$64:$AF$135*$AA$64:$AA$135)</f>
        <v>3</v>
      </c>
      <c r="K4" s="1">
        <f ca="1">SUMPRODUCT(($V$64:$V$135=F4)*$AA$64:$AA$135)+SUMPRODUCT(($W$64:$W$135=F4)*$AA$64:$AA$135)</f>
        <v>4</v>
      </c>
      <c r="L4" s="1">
        <f ca="1">K4-M4-N4</f>
        <v>1</v>
      </c>
      <c r="M4" s="1">
        <f ca="1">SUMPRODUCT(($V$64:$W$135=F4)*($AE$64:$AE$135=$AF$64:$AF$135)*$AA$64:$AA$135)</f>
        <v>1</v>
      </c>
      <c r="N4" s="1">
        <f ca="1">SUMPRODUCT(($V$64:$V$135=F4)*($AE$64:$AE$135&lt;$AF$64:$AF$135)*$AA$64:$AA$135)+SUMPRODUCT(($W$64:$W$135=F4)*($AE$64:$AE$135&gt;$AF$64:$AF$135)*$AA$64:$AA$135)</f>
        <v>2</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0</v>
      </c>
    </row>
    <row r="5" spans="1:44" s="2" customFormat="1" x14ac:dyDescent="0.2">
      <c r="A5" s="254"/>
      <c r="B5" s="1">
        <v>2</v>
      </c>
      <c r="C5" s="21">
        <f t="shared" ref="C5:C12" ca="1" si="0">RANK(D5,$D$4:$D$12,1)</f>
        <v>3</v>
      </c>
      <c r="D5" s="12">
        <f t="shared" ref="D5:D12" ca="1" si="1">E5+ROW()/1000+(F5="")*10</f>
        <v>3.0049999999999999</v>
      </c>
      <c r="E5" s="266">
        <f t="shared" ref="E5:E12" ca="1" si="2">IF($AI$15,RANK(AH18,AH$17:AH$25,1),RANK(X18,X$17:X$25,1))</f>
        <v>3</v>
      </c>
      <c r="F5" s="1" t="str">
        <f t="shared" ref="F5:F12" ca="1" si="3">$Q65</f>
        <v>Mainz 05</v>
      </c>
      <c r="G5" s="1">
        <f t="shared" ref="G5:G12" ca="1" si="4">SUMIFS($X$64:$X$135,$V$64:$V$135,$F5)+SUMIFS($Y$64:$Y$135,$W$64:$W$135,$F5)+SUMIFS($AG$64:$AG$135,$V$64:$V$135,$F5)+SUMIFS($AH$64:$AH$135,$W$64:$W$135,$F5)</f>
        <v>156</v>
      </c>
      <c r="H5" s="1">
        <f t="shared" ref="H5:H12" ca="1" si="5">SUMIFS($Y$64:$Y$135,$V$64:$V$135,$F5)+SUMIFS($X$64:$X$135,$W$64:$W$135,$F5)+SUMIFS($AH$64:$AH$135,$V$64:$V$135,$F5)+SUMIFS($AG$64:$AG$135,$W$64:$W$135,$F5)</f>
        <v>184</v>
      </c>
      <c r="I5" s="12">
        <f ca="1">IF(Settings!$G$7,G5-H5,IF(H5=0,IF(G5=0,0,Settings!$F$7),G5/H5))</f>
        <v>-28</v>
      </c>
      <c r="J5" s="1">
        <f t="shared" ref="J5:J12" ca="1" si="6">SUMPRODUCT(($V$64:$V$135=F5)*$AE$64:$AE$135*$AA$64:$AA$135)+SUMPRODUCT(($W$64:$W$135=F5)*$AF$64:$AF$135*$AA$64:$AA$135)</f>
        <v>3</v>
      </c>
      <c r="K5" s="1">
        <f t="shared" ref="K5:K12" ca="1" si="7">SUMPRODUCT(($V$64:$V$135=F5)*$AA$64:$AA$135)+SUMPRODUCT(($W$64:$W$135=F5)*$AA$64:$AA$135)</f>
        <v>4</v>
      </c>
      <c r="L5" s="1">
        <f t="shared" ref="L5:L12" ca="1" si="8">K5-M5-N5</f>
        <v>0</v>
      </c>
      <c r="M5" s="1">
        <f t="shared" ref="M5:M12" ca="1" si="9">SUMPRODUCT(($V$64:$W$135=F5)*($AE$64:$AE$135=$AF$64:$AF$135)*$AA$64:$AA$135)</f>
        <v>3</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-28</v>
      </c>
    </row>
    <row r="6" spans="1:44" s="2" customFormat="1" x14ac:dyDescent="0.2">
      <c r="A6" s="254"/>
      <c r="B6" s="1">
        <v>3</v>
      </c>
      <c r="C6" s="21">
        <f t="shared" ca="1" si="0"/>
        <v>2</v>
      </c>
      <c r="D6" s="12">
        <f t="shared" ca="1" si="1"/>
        <v>2.0059999999999998</v>
      </c>
      <c r="E6" s="266">
        <f t="shared" ca="1" si="2"/>
        <v>2</v>
      </c>
      <c r="F6" s="1" t="str">
        <f t="shared" ca="1" si="3"/>
        <v>Kickers Rodendorf</v>
      </c>
      <c r="G6" s="1">
        <f t="shared" ca="1" si="4"/>
        <v>161</v>
      </c>
      <c r="H6" s="1">
        <f t="shared" ca="1" si="5"/>
        <v>176</v>
      </c>
      <c r="I6" s="12">
        <f ca="1">IF(Settings!$G$7,G6-H6,IF(H6=0,IF(G6=0,0,Settings!$F$7),G6/H6))</f>
        <v>-15</v>
      </c>
      <c r="J6" s="1">
        <f t="shared" ca="1" si="6"/>
        <v>3</v>
      </c>
      <c r="K6" s="1">
        <f t="shared" ca="1" si="7"/>
        <v>4</v>
      </c>
      <c r="L6" s="1">
        <f t="shared" ca="1" si="8"/>
        <v>0</v>
      </c>
      <c r="M6" s="1">
        <f t="shared" ca="1" si="9"/>
        <v>3</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-15</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111</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t="s">
        <v>107</v>
      </c>
      <c r="AD16" s="261" t="s">
        <v>110</v>
      </c>
      <c r="AE16" s="265" t="s">
        <v>182</v>
      </c>
      <c r="AF16" s="1" t="s">
        <v>182</v>
      </c>
      <c r="AG16" s="1" t="s">
        <v>183</v>
      </c>
      <c r="AH16" s="191" t="s">
        <v>170</v>
      </c>
    </row>
    <row r="17" spans="2:80" s="2" customFormat="1" ht="12.75" thickTop="1" x14ac:dyDescent="0.2">
      <c r="C17" s="2" t="str">
        <f ca="1">$Q64</f>
        <v>Maibach 1822 eV</v>
      </c>
      <c r="D17" s="1">
        <f t="shared" ref="D17:G25" ca="1" si="11">K4</f>
        <v>4</v>
      </c>
      <c r="E17" s="1">
        <f t="shared" ca="1" si="11"/>
        <v>1</v>
      </c>
      <c r="F17" s="1">
        <f t="shared" ca="1" si="11"/>
        <v>1</v>
      </c>
      <c r="G17" s="1">
        <f t="shared" ca="1" si="11"/>
        <v>2</v>
      </c>
      <c r="H17" s="1">
        <f t="shared" ref="H17:K25" ca="1" si="12">G4</f>
        <v>174</v>
      </c>
      <c r="I17" s="1">
        <f t="shared" ca="1" si="12"/>
        <v>174</v>
      </c>
      <c r="J17" s="12">
        <f t="shared" ca="1" si="12"/>
        <v>0</v>
      </c>
      <c r="K17" s="1">
        <f t="shared" ca="1" si="12"/>
        <v>3</v>
      </c>
      <c r="L17" s="29">
        <f t="shared" ref="L17:L25" ca="1" si="13">K17*$F$64+(J17+$H$65)*$F$65+H17*$F$66</f>
        <v>3500174</v>
      </c>
      <c r="M17" s="13">
        <f ca="1">IF($AI$15,COUNTIF($K$17:$K$25,K17),COUNTIF($L$17:$L$25,L17))</f>
        <v>1</v>
      </c>
      <c r="N17" s="13">
        <f t="array" aca="1" ref="N17" ca="1">IF($AI$15,SUM(($K$17:$K$25&gt;=K17)/COUNTIF($K$17:$K$25,$K$17:$K$25)),SUM(($L$17:$L$25&gt;=L17)/COUNTIF($L$17:$L$25,$L$17:$L$25)))</f>
        <v>1</v>
      </c>
      <c r="O17" s="52" t="str">
        <f t="shared" ref="O17:O25" ca="1" si="14">IF(AND(M17&gt;1,N17=1),C17,"")</f>
        <v/>
      </c>
      <c r="P17" s="53" t="str">
        <f t="shared" ref="P17:P25" ca="1" si="15">IF(AND(M17&gt;1,N17=2),C17,"")</f>
        <v/>
      </c>
      <c r="Q17" s="53" t="str">
        <f t="shared" ref="Q17:Q25" ca="1" si="16">IF(AND(M17&gt;1,N17=3),C17,"")</f>
        <v/>
      </c>
      <c r="R17" s="53" t="str">
        <f t="shared" ref="R17:R25" ca="1" si="17">IF(AND(M17&gt;1,N17=4),C17,"")</f>
        <v/>
      </c>
      <c r="S17" s="53" t="str">
        <f t="shared" ref="S17:S25" ca="1" si="18">IF(AND(M17&gt;1,N17=5),C17,"")</f>
        <v/>
      </c>
      <c r="T17" s="53" t="str">
        <f t="shared" ref="T17:T25" ca="1" si="19">IF(AND($M17&gt;1,$N17=6),$C17,"")</f>
        <v/>
      </c>
      <c r="U17" s="53" t="str">
        <f t="shared" ref="U17:U25" ca="1" si="20">IF(AND($M17&gt;1,$N17=7),$C17,"")</f>
        <v/>
      </c>
      <c r="V17" s="54" t="str">
        <f t="shared" ref="V17:V25" ca="1" si="21">IF(AND($M17&gt;1,$N17=8),$C17,"")</f>
        <v/>
      </c>
      <c r="W17" s="62">
        <f ca="1">AA17*$F$64+(AB17+$H$65)*$F$65+AC17*$F$66</f>
        <v>500000</v>
      </c>
      <c r="X17" s="20">
        <f ca="1">RANK($L17,$L$17:$L$25)+RANK($W17,$W$17:$W$25)/100+(9-$Y17)/10000</f>
        <v>1.0108999999999999</v>
      </c>
      <c r="Y17" s="12">
        <v>0</v>
      </c>
      <c r="Z17" s="1">
        <f ca="1">RANK($W17,$W$17:$W$25)+(9-$Y17)/10</f>
        <v>1.9</v>
      </c>
      <c r="AA17" s="1">
        <f ca="1">SUM(E30:BP30)</f>
        <v>0</v>
      </c>
      <c r="AB17" s="1">
        <f ca="1">SUM(E41:BP41)</f>
        <v>0</v>
      </c>
      <c r="AC17" s="1">
        <f ca="1">SUM(E52:BP52)</f>
        <v>0</v>
      </c>
      <c r="AD17" s="260">
        <f ca="1">RANK($K17,$K$17:$K$25)</f>
        <v>1</v>
      </c>
      <c r="AE17" s="29">
        <f t="shared" ref="AE17:AE22" ca="1" si="22">(J17+$H$65)*$F$65+H17*$F$66</f>
        <v>500174</v>
      </c>
      <c r="AF17" s="1">
        <f ca="1">RANK($AE17,$AE$17:$AE$25)</f>
        <v>1</v>
      </c>
      <c r="AG17" s="1">
        <f ca="1">RANK($W17,$W$17:$W$25)</f>
        <v>1</v>
      </c>
      <c r="AH17" s="262">
        <f ca="1">AD17+AG17/100+AF17/10000+(10-Y17)/1000000</f>
        <v>1.0101100000000001</v>
      </c>
      <c r="AI17" s="1"/>
    </row>
    <row r="18" spans="2:80" s="2" customFormat="1" x14ac:dyDescent="0.2">
      <c r="C18" s="2" t="str">
        <f t="shared" ref="C18:C25" ca="1" si="23">$Q65</f>
        <v>Mainz 05</v>
      </c>
      <c r="D18" s="1">
        <f t="shared" ca="1" si="11"/>
        <v>4</v>
      </c>
      <c r="E18" s="1">
        <f t="shared" ca="1" si="11"/>
        <v>0</v>
      </c>
      <c r="F18" s="1">
        <f t="shared" ca="1" si="11"/>
        <v>3</v>
      </c>
      <c r="G18" s="1">
        <f t="shared" ca="1" si="11"/>
        <v>1</v>
      </c>
      <c r="H18" s="1">
        <f t="shared" ca="1" si="12"/>
        <v>156</v>
      </c>
      <c r="I18" s="1">
        <f t="shared" ca="1" si="12"/>
        <v>184</v>
      </c>
      <c r="J18" s="12">
        <f t="shared" ca="1" si="12"/>
        <v>-28</v>
      </c>
      <c r="K18" s="1">
        <f t="shared" ca="1" si="12"/>
        <v>3</v>
      </c>
      <c r="L18" s="29">
        <f t="shared" ca="1" si="13"/>
        <v>3472156</v>
      </c>
      <c r="M18" s="13">
        <f t="shared" ref="M18:M25" ca="1" si="24">IF($AI$15,COUNTIF($K$17:$K$25,K18),COUNTIF($L$17:$L$25,L18))</f>
        <v>1</v>
      </c>
      <c r="N18" s="13">
        <f t="array" aca="1" ref="N18" ca="1">IF($AI$15,SUM(($K$17:$K$25&gt;=K18)/COUNTIF($K$17:$K$25,$K$17:$K$25)),SUM(($L$17:$L$25&gt;=L18)/COUNTIF($L$17:$L$25,$L$17:$L$25)))</f>
        <v>3</v>
      </c>
      <c r="O18" s="5" t="str">
        <f t="shared" ca="1" si="14"/>
        <v/>
      </c>
      <c r="P18" s="3" t="str">
        <f t="shared" ca="1" si="15"/>
        <v/>
      </c>
      <c r="Q18" s="3" t="str">
        <f t="shared" ca="1" si="16"/>
        <v/>
      </c>
      <c r="R18" s="3" t="str">
        <f t="shared" ca="1" si="17"/>
        <v/>
      </c>
      <c r="S18" s="3" t="str">
        <f t="shared" ca="1" si="18"/>
        <v/>
      </c>
      <c r="T18" s="3" t="str">
        <f t="shared" ca="1" si="19"/>
        <v/>
      </c>
      <c r="U18" s="3" t="str">
        <f t="shared" ca="1" si="20"/>
        <v/>
      </c>
      <c r="V18" s="55" t="str">
        <f t="shared" ca="1" si="21"/>
        <v/>
      </c>
      <c r="W18" s="62">
        <f ca="1">AA18*$F$64+(AB18+$H$65)*$F$65+AC18*$F$66</f>
        <v>500000</v>
      </c>
      <c r="X18" s="21">
        <f t="shared" ref="X18:X25" ca="1" si="25">RANK($L18,$L$17:$L$25)+RANK($W18,$W$17:$W$25)/100+(9-$Y18)/10000</f>
        <v>3.0108999999999999</v>
      </c>
      <c r="Y18" s="12">
        <v>0</v>
      </c>
      <c r="Z18" s="1">
        <f t="shared" ref="Z18:Z25" ca="1" si="26">RANK($W18,$W$17:$W$25)+(9-$Y18)/10</f>
        <v>1.9</v>
      </c>
      <c r="AA18" s="1">
        <f t="shared" ref="AA18:AA25" ca="1" si="27">SUM(E31:BP31)</f>
        <v>0</v>
      </c>
      <c r="AB18" s="1">
        <f t="shared" ref="AB18:AB25" ca="1" si="28">SUM(E42:BP42)</f>
        <v>0</v>
      </c>
      <c r="AC18" s="1">
        <f t="shared" ref="AC18:AC25" ca="1" si="29">SUM(E53:BP53)</f>
        <v>0</v>
      </c>
      <c r="AD18" s="260">
        <f t="shared" ref="AD18:AD25" ca="1" si="30">RANK($K18,$K$17:$K$25)</f>
        <v>1</v>
      </c>
      <c r="AE18" s="29">
        <f t="shared" ca="1" si="22"/>
        <v>472156</v>
      </c>
      <c r="AF18" s="1">
        <f t="shared" ref="AF18:AF25" ca="1" si="31">RANK($AE18,$AE$17:$AE$25)</f>
        <v>6</v>
      </c>
      <c r="AG18" s="1">
        <f t="shared" ref="AG18:AG25" ca="1" si="32">RANK($W18,$W$17:$W$25)</f>
        <v>1</v>
      </c>
      <c r="AH18" s="263">
        <f t="shared" ref="AH18:AH25" ca="1" si="33">AD18+AG18/100+AF18/10000+(10-Y18)/1000000</f>
        <v>1.01061</v>
      </c>
      <c r="AI18" s="1"/>
    </row>
    <row r="19" spans="2:80" s="2" customFormat="1" x14ac:dyDescent="0.2">
      <c r="C19" s="2" t="str">
        <f t="shared" ca="1" si="23"/>
        <v>Kickers Rodendorf</v>
      </c>
      <c r="D19" s="1">
        <f t="shared" ca="1" si="11"/>
        <v>4</v>
      </c>
      <c r="E19" s="1">
        <f t="shared" ca="1" si="11"/>
        <v>0</v>
      </c>
      <c r="F19" s="1">
        <f t="shared" ca="1" si="11"/>
        <v>3</v>
      </c>
      <c r="G19" s="1">
        <f t="shared" ca="1" si="11"/>
        <v>1</v>
      </c>
      <c r="H19" s="1">
        <f t="shared" ca="1" si="12"/>
        <v>161</v>
      </c>
      <c r="I19" s="1">
        <f t="shared" ca="1" si="12"/>
        <v>176</v>
      </c>
      <c r="J19" s="12">
        <f t="shared" ca="1" si="12"/>
        <v>-15</v>
      </c>
      <c r="K19" s="1">
        <f t="shared" ca="1" si="12"/>
        <v>3</v>
      </c>
      <c r="L19" s="29">
        <f t="shared" ca="1" si="13"/>
        <v>3485161</v>
      </c>
      <c r="M19" s="13">
        <f t="shared" ca="1" si="24"/>
        <v>1</v>
      </c>
      <c r="N19" s="13">
        <f t="array" aca="1" ref="N19" ca="1">IF($AI$15,SUM(($K$17:$K$25&gt;=K19)/COUNTIF($K$17:$K$25,$K$17:$K$25)),SUM(($L$17:$L$25&gt;=L19)/COUNTIF($L$17:$L$25,$L$17:$L$25)))</f>
        <v>2</v>
      </c>
      <c r="O19" s="5" t="str">
        <f t="shared" ca="1" si="14"/>
        <v/>
      </c>
      <c r="P19" s="3" t="str">
        <f t="shared" ca="1" si="15"/>
        <v/>
      </c>
      <c r="Q19" s="3" t="str">
        <f t="shared" ca="1" si="16"/>
        <v/>
      </c>
      <c r="R19" s="3" t="str">
        <f t="shared" ca="1" si="17"/>
        <v/>
      </c>
      <c r="S19" s="3" t="str">
        <f t="shared" ca="1" si="18"/>
        <v/>
      </c>
      <c r="T19" s="3" t="str">
        <f t="shared" ca="1" si="19"/>
        <v/>
      </c>
      <c r="U19" s="3" t="str">
        <f t="shared" ca="1" si="20"/>
        <v/>
      </c>
      <c r="V19" s="55" t="str">
        <f t="shared" ca="1" si="21"/>
        <v/>
      </c>
      <c r="W19" s="62">
        <f ca="1">AA19*$F$64+(AB19+$H$65)*$F$65+AC19*$F$66</f>
        <v>500000</v>
      </c>
      <c r="X19" s="21">
        <f t="shared" ca="1" si="25"/>
        <v>2.0108999999999999</v>
      </c>
      <c r="Y19" s="12">
        <v>0</v>
      </c>
      <c r="Z19" s="1">
        <f t="shared" ca="1" si="26"/>
        <v>1.9</v>
      </c>
      <c r="AA19" s="1">
        <f t="shared" ca="1" si="27"/>
        <v>0</v>
      </c>
      <c r="AB19" s="1">
        <f t="shared" ca="1" si="28"/>
        <v>0</v>
      </c>
      <c r="AC19" s="1">
        <f t="shared" ca="1" si="29"/>
        <v>0</v>
      </c>
      <c r="AD19" s="260">
        <f t="shared" ca="1" si="30"/>
        <v>1</v>
      </c>
      <c r="AE19" s="29">
        <f t="shared" ca="1" si="22"/>
        <v>485161</v>
      </c>
      <c r="AF19" s="1">
        <f t="shared" ca="1" si="31"/>
        <v>5</v>
      </c>
      <c r="AG19" s="1">
        <f t="shared" ca="1" si="32"/>
        <v>1</v>
      </c>
      <c r="AH19" s="263">
        <f t="shared" ca="1" si="33"/>
        <v>1.01051</v>
      </c>
      <c r="AI19" s="1"/>
    </row>
    <row r="20" spans="2:80" s="2" customFormat="1" x14ac:dyDescent="0.2">
      <c r="C20" s="2" t="str">
        <f t="shared" si="23"/>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13"/>
        <v>500000</v>
      </c>
      <c r="M20" s="13">
        <f t="shared" ca="1" si="24"/>
        <v>6</v>
      </c>
      <c r="N20" s="13">
        <f t="array" aca="1" ref="N20" ca="1">IF($AI$15,SUM(($K$17:$K$25&gt;=K20)/COUNTIF($K$17:$K$25,$K$17:$K$25)),SUM(($L$17:$L$25&gt;=L20)/COUNTIF($L$17:$L$25,$L$17:$L$25)))</f>
        <v>3.9999999999999991</v>
      </c>
      <c r="O20" s="5" t="str">
        <f t="shared" ca="1" si="14"/>
        <v/>
      </c>
      <c r="P20" s="3" t="str">
        <f t="shared" ca="1" si="15"/>
        <v/>
      </c>
      <c r="Q20" s="3" t="str">
        <f t="shared" ca="1" si="16"/>
        <v/>
      </c>
      <c r="R20" s="3" t="str">
        <f t="shared" ca="1" si="17"/>
        <v/>
      </c>
      <c r="S20" s="3" t="str">
        <f t="shared" ca="1" si="18"/>
        <v/>
      </c>
      <c r="T20" s="3" t="str">
        <f t="shared" ca="1" si="19"/>
        <v/>
      </c>
      <c r="U20" s="3" t="str">
        <f t="shared" ca="1" si="20"/>
        <v/>
      </c>
      <c r="V20" s="55" t="str">
        <f t="shared" ca="1" si="21"/>
        <v/>
      </c>
      <c r="W20" s="62">
        <v>0</v>
      </c>
      <c r="X20" s="21">
        <f t="shared" ca="1" si="25"/>
        <v>4.0408999999999997</v>
      </c>
      <c r="Y20" s="12">
        <v>0</v>
      </c>
      <c r="Z20" s="1">
        <f t="shared" ca="1" si="26"/>
        <v>4.9000000000000004</v>
      </c>
      <c r="AA20" s="1">
        <f t="shared" ca="1" si="27"/>
        <v>0</v>
      </c>
      <c r="AB20" s="1">
        <f t="shared" ca="1" si="28"/>
        <v>0</v>
      </c>
      <c r="AC20" s="1">
        <f t="shared" ca="1" si="29"/>
        <v>0</v>
      </c>
      <c r="AD20" s="260">
        <f t="shared" ca="1" si="30"/>
        <v>4</v>
      </c>
      <c r="AE20" s="29">
        <f t="shared" ca="1" si="22"/>
        <v>500000</v>
      </c>
      <c r="AF20" s="1">
        <f t="shared" ca="1" si="31"/>
        <v>2</v>
      </c>
      <c r="AG20" s="1">
        <f t="shared" ca="1" si="32"/>
        <v>4</v>
      </c>
      <c r="AH20" s="263">
        <f t="shared" ca="1" si="33"/>
        <v>4.0402100000000001</v>
      </c>
      <c r="AI20" s="1"/>
    </row>
    <row r="21" spans="2:80" s="2" customFormat="1" x14ac:dyDescent="0.2">
      <c r="C21" s="2" t="str">
        <f t="shared" si="23"/>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13"/>
        <v>500000</v>
      </c>
      <c r="M21" s="13">
        <f t="shared" ca="1" si="24"/>
        <v>6</v>
      </c>
      <c r="N21" s="13">
        <f t="array" aca="1" ref="N21" ca="1">IF($AI$15,SUM(($K$17:$K$25&gt;=K21)/COUNTIF($K$17:$K$25,$K$17:$K$25)),SUM(($L$17:$L$25&gt;=L21)/COUNTIF($L$17:$L$25,$L$17:$L$25)))</f>
        <v>3.9999999999999991</v>
      </c>
      <c r="O21" s="5" t="str">
        <f t="shared" ca="1" si="14"/>
        <v/>
      </c>
      <c r="P21" s="3" t="str">
        <f t="shared" ca="1" si="15"/>
        <v/>
      </c>
      <c r="Q21" s="3" t="str">
        <f t="shared" ca="1" si="16"/>
        <v/>
      </c>
      <c r="R21" s="3" t="str">
        <f t="shared" ca="1" si="17"/>
        <v/>
      </c>
      <c r="S21" s="3" t="str">
        <f t="shared" ca="1" si="18"/>
        <v/>
      </c>
      <c r="T21" s="3" t="str">
        <f t="shared" ca="1" si="19"/>
        <v/>
      </c>
      <c r="U21" s="3" t="str">
        <f t="shared" ca="1" si="20"/>
        <v/>
      </c>
      <c r="V21" s="55" t="str">
        <f t="shared" ca="1" si="21"/>
        <v/>
      </c>
      <c r="W21" s="62">
        <v>0</v>
      </c>
      <c r="X21" s="21">
        <f t="shared" ca="1" si="25"/>
        <v>4.0408999999999997</v>
      </c>
      <c r="Y21" s="12">
        <v>0</v>
      </c>
      <c r="Z21" s="1">
        <f t="shared" ca="1" si="26"/>
        <v>4.9000000000000004</v>
      </c>
      <c r="AA21" s="1">
        <f t="shared" ca="1" si="27"/>
        <v>0</v>
      </c>
      <c r="AB21" s="1">
        <f t="shared" ca="1" si="28"/>
        <v>0</v>
      </c>
      <c r="AC21" s="1">
        <f t="shared" ca="1" si="29"/>
        <v>0</v>
      </c>
      <c r="AD21" s="260">
        <f t="shared" ca="1" si="30"/>
        <v>4</v>
      </c>
      <c r="AE21" s="29">
        <f t="shared" ca="1" si="22"/>
        <v>500000</v>
      </c>
      <c r="AF21" s="1">
        <f t="shared" ca="1" si="31"/>
        <v>2</v>
      </c>
      <c r="AG21" s="1">
        <f t="shared" ca="1" si="32"/>
        <v>4</v>
      </c>
      <c r="AH21" s="263">
        <f t="shared" ca="1" si="33"/>
        <v>4.0402100000000001</v>
      </c>
      <c r="AI21" s="1"/>
    </row>
    <row r="22" spans="2:80" s="2" customFormat="1" x14ac:dyDescent="0.2">
      <c r="C22" s="2" t="str">
        <f t="shared" si="23"/>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13"/>
        <v>500000</v>
      </c>
      <c r="M22" s="13">
        <f t="shared" ca="1" si="24"/>
        <v>6</v>
      </c>
      <c r="N22" s="13">
        <f t="array" aca="1" ref="N22" ca="1">IF($AI$15,SUM(($K$17:$K$25&gt;=K22)/COUNTIF($K$17:$K$25,$K$17:$K$25)),SUM(($L$17:$L$25&gt;=L22)/COUNTIF($L$17:$L$25,$L$17:$L$25)))</f>
        <v>3.9999999999999991</v>
      </c>
      <c r="O22" s="5" t="str">
        <f t="shared" ca="1" si="14"/>
        <v/>
      </c>
      <c r="P22" s="3" t="str">
        <f t="shared" ca="1" si="15"/>
        <v/>
      </c>
      <c r="Q22" s="3" t="str">
        <f t="shared" ca="1" si="16"/>
        <v/>
      </c>
      <c r="R22" s="3" t="str">
        <f t="shared" ca="1" si="17"/>
        <v/>
      </c>
      <c r="S22" s="3" t="str">
        <f t="shared" ca="1" si="18"/>
        <v/>
      </c>
      <c r="T22" s="3" t="str">
        <f t="shared" ca="1" si="19"/>
        <v/>
      </c>
      <c r="U22" s="3" t="str">
        <f t="shared" ca="1" si="20"/>
        <v/>
      </c>
      <c r="V22" s="55" t="str">
        <f t="shared" ca="1" si="21"/>
        <v/>
      </c>
      <c r="W22" s="62">
        <v>0</v>
      </c>
      <c r="X22" s="21">
        <f t="shared" ca="1" si="25"/>
        <v>4.0408999999999997</v>
      </c>
      <c r="Y22" s="12">
        <v>0</v>
      </c>
      <c r="Z22" s="1">
        <f t="shared" ca="1" si="26"/>
        <v>4.9000000000000004</v>
      </c>
      <c r="AA22" s="1">
        <f t="shared" ca="1" si="27"/>
        <v>0</v>
      </c>
      <c r="AB22" s="1">
        <f t="shared" ca="1" si="28"/>
        <v>0</v>
      </c>
      <c r="AC22" s="1">
        <f t="shared" ca="1" si="29"/>
        <v>0</v>
      </c>
      <c r="AD22" s="260">
        <f t="shared" ca="1" si="30"/>
        <v>4</v>
      </c>
      <c r="AE22" s="29">
        <f t="shared" ca="1" si="22"/>
        <v>500000</v>
      </c>
      <c r="AF22" s="1">
        <f t="shared" ca="1" si="31"/>
        <v>2</v>
      </c>
      <c r="AG22" s="1">
        <f t="shared" ca="1" si="32"/>
        <v>4</v>
      </c>
      <c r="AH22" s="263">
        <f t="shared" ca="1" si="33"/>
        <v>4.0402100000000001</v>
      </c>
      <c r="AI22" s="1"/>
    </row>
    <row r="23" spans="2:80" s="2" customFormat="1" x14ac:dyDescent="0.2">
      <c r="C23" s="2" t="str">
        <f t="shared" si="23"/>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13"/>
        <v>500000</v>
      </c>
      <c r="M23" s="13">
        <f t="shared" ca="1" si="24"/>
        <v>6</v>
      </c>
      <c r="N23" s="13">
        <f t="array" aca="1" ref="N23" ca="1">IF($AI$15,SUM(($K$17:$K$25&gt;=K23)/COUNTIF($K$17:$K$25,$K$17:$K$25)),SUM(($L$17:$L$25&gt;=L23)/COUNTIF($L$17:$L$25,$L$17:$L$25)))</f>
        <v>3.9999999999999991</v>
      </c>
      <c r="O23" s="5" t="str">
        <f t="shared" ca="1" si="14"/>
        <v/>
      </c>
      <c r="P23" s="3" t="str">
        <f t="shared" ca="1" si="15"/>
        <v/>
      </c>
      <c r="Q23" s="3" t="str">
        <f t="shared" ca="1" si="16"/>
        <v/>
      </c>
      <c r="R23" s="3" t="str">
        <f t="shared" ca="1" si="17"/>
        <v/>
      </c>
      <c r="S23" s="3" t="str">
        <f t="shared" ca="1" si="18"/>
        <v/>
      </c>
      <c r="T23" s="3" t="str">
        <f t="shared" ca="1" si="19"/>
        <v/>
      </c>
      <c r="U23" s="3" t="str">
        <f t="shared" ca="1" si="20"/>
        <v/>
      </c>
      <c r="V23" s="55" t="str">
        <f t="shared" ca="1" si="21"/>
        <v/>
      </c>
      <c r="W23" s="62">
        <v>0</v>
      </c>
      <c r="X23" s="21">
        <f t="shared" ca="1" si="25"/>
        <v>4.0408999999999997</v>
      </c>
      <c r="Y23" s="12">
        <v>0</v>
      </c>
      <c r="Z23" s="1">
        <f t="shared" ca="1" si="26"/>
        <v>4.9000000000000004</v>
      </c>
      <c r="AA23" s="1">
        <f t="shared" ca="1" si="27"/>
        <v>0</v>
      </c>
      <c r="AB23" s="1">
        <f t="shared" ca="1" si="28"/>
        <v>0</v>
      </c>
      <c r="AC23" s="1">
        <f t="shared" ca="1" si="29"/>
        <v>0</v>
      </c>
      <c r="AD23" s="260">
        <f t="shared" ca="1" si="30"/>
        <v>4</v>
      </c>
      <c r="AE23" s="29">
        <v>0</v>
      </c>
      <c r="AF23" s="1">
        <f t="shared" ca="1" si="31"/>
        <v>7</v>
      </c>
      <c r="AG23" s="1">
        <f t="shared" ca="1" si="32"/>
        <v>4</v>
      </c>
      <c r="AH23" s="263">
        <f t="shared" ca="1" si="33"/>
        <v>4.0407099999999998</v>
      </c>
      <c r="AI23" s="1"/>
    </row>
    <row r="24" spans="2:80" s="2" customFormat="1" x14ac:dyDescent="0.2">
      <c r="C24" s="2" t="str">
        <f t="shared" si="23"/>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13"/>
        <v>500000</v>
      </c>
      <c r="M24" s="13">
        <f t="shared" ca="1" si="24"/>
        <v>6</v>
      </c>
      <c r="N24" s="13">
        <f t="array" aca="1" ref="N24" ca="1">IF($AI$15,SUM(($K$17:$K$25&gt;=K24)/COUNTIF($K$17:$K$25,$K$17:$K$25)),SUM(($L$17:$L$25&gt;=L24)/COUNTIF($L$17:$L$25,$L$17:$L$25)))</f>
        <v>3.9999999999999991</v>
      </c>
      <c r="O24" s="5" t="str">
        <f t="shared" ca="1" si="14"/>
        <v/>
      </c>
      <c r="P24" s="3" t="str">
        <f t="shared" ca="1" si="15"/>
        <v/>
      </c>
      <c r="Q24" s="3" t="str">
        <f t="shared" ca="1" si="16"/>
        <v/>
      </c>
      <c r="R24" s="3" t="str">
        <f t="shared" ca="1" si="17"/>
        <v/>
      </c>
      <c r="S24" s="3" t="str">
        <f t="shared" ca="1" si="18"/>
        <v/>
      </c>
      <c r="T24" s="3" t="str">
        <f t="shared" ca="1" si="19"/>
        <v/>
      </c>
      <c r="U24" s="3" t="str">
        <f t="shared" ca="1" si="20"/>
        <v/>
      </c>
      <c r="V24" s="55" t="str">
        <f t="shared" ca="1" si="21"/>
        <v/>
      </c>
      <c r="W24" s="62">
        <v>0</v>
      </c>
      <c r="X24" s="21">
        <f t="shared" ca="1" si="25"/>
        <v>4.0408999999999997</v>
      </c>
      <c r="Y24" s="12">
        <v>0</v>
      </c>
      <c r="Z24" s="1">
        <f t="shared" ca="1" si="26"/>
        <v>4.9000000000000004</v>
      </c>
      <c r="AA24" s="1">
        <f t="shared" ca="1" si="27"/>
        <v>0</v>
      </c>
      <c r="AB24" s="1">
        <f t="shared" ca="1" si="28"/>
        <v>0</v>
      </c>
      <c r="AC24" s="1">
        <f t="shared" ca="1" si="29"/>
        <v>0</v>
      </c>
      <c r="AD24" s="260">
        <f t="shared" ca="1" si="30"/>
        <v>4</v>
      </c>
      <c r="AE24" s="29">
        <v>0</v>
      </c>
      <c r="AF24" s="1">
        <f t="shared" ca="1" si="31"/>
        <v>7</v>
      </c>
      <c r="AG24" s="1">
        <f t="shared" ca="1" si="32"/>
        <v>4</v>
      </c>
      <c r="AH24" s="263">
        <f t="shared" ca="1" si="33"/>
        <v>4.0407099999999998</v>
      </c>
      <c r="AI24" s="1"/>
    </row>
    <row r="25" spans="2:80" s="2" customFormat="1" ht="12.75" thickBot="1" x14ac:dyDescent="0.25">
      <c r="C25" s="2" t="str">
        <f t="shared" si="23"/>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13"/>
        <v>500000</v>
      </c>
      <c r="M25" s="13">
        <f t="shared" ca="1" si="24"/>
        <v>6</v>
      </c>
      <c r="N25" s="13">
        <f t="array" aca="1" ref="N25" ca="1">IF($AI$15,SUM(($K$17:$K$25&gt;=K25)/COUNTIF($K$17:$K$25,$K$17:$K$25)),SUM(($L$17:$L$25&gt;=L25)/COUNTIF($L$17:$L$25,$L$17:$L$25)))</f>
        <v>3.9999999999999991</v>
      </c>
      <c r="O25" s="56" t="str">
        <f t="shared" ca="1" si="14"/>
        <v/>
      </c>
      <c r="P25" s="57" t="str">
        <f t="shared" ca="1" si="15"/>
        <v/>
      </c>
      <c r="Q25" s="57" t="str">
        <f t="shared" ca="1" si="16"/>
        <v/>
      </c>
      <c r="R25" s="57" t="str">
        <f t="shared" ca="1" si="17"/>
        <v/>
      </c>
      <c r="S25" s="57" t="str">
        <f t="shared" ca="1" si="18"/>
        <v/>
      </c>
      <c r="T25" s="57" t="str">
        <f t="shared" ca="1" si="19"/>
        <v/>
      </c>
      <c r="U25" s="57" t="str">
        <f t="shared" ca="1" si="20"/>
        <v/>
      </c>
      <c r="V25" s="58" t="str">
        <f t="shared" ca="1" si="21"/>
        <v/>
      </c>
      <c r="W25" s="62">
        <v>0</v>
      </c>
      <c r="X25" s="22">
        <f t="shared" ca="1" si="25"/>
        <v>4.0408999999999997</v>
      </c>
      <c r="Y25" s="12">
        <v>0</v>
      </c>
      <c r="Z25" s="1">
        <f t="shared" ca="1" si="26"/>
        <v>4.9000000000000004</v>
      </c>
      <c r="AA25" s="1">
        <f t="shared" ca="1" si="27"/>
        <v>0</v>
      </c>
      <c r="AB25" s="1">
        <f t="shared" ca="1" si="28"/>
        <v>0</v>
      </c>
      <c r="AC25" s="1">
        <f t="shared" ca="1" si="29"/>
        <v>0</v>
      </c>
      <c r="AD25" s="260">
        <f t="shared" ca="1" si="30"/>
        <v>4</v>
      </c>
      <c r="AE25" s="29">
        <v>0</v>
      </c>
      <c r="AF25" s="1">
        <f t="shared" ca="1" si="31"/>
        <v>7</v>
      </c>
      <c r="AG25" s="1">
        <f t="shared" ca="1" si="32"/>
        <v>4</v>
      </c>
      <c r="AH25" s="264">
        <f t="shared" ca="1" si="33"/>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Maibach 1822 eV</v>
      </c>
      <c r="BT29" s="2" t="str">
        <f ca="1">$F$5</f>
        <v>Mainz 05</v>
      </c>
      <c r="BU29" s="2" t="str">
        <f ca="1">$F$6</f>
        <v>Kickers Rodendorf</v>
      </c>
      <c r="BV29" s="2" t="str">
        <f>$F$7</f>
        <v/>
      </c>
      <c r="BW29" s="2" t="str">
        <f>$F$8</f>
        <v/>
      </c>
      <c r="BX29" s="2" t="str">
        <f>$F$9</f>
        <v/>
      </c>
      <c r="BY29" s="2" t="str">
        <f>$F$10</f>
        <v/>
      </c>
      <c r="BZ29" s="2" t="str">
        <f>$F$11</f>
        <v/>
      </c>
      <c r="CA29" s="2" t="str">
        <f>$F$12</f>
        <v/>
      </c>
      <c r="CB29" s="51"/>
    </row>
    <row r="30" spans="2:80" s="2" customFormat="1" x14ac:dyDescent="0.2">
      <c r="C30" s="2" t="str">
        <f ca="1">$Q64</f>
        <v>Maibach 1822 eV</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Maibach 1822 eV</v>
      </c>
      <c r="BS30" s="6"/>
      <c r="BT30" s="7">
        <f t="shared" ref="BT30:CA32" ca="1" si="35">SUMIFS($X$64:$X$135,$V$64:$V$135,$BR30,$W$64:$W$135,BT$29)+SUMIFS($Y$64:$Y$135,$W$64:$W$135,$BR30,$V$64:$V$135,BT$29)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Mainz 05</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Mainz 05</v>
      </c>
      <c r="BS31" s="8">
        <f t="shared" ref="BS31:BU38" ca="1" si="37">SUMIFS($X$64:$X$135,$V$64:$V$135,$BR31,$W$64:$W$135,BS$29)+SUMIFS($Y$64:$Y$135,$W$64:$W$135,$BR31,$V$64:$V$135,BS$29)</f>
        <v>0</v>
      </c>
      <c r="BT31" s="6"/>
      <c r="BU31" s="7">
        <f t="shared" ca="1" si="35"/>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Kickers Rodendorf</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Kickers Rodendorf</v>
      </c>
      <c r="BS32" s="8">
        <f t="shared" ca="1" si="37"/>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ca="1">SUMIFS($X$64:$X$135,$V$64:$V$135,$BR33,$W$64:$W$135,BW$29)+SUMIFS($Y$64:$Y$135,$W$64:$W$135,$BR33,$V$64:$V$135,BW$29)</f>
        <v>0</v>
      </c>
      <c r="BX33" s="7">
        <f ca="1">SUMIFS($X$64:$X$135,$V$64:$V$135,$BR33,$W$64:$W$135,BX$29)+SUMIFS($Y$64:$Y$135,$W$64:$W$135,$BR33,$V$64:$V$135,BX$29)</f>
        <v>0</v>
      </c>
      <c r="BY33" s="7">
        <f ca="1">SUMIFS($X$64:$X$135,$V$64:$V$135,$BR33,$W$64:$W$135,BY$29)+SUMIFS($Y$64:$Y$135,$W$64:$W$135,$BR33,$V$64:$V$135,BY$29)</f>
        <v>0</v>
      </c>
      <c r="BZ33" s="7">
        <f ca="1">SUMIFS($X$64:$X$135,$V$64:$V$135,$BR33,$W$64:$W$135,BZ$29)+SUMIFS($Y$64:$Y$135,$W$64:$W$135,$BR33,$V$64:$V$135,BZ$29)</f>
        <v>0</v>
      </c>
      <c r="CA33" s="7">
        <f ca="1">SUMIFS($X$64:$X$135,$V$64:$V$135,$BR33,$W$64:$W$135,CA$29)+SUMIFS($Y$64:$Y$135,$W$64:$W$135,$BR33,$V$64:$V$135,CA$29)</f>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ca="1">SUMIFS($X$64:$X$135,$V$64:$V$135,$BR34,$W$64:$W$135,BV$29)+SUMIFS($Y$64:$Y$135,$W$64:$W$135,$BR34,$V$64:$V$135,BV$29)</f>
        <v>0</v>
      </c>
      <c r="BW34" s="6"/>
      <c r="BX34" s="7">
        <f ca="1">SUMIFS($X$64:$X$135,$V$64:$V$135,$BR34,$W$64:$W$135,BX$29)+SUMIFS($Y$64:$Y$135,$W$64:$W$135,$BR34,$V$64:$V$135,BX$29)</f>
        <v>0</v>
      </c>
      <c r="BY34" s="7">
        <f ca="1">SUMIFS($X$64:$X$135,$V$64:$V$135,$BR34,$W$64:$W$135,BY$29)+SUMIFS($Y$64:$Y$135,$W$64:$W$135,$BR34,$V$64:$V$135,BY$29)</f>
        <v>0</v>
      </c>
      <c r="BZ34" s="7">
        <f ca="1">SUMIFS($X$64:$X$135,$V$64:$V$135,$BR34,$W$64:$W$135,BZ$29)+SUMIFS($Y$64:$Y$135,$W$64:$W$135,$BR34,$V$64:$V$135,BZ$29)</f>
        <v>0</v>
      </c>
      <c r="CA34" s="7">
        <f ca="1">SUMIFS($X$64:$X$135,$V$64:$V$135,$BR34,$W$64:$W$135,CA$29)+SUMIFS($Y$64:$Y$135,$W$64:$W$135,$BR34,$V$64:$V$135,CA$29)</f>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ca="1">SUMIFS($X$64:$X$135,$V$64:$V$135,$BR35,$W$64:$W$135,BV$29)+SUMIFS($Y$64:$Y$135,$W$64:$W$135,$BR35,$V$64:$V$135,BV$29)</f>
        <v>0</v>
      </c>
      <c r="BW35" s="8">
        <f ca="1">SUMIFS($X$64:$X$135,$V$64:$V$135,$BR35,$W$64:$W$135,BW$29)+SUMIFS($Y$64:$Y$135,$W$64:$W$135,$BR35,$V$64:$V$135,BW$29)</f>
        <v>0</v>
      </c>
      <c r="BX35" s="6"/>
      <c r="BY35" s="7">
        <f ca="1">SUMIFS($X$64:$X$135,$V$64:$V$135,$BR35,$W$64:$W$135,BY$29)+SUMIFS($Y$64:$Y$135,$W$64:$W$135,$BR35,$V$64:$V$135,BY$29)</f>
        <v>0</v>
      </c>
      <c r="BZ35" s="7">
        <f ca="1">SUMIFS($X$64:$X$135,$V$64:$V$135,$BR35,$W$64:$W$135,BZ$29)+SUMIFS($Y$64:$Y$135,$W$64:$W$135,$BR35,$V$64:$V$135,BZ$29)</f>
        <v>0</v>
      </c>
      <c r="CA35" s="7">
        <f ca="1">SUMIFS($X$64:$X$135,$V$64:$V$135,$BR35,$W$64:$W$135,CA$29)+SUMIFS($Y$64:$Y$135,$W$64:$W$135,$BR35,$V$64:$V$135,CA$29)</f>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ca="1">SUMIFS($X$64:$X$135,$V$64:$V$135,$BR36,$W$64:$W$135,BV$29)+SUMIFS($Y$64:$Y$135,$W$64:$W$135,$BR36,$V$64:$V$135,BV$29)</f>
        <v>0</v>
      </c>
      <c r="BW36" s="8">
        <f ca="1">SUMIFS($X$64:$X$135,$V$64:$V$135,$BR36,$W$64:$W$135,BW$29)+SUMIFS($Y$64:$Y$135,$W$64:$W$135,$BR36,$V$64:$V$135,BW$29)</f>
        <v>0</v>
      </c>
      <c r="BX36" s="8">
        <f ca="1">SUMIFS($X$64:$X$135,$V$64:$V$135,$BR36,$W$64:$W$135,BX$29)+SUMIFS($Y$64:$Y$135,$W$64:$W$135,$BR36,$V$64:$V$135,BX$29)</f>
        <v>0</v>
      </c>
      <c r="BY36" s="6"/>
      <c r="BZ36" s="7">
        <f ca="1">SUMIFS($X$64:$X$135,$V$64:$V$135,$BR36,$W$64:$W$135,BZ$29)+SUMIFS($Y$64:$Y$135,$W$64:$W$135,$BR36,$V$64:$V$135,BZ$29)</f>
        <v>0</v>
      </c>
      <c r="CA36" s="7">
        <f ca="1">SUMIFS($X$64:$X$135,$V$64:$V$135,$BR36,$W$64:$W$135,CA$29)+SUMIFS($Y$64:$Y$135,$W$64:$W$135,$BR36,$V$64:$V$135,CA$29)</f>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ca="1">SUMIFS($X$64:$X$135,$V$64:$V$135,$BR37,$W$64:$W$135,BV$29)+SUMIFS($Y$64:$Y$135,$W$64:$W$135,$BR37,$V$64:$V$135,BV$29)</f>
        <v>0</v>
      </c>
      <c r="BW37" s="8">
        <f ca="1">SUMIFS($X$64:$X$135,$V$64:$V$135,$BR37,$W$64:$W$135,BW$29)+SUMIFS($Y$64:$Y$135,$W$64:$W$135,$BR37,$V$64:$V$135,BW$29)</f>
        <v>0</v>
      </c>
      <c r="BX37" s="8">
        <f ca="1">SUMIFS($X$64:$X$135,$V$64:$V$135,$BR37,$W$64:$W$135,BX$29)+SUMIFS($Y$64:$Y$135,$W$64:$W$135,$BR37,$V$64:$V$135,BX$29)</f>
        <v>0</v>
      </c>
      <c r="BY37" s="8">
        <f ca="1">SUMIFS($X$64:$X$135,$V$64:$V$135,$BR37,$W$64:$W$135,BY$29)+SUMIFS($Y$64:$Y$135,$W$64:$W$135,$BR37,$V$64:$V$135,BY$29)</f>
        <v>0</v>
      </c>
      <c r="BZ37" s="6"/>
      <c r="CA37" s="7">
        <f ca="1">SUMIFS($X$64:$X$135,$V$64:$V$135,$BR37,$W$64:$W$135,CA$29)+SUMIFS($Y$64:$Y$135,$W$64:$W$135,$BR37,$V$64:$V$135,CA$29)</f>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ca="1">SUMIFS($X$64:$X$135,$V$64:$V$135,$BR38,$W$64:$W$135,BV$29)+SUMIFS($Y$64:$Y$135,$W$64:$W$135,$BR38,$V$64:$V$135,BV$29)</f>
        <v>0</v>
      </c>
      <c r="BW38" s="8">
        <f ca="1">SUMIFS($X$64:$X$135,$V$64:$V$135,$BR38,$W$64:$W$135,BW$29)+SUMIFS($Y$64:$Y$135,$W$64:$W$135,$BR38,$V$64:$V$135,BW$29)</f>
        <v>0</v>
      </c>
      <c r="BX38" s="8">
        <f ca="1">SUMIFS($X$64:$X$135,$V$64:$V$135,$BR38,$W$64:$W$135,BX$29)+SUMIFS($Y$64:$Y$135,$W$64:$W$135,$BR38,$V$64:$V$135,BX$29)</f>
        <v>0</v>
      </c>
      <c r="BY38" s="8">
        <f ca="1">SUMIFS($X$64:$X$135,$V$64:$V$135,$BR38,$W$64:$W$135,BY$29)+SUMIFS($Y$64:$Y$135,$W$64:$W$135,$BR38,$V$64:$V$135,BY$29)</f>
        <v>0</v>
      </c>
      <c r="BZ38" s="8">
        <f ca="1">SUMIFS($X$64:$X$135,$V$64:$V$135,$BR38,$W$64:$W$135,BZ$29)+SUMIFS($Y$64:$Y$135,$W$64:$W$135,$BR38,$V$64:$V$135,BZ$29)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Maibach 1822 eV</v>
      </c>
      <c r="BT40" s="2" t="str">
        <f ca="1">$F$5</f>
        <v>Mainz 05</v>
      </c>
      <c r="BU40" s="2" t="str">
        <f ca="1">$F$6</f>
        <v>Kickers Rodendorf</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Maibach 1822 eV</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Mainz 05</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Kickers Rodendorf</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2: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2: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2: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Maibach 1822 eV</v>
      </c>
      <c r="BT51" s="2" t="str">
        <f ca="1">$F$5</f>
        <v>Mainz 05</v>
      </c>
      <c r="BU51" s="2" t="str">
        <f ca="1">$F$6</f>
        <v>Kickers Rodendorf</v>
      </c>
      <c r="BV51" s="2" t="str">
        <f>$F$7</f>
        <v/>
      </c>
      <c r="BW51" s="2" t="str">
        <f>$F$8</f>
        <v/>
      </c>
      <c r="BX51" s="2" t="str">
        <f>$F$9</f>
        <v/>
      </c>
      <c r="BY51" s="2" t="str">
        <f>$F$10</f>
        <v/>
      </c>
      <c r="BZ51" s="2" t="str">
        <f>$F$11</f>
        <v/>
      </c>
      <c r="CA51" s="2" t="str">
        <f>$F$12</f>
        <v/>
      </c>
      <c r="CB51" s="3"/>
    </row>
    <row r="52" spans="2:80" s="2" customFormat="1" x14ac:dyDescent="0.2">
      <c r="B52" s="2" t="s">
        <v>101</v>
      </c>
      <c r="E52" s="14">
        <f t="array" aca="1" ref="E52" ca="1">IF(O17=C17,SUM(IF(($BR$30:$BR$38=C17)*($BS$29:$CA$29=O18),$BS$30:$CA$38)),0)</f>
        <v>0</v>
      </c>
      <c r="F52" s="3">
        <f t="array" aca="1" ref="F52" ca="1">IF(O17=C17,SUM(IF(($BR$30:$BR$38=C17)*($BS$29:$CA$29=O19),$BS$30:$CA$38)),0)</f>
        <v>0</v>
      </c>
      <c r="G52" s="3">
        <f t="array" aca="1" ref="G52" ca="1">IF(O17=C17,SUM(IF(($BR$30:$BR$38=C17)*($BS$29:$CA$29=O20),$BS$30:$CA$38)),0)</f>
        <v>0</v>
      </c>
      <c r="H52" s="3">
        <f t="array" aca="1" ref="H52" ca="1">IF(O17=C17,SUM(IF(($BR$30:$BR$38=C17)*($BS$29:$CA$29=O21),$BS$30:$CA$38)),0)</f>
        <v>0</v>
      </c>
      <c r="I52" s="3">
        <f t="array" aca="1" ref="I52" ca="1">IF(O17=C17,SUM(IF(($BR$30:$BR$38=C17)*($BS$29:$CA$29=O22),$BS$30:$CA$38)),0)</f>
        <v>0</v>
      </c>
      <c r="J52" s="3">
        <f t="array" aca="1" ref="J52" ca="1">IF(O17=C17,SUM(IF(($BR$30:$BR$38=C17)*($BS$29:$CA$29=O23),$BS$30:$CA$38)),0)</f>
        <v>0</v>
      </c>
      <c r="K52" s="3">
        <f t="array" aca="1" ref="K52" ca="1">IF(O17=C17,SUM(IF(($BR$30:$BR$38=C17)*($BS$29:$CA$29=O$24),$BS$30:$CA$38)),0)</f>
        <v>0</v>
      </c>
      <c r="L52" s="3">
        <f t="array" aca="1" ref="L52" ca="1">IF(O17=C17,SUM(IF(($BR$30:$BR$38=C17)*($BS$29:$CA$29=O$25),$BS$30:$CA$38)),0)</f>
        <v>0</v>
      </c>
      <c r="M52" s="5">
        <f t="array" aca="1" ref="M52" ca="1">IF(P17=C17,SUM(IF(($BR$30:$BR$38=C17)*($BS$29:$CA$29=P18),$BS$30:$CA$38)),0)</f>
        <v>0</v>
      </c>
      <c r="N52" s="3">
        <f t="array" aca="1" ref="N52" ca="1">IF(P17=C17,SUM(IF(($BR$30:$BR$38=C17)*($BS$29:$CA$29=P19),$BS$30:$CA$38)),0)</f>
        <v>0</v>
      </c>
      <c r="O52" s="3">
        <f t="array" aca="1" ref="O52" ca="1">IF(P17=C17,SUM(IF(($BR$30:$BR$38=C17)*($BS$29:$CA$29=P20),$BS$30:$CA$38)),0)</f>
        <v>0</v>
      </c>
      <c r="P52" s="3">
        <f t="array" aca="1" ref="P52" ca="1">IF(P17=C17,SUM(IF(($BR$30:$BR$38=C17)*($BS$29:$CA$29=P21),$BS$30:$CA$38)),0)</f>
        <v>0</v>
      </c>
      <c r="Q52" s="3">
        <f t="array" aca="1" ref="Q52" ca="1">IF(P17=C17,SUM(IF(($BR$30:$BR$38=C17)*($BS$29:$CA$29=P22),$BS$30:$CA$38)),0)</f>
        <v>0</v>
      </c>
      <c r="R52" s="3">
        <f t="array" aca="1" ref="R52" ca="1">IF(P17=C17,SUM(IF(($BR$30:$BR$38=C17)*($BS$29:$CA$29=P23),$BS$30:$CA$38)),0)</f>
        <v>0</v>
      </c>
      <c r="S52" s="3">
        <f t="array" aca="1" ref="S52" ca="1">IF(P17=C17,SUM(IF(($BR$30:$BR$38=C17)*($BS$29:$CA$29=P$24),$BS$30:$CA$38)),0)</f>
        <v>0</v>
      </c>
      <c r="T52" s="3">
        <f t="array" aca="1" ref="T52" ca="1">IF(P17=C17,SUM(IF(($BR$30:$BR$38=C17)*($BS$29:$CA$29=P$25),$BS$30:$CA$38)),0)</f>
        <v>0</v>
      </c>
      <c r="U52" s="5">
        <f t="array" aca="1" ref="U52" ca="1">IF(Q17=C17,SUM(IF(($BR$30:$BR$38=C17)*($BS$29:$CA$29=Q18),$BS$30:$CA$38)),0)</f>
        <v>0</v>
      </c>
      <c r="V52" s="3">
        <f t="array" aca="1" ref="V52" ca="1">IF(Q17=C17,SUM(IF(($BR$30:$BR$38=C17)*($BS$29:$CA$29=Q19),$BS$30:$CA$38)),0)</f>
        <v>0</v>
      </c>
      <c r="W52" s="3">
        <f t="array" aca="1" ref="W52" ca="1">IF(Q17=C17,SUM(IF(($BR$30:$BR$38=C17)*($BS$29:$CA$29=Q20),$BS$30:$CA$38)),0)</f>
        <v>0</v>
      </c>
      <c r="X52" s="3">
        <f t="array" aca="1" ref="X52" ca="1">IF(Q17=C17,SUM(IF(($BR$30:$BR$38=C17)*($BS$29:$CA$29=Q21),$BS$30:$CA$38)),0)</f>
        <v>0</v>
      </c>
      <c r="Y52" s="3">
        <f t="array" aca="1" ref="Y52" ca="1">IF(Q17=C17,SUM(IF(($BR$30:$BR$38=C17)*($BS$29:$CA$29=Q22),$BS$30:$CA$38)),0)</f>
        <v>0</v>
      </c>
      <c r="Z52" s="3">
        <f t="array" aca="1" ref="Z52" ca="1">IF(Q17=C17,SUM(IF(($BR$30:$BR$38=C17)*($BS$29:$CA$29=Q23),$BS$30:$CA$38)),0)</f>
        <v>0</v>
      </c>
      <c r="AA52" s="3">
        <f t="array" aca="1" ref="AA52" ca="1">IF(Q17=C17,SUM(IF(($BR$30:$BR$38=C17)*($BS$29:$CA$29=Q$24),$BS$30:$CA$38)),0)</f>
        <v>0</v>
      </c>
      <c r="AB52" s="3">
        <f t="array" aca="1" ref="AB52" ca="1">IF(Q17=C17,SUM(IF(($BR$30:$BR$38=C17)*($BS$29:$CA$29=Q$25),$BS$30:$CA$38)),0)</f>
        <v>0</v>
      </c>
      <c r="AC52" s="5">
        <f t="array" aca="1" ref="AC52" ca="1">IF(R17=C17,SUM(IF(($BR$30:$BR$38=C17)*($BS$29:$CA$29=R18),$BS$30:$CA$38)),0)</f>
        <v>0</v>
      </c>
      <c r="AD52" s="3">
        <f t="array" aca="1" ref="AD52" ca="1">IF(R17=C17,SUM(IF(($BR$30:$BR$38=C17)*($BS$29:$CA$29=R19),$BS$30:$CA$38)),0)</f>
        <v>0</v>
      </c>
      <c r="AE52" s="3">
        <f t="array" aca="1" ref="AE52" ca="1">IF(R17=C17,SUM(IF(($BR$30:$BR$38=C17)*($BS$29:$CA$29=R20),$BS$30:$CA$38)),0)</f>
        <v>0</v>
      </c>
      <c r="AF52" s="3">
        <f t="array" aca="1" ref="AF52" ca="1">IF(R17=C17,SUM(IF(($BR$30:$BR$38=C17)*($BS$29:$CA$29=R21),$BS$30:$CA$38)),0)</f>
        <v>0</v>
      </c>
      <c r="AG52" s="3">
        <f t="array" aca="1" ref="AG52" ca="1">IF(R17=C17,SUM(IF(($BR$30:$BR$38=C17)*($BS$29:$CA$29=R22),$BS$30:$CA$38)),0)</f>
        <v>0</v>
      </c>
      <c r="AH52" s="3">
        <f t="array" aca="1" ref="AH52" ca="1">IF(R17=C17,SUM(IF(($BR$30:$BR$38=C17)*($BS$29:$CA$29=R23),$BS$30:$CA$38)),0)</f>
        <v>0</v>
      </c>
      <c r="AI52" s="3">
        <f t="array" aca="1" ref="AI52" ca="1">IF(R17=C17,SUM(IF(($BR$30:$BR$38=C17)*($BS$29:$CA$29=R$24),$BS$30:$CA$38)),0)</f>
        <v>0</v>
      </c>
      <c r="AJ52" s="3">
        <f t="array" aca="1" ref="AJ52" ca="1">IF(R17=C17,SUM(IF(($BR$30:$BR$38=C17)*($BS$29:$CA$29=R$25),$BS$30:$CA$38)),0)</f>
        <v>0</v>
      </c>
      <c r="AK52" s="5">
        <f t="array" aca="1" ref="AK52" ca="1">IF(S17=C17,SUM(IF(($BR$30:$BR$38=C17)*($BS$29:$CA$29=S18),$BS$30:$CA$38)),0)</f>
        <v>0</v>
      </c>
      <c r="AL52" s="3">
        <f t="array" aca="1" ref="AL52" ca="1">IF(S17=C17,SUM(IF(($BR$30:$BR$38=C17)*($BS$29:$CA$29=S19),$BS$30:$CA$38)),0)</f>
        <v>0</v>
      </c>
      <c r="AM52" s="3">
        <f t="array" aca="1" ref="AM52" ca="1">IF(S17=C17,SUM(IF(($BR$30:$BR$38=C17)*($BS$29:$CA$29=S20),$BS$30:$CA$38)),0)</f>
        <v>0</v>
      </c>
      <c r="AN52" s="3">
        <f t="array" aca="1" ref="AN52" ca="1">IF(S17=C17,SUM(IF(($BR$30:$BR$38=C17)*($BS$29:$CA$29=S21),$BS$30:$CA$38)),0)</f>
        <v>0</v>
      </c>
      <c r="AO52" s="3">
        <f t="array" aca="1" ref="AO52" ca="1">IF(S17=C17,SUM(IF(($BR$30:$BR$38=C17)*($BS$29:$CA$29=S22),$BS$30:$CA$38)),0)</f>
        <v>0</v>
      </c>
      <c r="AP52" s="3">
        <f t="array" aca="1" ref="AP52" ca="1">IF(S17=C17,SUM(IF(($BR$30:$BR$38=C17)*($BS$29:$CA$29=S23),$BS$30:$CA$38)),0)</f>
        <v>0</v>
      </c>
      <c r="AQ52" s="3">
        <f t="array" aca="1" ref="AQ52" ca="1">IF(S17=C17,SUM(IF(($BR$30:$BR$38=C17)*($BS$29:$CA$29=S$24),$BS$30:$CA$38)),0)</f>
        <v>0</v>
      </c>
      <c r="AR52" s="3">
        <f t="array" aca="1" ref="AR52" ca="1">IF(S17=C17,SUM(IF(($BR$30:$BR$38=C17)*($BS$29:$CA$29=S$25),$BS$30:$CA$38)),0)</f>
        <v>0</v>
      </c>
      <c r="AS52" s="5">
        <f t="array" aca="1" ref="AS52" ca="1">IF(T17=C17,SUM(IF(($BR$30:$BR$38=C17)*($BS$29:$CA$29=T18),$BS$30:$CA$38)),0)</f>
        <v>0</v>
      </c>
      <c r="AT52" s="3">
        <f t="array" aca="1" ref="AT52" ca="1">IF(T17=C17,SUM(IF(($BR$30:$BR$38=C17)*($BS$29:$CA$29=T19),$BS$30:$CA$38)),0)</f>
        <v>0</v>
      </c>
      <c r="AU52" s="3">
        <f t="array" aca="1" ref="AU52" ca="1">IF(T17=C17,SUM(IF(($BR$30:$BR$38=C17)*($BS$29:$CA$29=T20),$BS$30:$CA$38)),0)</f>
        <v>0</v>
      </c>
      <c r="AV52" s="3">
        <f t="array" aca="1" ref="AV52" ca="1">IF(T17=C17,SUM(IF(($BR$30:$BR$38=C17)*($BS$29:$CA$29=T21),$BS$30:$CA$38)),0)</f>
        <v>0</v>
      </c>
      <c r="AW52" s="3">
        <f t="array" aca="1" ref="AW52" ca="1">IF(T17=C17,SUM(IF(($BR$30:$BR$38=C17)*($BS$29:$CA$29=T22),$BS$30:$CA$38)),0)</f>
        <v>0</v>
      </c>
      <c r="AX52" s="3">
        <f t="array" aca="1" ref="AX52" ca="1">IF(T17=C17,SUM(IF(($BR$30:$BR$38=C17)*($BS$29:$CA$29=T23),$BS$30:$CA$38)),0)</f>
        <v>0</v>
      </c>
      <c r="AY52" s="3">
        <f t="array" aca="1" ref="AY52" ca="1">IF(T17=C17,SUM(IF(($BR$30:$BR$38=C17)*($BS$29:$CA$29=T$24),$BS$30:$CA$38)),0)</f>
        <v>0</v>
      </c>
      <c r="AZ52" s="3">
        <f t="array" aca="1" ref="AZ52" ca="1">IF(T17=C17,SUM(IF(($BR$30:$BR$38=C17)*($BS$29:$CA$29=T$25),$BS$30:$CA$38)),0)</f>
        <v>0</v>
      </c>
      <c r="BA52" s="5">
        <f t="array" aca="1" ref="BA52" ca="1">IF(U17=C17,SUM(IF(($BR$30:$BR$38=C17)*($BS$29:$CA$29=U$18),$BS$30:$CA$38)),0)</f>
        <v>0</v>
      </c>
      <c r="BB52" s="3">
        <f t="array" aca="1" ref="BB52" ca="1">IF(U17=C17,SUM(IF(($BR$30:$BR$38=C17)*($BS$29:$CA$29=U$19),$BS$30:$CA$38)),0)</f>
        <v>0</v>
      </c>
      <c r="BC52" s="3">
        <f t="array" aca="1" ref="BC52" ca="1">IF(U17=C17,SUM(IF(($BR$30:$BR$38=C17)*($BS$29:$CA$29=U$20),$BS$30:$CA$38)),0)</f>
        <v>0</v>
      </c>
      <c r="BD52" s="3">
        <f t="array" aca="1" ref="BD52" ca="1">IF(U17=C17,SUM(IF(($BR$30:$BR$38=C17)*($BS$29:$CA$29=U$21),$BS$30:$CA$38)),0)</f>
        <v>0</v>
      </c>
      <c r="BE52" s="3">
        <f t="array" aca="1" ref="BE52" ca="1">IF(U17=C17,SUM(IF(($BR$30:$BR$38=C17)*($BS$29:$CA$29=U$22),$BS$30:$CA$38)),0)</f>
        <v>0</v>
      </c>
      <c r="BF52" s="3">
        <f t="array" aca="1" ref="BF52" ca="1">IF(U17=C17,SUM(IF(($BR$30:$BR$38=C17)*($BS$29:$CA$29=U$23),$BS$30:$CA$38)),0)</f>
        <v>0</v>
      </c>
      <c r="BG52" s="3">
        <f t="array" aca="1" ref="BG52" ca="1">IF(U17=C17,SUM(IF(($BR$30:$BR$38=C17)*($BS$29:$CA$29=U$24),$BS$30:$CA$38)),0)</f>
        <v>0</v>
      </c>
      <c r="BH52" s="3">
        <f t="array" aca="1" ref="BH52" ca="1">IF(U17=C17,SUM(IF(($BR$30:$BR$38=C17)*($BS$29:$CA$29=U$25),$BS$30:$CA$38)),0)</f>
        <v>0</v>
      </c>
      <c r="BI52" s="5">
        <f t="array" aca="1" ref="BI52" ca="1">IF(V17=C17,SUM(IF(($BR$30:$BR$38=C17)*($BS$29:$CA$29=V$18),$BS$30:$CA$38)),0)</f>
        <v>0</v>
      </c>
      <c r="BJ52" s="3">
        <f t="array" aca="1" ref="BJ52" ca="1">IF(V17=C17,SUM(IF(($BR$30:$BR$38=C17)*($BS$29:$CA$29=V$19),$BS$30:$CA$38)),0)</f>
        <v>0</v>
      </c>
      <c r="BK52" s="3">
        <f t="array" aca="1" ref="BK52" ca="1">IF(V17=C17,SUM(IF(($BR$30:$BR$38=C17)*($BS$29:$CA$29=V$20),$BS$30:$CA$38)),0)</f>
        <v>0</v>
      </c>
      <c r="BL52" s="3">
        <f t="array" aca="1" ref="BL52" ca="1">IF(V17=C17,SUM(IF(($BR$30:$BR$38=C17)*($BS$29:$CA$29=V$21),$BS$30:$CA$38)),0)</f>
        <v>0</v>
      </c>
      <c r="BM52" s="3">
        <f t="array" aca="1" ref="BM52" ca="1">IF(V17=C17,SUM(IF(($BR$30:$BR$38=C17)*($BS$29:$CA$29=V$22),$BS$30:$CA$38)),0)</f>
        <v>0</v>
      </c>
      <c r="BN52" s="3">
        <f t="array" aca="1" ref="BN52" ca="1">IF(V17=C17,SUM(IF(($BR$30:$BR$38=C17)*($BS$29:$CA$29=V$23),$BS$30:$CA$38)),0)</f>
        <v>0</v>
      </c>
      <c r="BO52" s="3">
        <f t="array" aca="1" ref="BO52" ca="1">IF(V17=C17,SUM(IF(($BR$30:$BR$38=C17)*($BS$29:$CA$29=V$24),$BS$30:$CA$38)),0)</f>
        <v>0</v>
      </c>
      <c r="BP52" s="15">
        <f t="array" aca="1" ref="BP52" ca="1">IF(V17=C17,SUM(IF(($BR$30:$BR$38=C17)*($BS$29:$CA$29=V$25),$BS$30:$CA$38)),0)</f>
        <v>0</v>
      </c>
      <c r="BQ52" s="3"/>
      <c r="BR52" s="2" t="str">
        <f t="shared" ref="BR52:BR60" ca="1" si="40">F4</f>
        <v>Maibach 1822 eV</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2:80" s="2" customFormat="1" x14ac:dyDescent="0.2">
      <c r="E53" s="14">
        <f t="array" aca="1" ref="E53" ca="1">IF(O18=C18,SUM(IF(($BR$30:$BR$38=C18)*($BS$29:$CA$29=O17),$BS$30:$CA$38)),0)</f>
        <v>0</v>
      </c>
      <c r="F53" s="3">
        <f t="array" aca="1" ref="F53" ca="1">IF(O18=C18,SUM(IF(($BR$30:$BR$38=C18)*($BS$29:$CA$29=O19),$BS$30:$CA$38)),0)</f>
        <v>0</v>
      </c>
      <c r="G53" s="3">
        <f t="array" aca="1" ref="G53" ca="1">IF(O18=C18,SUM(IF(($BR$30:$BR$38=C18)*($BS$29:$CA$29=O20),$BS$30:$CA$38)),0)</f>
        <v>0</v>
      </c>
      <c r="H53" s="3">
        <f t="array" aca="1" ref="H53" ca="1">IF(O18=C18,SUM(IF(($BR$30:$BR$38=C18)*($BS$29:$CA$29=O21),$BS$30:$CA$38)),0)</f>
        <v>0</v>
      </c>
      <c r="I53" s="3">
        <f t="array" aca="1" ref="I53" ca="1">IF(O18=C18,SUM(IF(($BR$30:$BR$38=C18)*($BS$29:$CA$29=O22),$BS$30:$CA$38)),0)</f>
        <v>0</v>
      </c>
      <c r="J53" s="3">
        <f t="array" aca="1" ref="J53" ca="1">IF(O18=C18,SUM(IF(($BR$30:$BR$38=C18)*($BS$29:$CA$29=O23),$BS$30:$CA$38)),0)</f>
        <v>0</v>
      </c>
      <c r="K53" s="3">
        <f t="array" aca="1" ref="K53" ca="1">IF(O18=C18,SUM(IF(($BR$30:$BR$38=C18)*($BS$29:$CA$29=O$24),$BS$30:$CA$38)),0)</f>
        <v>0</v>
      </c>
      <c r="L53" s="3">
        <f t="array" aca="1" ref="L53" ca="1">IF(O18=C18,SUM(IF(($BR$30:$BR$38=C18)*($BS$29:$CA$29=O$25),$BS$30:$CA$38)),0)</f>
        <v>0</v>
      </c>
      <c r="M53" s="5">
        <f t="array" aca="1" ref="M53" ca="1">IF(P18=C18,SUM(IF(($BR$30:$BR$38=C18)*($BS$29:$CA$29=P17),$BS$30:$CA$38)),0)</f>
        <v>0</v>
      </c>
      <c r="N53" s="3">
        <f t="array" aca="1" ref="N53" ca="1">IF(P18=C18,SUM(IF(($BR$30:$BR$38=C18)*($BS$29:$CA$29=P19),$BS$30:$CA$38)),0)</f>
        <v>0</v>
      </c>
      <c r="O53" s="3">
        <f t="array" aca="1" ref="O53" ca="1">IF(P18=C18,SUM(IF(($BR$30:$BR$38=C18)*($BS$29:$CA$29=P20),$BS$30:$CA$38)),0)</f>
        <v>0</v>
      </c>
      <c r="P53" s="3">
        <f t="array" aca="1" ref="P53" ca="1">IF(P18=C18,SUM(IF(($BR$30:$BR$38=C18)*($BS$29:$CA$29=P21),$BS$30:$CA$38)),0)</f>
        <v>0</v>
      </c>
      <c r="Q53" s="3">
        <f t="array" aca="1" ref="Q53" ca="1">IF(P18=C18,SUM(IF(($BR$30:$BR$38=C18)*($BS$29:$CA$29=P22),$BS$30:$CA$38)),0)</f>
        <v>0</v>
      </c>
      <c r="R53" s="3">
        <f t="array" aca="1" ref="R53" ca="1">IF(P18=C18,SUM(IF(($BR$30:$BR$38=C18)*($BS$29:$CA$29=P23),$BS$30:$CA$38)),0)</f>
        <v>0</v>
      </c>
      <c r="S53" s="3">
        <f t="array" aca="1" ref="S53" ca="1">IF(P18=C18,SUM(IF(($BR$30:$BR$38=C18)*($BS$29:$CA$29=P$24),$BS$30:$CA$38)),0)</f>
        <v>0</v>
      </c>
      <c r="T53" s="3">
        <f t="array" aca="1" ref="T53" ca="1">IF(P18=C18,SUM(IF(($BR$30:$BR$38=C18)*($BS$29:$CA$29=P$25),$BS$30:$CA$38)),0)</f>
        <v>0</v>
      </c>
      <c r="U53" s="5">
        <f t="array" aca="1" ref="U53" ca="1">IF(Q18=C18,SUM(IF(($BR$30:$BR$38=C18)*($BS$29:$CA$29=Q17),$BS$30:$CA$38)),0)</f>
        <v>0</v>
      </c>
      <c r="V53" s="3">
        <f t="array" aca="1" ref="V53" ca="1">IF(Q18=C18,SUM(IF(($BR$30:$BR$38=C18)*($BS$29:$CA$29=Q19),$BS$30:$CA$38)),0)</f>
        <v>0</v>
      </c>
      <c r="W53" s="3">
        <f t="array" aca="1" ref="W53" ca="1">IF(Q18=C18,SUM(IF(($BR$30:$BR$38=C18)*($BS$29:$CA$29=Q20),$BS$30:$CA$38)),0)</f>
        <v>0</v>
      </c>
      <c r="X53" s="3">
        <f t="array" aca="1" ref="X53" ca="1">IF(Q18=C18,SUM(IF(($BR$30:$BR$38=C18)*($BS$29:$CA$29=Q21),$BS$30:$CA$38)),0)</f>
        <v>0</v>
      </c>
      <c r="Y53" s="3">
        <f t="array" aca="1" ref="Y53" ca="1">IF(Q18=C18,SUM(IF(($BR$30:$BR$38=C18)*($BS$29:$CA$29=Q22),$BS$30:$CA$38)),0)</f>
        <v>0</v>
      </c>
      <c r="Z53" s="3">
        <f t="array" aca="1" ref="Z53" ca="1">IF(Q18=C18,SUM(IF(($BR$30:$BR$38=C18)*($BS$29:$CA$29=Q23),$BS$30:$CA$38)),0)</f>
        <v>0</v>
      </c>
      <c r="AA53" s="3">
        <f t="array" aca="1" ref="AA53" ca="1">IF(Q18=C18,SUM(IF(($BR$30:$BR$38=C18)*($BS$29:$CA$29=Q$24),$BS$30:$CA$38)),0)</f>
        <v>0</v>
      </c>
      <c r="AB53" s="3">
        <f t="array" aca="1" ref="AB53" ca="1">IF(Q18=C18,SUM(IF(($BR$30:$BR$38=C18)*($BS$29:$CA$29=Q$25),$BS$30:$CA$38)),0)</f>
        <v>0</v>
      </c>
      <c r="AC53" s="5">
        <f t="array" aca="1" ref="AC53" ca="1">IF(R18=C18,SUM(IF(($BR$30:$BR$38=C18)*($BS$29:$CA$29=R17),$BS$30:$CA$38)),0)</f>
        <v>0</v>
      </c>
      <c r="AD53" s="3">
        <f t="array" aca="1" ref="AD53" ca="1">IF(R18=C18,SUM(IF(($BR$30:$BR$38=C18)*($BS$29:$CA$29=R19),$BS$30:$CA$38)),0)</f>
        <v>0</v>
      </c>
      <c r="AE53" s="3">
        <f t="array" aca="1" ref="AE53" ca="1">IF(R18=C18,SUM(IF(($BR$30:$BR$38=C18)*($BS$29:$CA$29=R20),$BS$30:$CA$38)),0)</f>
        <v>0</v>
      </c>
      <c r="AF53" s="3">
        <f t="array" aca="1" ref="AF53" ca="1">IF(R18=C18,SUM(IF(($BR$30:$BR$38=C18)*($BS$29:$CA$29=R21),$BS$30:$CA$38)),0)</f>
        <v>0</v>
      </c>
      <c r="AG53" s="3">
        <f t="array" aca="1" ref="AG53" ca="1">IF(R18=C18,SUM(IF(($BR$30:$BR$38=C18)*($BS$29:$CA$29=R22),$BS$30:$CA$38)),0)</f>
        <v>0</v>
      </c>
      <c r="AH53" s="3">
        <f t="array" aca="1" ref="AH53" ca="1">IF(R18=C18,SUM(IF(($BR$30:$BR$38=C18)*($BS$29:$CA$29=R23),$BS$30:$CA$38)),0)</f>
        <v>0</v>
      </c>
      <c r="AI53" s="3">
        <f t="array" aca="1" ref="AI53" ca="1">IF(R18=C18,SUM(IF(($BR$30:$BR$38=C18)*($BS$29:$CA$29=R$24),$BS$30:$CA$38)),0)</f>
        <v>0</v>
      </c>
      <c r="AJ53" s="3">
        <f t="array" aca="1" ref="AJ53" ca="1">IF(R18=C18,SUM(IF(($BR$30:$BR$38=C18)*($BS$29:$CA$29=R$25),$BS$30:$CA$38)),0)</f>
        <v>0</v>
      </c>
      <c r="AK53" s="5">
        <f t="array" aca="1" ref="AK53" ca="1">IF(S18=C18,SUM(IF(($BR$30:$BR$38=C18)*($BS$29:$CA$29=S17),$BS$30:$CA$38)),0)</f>
        <v>0</v>
      </c>
      <c r="AL53" s="3">
        <f t="array" aca="1" ref="AL53" ca="1">IF(S18=C18,SUM(IF(($BR$30:$BR$38=C18)*($BS$29:$CA$29=S19),$BS$30:$CA$38)),0)</f>
        <v>0</v>
      </c>
      <c r="AM53" s="3">
        <f t="array" aca="1" ref="AM53" ca="1">IF(S18=C18,SUM(IF(($BR$30:$BR$38=C18)*($BS$29:$CA$29=S20),$BS$30:$CA$38)),0)</f>
        <v>0</v>
      </c>
      <c r="AN53" s="3">
        <f t="array" aca="1" ref="AN53" ca="1">IF(S18=C18,SUM(IF(($BR$30:$BR$38=C18)*($BS$29:$CA$29=S21),$BS$30:$CA$38)),0)</f>
        <v>0</v>
      </c>
      <c r="AO53" s="3">
        <f t="array" aca="1" ref="AO53" ca="1">IF(S18=C18,SUM(IF(($BR$30:$BR$38=C18)*($BS$29:$CA$29=S22),$BS$30:$CA$38)),0)</f>
        <v>0</v>
      </c>
      <c r="AP53" s="3">
        <f t="array" aca="1" ref="AP53" ca="1">IF(S18=C18,SUM(IF(($BR$30:$BR$38=C18)*($BS$29:$CA$29=S23),$BS$30:$CA$38)),0)</f>
        <v>0</v>
      </c>
      <c r="AQ53" s="3">
        <f t="array" aca="1" ref="AQ53" ca="1">IF(S18=C18,SUM(IF(($BR$30:$BR$38=C18)*($BS$29:$CA$29=S$24),$BS$30:$CA$38)),0)</f>
        <v>0</v>
      </c>
      <c r="AR53" s="3">
        <f t="array" aca="1" ref="AR53" ca="1">IF(S18=C18,SUM(IF(($BR$30:$BR$38=C18)*($BS$29:$CA$29=S$25),$BS$30:$CA$38)),0)</f>
        <v>0</v>
      </c>
      <c r="AS53" s="5">
        <f t="array" aca="1" ref="AS53" ca="1">IF(T18=C18,SUM(IF(($BR$30:$BR$38=C18)*($BS$29:$CA$29=T17),$BS$30:$CA$38)),0)</f>
        <v>0</v>
      </c>
      <c r="AT53" s="3">
        <f t="array" aca="1" ref="AT53" ca="1">IF(T18=C18,SUM(IF(($BR$30:$BR$38=C18)*($BS$29:$CA$29=T19),$BS$30:$CA$38)),0)</f>
        <v>0</v>
      </c>
      <c r="AU53" s="3">
        <f t="array" aca="1" ref="AU53" ca="1">IF(T18=C18,SUM(IF(($BR$30:$BR$38=C18)*($BS$29:$CA$29=T20),$BS$30:$CA$38)),0)</f>
        <v>0</v>
      </c>
      <c r="AV53" s="3">
        <f t="array" aca="1" ref="AV53" ca="1">IF(T18=C18,SUM(IF(($BR$30:$BR$38=C18)*($BS$29:$CA$29=T21),$BS$30:$CA$38)),0)</f>
        <v>0</v>
      </c>
      <c r="AW53" s="3">
        <f t="array" aca="1" ref="AW53" ca="1">IF(T18=C18,SUM(IF(($BR$30:$BR$38=C18)*($BS$29:$CA$29=T22),$BS$30:$CA$38)),0)</f>
        <v>0</v>
      </c>
      <c r="AX53" s="3">
        <f t="array" aca="1" ref="AX53" ca="1">IF(T18=C18,SUM(IF(($BR$30:$BR$38=C18)*($BS$29:$CA$29=T23),$BS$30:$CA$38)),0)</f>
        <v>0</v>
      </c>
      <c r="AY53" s="3">
        <f t="array" aca="1" ref="AY53" ca="1">IF(T18=C18,SUM(IF(($BR$30:$BR$38=C18)*($BS$29:$CA$29=T$24),$BS$30:$CA$38)),0)</f>
        <v>0</v>
      </c>
      <c r="AZ53" s="3">
        <f t="array" aca="1" ref="AZ53" ca="1">IF(T18=C18,SUM(IF(($BR$30:$BR$38=C18)*($BS$29:$CA$29=T$25),$BS$30:$CA$38)),0)</f>
        <v>0</v>
      </c>
      <c r="BA53" s="5">
        <f t="array" aca="1" ref="BA53" ca="1">IF(U18=C18,SUM(IF(($BR$30:$BR$38=C18)*($BS$29:$CA$29=U$17),$BS$30:$CA$38)),0)</f>
        <v>0</v>
      </c>
      <c r="BB53" s="3">
        <f t="array" aca="1" ref="BB53" ca="1">IF(U18=C18,SUM(IF(($BR$30:$BR$38=C18)*($BS$29:$CA$29=U$19),$BS$30:$CA$38)),0)</f>
        <v>0</v>
      </c>
      <c r="BC53" s="3">
        <f t="array" aca="1" ref="BC53" ca="1">IF(U18=C18,SUM(IF(($BR$30:$BR$38=C18)*($BS$29:$CA$29=U$20),$BS$30:$CA$38)),0)</f>
        <v>0</v>
      </c>
      <c r="BD53" s="3">
        <f t="array" aca="1" ref="BD53" ca="1">IF(U18=C18,SUM(IF(($BR$30:$BR$38=C18)*($BS$29:$CA$29=U$21),$BS$30:$CA$38)),0)</f>
        <v>0</v>
      </c>
      <c r="BE53" s="3">
        <f t="array" aca="1" ref="BE53" ca="1">IF(U18=C18,SUM(IF(($BR$30:$BR$38=C18)*($BS$29:$CA$29=U$22),$BS$30:$CA$38)),0)</f>
        <v>0</v>
      </c>
      <c r="BF53" s="3">
        <f t="array" aca="1" ref="BF53" ca="1">IF(U18=C18,SUM(IF(($BR$30:$BR$38=C18)*($BS$29:$CA$29=U$23),$BS$30:$CA$38)),0)</f>
        <v>0</v>
      </c>
      <c r="BG53" s="3">
        <f t="array" aca="1" ref="BG53" ca="1">IF(U18=C18,SUM(IF(($BR$30:$BR$38=C18)*($BS$29:$CA$29=U$24),$BS$30:$CA$38)),0)</f>
        <v>0</v>
      </c>
      <c r="BH53" s="3">
        <f t="array" aca="1" ref="BH53" ca="1">IF(U18=C18,SUM(IF(($BR$30:$BR$38=C18)*($BS$29:$CA$29=U$25),$BS$30:$CA$38)),0)</f>
        <v>0</v>
      </c>
      <c r="BI53" s="5">
        <f t="array" aca="1" ref="BI53" ca="1">IF(V18=C18,SUM(IF(($BR$30:$BR$38=C18)*($BS$29:$CA$29=V$17),$BS$30:$CA$38)),0)</f>
        <v>0</v>
      </c>
      <c r="BJ53" s="3">
        <f t="array" aca="1" ref="BJ53" ca="1">IF(V18=C18,SUM(IF(($BR$30:$BR$38=C18)*($BS$29:$CA$29=V$19),$BS$30:$CA$38)),0)</f>
        <v>0</v>
      </c>
      <c r="BK53" s="3">
        <f t="array" aca="1" ref="BK53" ca="1">IF(V18=C18,SUM(IF(($BR$30:$BR$38=C18)*($BS$29:$CA$29=V$20),$BS$30:$CA$38)),0)</f>
        <v>0</v>
      </c>
      <c r="BL53" s="3">
        <f t="array" aca="1" ref="BL53" ca="1">IF(V18=C18,SUM(IF(($BR$30:$BR$38=C18)*($BS$29:$CA$29=V$21),$BS$30:$CA$38)),0)</f>
        <v>0</v>
      </c>
      <c r="BM53" s="3">
        <f t="array" aca="1" ref="BM53" ca="1">IF(V18=C18,SUM(IF(($BR$30:$BR$38=C18)*($BS$29:$CA$29=V$22),$BS$30:$CA$38)),0)</f>
        <v>0</v>
      </c>
      <c r="BN53" s="3">
        <f t="array" aca="1" ref="BN53" ca="1">IF(V18=C18,SUM(IF(($BR$30:$BR$38=C18)*($BS$29:$CA$29=V$23),$BS$30:$CA$38)),0)</f>
        <v>0</v>
      </c>
      <c r="BO53" s="3">
        <f t="array" aca="1" ref="BO53" ca="1">IF(V18=C18,SUM(IF(($BR$30:$BR$38=C18)*($BS$29:$CA$29=V$24),$BS$30:$CA$38)),0)</f>
        <v>0</v>
      </c>
      <c r="BP53" s="15">
        <f t="array" aca="1" ref="BP53" ca="1">IF(V18=C18,SUM(IF(($BR$30:$BR$38=C18)*($BS$29:$CA$29=V$25),$BS$30:$CA$38)),0)</f>
        <v>0</v>
      </c>
      <c r="BQ53" s="3"/>
      <c r="BR53" s="2" t="str">
        <f t="shared" ca="1" si="40"/>
        <v>Mainz 05</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2:80" s="2" customFormat="1" x14ac:dyDescent="0.2">
      <c r="E54" s="14">
        <f t="array" aca="1" ref="E54" ca="1">IF(O19=C19,SUM(IF(($BR$30:$BR$38=C19)*($BS$29:$CA$29=O17),$BS$30:$CA$38)),0)</f>
        <v>0</v>
      </c>
      <c r="F54" s="3">
        <f t="array" aca="1" ref="F54" ca="1">IF(O19=C19,SUM(IF(($BR$30:$BR$38=C19)*($BS$29:$CA$29=O18),$BS$30:$CA$38)),0)</f>
        <v>0</v>
      </c>
      <c r="G54" s="3">
        <f t="array" aca="1" ref="G54" ca="1">IF(O19=C19,SUM(IF(($BR$30:$BR$38=C19)*($BS$29:$CA$29=O20),$BS$30:$CA$38)),0)</f>
        <v>0</v>
      </c>
      <c r="H54" s="3">
        <f t="array" aca="1" ref="H54" ca="1">IF(O19=C19,SUM(IF(($BR$30:$BR$38=C19)*($BS$29:$CA$29=O21),$BS$30:$CA$38)),0)</f>
        <v>0</v>
      </c>
      <c r="I54" s="3">
        <f t="array" aca="1" ref="I54" ca="1">IF(O19=C19,SUM(IF(($BR$30:$BR$38=C19)*($BS$29:$CA$29=O22),$BS$30:$CA$38)),0)</f>
        <v>0</v>
      </c>
      <c r="J54" s="3">
        <f t="array" aca="1" ref="J54" ca="1">IF(O19=C19,SUM(IF(($BR$30:$BR$38=C19)*($BS$29:$CA$29=O23),$BS$30:$CA$38)),0)</f>
        <v>0</v>
      </c>
      <c r="K54" s="3">
        <f t="array" aca="1" ref="K54" ca="1">IF(O19=C19,SUM(IF(($BR$30:$BR$38=C19)*($BS$29:$CA$29=O$24),$BS$30:$CA$38)),0)</f>
        <v>0</v>
      </c>
      <c r="L54" s="3">
        <f t="array" aca="1" ref="L54" ca="1">IF(O19=C19,SUM(IF(($BR$30:$BR$38=C19)*($BS$29:$CA$29=O$25),$BS$30:$CA$38)),0)</f>
        <v>0</v>
      </c>
      <c r="M54" s="5">
        <f t="array" aca="1" ref="M54" ca="1">IF(P19=C19,SUM(IF(($BR$30:$BR$38=C19)*($BS$29:$CA$29=P17),$BS$30:$CA$38)),0)</f>
        <v>0</v>
      </c>
      <c r="N54" s="3">
        <f t="array" aca="1" ref="N54" ca="1">IF(P19=C19,SUM(IF(($BR$30:$BR$38=C19)*($BS$29:$CA$29=P18),$BS$30:$CA$38)),0)</f>
        <v>0</v>
      </c>
      <c r="O54" s="3">
        <f t="array" aca="1" ref="O54" ca="1">IF(P19=C19,SUM(IF(($BR$30:$BR$38=C19)*($BS$29:$CA$29=P20),$BS$30:$CA$38)),0)</f>
        <v>0</v>
      </c>
      <c r="P54" s="3">
        <f t="array" aca="1" ref="P54" ca="1">IF(P19=C19,SUM(IF(($BR$30:$BR$38=C19)*($BS$29:$CA$29=P21),$BS$30:$CA$38)),0)</f>
        <v>0</v>
      </c>
      <c r="Q54" s="3">
        <f t="array" aca="1" ref="Q54" ca="1">IF(P19=C19,SUM(IF(($BR$30:$BR$38=C19)*($BS$29:$CA$29=P22),$BS$30:$CA$38)),0)</f>
        <v>0</v>
      </c>
      <c r="R54" s="3">
        <f t="array" aca="1" ref="R54" ca="1">IF(P19=C19,SUM(IF(($BR$30:$BR$38=C19)*($BS$29:$CA$29=P23),$BS$30:$CA$38)),0)</f>
        <v>0</v>
      </c>
      <c r="S54" s="3">
        <f t="array" aca="1" ref="S54" ca="1">IF(P19=C19,SUM(IF(($BR$30:$BR$38=C19)*($BS$29:$CA$29=P$24),$BS$30:$CA$38)),0)</f>
        <v>0</v>
      </c>
      <c r="T54" s="3">
        <f t="array" aca="1" ref="T54" ca="1">IF(P19=C19,SUM(IF(($BR$30:$BR$38=C19)*($BS$29:$CA$29=P$25),$BS$30:$CA$38)),0)</f>
        <v>0</v>
      </c>
      <c r="U54" s="5">
        <f t="array" aca="1" ref="U54" ca="1">IF(Q19=C19,SUM(IF(($BR$30:$BR$38=C19)*($BS$29:$CA$29=Q17),$BS$30:$CA$38)),0)</f>
        <v>0</v>
      </c>
      <c r="V54" s="3">
        <f t="array" aca="1" ref="V54" ca="1">IF(Q19=C19,SUM(IF(($BR$30:$BR$38=C19)*($BS$29:$CA$29=Q18),$BS$30:$CA$38)),0)</f>
        <v>0</v>
      </c>
      <c r="W54" s="3">
        <f t="array" aca="1" ref="W54" ca="1">IF(Q19=C19,SUM(IF(($BR$30:$BR$38=C19)*($BS$29:$CA$29=Q20),$BS$30:$CA$38)),0)</f>
        <v>0</v>
      </c>
      <c r="X54" s="3">
        <f t="array" aca="1" ref="X54" ca="1">IF(Q19=C19,SUM(IF(($BR$30:$BR$38=C19)*($BS$29:$CA$29=Q21),$BS$30:$CA$38)),0)</f>
        <v>0</v>
      </c>
      <c r="Y54" s="3">
        <f t="array" aca="1" ref="Y54" ca="1">IF(Q19=C19,SUM(IF(($BR$30:$BR$38=C19)*($BS$29:$CA$29=Q22),$BS$30:$CA$38)),0)</f>
        <v>0</v>
      </c>
      <c r="Z54" s="3">
        <f t="array" aca="1" ref="Z54" ca="1">IF(Q19=C19,SUM(IF(($BR$30:$BR$38=C19)*($BS$29:$CA$29=Q23),$BS$30:$CA$38)),0)</f>
        <v>0</v>
      </c>
      <c r="AA54" s="3">
        <f t="array" aca="1" ref="AA54" ca="1">IF(Q19=C19,SUM(IF(($BR$30:$BR$38=C19)*($BS$29:$CA$29=Q$24),$BS$30:$CA$38)),0)</f>
        <v>0</v>
      </c>
      <c r="AB54" s="3">
        <f t="array" aca="1" ref="AB54" ca="1">IF(Q19=C19,SUM(IF(($BR$30:$BR$38=C19)*($BS$29:$CA$29=Q$25),$BS$30:$CA$38)),0)</f>
        <v>0</v>
      </c>
      <c r="AC54" s="5">
        <f t="array" aca="1" ref="AC54" ca="1">IF(R19=C19,SUM(IF(($BR$30:$BR$38=C19)*($BS$29:$CA$29=R17),$BS$30:$CA$38)),0)</f>
        <v>0</v>
      </c>
      <c r="AD54" s="3">
        <f t="array" aca="1" ref="AD54" ca="1">IF(R19=C19,SUM(IF(($BR$30:$BR$38=C19)*($BS$29:$CA$29=R18),$BS$30:$CA$38)),0)</f>
        <v>0</v>
      </c>
      <c r="AE54" s="3">
        <f t="array" aca="1" ref="AE54" ca="1">IF(R19=C19,SUM(IF(($BR$30:$BR$38=C19)*($BS$29:$CA$29=R20),$BS$30:$CA$38)),0)</f>
        <v>0</v>
      </c>
      <c r="AF54" s="3">
        <f t="array" aca="1" ref="AF54" ca="1">IF(R19=C19,SUM(IF(($BR$30:$BR$38=C19)*($BS$29:$CA$29=R21),$BS$30:$CA$38)),0)</f>
        <v>0</v>
      </c>
      <c r="AG54" s="3">
        <f t="array" aca="1" ref="AG54" ca="1">IF(R19=C19,SUM(IF(($BR$30:$BR$38=C19)*($BS$29:$CA$29=R22),$BS$30:$CA$38)),0)</f>
        <v>0</v>
      </c>
      <c r="AH54" s="3">
        <f t="array" aca="1" ref="AH54" ca="1">IF(R19=C19,SUM(IF(($BR$30:$BR$38=C19)*($BS$29:$CA$29=R23),$BS$30:$CA$38)),0)</f>
        <v>0</v>
      </c>
      <c r="AI54" s="3">
        <f t="array" aca="1" ref="AI54" ca="1">IF(R19=C19,SUM(IF(($BR$30:$BR$38=C19)*($BS$29:$CA$29=R$24),$BS$30:$CA$38)),0)</f>
        <v>0</v>
      </c>
      <c r="AJ54" s="3">
        <f t="array" aca="1" ref="AJ54" ca="1">IF(R19=C19,SUM(IF(($BR$30:$BR$38=C19)*($BS$29:$CA$29=R$25),$BS$30:$CA$38)),0)</f>
        <v>0</v>
      </c>
      <c r="AK54" s="5">
        <f t="array" aca="1" ref="AK54" ca="1">IF(S19=C19,SUM(IF(($BR$30:$BR$38=C19)*($BS$29:$CA$29=S17),$BS$30:$CA$38)),0)</f>
        <v>0</v>
      </c>
      <c r="AL54" s="3">
        <f t="array" aca="1" ref="AL54" ca="1">IF(S19=C19,SUM(IF(($BR$30:$BR$38=C19)*($BS$29:$CA$29=S18),$BS$30:$CA$38)),0)</f>
        <v>0</v>
      </c>
      <c r="AM54" s="3">
        <f t="array" aca="1" ref="AM54" ca="1">IF(S19=C19,SUM(IF(($BR$30:$BR$38=C19)*($BS$29:$CA$29=S20),$BS$30:$CA$38)),0)</f>
        <v>0</v>
      </c>
      <c r="AN54" s="3">
        <f t="array" aca="1" ref="AN54" ca="1">IF(S19=C19,SUM(IF(($BR$30:$BR$38=C19)*($BS$29:$CA$29=S21),$BS$30:$CA$38)),0)</f>
        <v>0</v>
      </c>
      <c r="AO54" s="3">
        <f t="array" aca="1" ref="AO54" ca="1">IF(S19=C19,SUM(IF(($BR$30:$BR$38=C19)*($BS$29:$CA$29=S22),$BS$30:$CA$38)),0)</f>
        <v>0</v>
      </c>
      <c r="AP54" s="3">
        <f t="array" aca="1" ref="AP54" ca="1">IF(S19=C19,SUM(IF(($BR$30:$BR$38=C19)*($BS$29:$CA$29=S23),$BS$30:$CA$38)),0)</f>
        <v>0</v>
      </c>
      <c r="AQ54" s="3">
        <f t="array" aca="1" ref="AQ54" ca="1">IF(S19=C19,SUM(IF(($BR$30:$BR$38=C19)*($BS$29:$CA$29=S$24),$BS$30:$CA$38)),0)</f>
        <v>0</v>
      </c>
      <c r="AR54" s="3">
        <f t="array" aca="1" ref="AR54" ca="1">IF(S19=C19,SUM(IF(($BR$30:$BR$38=C19)*($BS$29:$CA$29=S$25),$BS$30:$CA$38)),0)</f>
        <v>0</v>
      </c>
      <c r="AS54" s="5">
        <f t="array" aca="1" ref="AS54" ca="1">IF(T19=C19,SUM(IF(($BR$30:$BR$38=C19)*($BS$29:$CA$29=T17),$BS$30:$CA$38)),0)</f>
        <v>0</v>
      </c>
      <c r="AT54" s="3">
        <f t="array" aca="1" ref="AT54" ca="1">IF(T19=C19,SUM(IF(($BR$30:$BR$38=C19)*($BS$29:$CA$29=T18),$BS$30:$CA$38)),0)</f>
        <v>0</v>
      </c>
      <c r="AU54" s="3">
        <f t="array" aca="1" ref="AU54" ca="1">IF(T19=C19,SUM(IF(($BR$30:$BR$38=C19)*($BS$29:$CA$29=T20),$BS$30:$CA$38)),0)</f>
        <v>0</v>
      </c>
      <c r="AV54" s="3">
        <f t="array" aca="1" ref="AV54" ca="1">IF(T19=C19,SUM(IF(($BR$30:$BR$38=C19)*($BS$29:$CA$29=T21),$BS$30:$CA$38)),0)</f>
        <v>0</v>
      </c>
      <c r="AW54" s="3">
        <f t="array" aca="1" ref="AW54" ca="1">IF(T19=C19,SUM(IF(($BR$30:$BR$38=C19)*($BS$29:$CA$29=T22),$BS$30:$CA$38)),0)</f>
        <v>0</v>
      </c>
      <c r="AX54" s="3">
        <f t="array" aca="1" ref="AX54" ca="1">IF(T19=C19,SUM(IF(($BR$30:$BR$38=C19)*($BS$29:$CA$29=T23),$BS$30:$CA$38)),0)</f>
        <v>0</v>
      </c>
      <c r="AY54" s="3">
        <f t="array" aca="1" ref="AY54" ca="1">IF(T19=C19,SUM(IF(($BR$30:$BR$38=C19)*($BS$29:$CA$29=T$24),$BS$30:$CA$38)),0)</f>
        <v>0</v>
      </c>
      <c r="AZ54" s="3">
        <f t="array" aca="1" ref="AZ54" ca="1">IF(T19=C19,SUM(IF(($BR$30:$BR$38=C19)*($BS$29:$CA$29=T$25),$BS$30:$CA$38)),0)</f>
        <v>0</v>
      </c>
      <c r="BA54" s="5">
        <f t="array" aca="1" ref="BA54" ca="1">IF(U19=C19,SUM(IF(($BR$30:$BR$38=C19)*($BS$29:$CA$29=U$17),$BS$30:$CA$38)),0)</f>
        <v>0</v>
      </c>
      <c r="BB54" s="3">
        <f t="array" aca="1" ref="BB54" ca="1">IF(U19=C19,SUM(IF(($BR$30:$BR$38=C19)*($BS$29:$CA$29=U$18),$BS$30:$CA$38)),0)</f>
        <v>0</v>
      </c>
      <c r="BC54" s="3">
        <f t="array" aca="1" ref="BC54" ca="1">IF(U19=C19,SUM(IF(($BR$30:$BR$38=C19)*($BS$29:$CA$29=U$20),$BS$30:$CA$38)),0)</f>
        <v>0</v>
      </c>
      <c r="BD54" s="3">
        <f t="array" aca="1" ref="BD54" ca="1">IF(U19=C19,SUM(IF(($BR$30:$BR$38=C19)*($BS$29:$CA$29=U$21),$BS$30:$CA$38)),0)</f>
        <v>0</v>
      </c>
      <c r="BE54" s="3">
        <f t="array" aca="1" ref="BE54" ca="1">IF(U19=C19,SUM(IF(($BR$30:$BR$38=C19)*($BS$29:$CA$29=U$22),$BS$30:$CA$38)),0)</f>
        <v>0</v>
      </c>
      <c r="BF54" s="3">
        <f t="array" aca="1" ref="BF54" ca="1">IF(U19=C19,SUM(IF(($BR$30:$BR$38=C19)*($BS$29:$CA$29=U$23),$BS$30:$CA$38)),0)</f>
        <v>0</v>
      </c>
      <c r="BG54" s="3">
        <f t="array" aca="1" ref="BG54" ca="1">IF(U19=C19,SUM(IF(($BR$30:$BR$38=C19)*($BS$29:$CA$29=U$24),$BS$30:$CA$38)),0)</f>
        <v>0</v>
      </c>
      <c r="BH54" s="3">
        <f t="array" aca="1" ref="BH54" ca="1">IF(U19=C19,SUM(IF(($BR$30:$BR$38=C19)*($BS$29:$CA$29=U$25),$BS$30:$CA$38)),0)</f>
        <v>0</v>
      </c>
      <c r="BI54" s="5">
        <f t="array" aca="1" ref="BI54" ca="1">IF(V19=C19,SUM(IF(($BR$30:$BR$38=C19)*($BS$29:$CA$29=V$17),$BS$30:$CA$38)),0)</f>
        <v>0</v>
      </c>
      <c r="BJ54" s="3">
        <f t="array" aca="1" ref="BJ54" ca="1">IF(V19=C19,SUM(IF(($BR$30:$BR$38=C19)*($BS$29:$CA$29=V$18),$BS$30:$CA$38)),0)</f>
        <v>0</v>
      </c>
      <c r="BK54" s="3">
        <f t="array" aca="1" ref="BK54" ca="1">IF(V19=C19,SUM(IF(($BR$30:$BR$38=C19)*($BS$29:$CA$29=V$20),$BS$30:$CA$38)),0)</f>
        <v>0</v>
      </c>
      <c r="BL54" s="3">
        <f t="array" aca="1" ref="BL54" ca="1">IF(V19=C19,SUM(IF(($BR$30:$BR$38=C19)*($BS$29:$CA$29=V$21),$BS$30:$CA$38)),0)</f>
        <v>0</v>
      </c>
      <c r="BM54" s="3">
        <f t="array" aca="1" ref="BM54" ca="1">IF(V19=C19,SUM(IF(($BR$30:$BR$38=C19)*($BS$29:$CA$29=V$22),$BS$30:$CA$38)),0)</f>
        <v>0</v>
      </c>
      <c r="BN54" s="3">
        <f t="array" aca="1" ref="BN54" ca="1">IF(V19=C19,SUM(IF(($BR$30:$BR$38=C19)*($BS$29:$CA$29=V$23),$BS$30:$CA$38)),0)</f>
        <v>0</v>
      </c>
      <c r="BO54" s="3">
        <f t="array" aca="1" ref="BO54" ca="1">IF(V19=C19,SUM(IF(($BR$30:$BR$38=C19)*($BS$29:$CA$29=V$24),$BS$30:$CA$38)),0)</f>
        <v>0</v>
      </c>
      <c r="BP54" s="15">
        <f t="array" aca="1" ref="BP54" ca="1">IF(V19=C19,SUM(IF(($BR$30:$BR$38=C19)*($BS$29:$CA$29=V$25),$BS$30:$CA$38)),0)</f>
        <v>0</v>
      </c>
      <c r="BQ54" s="3"/>
      <c r="BR54" s="2" t="str">
        <f t="shared" ca="1" si="40"/>
        <v>Kickers Rodendorf</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2:80" s="2" customFormat="1" x14ac:dyDescent="0.2">
      <c r="E55" s="14">
        <f t="array" aca="1" ref="E55" ca="1">IF(O20=C20,SUM(IF(($BR$30:$BR$38=C20)*($BS$29:$CA$29=O17),$BS$30:$CA$38)),0)</f>
        <v>0</v>
      </c>
      <c r="F55" s="3">
        <f t="array" aca="1" ref="F55" ca="1">IF(O20=C20,SUM(IF(($BR$30:$BR$38=C20)*($BS$29:$CA$29=O18),$BS$30:$CA$38)),0)</f>
        <v>0</v>
      </c>
      <c r="G55" s="3">
        <f t="array" aca="1" ref="G55" ca="1">IF(O20=C20,SUM(IF(($BR$30:$BR$38=C20)*($BS$29:$CA$29=O19),$BS$30:$CA$38)),0)</f>
        <v>0</v>
      </c>
      <c r="H55" s="3">
        <f t="array" aca="1" ref="H55" ca="1">IF(O20=C20,SUM(IF(($BR$30:$BR$38=C20)*($BS$29:$CA$29=O21),$BS$30:$CA$38)),0)</f>
        <v>0</v>
      </c>
      <c r="I55" s="3">
        <f t="array" aca="1" ref="I55" ca="1">IF(O20=C20,SUM(IF(($BR$30:$BR$38=C20)*($BS$29:$CA$29=O22),$BS$30:$CA$38)),0)</f>
        <v>0</v>
      </c>
      <c r="J55" s="3">
        <f t="array" aca="1" ref="J55" ca="1">IF(O20=C20,SUM(IF(($BR$30:$BR$38=C20)*($BS$29:$CA$29=O23),$BS$30:$CA$38)),0)</f>
        <v>0</v>
      </c>
      <c r="K55" s="3">
        <f t="array" aca="1" ref="K55" ca="1">IF(O20=C20,SUM(IF(($BR$30:$BR$38=C20)*($BS$29:$CA$29=O$24),$BS$30:$CA$38)),0)</f>
        <v>0</v>
      </c>
      <c r="L55" s="3">
        <f t="array" aca="1" ref="L55" ca="1">IF(O20=C20,SUM(IF(($BR$30:$BR$38=C20)*($BS$29:$CA$29=O$25),$BS$30:$CA$38)),0)</f>
        <v>0</v>
      </c>
      <c r="M55" s="5">
        <f t="array" aca="1" ref="M55" ca="1">IF(P20=C20,SUM(IF(($BR$30:$BR$38=C20)*($BS$29:$CA$29=P17),$BS$30:$CA$38)),0)</f>
        <v>0</v>
      </c>
      <c r="N55" s="3">
        <f t="array" aca="1" ref="N55" ca="1">IF(P20=C20,SUM(IF(($BR$30:$BR$38=C20)*($BS$29:$CA$29=P18),$BS$30:$CA$38)),0)</f>
        <v>0</v>
      </c>
      <c r="O55" s="3">
        <f t="array" aca="1" ref="O55" ca="1">IF(P20=C20,SUM(IF(($BR$30:$BR$38=C20)*($BS$29:$CA$29=P19),$BS$30:$CA$38)),0)</f>
        <v>0</v>
      </c>
      <c r="P55" s="3">
        <f t="array" aca="1" ref="P55" ca="1">IF(P20=C20,SUM(IF(($BR$30:$BR$38=C20)*($BS$29:$CA$29=P21),$BS$30:$CA$38)),0)</f>
        <v>0</v>
      </c>
      <c r="Q55" s="3">
        <f t="array" aca="1" ref="Q55" ca="1">IF(P20=C20,SUM(IF(($BR$30:$BR$38=C20)*($BS$29:$CA$29=P22),$BS$30:$CA$38)),0)</f>
        <v>0</v>
      </c>
      <c r="R55" s="3">
        <f t="array" aca="1" ref="R55" ca="1">IF(P20=C20,SUM(IF(($BR$30:$BR$38=C20)*($BS$29:$CA$29=P23),$BS$30:$CA$38)),0)</f>
        <v>0</v>
      </c>
      <c r="S55" s="3">
        <f t="array" aca="1" ref="S55" ca="1">IF(P20=C20,SUM(IF(($BR$30:$BR$38=C20)*($BS$29:$CA$29=P$24),$BS$30:$CA$38)),0)</f>
        <v>0</v>
      </c>
      <c r="T55" s="3">
        <f t="array" aca="1" ref="T55" ca="1">IF(P20=C20,SUM(IF(($BR$30:$BR$38=C20)*($BS$29:$CA$29=P$25),$BS$30:$CA$38)),0)</f>
        <v>0</v>
      </c>
      <c r="U55" s="5">
        <f t="array" aca="1" ref="U55" ca="1">IF(Q20=C20,SUM(IF(($BR$30:$BR$38=C20)*($BS$29:$CA$29=Q17),$BS$30:$CA$38)),0)</f>
        <v>0</v>
      </c>
      <c r="V55" s="3">
        <f t="array" aca="1" ref="V55" ca="1">IF(Q20=C20,SUM(IF(($BR$30:$BR$38=C20)*($BS$29:$CA$29=Q18),$BS$30:$CA$38)),0)</f>
        <v>0</v>
      </c>
      <c r="W55" s="3">
        <f t="array" aca="1" ref="W55" ca="1">IF(Q20=C20,SUM(IF(($BR$30:$BR$38=C20)*($BS$29:$CA$29=Q19),$BS$30:$CA$38)),0)</f>
        <v>0</v>
      </c>
      <c r="X55" s="3">
        <f t="array" aca="1" ref="X55" ca="1">IF(Q20=C20,SUM(IF(($BR$30:$BR$38=C20)*($BS$29:$CA$29=Q21),$BS$30:$CA$38)),0)</f>
        <v>0</v>
      </c>
      <c r="Y55" s="3">
        <f t="array" aca="1" ref="Y55" ca="1">IF(Q20=C20,SUM(IF(($BR$30:$BR$38=C20)*($BS$29:$CA$29=Q22),$BS$30:$CA$38)),0)</f>
        <v>0</v>
      </c>
      <c r="Z55" s="3">
        <f t="array" aca="1" ref="Z55" ca="1">IF(Q20=C20,SUM(IF(($BR$30:$BR$38=C20)*($BS$29:$CA$29=Q23),$BS$30:$CA$38)),0)</f>
        <v>0</v>
      </c>
      <c r="AA55" s="3">
        <f t="array" aca="1" ref="AA55" ca="1">IF(Q20=C20,SUM(IF(($BR$30:$BR$38=C20)*($BS$29:$CA$29=Q$24),$BS$30:$CA$38)),0)</f>
        <v>0</v>
      </c>
      <c r="AB55" s="3">
        <f t="array" aca="1" ref="AB55" ca="1">IF(Q20=C20,SUM(IF(($BR$30:$BR$38=C20)*($BS$29:$CA$29=Q$25),$BS$30:$CA$38)),0)</f>
        <v>0</v>
      </c>
      <c r="AC55" s="5">
        <f t="array" aca="1" ref="AC55" ca="1">IF(R20=C20,SUM(IF(($BR$30:$BR$38=C20)*($BS$29:$CA$29=R17),$BS$30:$CA$38)),0)</f>
        <v>0</v>
      </c>
      <c r="AD55" s="3">
        <f t="array" aca="1" ref="AD55" ca="1">IF(R20=C20,SUM(IF(($BR$30:$BR$38=C20)*($BS$29:$CA$29=R18),$BS$30:$CA$38)),0)</f>
        <v>0</v>
      </c>
      <c r="AE55" s="3">
        <f t="array" aca="1" ref="AE55" ca="1">IF(R20=C20,SUM(IF(($BR$30:$BR$38=C20)*($BS$29:$CA$29=R19),$BS$30:$CA$38)),0)</f>
        <v>0</v>
      </c>
      <c r="AF55" s="3">
        <f t="array" aca="1" ref="AF55" ca="1">IF(R20=C20,SUM(IF(($BR$30:$BR$38=C20)*($BS$29:$CA$29=R21),$BS$30:$CA$38)),0)</f>
        <v>0</v>
      </c>
      <c r="AG55" s="3">
        <f t="array" aca="1" ref="AG55" ca="1">IF(R20=C20,SUM(IF(($BR$30:$BR$38=C20)*($BS$29:$CA$29=R22),$BS$30:$CA$38)),0)</f>
        <v>0</v>
      </c>
      <c r="AH55" s="3">
        <f t="array" aca="1" ref="AH55" ca="1">IF(R20=C20,SUM(IF(($BR$30:$BR$38=C20)*($BS$29:$CA$29=R23),$BS$30:$CA$38)),0)</f>
        <v>0</v>
      </c>
      <c r="AI55" s="3">
        <f t="array" aca="1" ref="AI55" ca="1">IF(R20=C20,SUM(IF(($BR$30:$BR$38=C20)*($BS$29:$CA$29=R$24),$BS$30:$CA$38)),0)</f>
        <v>0</v>
      </c>
      <c r="AJ55" s="3">
        <f t="array" aca="1" ref="AJ55" ca="1">IF(R20=C20,SUM(IF(($BR$30:$BR$38=C20)*($BS$29:$CA$29=R$25),$BS$30:$CA$38)),0)</f>
        <v>0</v>
      </c>
      <c r="AK55" s="5">
        <f t="array" aca="1" ref="AK55" ca="1">IF(S20=C20,SUM(IF(($BR$30:$BR$38=C20)*($BS$29:$CA$29=S17),$BS$30:$CA$38)),0)</f>
        <v>0</v>
      </c>
      <c r="AL55" s="3">
        <f t="array" aca="1" ref="AL55" ca="1">IF(S20=C20,SUM(IF(($BR$30:$BR$38=C20)*($BS$29:$CA$29=S18),$BS$30:$CA$38)),0)</f>
        <v>0</v>
      </c>
      <c r="AM55" s="3">
        <f t="array" aca="1" ref="AM55" ca="1">IF(S20=C20,SUM(IF(($BR$30:$BR$38=C20)*($BS$29:$CA$29=S19),$BS$30:$CA$38)),0)</f>
        <v>0</v>
      </c>
      <c r="AN55" s="3">
        <f t="array" aca="1" ref="AN55" ca="1">IF(S20=C20,SUM(IF(($BR$30:$BR$38=C20)*($BS$29:$CA$29=S21),$BS$30:$CA$38)),0)</f>
        <v>0</v>
      </c>
      <c r="AO55" s="3">
        <f t="array" aca="1" ref="AO55" ca="1">IF(S20=C20,SUM(IF(($BR$30:$BR$38=C20)*($BS$29:$CA$29=S22),$BS$30:$CA$38)),0)</f>
        <v>0</v>
      </c>
      <c r="AP55" s="3">
        <f t="array" aca="1" ref="AP55" ca="1">IF(S20=C20,SUM(IF(($BR$30:$BR$38=C20)*($BS$29:$CA$29=S23),$BS$30:$CA$38)),0)</f>
        <v>0</v>
      </c>
      <c r="AQ55" s="3">
        <f t="array" aca="1" ref="AQ55" ca="1">IF(S20=C20,SUM(IF(($BR$30:$BR$38=C20)*($BS$29:$CA$29=S$24),$BS$30:$CA$38)),0)</f>
        <v>0</v>
      </c>
      <c r="AR55" s="3">
        <f t="array" aca="1" ref="AR55" ca="1">IF(S20=C20,SUM(IF(($BR$30:$BR$38=C20)*($BS$29:$CA$29=S$25),$BS$30:$CA$38)),0)</f>
        <v>0</v>
      </c>
      <c r="AS55" s="5">
        <f t="array" aca="1" ref="AS55" ca="1">IF(T20=C20,SUM(IF(($BR$30:$BR$38=C20)*($BS$29:$CA$29=T17),$BS$30:$CA$38)),0)</f>
        <v>0</v>
      </c>
      <c r="AT55" s="3">
        <f t="array" aca="1" ref="AT55" ca="1">IF(T20=C20,SUM(IF(($BR$30:$BR$38=C20)*($BS$29:$CA$29=T18),$BS$30:$CA$38)),0)</f>
        <v>0</v>
      </c>
      <c r="AU55" s="3">
        <f t="array" aca="1" ref="AU55" ca="1">IF(T20=C20,SUM(IF(($BR$30:$BR$38=C20)*($BS$29:$CA$29=T19),$BS$30:$CA$38)),0)</f>
        <v>0</v>
      </c>
      <c r="AV55" s="3">
        <f t="array" aca="1" ref="AV55" ca="1">IF(T20=C20,SUM(IF(($BR$30:$BR$38=C20)*($BS$29:$CA$29=T21),$BS$30:$CA$38)),0)</f>
        <v>0</v>
      </c>
      <c r="AW55" s="3">
        <f t="array" aca="1" ref="AW55" ca="1">IF(T20=C20,SUM(IF(($BR$30:$BR$38=C20)*($BS$29:$CA$29=T22),$BS$30:$CA$38)),0)</f>
        <v>0</v>
      </c>
      <c r="AX55" s="3">
        <f t="array" aca="1" ref="AX55" ca="1">IF(T20=C20,SUM(IF(($BR$30:$BR$38=C20)*($BS$29:$CA$29=T23),$BS$30:$CA$38)),0)</f>
        <v>0</v>
      </c>
      <c r="AY55" s="3">
        <f t="array" aca="1" ref="AY55" ca="1">IF(T20=C20,SUM(IF(($BR$30:$BR$38=C20)*($BS$29:$CA$29=T$24),$BS$30:$CA$38)),0)</f>
        <v>0</v>
      </c>
      <c r="AZ55" s="3">
        <f t="array" aca="1" ref="AZ55" ca="1">IF(T20=C20,SUM(IF(($BR$30:$BR$38=C20)*($BS$29:$CA$29=T$25),$BS$30:$CA$38)),0)</f>
        <v>0</v>
      </c>
      <c r="BA55" s="5">
        <f t="array" aca="1" ref="BA55" ca="1">IF(U20=C20,SUM(IF(($BR$30:$BR$38=C20)*($BS$29:$CA$29=U$17),$BS$30:$CA$38)),0)</f>
        <v>0</v>
      </c>
      <c r="BB55" s="3">
        <f t="array" aca="1" ref="BB55" ca="1">IF(U20=C20,SUM(IF(($BR$30:$BR$38=C20)*($BS$29:$CA$29=U$18),$BS$30:$CA$38)),0)</f>
        <v>0</v>
      </c>
      <c r="BC55" s="3">
        <f t="array" aca="1" ref="BC55" ca="1">IF(U20=C20,SUM(IF(($BR$30:$BR$38=C20)*($BS$29:$CA$29=U$19),$BS$30:$CA$38)),0)</f>
        <v>0</v>
      </c>
      <c r="BD55" s="3">
        <f t="array" aca="1" ref="BD55" ca="1">IF(U20=C20,SUM(IF(($BR$30:$BR$38=C20)*($BS$29:$CA$29=U$21),$BS$30:$CA$38)),0)</f>
        <v>0</v>
      </c>
      <c r="BE55" s="3">
        <f t="array" aca="1" ref="BE55" ca="1">IF(U20=C20,SUM(IF(($BR$30:$BR$38=C20)*($BS$29:$CA$29=U$22),$BS$30:$CA$38)),0)</f>
        <v>0</v>
      </c>
      <c r="BF55" s="3">
        <f t="array" aca="1" ref="BF55" ca="1">IF(U20=C20,SUM(IF(($BR$30:$BR$38=C20)*($BS$29:$CA$29=U$23),$BS$30:$CA$38)),0)</f>
        <v>0</v>
      </c>
      <c r="BG55" s="3">
        <f t="array" aca="1" ref="BG55" ca="1">IF(U20=C20,SUM(IF(($BR$30:$BR$38=C20)*($BS$29:$CA$29=U$24),$BS$30:$CA$38)),0)</f>
        <v>0</v>
      </c>
      <c r="BH55" s="3">
        <f t="array" aca="1" ref="BH55" ca="1">IF(U20=C20,SUM(IF(($BR$30:$BR$38=C20)*($BS$29:$CA$29=U$25),$BS$30:$CA$38)),0)</f>
        <v>0</v>
      </c>
      <c r="BI55" s="5">
        <f t="array" aca="1" ref="BI55" ca="1">IF(V20=C20,SUM(IF(($BR$30:$BR$38=C20)*($BS$29:$CA$29=V$17),$BS$30:$CA$38)),0)</f>
        <v>0</v>
      </c>
      <c r="BJ55" s="3">
        <f t="array" aca="1" ref="BJ55" ca="1">IF(V20=C20,SUM(IF(($BR$30:$BR$38=C20)*($BS$29:$CA$29=V$18),$BS$30:$CA$38)),0)</f>
        <v>0</v>
      </c>
      <c r="BK55" s="3">
        <f t="array" aca="1" ref="BK55" ca="1">IF(V20=C20,SUM(IF(($BR$30:$BR$38=C20)*($BS$29:$CA$29=V$19),$BS$30:$CA$38)),0)</f>
        <v>0</v>
      </c>
      <c r="BL55" s="3">
        <f t="array" aca="1" ref="BL55" ca="1">IF(V20=C20,SUM(IF(($BR$30:$BR$38=C20)*($BS$29:$CA$29=V$21),$BS$30:$CA$38)),0)</f>
        <v>0</v>
      </c>
      <c r="BM55" s="3">
        <f t="array" aca="1" ref="BM55" ca="1">IF(V20=C20,SUM(IF(($BR$30:$BR$38=C20)*($BS$29:$CA$29=V$22),$BS$30:$CA$38)),0)</f>
        <v>0</v>
      </c>
      <c r="BN55" s="3">
        <f t="array" aca="1" ref="BN55" ca="1">IF(V20=C20,SUM(IF(($BR$30:$BR$38=C20)*($BS$29:$CA$29=V$23),$BS$30:$CA$38)),0)</f>
        <v>0</v>
      </c>
      <c r="BO55" s="3">
        <f t="array" aca="1" ref="BO55" ca="1">IF(V20=C20,SUM(IF(($BR$30:$BR$38=C20)*($BS$29:$CA$29=V$24),$BS$30:$CA$38)),0)</f>
        <v>0</v>
      </c>
      <c r="BP55" s="15">
        <f t="array" aca="1" ref="BP55" ca="1">IF(V20=C20,SUM(IF(($BR$30:$BR$38=C20)*($BS$29:$CA$29=V$25),$BS$30:$CA$38)),0)</f>
        <v>0</v>
      </c>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2:80" s="2" customFormat="1" x14ac:dyDescent="0.2">
      <c r="E56" s="14">
        <f t="array" aca="1" ref="E56" ca="1">IF(O21=C21,SUM(IF(($BR$30:$BR$38=C21)*($BS$29:$CA$29=O17),$BS$30:$CA$38)),0)</f>
        <v>0</v>
      </c>
      <c r="F56" s="3">
        <f t="array" aca="1" ref="F56" ca="1">IF(O21=C21,SUM(IF(($BR$30:$BR$38=C21)*($BS$29:$CA$29=O18),$BS$30:$CA$38)),0)</f>
        <v>0</v>
      </c>
      <c r="G56" s="3">
        <f t="array" aca="1" ref="G56" ca="1">IF(O21=C21,SUM(IF(($BR$30:$BR$38=C21)*($BS$29:$CA$29=O19),$BS$30:$CA$38)),0)</f>
        <v>0</v>
      </c>
      <c r="H56" s="3">
        <f t="array" aca="1" ref="H56" ca="1">IF(O21=C21,SUM(IF(($BR$30:$BR$38=C21)*($BS$29:$CA$29=O20),$BS$30:$CA$38)),0)</f>
        <v>0</v>
      </c>
      <c r="I56" s="3">
        <f t="array" aca="1" ref="I56" ca="1">IF(O21=C21,SUM(IF(($BR$30:$BR$38=C21)*($BS$29:$CA$29=O22),$BS$30:$CA$38)),0)</f>
        <v>0</v>
      </c>
      <c r="J56" s="3">
        <f t="array" aca="1" ref="J56" ca="1">IF(O21=C21,SUM(IF(($BR$30:$BR$38=C21)*($BS$29:$CA$29=O23),$BS$30:$CA$38)),0)</f>
        <v>0</v>
      </c>
      <c r="K56" s="3">
        <f t="array" aca="1" ref="K56" ca="1">IF(O21=C21,SUM(IF(($BR$30:$BR$38=C21)*($BS$29:$CA$29=O$24),$BS$30:$CA$38)),0)</f>
        <v>0</v>
      </c>
      <c r="L56" s="3">
        <f t="array" aca="1" ref="L56" ca="1">IF(O21=C21,SUM(IF(($BR$30:$BR$38=C21)*($BS$29:$CA$29=O$25),$BS$30:$CA$38)),0)</f>
        <v>0</v>
      </c>
      <c r="M56" s="5">
        <f t="array" aca="1" ref="M56" ca="1">IF(P21=C21,SUM(IF(($BR$30:$BR$38=C21)*($BS$29:$CA$29=P17),$BS$30:$CA$38)),0)</f>
        <v>0</v>
      </c>
      <c r="N56" s="3">
        <f t="array" aca="1" ref="N56" ca="1">IF(P21=C21,SUM(IF(($BR$30:$BR$38=C21)*($BS$29:$CA$29=P18),$BS$30:$CA$38)),0)</f>
        <v>0</v>
      </c>
      <c r="O56" s="3">
        <f t="array" aca="1" ref="O56" ca="1">IF(P21=C21,SUM(IF(($BR$30:$BR$38=C21)*($BS$29:$CA$29=P19),$BS$30:$CA$38)),0)</f>
        <v>0</v>
      </c>
      <c r="P56" s="3">
        <f t="array" aca="1" ref="P56" ca="1">IF(P21=C21,SUM(IF(($BR$30:$BR$38=C21)*($BS$29:$CA$29=P20),$BS$30:$CA$38)),0)</f>
        <v>0</v>
      </c>
      <c r="Q56" s="3">
        <f t="array" aca="1" ref="Q56" ca="1">IF(P21=C21,SUM(IF(($BR$30:$BR$38=C21)*($BS$29:$CA$29=P22),$BS$30:$CA$38)),0)</f>
        <v>0</v>
      </c>
      <c r="R56" s="3">
        <f t="array" aca="1" ref="R56" ca="1">IF(P21=C21,SUM(IF(($BR$30:$BR$38=C21)*($BS$29:$CA$29=P23),$BS$30:$CA$38)),0)</f>
        <v>0</v>
      </c>
      <c r="S56" s="3">
        <f t="array" aca="1" ref="S56" ca="1">IF(P21=C21,SUM(IF(($BR$30:$BR$38=C21)*($BS$29:$CA$29=P$24),$BS$30:$CA$38)),0)</f>
        <v>0</v>
      </c>
      <c r="T56" s="3">
        <f t="array" aca="1" ref="T56" ca="1">IF(P21=C21,SUM(IF(($BR$30:$BR$38=C21)*($BS$29:$CA$29=P$25),$BS$30:$CA$38)),0)</f>
        <v>0</v>
      </c>
      <c r="U56" s="5">
        <f t="array" aca="1" ref="U56" ca="1">IF(Q21=C21,SUM(IF(($BR$30:$BR$38=C21)*($BS$29:$CA$29=Q17),$BS$30:$CA$38)),0)</f>
        <v>0</v>
      </c>
      <c r="V56" s="3">
        <f t="array" aca="1" ref="V56" ca="1">IF(Q21=C21,SUM(IF(($BR$30:$BR$38=C21)*($BS$29:$CA$29=Q18),$BS$30:$CA$38)),0)</f>
        <v>0</v>
      </c>
      <c r="W56" s="3">
        <f t="array" aca="1" ref="W56" ca="1">IF(Q21=C21,SUM(IF(($BR$30:$BR$38=C21)*($BS$29:$CA$29=Q19),$BS$30:$CA$38)),0)</f>
        <v>0</v>
      </c>
      <c r="X56" s="3">
        <f t="array" aca="1" ref="X56" ca="1">IF(Q21=C21,SUM(IF(($BR$30:$BR$38=C21)*($BS$29:$CA$29=Q20),$BS$30:$CA$38)),0)</f>
        <v>0</v>
      </c>
      <c r="Y56" s="3">
        <f t="array" aca="1" ref="Y56" ca="1">IF(Q21=C21,SUM(IF(($BR$30:$BR$38=C21)*($BS$29:$CA$29=Q22),$BS$30:$CA$38)),0)</f>
        <v>0</v>
      </c>
      <c r="Z56" s="3">
        <f t="array" aca="1" ref="Z56" ca="1">IF(Q21=C21,SUM(IF(($BR$30:$BR$38=C21)*($BS$29:$CA$29=Q23),$BS$30:$CA$38)),0)</f>
        <v>0</v>
      </c>
      <c r="AA56" s="3">
        <f t="array" aca="1" ref="AA56" ca="1">IF(Q21=C21,SUM(IF(($BR$30:$BR$38=C21)*($BS$29:$CA$29=Q$24),$BS$30:$CA$38)),0)</f>
        <v>0</v>
      </c>
      <c r="AB56" s="3">
        <f t="array" aca="1" ref="AB56" ca="1">IF(Q21=C21,SUM(IF(($BR$30:$BR$38=C21)*($BS$29:$CA$29=Q$25),$BS$30:$CA$38)),0)</f>
        <v>0</v>
      </c>
      <c r="AC56" s="5">
        <f t="array" aca="1" ref="AC56" ca="1">IF(R21=C21,SUM(IF(($BR$30:$BR$38=C21)*($BS$29:$CA$29=R17),$BS$30:$CA$38)),0)</f>
        <v>0</v>
      </c>
      <c r="AD56" s="3">
        <f t="array" aca="1" ref="AD56" ca="1">IF(R21=C21,SUM(IF(($BR$30:$BR$38=C21)*($BS$29:$CA$29=R18),$BS$30:$CA$38)),0)</f>
        <v>0</v>
      </c>
      <c r="AE56" s="3">
        <f t="array" aca="1" ref="AE56" ca="1">IF(R21=C21,SUM(IF(($BR$30:$BR$38=C21)*($BS$29:$CA$29=R19),$BS$30:$CA$38)),0)</f>
        <v>0</v>
      </c>
      <c r="AF56" s="3">
        <f t="array" aca="1" ref="AF56" ca="1">IF(R21=C21,SUM(IF(($BR$30:$BR$38=C21)*($BS$29:$CA$29=R20),$BS$30:$CA$38)),0)</f>
        <v>0</v>
      </c>
      <c r="AG56" s="3">
        <f t="array" aca="1" ref="AG56" ca="1">IF(R21=C21,SUM(IF(($BR$30:$BR$38=C21)*($BS$29:$CA$29=R22),$BS$30:$CA$38)),0)</f>
        <v>0</v>
      </c>
      <c r="AH56" s="3">
        <f t="array" aca="1" ref="AH56" ca="1">IF(R21=C21,SUM(IF(($BR$30:$BR$38=C21)*($BS$29:$CA$29=R23),$BS$30:$CA$38)),0)</f>
        <v>0</v>
      </c>
      <c r="AI56" s="3">
        <f t="array" aca="1" ref="AI56" ca="1">IF(R21=C21,SUM(IF(($BR$30:$BR$38=C21)*($BS$29:$CA$29=R$24),$BS$30:$CA$38)),0)</f>
        <v>0</v>
      </c>
      <c r="AJ56" s="3">
        <f t="array" aca="1" ref="AJ56" ca="1">IF(R21=C21,SUM(IF(($BR$30:$BR$38=C21)*($BS$29:$CA$29=R$25),$BS$30:$CA$38)),0)</f>
        <v>0</v>
      </c>
      <c r="AK56" s="5">
        <f t="array" aca="1" ref="AK56" ca="1">IF(S21=C21,SUM(IF(($BR$30:$BR$38=C21)*($BS$29:$CA$29=S17),$BS$30:$CA$38)),0)</f>
        <v>0</v>
      </c>
      <c r="AL56" s="3">
        <f t="array" aca="1" ref="AL56" ca="1">IF(S21=C21,SUM(IF(($BR$30:$BR$38=C21)*($BS$29:$CA$29=S18),$BS$30:$CA$38)),0)</f>
        <v>0</v>
      </c>
      <c r="AM56" s="3">
        <f t="array" aca="1" ref="AM56" ca="1">IF(S21=C21,SUM(IF(($BR$30:$BR$38=C21)*($BS$29:$CA$29=S19),$BS$30:$CA$38)),0)</f>
        <v>0</v>
      </c>
      <c r="AN56" s="3">
        <f t="array" aca="1" ref="AN56" ca="1">IF(S21=C21,SUM(IF(($BR$30:$BR$38=C21)*($BS$29:$CA$29=S20),$BS$30:$CA$38)),0)</f>
        <v>0</v>
      </c>
      <c r="AO56" s="3">
        <f t="array" aca="1" ref="AO56" ca="1">IF(S21=C21,SUM(IF(($BR$30:$BR$38=C21)*($BS$29:$CA$29=S22),$BS$30:$CA$38)),0)</f>
        <v>0</v>
      </c>
      <c r="AP56" s="3">
        <f t="array" aca="1" ref="AP56" ca="1">IF(S21=C21,SUM(IF(($BR$30:$BR$38=C21)*($BS$29:$CA$29=S23),$BS$30:$CA$38)),0)</f>
        <v>0</v>
      </c>
      <c r="AQ56" s="3">
        <f t="array" aca="1" ref="AQ56" ca="1">IF(S21=C21,SUM(IF(($BR$30:$BR$38=C21)*($BS$29:$CA$29=S$24),$BS$30:$CA$38)),0)</f>
        <v>0</v>
      </c>
      <c r="AR56" s="3">
        <f t="array" aca="1" ref="AR56" ca="1">IF(S21=C21,SUM(IF(($BR$30:$BR$38=C21)*($BS$29:$CA$29=S$25),$BS$30:$CA$38)),0)</f>
        <v>0</v>
      </c>
      <c r="AS56" s="5">
        <f t="array" aca="1" ref="AS56" ca="1">IF(T21=C21,SUM(IF(($BR$30:$BR$38=C21)*($BS$29:$CA$29=T17),$BS$30:$CA$38)),0)</f>
        <v>0</v>
      </c>
      <c r="AT56" s="3">
        <f t="array" aca="1" ref="AT56" ca="1">IF(T21=C21,SUM(IF(($BR$30:$BR$38=C21)*($BS$29:$CA$29=T18),$BS$30:$CA$38)),0)</f>
        <v>0</v>
      </c>
      <c r="AU56" s="3">
        <f t="array" aca="1" ref="AU56" ca="1">IF(T21=C21,SUM(IF(($BR$30:$BR$38=C21)*($BS$29:$CA$29=T19),$BS$30:$CA$38)),0)</f>
        <v>0</v>
      </c>
      <c r="AV56" s="3">
        <f t="array" aca="1" ref="AV56" ca="1">IF(T21=C21,SUM(IF(($BR$30:$BR$38=C21)*($BS$29:$CA$29=T20),$BS$30:$CA$38)),0)</f>
        <v>0</v>
      </c>
      <c r="AW56" s="3">
        <f t="array" aca="1" ref="AW56" ca="1">IF(T21=C21,SUM(IF(($BR$30:$BR$38=C21)*($BS$29:$CA$29=T22),$BS$30:$CA$38)),0)</f>
        <v>0</v>
      </c>
      <c r="AX56" s="3">
        <f t="array" aca="1" ref="AX56" ca="1">IF(T21=C21,SUM(IF(($BR$30:$BR$38=C21)*($BS$29:$CA$29=T23),$BS$30:$CA$38)),0)</f>
        <v>0</v>
      </c>
      <c r="AY56" s="3">
        <f t="array" aca="1" ref="AY56" ca="1">IF(T21=C21,SUM(IF(($BR$30:$BR$38=C21)*($BS$29:$CA$29=T$24),$BS$30:$CA$38)),0)</f>
        <v>0</v>
      </c>
      <c r="AZ56" s="3">
        <f t="array" aca="1" ref="AZ56" ca="1">IF(T21=C21,SUM(IF(($BR$30:$BR$38=C21)*($BS$29:$CA$29=T$25),$BS$30:$CA$38)),0)</f>
        <v>0</v>
      </c>
      <c r="BA56" s="5">
        <f t="array" aca="1" ref="BA56" ca="1">IF(U21=C21,SUM(IF(($BR$30:$BR$38=C21)*($BS$29:$CA$29=U$17),$BS$30:$CA$38)),0)</f>
        <v>0</v>
      </c>
      <c r="BB56" s="3">
        <f t="array" aca="1" ref="BB56" ca="1">IF(U21=C21,SUM(IF(($BR$30:$BR$38=C21)*($BS$29:$CA$29=U$18),$BS$30:$CA$38)),0)</f>
        <v>0</v>
      </c>
      <c r="BC56" s="3">
        <f t="array" aca="1" ref="BC56" ca="1">IF(U21=C21,SUM(IF(($BR$30:$BR$38=C21)*($BS$29:$CA$29=U$19),$BS$30:$CA$38)),0)</f>
        <v>0</v>
      </c>
      <c r="BD56" s="3">
        <f t="array" aca="1" ref="BD56" ca="1">IF(U21=C21,SUM(IF(($BR$30:$BR$38=C21)*($BS$29:$CA$29=U$20),$BS$30:$CA$38)),0)</f>
        <v>0</v>
      </c>
      <c r="BE56" s="3">
        <f t="array" aca="1" ref="BE56" ca="1">IF(U21=C21,SUM(IF(($BR$30:$BR$38=C21)*($BS$29:$CA$29=U$22),$BS$30:$CA$38)),0)</f>
        <v>0</v>
      </c>
      <c r="BF56" s="3">
        <f t="array" aca="1" ref="BF56" ca="1">IF(U21=C21,SUM(IF(($BR$30:$BR$38=C21)*($BS$29:$CA$29=U$23),$BS$30:$CA$38)),0)</f>
        <v>0</v>
      </c>
      <c r="BG56" s="3">
        <f t="array" aca="1" ref="BG56" ca="1">IF(U21=C21,SUM(IF(($BR$30:$BR$38=C21)*($BS$29:$CA$29=U$24),$BS$30:$CA$38)),0)</f>
        <v>0</v>
      </c>
      <c r="BH56" s="3">
        <f t="array" aca="1" ref="BH56" ca="1">IF(U21=C21,SUM(IF(($BR$30:$BR$38=C21)*($BS$29:$CA$29=U$25),$BS$30:$CA$38)),0)</f>
        <v>0</v>
      </c>
      <c r="BI56" s="5">
        <f t="array" aca="1" ref="BI56" ca="1">IF(V21=C21,SUM(IF(($BR$30:$BR$38=C21)*($BS$29:$CA$29=V$17),$BS$30:$CA$38)),0)</f>
        <v>0</v>
      </c>
      <c r="BJ56" s="3">
        <f t="array" aca="1" ref="BJ56" ca="1">IF(V21=C21,SUM(IF(($BR$30:$BR$38=C21)*($BS$29:$CA$29=V$18),$BS$30:$CA$38)),0)</f>
        <v>0</v>
      </c>
      <c r="BK56" s="3">
        <f t="array" aca="1" ref="BK56" ca="1">IF(V21=C21,SUM(IF(($BR$30:$BR$38=C21)*($BS$29:$CA$29=V$19),$BS$30:$CA$38)),0)</f>
        <v>0</v>
      </c>
      <c r="BL56" s="3">
        <f t="array" aca="1" ref="BL56" ca="1">IF(V21=C21,SUM(IF(($BR$30:$BR$38=C21)*($BS$29:$CA$29=V$20),$BS$30:$CA$38)),0)</f>
        <v>0</v>
      </c>
      <c r="BM56" s="3">
        <f t="array" aca="1" ref="BM56" ca="1">IF(V21=C21,SUM(IF(($BR$30:$BR$38=C21)*($BS$29:$CA$29=V$22),$BS$30:$CA$38)),0)</f>
        <v>0</v>
      </c>
      <c r="BN56" s="3">
        <f t="array" aca="1" ref="BN56" ca="1">IF(V21=C21,SUM(IF(($BR$30:$BR$38=C21)*($BS$29:$CA$29=V$23),$BS$30:$CA$38)),0)</f>
        <v>0</v>
      </c>
      <c r="BO56" s="3">
        <f t="array" aca="1" ref="BO56" ca="1">IF(V21=C21,SUM(IF(($BR$30:$BR$38=C21)*($BS$29:$CA$29=V$24),$BS$30:$CA$38)),0)</f>
        <v>0</v>
      </c>
      <c r="BP56" s="15">
        <f t="array" aca="1" ref="BP56" ca="1">IF(V21=C21,SUM(IF(($BR$30:$BR$38=C21)*($BS$29:$CA$29=V$25),$BS$30:$CA$38)),0)</f>
        <v>0</v>
      </c>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2:80" s="2" customFormat="1" x14ac:dyDescent="0.2">
      <c r="E57" s="14">
        <f t="array" aca="1" ref="E57" ca="1">IF(O22=C22,SUM(IF(($BR$30:$BR$38=C22)*($BS$29:$CA$29=O17),$BS$30:$CA$38)),0)</f>
        <v>0</v>
      </c>
      <c r="F57" s="3">
        <f t="array" aca="1" ref="F57" ca="1">IF(O22=C22,SUM(IF(($BR$30:$BR$38=C22)*($BS$29:$CA$29=O18),$BS$30:$CA$38)),0)</f>
        <v>0</v>
      </c>
      <c r="G57" s="3">
        <f t="array" aca="1" ref="G57" ca="1">IF(O22=C22,SUM(IF(($BR$30:$BR$38=C22)*($BS$29:$CA$29=O19),$BS$30:$CA$38)),0)</f>
        <v>0</v>
      </c>
      <c r="H57" s="3">
        <f t="array" aca="1" ref="H57" ca="1">IF(O22=C22,SUM(IF(($BR$30:$BR$38=C22)*($BS$29:$CA$29=O20),$BS$30:$CA$38)),0)</f>
        <v>0</v>
      </c>
      <c r="I57" s="3">
        <f t="array" aca="1" ref="I57" ca="1">IF(O22=C22,SUM(IF(($BR$30:$BR$38=C22)*($BS$29:$CA$29=O21),$BS$30:$CA$38)),0)</f>
        <v>0</v>
      </c>
      <c r="J57" s="3">
        <f t="array" aca="1" ref="J57" ca="1">IF(O22=C22,SUM(IF(($BR$30:$BR$38=C22)*($BS$29:$CA$29=O23),$BS$30:$CA$38)),0)</f>
        <v>0</v>
      </c>
      <c r="K57" s="3">
        <f t="array" aca="1" ref="K57" ca="1">IF(O22=C22,SUM(IF(($BR$30:$BR$38=C22)*($BS$29:$CA$29=O$24),$BS$30:$CA$38)),0)</f>
        <v>0</v>
      </c>
      <c r="L57" s="3">
        <f t="array" aca="1" ref="L57" ca="1">IF(O22=C22,SUM(IF(($BR$30:$BR$38=C22)*($BS$29:$CA$29=O$25),$BS$30:$CA$38)),0)</f>
        <v>0</v>
      </c>
      <c r="M57" s="5">
        <f t="array" aca="1" ref="M57" ca="1">IF(P22=C22,SUM(IF(($BR$30:$BR$38=C22)*($BS$29:$CA$29=P17),$BS$30:$CA$38)),0)</f>
        <v>0</v>
      </c>
      <c r="N57" s="3">
        <f t="array" aca="1" ref="N57" ca="1">IF(P22=C22,SUM(IF(($BR$30:$BR$38=C22)*($BS$29:$CA$29=P18),$BS$30:$CA$38)),0)</f>
        <v>0</v>
      </c>
      <c r="O57" s="3">
        <f t="array" aca="1" ref="O57" ca="1">IF(P22=C22,SUM(IF(($BR$30:$BR$38=C22)*($BS$29:$CA$29=P19),$BS$30:$CA$38)),0)</f>
        <v>0</v>
      </c>
      <c r="P57" s="3">
        <f t="array" aca="1" ref="P57" ca="1">IF(P22=C22,SUM(IF(($BR$30:$BR$38=C22)*($BS$29:$CA$29=P20),$BS$30:$CA$38)),0)</f>
        <v>0</v>
      </c>
      <c r="Q57" s="3">
        <f t="array" aca="1" ref="Q57" ca="1">IF(P22=C22,SUM(IF(($BR$30:$BR$38=C22)*($BS$29:$CA$29=P21),$BS$30:$CA$38)),0)</f>
        <v>0</v>
      </c>
      <c r="R57" s="3">
        <f t="array" aca="1" ref="R57" ca="1">IF(P22=C22,SUM(IF(($BR$30:$BR$38=C22)*($BS$29:$CA$29=P23),$BS$30:$CA$38)),0)</f>
        <v>0</v>
      </c>
      <c r="S57" s="3">
        <f t="array" aca="1" ref="S57" ca="1">IF(P22=C22,SUM(IF(($BR$30:$BR$38=C22)*($BS$29:$CA$29=P$24),$BS$30:$CA$38)),0)</f>
        <v>0</v>
      </c>
      <c r="T57" s="3">
        <f t="array" aca="1" ref="T57" ca="1">IF(P22=C22,SUM(IF(($BR$30:$BR$38=C22)*($BS$29:$CA$29=P$25),$BS$30:$CA$38)),0)</f>
        <v>0</v>
      </c>
      <c r="U57" s="5">
        <f t="array" aca="1" ref="U57" ca="1">IF(Q22=C22,SUM(IF(($BR$30:$BR$38=C22)*($BS$29:$CA$29=Q17),$BS$30:$CA$38)),0)</f>
        <v>0</v>
      </c>
      <c r="V57" s="3">
        <f t="array" aca="1" ref="V57" ca="1">IF(Q22=C22,SUM(IF(($BR$30:$BR$38=C22)*($BS$29:$CA$29=Q18),$BS$30:$CA$38)),0)</f>
        <v>0</v>
      </c>
      <c r="W57" s="3">
        <f t="array" aca="1" ref="W57" ca="1">IF(Q22=C22,SUM(IF(($BR$30:$BR$38=C22)*($BS$29:$CA$29=Q19),$BS$30:$CA$38)),0)</f>
        <v>0</v>
      </c>
      <c r="X57" s="3">
        <f t="array" aca="1" ref="X57" ca="1">IF(Q22=C22,SUM(IF(($BR$30:$BR$38=C22)*($BS$29:$CA$29=Q20),$BS$30:$CA$38)),0)</f>
        <v>0</v>
      </c>
      <c r="Y57" s="3">
        <f t="array" aca="1" ref="Y57" ca="1">IF(Q22=C22,SUM(IF(($BR$30:$BR$38=C22)*($BS$29:$CA$29=Q21),$BS$30:$CA$38)),0)</f>
        <v>0</v>
      </c>
      <c r="Z57" s="3">
        <f t="array" aca="1" ref="Z57" ca="1">IF(Q22=C22,SUM(IF(($BR$30:$BR$38=C22)*($BS$29:$CA$29=Q23),$BS$30:$CA$38)),0)</f>
        <v>0</v>
      </c>
      <c r="AA57" s="3">
        <f t="array" aca="1" ref="AA57" ca="1">IF(Q22=C22,SUM(IF(($BR$30:$BR$38=C22)*($BS$29:$CA$29=Q$24),$BS$30:$CA$38)),0)</f>
        <v>0</v>
      </c>
      <c r="AB57" s="3">
        <f t="array" aca="1" ref="AB57" ca="1">IF(Q22=C22,SUM(IF(($BR$30:$BR$38=C22)*($BS$29:$CA$29=Q$25),$BS$30:$CA$38)),0)</f>
        <v>0</v>
      </c>
      <c r="AC57" s="5">
        <f t="array" aca="1" ref="AC57" ca="1">IF(R22=C22,SUM(IF(($BR$30:$BR$38=C22)*($BS$29:$CA$29=R17),$BS$30:$CA$38)),0)</f>
        <v>0</v>
      </c>
      <c r="AD57" s="3">
        <f t="array" aca="1" ref="AD57" ca="1">IF(R22=C22,SUM(IF(($BR$30:$BR$38=C22)*($BS$29:$CA$29=R18),$BS$30:$CA$38)),0)</f>
        <v>0</v>
      </c>
      <c r="AE57" s="3">
        <f t="array" aca="1" ref="AE57" ca="1">IF(R22=C22,SUM(IF(($BR$30:$BR$38=C22)*($BS$29:$CA$29=R19),$BS$30:$CA$38)),0)</f>
        <v>0</v>
      </c>
      <c r="AF57" s="3">
        <f t="array" aca="1" ref="AF57" ca="1">IF(R22=C22,SUM(IF(($BR$30:$BR$38=C22)*($BS$29:$CA$29=R20),$BS$30:$CA$38)),0)</f>
        <v>0</v>
      </c>
      <c r="AG57" s="3">
        <f t="array" aca="1" ref="AG57" ca="1">IF(R22=C22,SUM(IF(($BR$30:$BR$38=C22)*($BS$29:$CA$29=R21),$BS$30:$CA$38)),0)</f>
        <v>0</v>
      </c>
      <c r="AH57" s="3">
        <f t="array" aca="1" ref="AH57" ca="1">IF(R22=C22,SUM(IF(($BR$30:$BR$38=C22)*($BS$29:$CA$29=R23),$BS$30:$CA$38)),0)</f>
        <v>0</v>
      </c>
      <c r="AI57" s="3">
        <f t="array" aca="1" ref="AI57" ca="1">IF(R22=C22,SUM(IF(($BR$30:$BR$38=C22)*($BS$29:$CA$29=R$24),$BS$30:$CA$38)),0)</f>
        <v>0</v>
      </c>
      <c r="AJ57" s="3">
        <f t="array" aca="1" ref="AJ57" ca="1">IF(R22=C22,SUM(IF(($BR$30:$BR$38=C22)*($BS$29:$CA$29=R$25),$BS$30:$CA$38)),0)</f>
        <v>0</v>
      </c>
      <c r="AK57" s="5">
        <f t="array" aca="1" ref="AK57" ca="1">IF(S22=C22,SUM(IF(($BR$30:$BR$38=C22)*($BS$29:$CA$29=S17),$BS$30:$CA$38)),0)</f>
        <v>0</v>
      </c>
      <c r="AL57" s="3">
        <f t="array" aca="1" ref="AL57" ca="1">IF(S22=C22,SUM(IF(($BR$30:$BR$38=C22)*($BS$29:$CA$29=S18),$BS$30:$CA$38)),0)</f>
        <v>0</v>
      </c>
      <c r="AM57" s="3">
        <f t="array" aca="1" ref="AM57" ca="1">IF(S22=C22,SUM(IF(($BR$30:$BR$38=C22)*($BS$29:$CA$29=S19),$BS$30:$CA$38)),0)</f>
        <v>0</v>
      </c>
      <c r="AN57" s="3">
        <f t="array" aca="1" ref="AN57" ca="1">IF(S22=C22,SUM(IF(($BR$30:$BR$38=C22)*($BS$29:$CA$29=S20),$BS$30:$CA$38)),0)</f>
        <v>0</v>
      </c>
      <c r="AO57" s="3">
        <f t="array" aca="1" ref="AO57" ca="1">IF(S22=C22,SUM(IF(($BR$30:$BR$38=C22)*($BS$29:$CA$29=S21),$BS$30:$CA$38)),0)</f>
        <v>0</v>
      </c>
      <c r="AP57" s="3">
        <f t="array" aca="1" ref="AP57" ca="1">IF(S22=C22,SUM(IF(($BR$30:$BR$38=C22)*($BS$29:$CA$29=S23),$BS$30:$CA$38)),0)</f>
        <v>0</v>
      </c>
      <c r="AQ57" s="3">
        <f t="array" aca="1" ref="AQ57" ca="1">IF(S22=C22,SUM(IF(($BR$30:$BR$38=C22)*($BS$29:$CA$29=S$24),$BS$30:$CA$38)),0)</f>
        <v>0</v>
      </c>
      <c r="AR57" s="3">
        <f t="array" aca="1" ref="AR57" ca="1">IF(S22=C22,SUM(IF(($BR$30:$BR$38=C22)*($BS$29:$CA$29=S$25),$BS$30:$CA$38)),0)</f>
        <v>0</v>
      </c>
      <c r="AS57" s="5">
        <f t="array" aca="1" ref="AS57" ca="1">IF(T22=C22,SUM(IF(($BR$30:$BR$38=C22)*($BS$29:$CA$29=T17),$BS$30:$CA$38)),0)</f>
        <v>0</v>
      </c>
      <c r="AT57" s="3">
        <f t="array" aca="1" ref="AT57" ca="1">IF(T22=C22,SUM(IF(($BR$30:$BR$38=C22)*($BS$29:$CA$29=T18),$BS$30:$CA$38)),0)</f>
        <v>0</v>
      </c>
      <c r="AU57" s="3">
        <f t="array" aca="1" ref="AU57" ca="1">IF(T22=C22,SUM(IF(($BR$30:$BR$38=C22)*($BS$29:$CA$29=T19),$BS$30:$CA$38)),0)</f>
        <v>0</v>
      </c>
      <c r="AV57" s="3">
        <f t="array" aca="1" ref="AV57" ca="1">IF(T22=C22,SUM(IF(($BR$30:$BR$38=C22)*($BS$29:$CA$29=T20),$BS$30:$CA$38)),0)</f>
        <v>0</v>
      </c>
      <c r="AW57" s="3">
        <f t="array" aca="1" ref="AW57" ca="1">IF(T22=C22,SUM(IF(($BR$30:$BR$38=C22)*($BS$29:$CA$29=T21),$BS$30:$CA$38)),0)</f>
        <v>0</v>
      </c>
      <c r="AX57" s="3">
        <f t="array" aca="1" ref="AX57" ca="1">IF(T22=C22,SUM(IF(($BR$30:$BR$38=C22)*($BS$29:$CA$29=T23),$BS$30:$CA$38)),0)</f>
        <v>0</v>
      </c>
      <c r="AY57" s="3">
        <f t="array" aca="1" ref="AY57" ca="1">IF(T22=C22,SUM(IF(($BR$30:$BR$38=C22)*($BS$29:$CA$29=T$24),$BS$30:$CA$38)),0)</f>
        <v>0</v>
      </c>
      <c r="AZ57" s="3">
        <f t="array" aca="1" ref="AZ57" ca="1">IF(T22=C22,SUM(IF(($BR$30:$BR$38=C22)*($BS$29:$CA$29=T$25),$BS$30:$CA$38)),0)</f>
        <v>0</v>
      </c>
      <c r="BA57" s="5">
        <f t="array" aca="1" ref="BA57" ca="1">IF(U22=C22,SUM(IF(($BR$30:$BR$38=C22)*($BS$29:$CA$29=U$17),$BS$30:$CA$38)),0)</f>
        <v>0</v>
      </c>
      <c r="BB57" s="3">
        <f t="array" aca="1" ref="BB57" ca="1">IF(U22=C22,SUM(IF(($BR$30:$BR$38=C22)*($BS$29:$CA$29=U$18),$BS$30:$CA$38)),0)</f>
        <v>0</v>
      </c>
      <c r="BC57" s="3">
        <f t="array" aca="1" ref="BC57" ca="1">IF(U22=C22,SUM(IF(($BR$30:$BR$38=C22)*($BS$29:$CA$29=U$19),$BS$30:$CA$38)),0)</f>
        <v>0</v>
      </c>
      <c r="BD57" s="3">
        <f t="array" aca="1" ref="BD57" ca="1">IF(U22=C22,SUM(IF(($BR$30:$BR$38=C22)*($BS$29:$CA$29=U$20),$BS$30:$CA$38)),0)</f>
        <v>0</v>
      </c>
      <c r="BE57" s="3">
        <f t="array" aca="1" ref="BE57" ca="1">IF(U22=C22,SUM(IF(($BR$30:$BR$38=C22)*($BS$29:$CA$29=U$21),$BS$30:$CA$38)),0)</f>
        <v>0</v>
      </c>
      <c r="BF57" s="3">
        <f t="array" aca="1" ref="BF57" ca="1">IF(U22=C22,SUM(IF(($BR$30:$BR$38=C22)*($BS$29:$CA$29=U$23),$BS$30:$CA$38)),0)</f>
        <v>0</v>
      </c>
      <c r="BG57" s="3">
        <f t="array" aca="1" ref="BG57" ca="1">IF(U22=C22,SUM(IF(($BR$30:$BR$38=C22)*($BS$29:$CA$29=U$24),$BS$30:$CA$38)),0)</f>
        <v>0</v>
      </c>
      <c r="BH57" s="3">
        <f t="array" aca="1" ref="BH57" ca="1">IF(U22=C22,SUM(IF(($BR$30:$BR$38=C22)*($BS$29:$CA$29=U$25),$BS$30:$CA$38)),0)</f>
        <v>0</v>
      </c>
      <c r="BI57" s="5">
        <f t="array" aca="1" ref="BI57" ca="1">IF(V22=C22,SUM(IF(($BR$30:$BR$38=C22)*($BS$29:$CA$29=V$17),$BS$30:$CA$38)),0)</f>
        <v>0</v>
      </c>
      <c r="BJ57" s="3">
        <f t="array" aca="1" ref="BJ57" ca="1">IF(V22=C22,SUM(IF(($BR$30:$BR$38=C22)*($BS$29:$CA$29=V$18),$BS$30:$CA$38)),0)</f>
        <v>0</v>
      </c>
      <c r="BK57" s="3">
        <f t="array" aca="1" ref="BK57" ca="1">IF(V22=C22,SUM(IF(($BR$30:$BR$38=C22)*($BS$29:$CA$29=V$19),$BS$30:$CA$38)),0)</f>
        <v>0</v>
      </c>
      <c r="BL57" s="3">
        <f t="array" aca="1" ref="BL57" ca="1">IF(V22=C22,SUM(IF(($BR$30:$BR$38=C22)*($BS$29:$CA$29=V$20),$BS$30:$CA$38)),0)</f>
        <v>0</v>
      </c>
      <c r="BM57" s="3">
        <f t="array" aca="1" ref="BM57" ca="1">IF(V22=C22,SUM(IF(($BR$30:$BR$38=C22)*($BS$29:$CA$29=V$21),$BS$30:$CA$38)),0)</f>
        <v>0</v>
      </c>
      <c r="BN57" s="3">
        <f t="array" aca="1" ref="BN57" ca="1">IF(V22=C22,SUM(IF(($BR$30:$BR$38=C22)*($BS$29:$CA$29=V$23),$BS$30:$CA$38)),0)</f>
        <v>0</v>
      </c>
      <c r="BO57" s="3">
        <f t="array" aca="1" ref="BO57" ca="1">IF(V22=C22,SUM(IF(($BR$30:$BR$38=C22)*($BS$29:$CA$29=V$24),$BS$30:$CA$38)),0)</f>
        <v>0</v>
      </c>
      <c r="BP57" s="15">
        <f t="array" aca="1" ref="BP57" ca="1">IF(V22=C22,SUM(IF(($BR$30:$BR$38=C22)*($BS$29:$CA$29=V$25),$BS$30:$CA$38)),0)</f>
        <v>0</v>
      </c>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2:80" s="2" customFormat="1" x14ac:dyDescent="0.2">
      <c r="E58" s="14">
        <f t="array" aca="1" ref="E58" ca="1">IF(O23=C23,SUM(IF(($BR$30:$BR$38=C23)*($BS$29:$CA$29=O$17),$BS$30:$CA$38)),0)</f>
        <v>0</v>
      </c>
      <c r="F58" s="3">
        <f t="array" aca="1" ref="F58" ca="1">IF(O23=C23,SUM(IF(($BR$30:$BR$38=C23)*($BS$29:$CA$29=O$18),$BS$30:$CA$38)),0)</f>
        <v>0</v>
      </c>
      <c r="G58" s="3">
        <f t="array" aca="1" ref="G58" ca="1">IF(O23=C23,SUM(IF(($BR$30:$BR$38=C23)*($BS$29:$CA$29=O$19),$BS$30:$CA$38)),0)</f>
        <v>0</v>
      </c>
      <c r="H58" s="3">
        <f t="array" aca="1" ref="H58" ca="1">IF(O23=C23,SUM(IF(($BR$30:$BR$38=C23)*($BS$29:$CA$29=O$20),$BS$30:$CA$38)),0)</f>
        <v>0</v>
      </c>
      <c r="I58" s="3">
        <f t="array" aca="1" ref="I58" ca="1">IF(O23=C23,SUM(IF(($BR$30:$BR$38=C23)*($BS$29:$CA$29=O$21),$BS$30:$CA$38)),0)</f>
        <v>0</v>
      </c>
      <c r="J58" s="3">
        <f t="array" aca="1" ref="J58" ca="1">IF(O23=C23,SUM(IF(($BR$30:$BR$38=C23)*($BS$29:$CA$29=O$22),$BS$30:$CA$38)),0)</f>
        <v>0</v>
      </c>
      <c r="K58" s="3">
        <f t="array" aca="1" ref="K58" ca="1">IF(O23=C23,SUM(IF(($BR$30:$BR$38=C23)*($BS$29:$CA$29=O$24),$BS$30:$CA$38)),0)</f>
        <v>0</v>
      </c>
      <c r="L58" s="3">
        <f t="array" aca="1" ref="L58" ca="1">IF(O23=C23,SUM(IF(($BR$30:$BR$38=C23)*($BS$29:$CA$29=O$25),$BS$30:$CA$38)),0)</f>
        <v>0</v>
      </c>
      <c r="M58" s="5">
        <f t="array" aca="1" ref="M58" ca="1">IF(P23=C23,SUM(IF(($BR$30:$BR$38=C23)*($BS$29:$CA$29=P$17),$BS$30:$CA$38)),0)</f>
        <v>0</v>
      </c>
      <c r="N58" s="3">
        <f t="array" aca="1" ref="N58" ca="1">IF(P23=C23,SUM(IF(($BR$30:$BR$38=C23)*($BS$29:$CA$29=P$18),$BS$30:$CA$38)),0)</f>
        <v>0</v>
      </c>
      <c r="O58" s="3">
        <f t="array" aca="1" ref="O58" ca="1">IF(P23=C23,SUM(IF(($BR$30:$BR$38=C23)*($BS$29:$CA$29=P$19),$BS$30:$CA$38)),0)</f>
        <v>0</v>
      </c>
      <c r="P58" s="3">
        <f t="array" aca="1" ref="P58" ca="1">IF(P23=C23,SUM(IF(($BR$30:$BR$38=C23)*($BS$29:$CA$29=P$20),$BS$30:$CA$38)),0)</f>
        <v>0</v>
      </c>
      <c r="Q58" s="3">
        <f t="array" aca="1" ref="Q58" ca="1">IF(P23=C23,SUM(IF(($BR$30:$BR$38=C23)*($BS$29:$CA$29=P$21),$BS$30:$CA$38)),0)</f>
        <v>0</v>
      </c>
      <c r="R58" s="3">
        <f t="array" aca="1" ref="R58" ca="1">IF(P23=C23,SUM(IF(($BR$30:$BR$38=C23)*($BS$29:$CA$29=P$22),$BS$30:$CA$38)),0)</f>
        <v>0</v>
      </c>
      <c r="S58" s="3">
        <f t="array" aca="1" ref="S58" ca="1">IF(P23=C23,SUM(IF(($BR$30:$BR$38=C23)*($BS$29:$CA$29=P$24),$BS$30:$CA$38)),0)</f>
        <v>0</v>
      </c>
      <c r="T58" s="3">
        <f t="array" aca="1" ref="T58" ca="1">IF(P23=C23,SUM(IF(($BR$30:$BR$38=C23)*($BS$29:$CA$29=P$25),$BS$30:$CA$38)),0)</f>
        <v>0</v>
      </c>
      <c r="U58" s="5">
        <f t="array" aca="1" ref="U58" ca="1">IF(Q23=C23,SUM(IF(($BR$30:$BR$38=C23)*($BS$29:$CA$29=Q$17),$BS$30:$CA$38)),0)</f>
        <v>0</v>
      </c>
      <c r="V58" s="3">
        <f t="array" aca="1" ref="V58" ca="1">IF(Q23=C23,SUM(IF(($BR$30:$BR$38=C23)*($BS$29:$CA$29=Q$18),$BS$30:$CA$38)),0)</f>
        <v>0</v>
      </c>
      <c r="W58" s="3">
        <f t="array" aca="1" ref="W58" ca="1">IF(Q23=C23,SUM(IF(($BR$30:$BR$38=C23)*($BS$29:$CA$29=Q$19),$BS$30:$CA$38)),0)</f>
        <v>0</v>
      </c>
      <c r="X58" s="3">
        <f t="array" aca="1" ref="X58" ca="1">IF(Q23=C23,SUM(IF(($BR$30:$BR$38=C23)*($BS$29:$CA$29=Q$20),$BS$30:$CA$38)),0)</f>
        <v>0</v>
      </c>
      <c r="Y58" s="3">
        <f t="array" aca="1" ref="Y58" ca="1">IF(Q23=C23,SUM(IF(($BR$30:$BR$38=C23)*($BS$29:$CA$29=Q$21),$BS$30:$CA$38)),0)</f>
        <v>0</v>
      </c>
      <c r="Z58" s="3">
        <f t="array" aca="1" ref="Z58" ca="1">IF(Q23=C23,SUM(IF(($BR$30:$BR$38=C23)*($BS$29:$CA$29=Q$22),$BS$30:$CA$38)),0)</f>
        <v>0</v>
      </c>
      <c r="AA58" s="3">
        <f t="array" aca="1" ref="AA58" ca="1">IF(Q23=C23,SUM(IF(($BR$30:$BR$38=C23)*($BS$29:$CA$29=Q$24),$BS$30:$CA$38)),0)</f>
        <v>0</v>
      </c>
      <c r="AB58" s="3">
        <f t="array" aca="1" ref="AB58" ca="1">IF(Q23=C23,SUM(IF(($BR$30:$BR$38=C23)*($BS$29:$CA$29=Q$25),$BS$30:$CA$38)),0)</f>
        <v>0</v>
      </c>
      <c r="AC58" s="5">
        <f t="array" aca="1" ref="AC58" ca="1">IF(R23=C23,SUM(IF(($BR$30:$BR$38=C23)*($BS$29:$CA$29=R$17),$BS$30:$CA$38)),0)</f>
        <v>0</v>
      </c>
      <c r="AD58" s="3">
        <f t="array" aca="1" ref="AD58" ca="1">IF(R23=C23,SUM(IF(($BR$30:$BR$38=C23)*($BS$29:$CA$29=R$18),$BS$30:$CA$38)),0)</f>
        <v>0</v>
      </c>
      <c r="AE58" s="3">
        <f t="array" aca="1" ref="AE58" ca="1">IF(R23=C23,SUM(IF(($BR$30:$BR$38=C23)*($BS$29:$CA$29=R$19),$BS$30:$CA$38)),0)</f>
        <v>0</v>
      </c>
      <c r="AF58" s="3">
        <f t="array" aca="1" ref="AF58" ca="1">IF(R23=C23,SUM(IF(($BR$30:$BR$38=C23)*($BS$29:$CA$29=R$20),$BS$30:$CA$38)),0)</f>
        <v>0</v>
      </c>
      <c r="AG58" s="3">
        <f t="array" aca="1" ref="AG58" ca="1">IF(R23=C23,SUM(IF(($BR$30:$BR$38=C23)*($BS$29:$CA$29=R$21),$BS$30:$CA$38)),0)</f>
        <v>0</v>
      </c>
      <c r="AH58" s="3">
        <f t="array" aca="1" ref="AH58" ca="1">IF(R23=C23,SUM(IF(($BR$30:$BR$38=C23)*($BS$29:$CA$29=R$22),$BS$30:$CA$38)),0)</f>
        <v>0</v>
      </c>
      <c r="AI58" s="3">
        <f t="array" aca="1" ref="AI58" ca="1">IF(R23=C23,SUM(IF(($BR$30:$BR$38=C23)*($BS$29:$CA$29=R$24),$BS$30:$CA$38)),0)</f>
        <v>0</v>
      </c>
      <c r="AJ58" s="3">
        <f t="array" aca="1" ref="AJ58" ca="1">IF(R23=C23,SUM(IF(($BR$30:$BR$38=C23)*($BS$29:$CA$29=R$25),$BS$30:$CA$38)),0)</f>
        <v>0</v>
      </c>
      <c r="AK58" s="5">
        <f t="array" aca="1" ref="AK58" ca="1">IF(S23=C23,SUM(IF(($BR$30:$BR$38=C23)*($BS$29:$CA$29=S$17),$BS$30:$CA$38)),0)</f>
        <v>0</v>
      </c>
      <c r="AL58" s="3">
        <f t="array" aca="1" ref="AL58" ca="1">IF(S23=C23,SUM(IF(($BR$30:$BR$38=C23)*($BS$29:$CA$29=S$18),$BS$30:$CA$38)),0)</f>
        <v>0</v>
      </c>
      <c r="AM58" s="3">
        <f t="array" aca="1" ref="AM58" ca="1">IF(S23=C23,SUM(IF(($BR$30:$BR$38=C23)*($BS$29:$CA$29=S$19),$BS$30:$CA$38)),0)</f>
        <v>0</v>
      </c>
      <c r="AN58" s="3">
        <f t="array" aca="1" ref="AN58" ca="1">IF(S23=C23,SUM(IF(($BR$30:$BR$38=C23)*($BS$29:$CA$29=S$20),$BS$30:$CA$38)),0)</f>
        <v>0</v>
      </c>
      <c r="AO58" s="3">
        <f t="array" aca="1" ref="AO58" ca="1">IF(S23=C23,SUM(IF(($BR$30:$BR$38=C23)*($BS$29:$CA$29=S$21),$BS$30:$CA$38)),0)</f>
        <v>0</v>
      </c>
      <c r="AP58" s="3">
        <f t="array" aca="1" ref="AP58" ca="1">IF(S23=C23,SUM(IF(($BR$30:$BR$38=C23)*($BS$29:$CA$29=S$22),$BS$30:$CA$38)),0)</f>
        <v>0</v>
      </c>
      <c r="AQ58" s="3">
        <f t="array" aca="1" ref="AQ58" ca="1">IF(S23=C23,SUM(IF(($BR$30:$BR$38=C23)*($BS$29:$CA$29=S$24),$BS$30:$CA$38)),0)</f>
        <v>0</v>
      </c>
      <c r="AR58" s="3">
        <f t="array" aca="1" ref="AR58" ca="1">IF(S23=C23,SUM(IF(($BR$30:$BR$38=C23)*($BS$29:$CA$29=S$25),$BS$30:$CA$38)),0)</f>
        <v>0</v>
      </c>
      <c r="AS58" s="5">
        <f t="array" aca="1" ref="AS58" ca="1">IF(T23=C23,SUM(IF(($BR$30:$BR$38=C23)*($BS$29:$CA$29=T$17),$BS$30:$CA$38)),0)</f>
        <v>0</v>
      </c>
      <c r="AT58" s="3">
        <f t="array" aca="1" ref="AT58" ca="1">IF(T23=C23,SUM(IF(($BR$30:$BR$38=C23)*($BS$29:$CA$29=T$18),$BS$30:$CA$38)),0)</f>
        <v>0</v>
      </c>
      <c r="AU58" s="3">
        <f t="array" aca="1" ref="AU58" ca="1">IF(T23=C23,SUM(IF(($BR$30:$BR$38=C23)*($BS$29:$CA$29=T$19),$BS$30:$CA$38)),0)</f>
        <v>0</v>
      </c>
      <c r="AV58" s="3">
        <f t="array" aca="1" ref="AV58" ca="1">IF(T23=C23,SUM(IF(($BR$30:$BR$38=C23)*($BS$29:$CA$29=T$20),$BS$30:$CA$38)),0)</f>
        <v>0</v>
      </c>
      <c r="AW58" s="3">
        <f t="array" aca="1" ref="AW58" ca="1">IF(T23=C23,SUM(IF(($BR$30:$BR$38=C23)*($BS$29:$CA$29=T$21),$BS$30:$CA$38)),0)</f>
        <v>0</v>
      </c>
      <c r="AX58" s="3">
        <f t="array" aca="1" ref="AX58" ca="1">IF(T23=C23,SUM(IF(($BR$30:$BR$38=C23)*($BS$29:$CA$29=T$22),$BS$30:$CA$38)),0)</f>
        <v>0</v>
      </c>
      <c r="AY58" s="3">
        <f t="array" aca="1" ref="AY58" ca="1">IF(T23=C23,SUM(IF(($BR$30:$BR$38=C23)*($BS$29:$CA$29=T$24),$BS$30:$CA$38)),0)</f>
        <v>0</v>
      </c>
      <c r="AZ58" s="3">
        <f t="array" aca="1" ref="AZ58" ca="1">IF(T23=C23,SUM(IF(($BR$30:$BR$38=C23)*($BS$29:$CA$29=T$25),$BS$30:$CA$38)),0)</f>
        <v>0</v>
      </c>
      <c r="BA58" s="5">
        <f t="array" aca="1" ref="BA58" ca="1">IF(U23=C23,SUM(IF(($BR$30:$BR$38=C23)*($BS$29:$CA$29=U$17),$BS$30:$CA$38)),0)</f>
        <v>0</v>
      </c>
      <c r="BB58" s="3">
        <f t="array" aca="1" ref="BB58" ca="1">IF(U23=C23,SUM(IF(($BR$30:$BR$38=C23)*($BS$29:$CA$29=U$18),$BS$30:$CA$38)),0)</f>
        <v>0</v>
      </c>
      <c r="BC58" s="3">
        <f t="array" aca="1" ref="BC58" ca="1">IF(U23=C23,SUM(IF(($BR$30:$BR$38=C23)*($BS$29:$CA$29=U$19),$BS$30:$CA$38)),0)</f>
        <v>0</v>
      </c>
      <c r="BD58" s="3">
        <f t="array" aca="1" ref="BD58" ca="1">IF(U23=C23,SUM(IF(($BR$30:$BR$38=C23)*($BS$29:$CA$29=U$20),$BS$30:$CA$38)),0)</f>
        <v>0</v>
      </c>
      <c r="BE58" s="3">
        <f t="array" aca="1" ref="BE58" ca="1">IF(U23=C23,SUM(IF(($BR$30:$BR$38=C23)*($BS$29:$CA$29=U$21),$BS$30:$CA$38)),0)</f>
        <v>0</v>
      </c>
      <c r="BF58" s="3">
        <f t="array" aca="1" ref="BF58" ca="1">IF(U23=C23,SUM(IF(($BR$30:$BR$38=C23)*($BS$29:$CA$29=U$22),$BS$30:$CA$38)),0)</f>
        <v>0</v>
      </c>
      <c r="BG58" s="3">
        <f t="array" aca="1" ref="BG58" ca="1">IF(U23=C23,SUM(IF(($BR$30:$BR$38=C23)*($BS$29:$CA$29=U$24),$BS$30:$CA$38)),0)</f>
        <v>0</v>
      </c>
      <c r="BH58" s="3">
        <f t="array" aca="1" ref="BH58" ca="1">IF(U23=C23,SUM(IF(($BR$30:$BR$38=C23)*($BS$29:$CA$29=U$25),$BS$30:$CA$38)),0)</f>
        <v>0</v>
      </c>
      <c r="BI58" s="5">
        <f t="array" aca="1" ref="BI58" ca="1">IF(V23=C23,SUM(IF(($BR$30:$BR$38=C23)*($BS$29:$CA$29=V$17),$BS$30:$CA$38)),0)</f>
        <v>0</v>
      </c>
      <c r="BJ58" s="3">
        <f t="array" aca="1" ref="BJ58" ca="1">IF(V23=C23,SUM(IF(($BR$30:$BR$38=C23)*($BS$29:$CA$29=V$18),$BS$30:$CA$38)),0)</f>
        <v>0</v>
      </c>
      <c r="BK58" s="3">
        <f t="array" aca="1" ref="BK58" ca="1">IF(V23=C23,SUM(IF(($BR$30:$BR$38=C23)*($BS$29:$CA$29=V$19),$BS$30:$CA$38)),0)</f>
        <v>0</v>
      </c>
      <c r="BL58" s="3">
        <f t="array" aca="1" ref="BL58" ca="1">IF(V23=C23,SUM(IF(($BR$30:$BR$38=C23)*($BS$29:$CA$29=V$20),$BS$30:$CA$38)),0)</f>
        <v>0</v>
      </c>
      <c r="BM58" s="3">
        <f t="array" aca="1" ref="BM58" ca="1">IF(V23=C23,SUM(IF(($BR$30:$BR$38=C23)*($BS$29:$CA$29=V$21),$BS$30:$CA$38)),0)</f>
        <v>0</v>
      </c>
      <c r="BN58" s="3">
        <f t="array" aca="1" ref="BN58" ca="1">IF(V23=C23,SUM(IF(($BR$30:$BR$38=C23)*($BS$29:$CA$29=V$22),$BS$30:$CA$38)),0)</f>
        <v>0</v>
      </c>
      <c r="BO58" s="3">
        <f t="array" aca="1" ref="BO58" ca="1">IF(V23=C23,SUM(IF(($BR$30:$BR$38=C23)*($BS$29:$CA$29=V$24),$BS$30:$CA$38)),0)</f>
        <v>0</v>
      </c>
      <c r="BP58" s="15">
        <f t="array" aca="1" ref="BP58" ca="1">IF(V23=C23,SUM(IF(($BR$30:$BR$38=C23)*($BS$29:$CA$29=V$25),$BS$30:$CA$38)),0)</f>
        <v>0</v>
      </c>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2:80" s="2" customFormat="1" x14ac:dyDescent="0.2">
      <c r="E59" s="14">
        <f t="array" aca="1" ref="E59" ca="1">IF(O24=C24,SUM(IF(($BR$30:$BR$38=C24)*($BS$29:$CA$29=O$17),$BS$30:$CA$38)),0)</f>
        <v>0</v>
      </c>
      <c r="F59" s="3">
        <f t="array" aca="1" ref="F59" ca="1">IF(O24=C24,SUM(IF(($BR$30:$BR$38=C24)*($BS$29:$CA$29=O$18),$BS$30:$CA$38)),0)</f>
        <v>0</v>
      </c>
      <c r="G59" s="3">
        <f t="array" aca="1" ref="G59" ca="1">IF(O24=C24,SUM(IF(($BR$30:$BR$38=C24)*($BS$29:$CA$29=O$19),$BS$30:$CA$38)),0)</f>
        <v>0</v>
      </c>
      <c r="H59" s="3">
        <f t="array" aca="1" ref="H59" ca="1">IF(O24=C24,SUM(IF(($BR$30:$BR$38=C24)*($BS$29:$CA$29=O$20),$BS$30:$CA$38)),0)</f>
        <v>0</v>
      </c>
      <c r="I59" s="3">
        <f t="array" aca="1" ref="I59" ca="1">IF(O24=C24,SUM(IF(($BR$30:$BR$38=C24)*($BS$29:$CA$29=O$21),$BS$30:$CA$38)),0)</f>
        <v>0</v>
      </c>
      <c r="J59" s="3">
        <f t="array" aca="1" ref="J59" ca="1">IF(O24=C24,SUM(IF(($BR$30:$BR$38=C24)*($BS$29:$CA$29=O$22),$BS$30:$CA$38)),0)</f>
        <v>0</v>
      </c>
      <c r="K59" s="3">
        <f t="array" aca="1" ref="K59" ca="1">IF(O24=C24,SUM(IF(($BR$30:$BR$38=C24)*($BS$29:$CA$29=O$23),$BS$30:$CA$38)),0)</f>
        <v>0</v>
      </c>
      <c r="L59" s="3">
        <f t="array" aca="1" ref="L59" ca="1">IF(O24=C24,SUM(IF(($BR$30:$BR$38=C24)*($BS$29:$CA$29=O$25),$BS$30:$CA$38)),0)</f>
        <v>0</v>
      </c>
      <c r="M59" s="5">
        <f t="array" aca="1" ref="M59" ca="1">IF(P24=C24,SUM(IF(($BR$30:$BR$38=C24)*($BS$29:$CA$29=P$17),$BS$30:$CA$38)),0)</f>
        <v>0</v>
      </c>
      <c r="N59" s="3">
        <f t="array" aca="1" ref="N59" ca="1">IF(P24=C24,SUM(IF(($BR$30:$BR$38=C24)*($BS$29:$CA$29=P$18),$BS$30:$CA$38)),0)</f>
        <v>0</v>
      </c>
      <c r="O59" s="3">
        <f t="array" aca="1" ref="O59" ca="1">IF(P24=C24,SUM(IF(($BR$30:$BR$38=C24)*($BS$29:$CA$29=P$19),$BS$30:$CA$38)),0)</f>
        <v>0</v>
      </c>
      <c r="P59" s="3">
        <f t="array" aca="1" ref="P59" ca="1">IF(P24=C24,SUM(IF(($BR$30:$BR$38=C24)*($BS$29:$CA$29=P$20),$BS$30:$CA$38)),0)</f>
        <v>0</v>
      </c>
      <c r="Q59" s="3">
        <f t="array" aca="1" ref="Q59" ca="1">IF(P24=C24,SUM(IF(($BR$30:$BR$38=C24)*($BS$29:$CA$29=P$21),$BS$30:$CA$38)),0)</f>
        <v>0</v>
      </c>
      <c r="R59" s="3">
        <f t="array" aca="1" ref="R59" ca="1">IF(P24=C24,SUM(IF(($BR$30:$BR$38=C24)*($BS$29:$CA$29=P$22),$BS$30:$CA$38)),0)</f>
        <v>0</v>
      </c>
      <c r="S59" s="3">
        <f t="array" aca="1" ref="S59" ca="1">IF(P24=C24,SUM(IF(($BR$30:$BR$38=C24)*($BS$29:$CA$29=P$23),$BS$30:$CA$38)),0)</f>
        <v>0</v>
      </c>
      <c r="T59" s="3">
        <f t="array" aca="1" ref="T59" ca="1">IF(P24=C24,SUM(IF(($BR$30:$BR$38=C24)*($BS$29:$CA$29=P$25),$BS$30:$CA$38)),0)</f>
        <v>0</v>
      </c>
      <c r="U59" s="5">
        <f t="array" aca="1" ref="U59" ca="1">IF(Q24=C24,SUM(IF(($BR$30:$BR$38=C24)*($BS$29:$CA$29=Q$17),$BS$30:$CA$38)),0)</f>
        <v>0</v>
      </c>
      <c r="V59" s="3">
        <f t="array" aca="1" ref="V59" ca="1">IF(Q24=C24,SUM(IF(($BR$30:$BR$38=C24)*($BS$29:$CA$29=Q$18),$BS$30:$CA$38)),0)</f>
        <v>0</v>
      </c>
      <c r="W59" s="3">
        <f t="array" aca="1" ref="W59" ca="1">IF(Q24=C24,SUM(IF(($BR$30:$BR$38=C24)*($BS$29:$CA$29=Q$19),$BS$30:$CA$38)),0)</f>
        <v>0</v>
      </c>
      <c r="X59" s="3">
        <f t="array" aca="1" ref="X59" ca="1">IF(Q24=C24,SUM(IF(($BR$30:$BR$38=C24)*($BS$29:$CA$29=Q$20),$BS$30:$CA$38)),0)</f>
        <v>0</v>
      </c>
      <c r="Y59" s="3">
        <f t="array" aca="1" ref="Y59" ca="1">IF(Q24=C24,SUM(IF(($BR$30:$BR$38=C24)*($BS$29:$CA$29=Q$21),$BS$30:$CA$38)),0)</f>
        <v>0</v>
      </c>
      <c r="Z59" s="3">
        <f t="array" aca="1" ref="Z59" ca="1">IF(Q24=C24,SUM(IF(($BR$30:$BR$38=C24)*($BS$29:$CA$29=Q$22),$BS$30:$CA$38)),0)</f>
        <v>0</v>
      </c>
      <c r="AA59" s="3">
        <f t="array" aca="1" ref="AA59" ca="1">IF(Q24=C24,SUM(IF(($BR$30:$BR$38=C24)*($BS$29:$CA$29=Q$23),$BS$30:$CA$38)),0)</f>
        <v>0</v>
      </c>
      <c r="AB59" s="3">
        <f t="array" aca="1" ref="AB59" ca="1">IF(Q24=C24,SUM(IF(($BR$30:$BR$38=C24)*($BS$29:$CA$29=Q$25),$BS$30:$CA$38)),0)</f>
        <v>0</v>
      </c>
      <c r="AC59" s="5">
        <f t="array" aca="1" ref="AC59" ca="1">IF(R24=C24,SUM(IF(($BR$30:$BR$38=C24)*($BS$29:$CA$29=R$17),$BS$30:$CA$38)),0)</f>
        <v>0</v>
      </c>
      <c r="AD59" s="3">
        <f t="array" aca="1" ref="AD59" ca="1">IF(R24=C24,SUM(IF(($BR$30:$BR$38=C24)*($BS$29:$CA$29=R$18),$BS$30:$CA$38)),0)</f>
        <v>0</v>
      </c>
      <c r="AE59" s="3">
        <f t="array" aca="1" ref="AE59" ca="1">IF(R24=C24,SUM(IF(($BR$30:$BR$38=C24)*($BS$29:$CA$29=R$19),$BS$30:$CA$38)),0)</f>
        <v>0</v>
      </c>
      <c r="AF59" s="3">
        <f t="array" aca="1" ref="AF59" ca="1">IF(R24=C24,SUM(IF(($BR$30:$BR$38=C24)*($BS$29:$CA$29=R$20),$BS$30:$CA$38)),0)</f>
        <v>0</v>
      </c>
      <c r="AG59" s="3">
        <f t="array" aca="1" ref="AG59" ca="1">IF(R24=C24,SUM(IF(($BR$30:$BR$38=C24)*($BS$29:$CA$29=R$21),$BS$30:$CA$38)),0)</f>
        <v>0</v>
      </c>
      <c r="AH59" s="3">
        <f t="array" aca="1" ref="AH59" ca="1">IF(R24=C24,SUM(IF(($BR$30:$BR$38=C24)*($BS$29:$CA$29=R$22),$BS$30:$CA$38)),0)</f>
        <v>0</v>
      </c>
      <c r="AI59" s="3">
        <f t="array" aca="1" ref="AI59" ca="1">IF(R24=C24,SUM(IF(($BR$30:$BR$38=C24)*($BS$29:$CA$29=R$23),$BS$30:$CA$38)),0)</f>
        <v>0</v>
      </c>
      <c r="AJ59" s="3">
        <f t="array" aca="1" ref="AJ59" ca="1">IF(R24=C24,SUM(IF(($BR$30:$BR$38=C24)*($BS$29:$CA$29=R$25),$BS$30:$CA$38)),0)</f>
        <v>0</v>
      </c>
      <c r="AK59" s="5">
        <f t="array" aca="1" ref="AK59" ca="1">IF(S24=C24,SUM(IF(($BR$30:$BR$38=C24)*($BS$29:$CA$29=S$17),$BS$30:$CA$38)),0)</f>
        <v>0</v>
      </c>
      <c r="AL59" s="3">
        <f t="array" aca="1" ref="AL59" ca="1">IF(S24=C24,SUM(IF(($BR$30:$BR$38=C24)*($BS$29:$CA$29=S$18),$BS$30:$CA$38)),0)</f>
        <v>0</v>
      </c>
      <c r="AM59" s="3">
        <f t="array" aca="1" ref="AM59" ca="1">IF(S24=C24,SUM(IF(($BR$30:$BR$38=C24)*($BS$29:$CA$29=S$19),$BS$30:$CA$38)),0)</f>
        <v>0</v>
      </c>
      <c r="AN59" s="3">
        <f t="array" aca="1" ref="AN59" ca="1">IF(S24=C24,SUM(IF(($BR$30:$BR$38=C24)*($BS$29:$CA$29=S$20),$BS$30:$CA$38)),0)</f>
        <v>0</v>
      </c>
      <c r="AO59" s="3">
        <f t="array" aca="1" ref="AO59" ca="1">IF(S24=C24,SUM(IF(($BR$30:$BR$38=C24)*($BS$29:$CA$29=S$21),$BS$30:$CA$38)),0)</f>
        <v>0</v>
      </c>
      <c r="AP59" s="3">
        <f t="array" aca="1" ref="AP59" ca="1">IF(S24=C24,SUM(IF(($BR$30:$BR$38=C24)*($BS$29:$CA$29=S$22),$BS$30:$CA$38)),0)</f>
        <v>0</v>
      </c>
      <c r="AQ59" s="3">
        <f t="array" aca="1" ref="AQ59" ca="1">IF(S24=C24,SUM(IF(($BR$30:$BR$38=C24)*($BS$29:$CA$29=S$23),$BS$30:$CA$38)),0)</f>
        <v>0</v>
      </c>
      <c r="AR59" s="3">
        <f t="array" aca="1" ref="AR59" ca="1">IF(S24=C24,SUM(IF(($BR$30:$BR$38=C24)*($BS$29:$CA$29=S$25),$BS$30:$CA$38)),0)</f>
        <v>0</v>
      </c>
      <c r="AS59" s="5">
        <f t="array" aca="1" ref="AS59" ca="1">IF(T24=C24,SUM(IF(($BR$30:$BR$38=C24)*($BS$29:$CA$29=T$17),$BS$30:$CA$38)),0)</f>
        <v>0</v>
      </c>
      <c r="AT59" s="3">
        <f t="array" aca="1" ref="AT59" ca="1">IF(T24=C24,SUM(IF(($BR$30:$BR$38=C24)*($BS$29:$CA$29=T$18),$BS$30:$CA$38)),0)</f>
        <v>0</v>
      </c>
      <c r="AU59" s="3">
        <f t="array" aca="1" ref="AU59" ca="1">IF(T24=C24,SUM(IF(($BR$30:$BR$38=C24)*($BS$29:$CA$29=T$19),$BS$30:$CA$38)),0)</f>
        <v>0</v>
      </c>
      <c r="AV59" s="3">
        <f t="array" aca="1" ref="AV59" ca="1">IF(T24=C24,SUM(IF(($BR$30:$BR$38=C24)*($BS$29:$CA$29=T$20),$BS$30:$CA$38)),0)</f>
        <v>0</v>
      </c>
      <c r="AW59" s="3">
        <f t="array" aca="1" ref="AW59" ca="1">IF(T24=C24,SUM(IF(($BR$30:$BR$38=C24)*($BS$29:$CA$29=T$21),$BS$30:$CA$38)),0)</f>
        <v>0</v>
      </c>
      <c r="AX59" s="3">
        <f t="array" aca="1" ref="AX59" ca="1">IF(T24=C24,SUM(IF(($BR$30:$BR$38=C24)*($BS$29:$CA$29=T$22),$BS$30:$CA$38)),0)</f>
        <v>0</v>
      </c>
      <c r="AY59" s="3">
        <f t="array" aca="1" ref="AY59" ca="1">IF(T24=C24,SUM(IF(($BR$30:$BR$38=C24)*($BS$29:$CA$29=T$23),$BS$30:$CA$38)),0)</f>
        <v>0</v>
      </c>
      <c r="AZ59" s="3">
        <f t="array" aca="1" ref="AZ59" ca="1">IF(T24=C24,SUM(IF(($BR$30:$BR$38=C24)*($BS$29:$CA$29=T$25),$BS$30:$CA$38)),0)</f>
        <v>0</v>
      </c>
      <c r="BA59" s="5">
        <f t="array" aca="1" ref="BA59" ca="1">IF(U24=C24,SUM(IF(($BR$30:$BR$38=C24)*($BS$29:$CA$29=U$17),$BS$30:$CA$38)),0)</f>
        <v>0</v>
      </c>
      <c r="BB59" s="3">
        <f t="array" aca="1" ref="BB59" ca="1">IF(U24=C24,SUM(IF(($BR$30:$BR$38=C24)*($BS$29:$CA$29=U$18),$BS$30:$CA$38)),0)</f>
        <v>0</v>
      </c>
      <c r="BC59" s="3">
        <f t="array" aca="1" ref="BC59" ca="1">IF(U24=C24,SUM(IF(($BR$30:$BR$38=C24)*($BS$29:$CA$29=U$19),$BS$30:$CA$38)),0)</f>
        <v>0</v>
      </c>
      <c r="BD59" s="3">
        <f t="array" aca="1" ref="BD59" ca="1">IF(U24=C24,SUM(IF(($BR$30:$BR$38=C24)*($BS$29:$CA$29=U$20),$BS$30:$CA$38)),0)</f>
        <v>0</v>
      </c>
      <c r="BE59" s="3">
        <f t="array" aca="1" ref="BE59" ca="1">IF(U24=C24,SUM(IF(($BR$30:$BR$38=C24)*($BS$29:$CA$29=U$21),$BS$30:$CA$38)),0)</f>
        <v>0</v>
      </c>
      <c r="BF59" s="3">
        <f t="array" aca="1" ref="BF59" ca="1">IF(U24=C24,SUM(IF(($BR$30:$BR$38=C24)*($BS$29:$CA$29=U$22),$BS$30:$CA$38)),0)</f>
        <v>0</v>
      </c>
      <c r="BG59" s="3">
        <f t="array" aca="1" ref="BG59" ca="1">IF(U24=C24,SUM(IF(($BR$30:$BR$38=C24)*($BS$29:$CA$29=U$23),$BS$30:$CA$38)),0)</f>
        <v>0</v>
      </c>
      <c r="BH59" s="3">
        <f t="array" aca="1" ref="BH59" ca="1">IF(U24=C24,SUM(IF(($BR$30:$BR$38=C24)*($BS$29:$CA$29=U$25),$BS$30:$CA$38)),0)</f>
        <v>0</v>
      </c>
      <c r="BI59" s="5">
        <f t="array" aca="1" ref="BI59" ca="1">IF(V24=C24,SUM(IF(($BR$30:$BR$38=C24)*($BS$29:$CA$29=V$17),$BS$30:$CA$38)),0)</f>
        <v>0</v>
      </c>
      <c r="BJ59" s="3">
        <f t="array" aca="1" ref="BJ59" ca="1">IF(V24=C24,SUM(IF(($BR$30:$BR$38=C24)*($BS$29:$CA$29=V$18),$BS$30:$CA$38)),0)</f>
        <v>0</v>
      </c>
      <c r="BK59" s="3">
        <f t="array" aca="1" ref="BK59" ca="1">IF(V24=C24,SUM(IF(($BR$30:$BR$38=C24)*($BS$29:$CA$29=V$19),$BS$30:$CA$38)),0)</f>
        <v>0</v>
      </c>
      <c r="BL59" s="3">
        <f t="array" aca="1" ref="BL59" ca="1">IF(V24=C24,SUM(IF(($BR$30:$BR$38=C24)*($BS$29:$CA$29=V$20),$BS$30:$CA$38)),0)</f>
        <v>0</v>
      </c>
      <c r="BM59" s="3">
        <f t="array" aca="1" ref="BM59" ca="1">IF(V24=C24,SUM(IF(($BR$30:$BR$38=C24)*($BS$29:$CA$29=V$21),$BS$30:$CA$38)),0)</f>
        <v>0</v>
      </c>
      <c r="BN59" s="3">
        <f t="array" aca="1" ref="BN59" ca="1">IF(V24=C24,SUM(IF(($BR$30:$BR$38=C24)*($BS$29:$CA$29=V$22),$BS$30:$CA$38)),0)</f>
        <v>0</v>
      </c>
      <c r="BO59" s="3">
        <f t="array" aca="1" ref="BO59" ca="1">IF(V24=C24,SUM(IF(($BR$30:$BR$38=C24)*($BS$29:$CA$29=V$23),$BS$30:$CA$38)),0)</f>
        <v>0</v>
      </c>
      <c r="BP59" s="15">
        <f t="array" aca="1" ref="BP59" ca="1">IF(V24=C24,SUM(IF(($BR$30:$BR$38=C24)*($BS$29:$CA$29=V$25),$BS$30:$CA$38)),0)</f>
        <v>0</v>
      </c>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2:80" s="2" customFormat="1" ht="12.75" thickBot="1" x14ac:dyDescent="0.25">
      <c r="E60" s="16">
        <f t="array" aca="1" ref="E60" ca="1">IF(O25=C25,SUM(IF(($BR$30:$BR$38=C25)*($BS$29:$CA$29=O$17),$BS$30:$CA$38)),0)</f>
        <v>0</v>
      </c>
      <c r="F60" s="17">
        <f t="array" aca="1" ref="F60" ca="1">IF(O25=C25,SUM(IF(($BR$30:$BR$38=C25)*($BS$29:$CA$29=O$18),$BS$30:$CA$38)),0)</f>
        <v>0</v>
      </c>
      <c r="G60" s="17">
        <f t="array" aca="1" ref="G60" ca="1">IF(O25=C25,SUM(IF(($BR$30:$BR$38=C25)*($BS$29:$CA$29=O$19),$BS$30:$CA$38)),0)</f>
        <v>0</v>
      </c>
      <c r="H60" s="17">
        <f t="array" aca="1" ref="H60" ca="1">IF(O25=C25,SUM(IF(($BR$30:$BR$38=C25)*($BS$29:$CA$29=O$20),$BS$30:$CA$38)),0)</f>
        <v>0</v>
      </c>
      <c r="I60" s="17">
        <f t="array" aca="1" ref="I60" ca="1">IF(O25=C25,SUM(IF(($BR$30:$BR$38=C25)*($BS$29:$CA$29=O$21),$BS$30:$CA$38)),0)</f>
        <v>0</v>
      </c>
      <c r="J60" s="17">
        <f t="array" aca="1" ref="J60" ca="1">IF(O25=C25,SUM(IF(($BR$30:$BR$38=C25)*($BS$29:$CA$29=O$22),$BS$30:$CA$38)),0)</f>
        <v>0</v>
      </c>
      <c r="K60" s="17">
        <f t="array" aca="1" ref="K60" ca="1">IF(O25=C25,SUM(IF(($BR$30:$BR$38=C25)*($BS$29:$CA$29=O$23),$BS$30:$CA$38)),0)</f>
        <v>0</v>
      </c>
      <c r="L60" s="17">
        <f t="array" aca="1" ref="L60" ca="1">IF(O25=C25,SUM(IF(($BR$30:$BR$38=C25)*($BS$29:$CA$29=O$24),$BS$30:$CA$38)),0)</f>
        <v>0</v>
      </c>
      <c r="M60" s="18">
        <f t="array" aca="1" ref="M60" ca="1">IF(P25=C25,SUM(IF(($BR$30:$BR$38=C25)*($BS$29:$CA$29=P$17),$BS$30:$CA$38)),0)</f>
        <v>0</v>
      </c>
      <c r="N60" s="17">
        <f t="array" aca="1" ref="N60" ca="1">IF(P25=C25,SUM(IF(($BR$30:$BR$38=C25)*($BS$29:$CA$29=P$18),$BS$30:$CA$38)),0)</f>
        <v>0</v>
      </c>
      <c r="O60" s="17">
        <f t="array" aca="1" ref="O60" ca="1">IF(P25=C25,SUM(IF(($BR$30:$BR$38=C25)*($BS$29:$CA$29=P$19),$BS$30:$CA$38)),0)</f>
        <v>0</v>
      </c>
      <c r="P60" s="17">
        <f t="array" aca="1" ref="P60" ca="1">IF(P25=C25,SUM(IF(($BR$30:$BR$38=C25)*($BS$29:$CA$29=P$20),$BS$30:$CA$38)),0)</f>
        <v>0</v>
      </c>
      <c r="Q60" s="17">
        <f t="array" aca="1" ref="Q60" ca="1">IF(P25=C25,SUM(IF(($BR$30:$BR$38=C25)*($BS$29:$CA$29=P$21),$BS$30:$CA$38)),0)</f>
        <v>0</v>
      </c>
      <c r="R60" s="17">
        <f t="array" aca="1" ref="R60" ca="1">IF(P25=C25,SUM(IF(($BR$30:$BR$38=C25)*($BS$29:$CA$29=P$22),$BS$30:$CA$38)),0)</f>
        <v>0</v>
      </c>
      <c r="S60" s="17">
        <f t="array" aca="1" ref="S60" ca="1">IF(P25=C25,SUM(IF(($BR$30:$BR$38=C25)*($BS$29:$CA$29=P$23),$BS$30:$CA$38)),0)</f>
        <v>0</v>
      </c>
      <c r="T60" s="17">
        <f t="array" aca="1" ref="T60" ca="1">IF(P25=C25,SUM(IF(($BR$30:$BR$38=C25)*($BS$29:$CA$29=P$24),$BS$30:$CA$38)),0)</f>
        <v>0</v>
      </c>
      <c r="U60" s="18">
        <f t="array" aca="1" ref="U60" ca="1">IF(Q25=C25,SUM(IF(($BR$30:$BR$38=C25)*($BS$29:$CA$29=Q$17),$BS$30:$CA$38)),0)</f>
        <v>0</v>
      </c>
      <c r="V60" s="17">
        <f t="array" aca="1" ref="V60" ca="1">IF(Q25=C25,SUM(IF(($BR$30:$BR$38=C25)*($BS$29:$CA$29=Q$18),$BS$30:$CA$38)),0)</f>
        <v>0</v>
      </c>
      <c r="W60" s="17">
        <f t="array" aca="1" ref="W60" ca="1">IF(Q25=C25,SUM(IF(($BR$30:$BR$38=C25)*($BS$29:$CA$29=Q$19),$BS$30:$CA$38)),0)</f>
        <v>0</v>
      </c>
      <c r="X60" s="17">
        <f t="array" aca="1" ref="X60" ca="1">IF(Q25=C25,SUM(IF(($BR$30:$BR$38=C25)*($BS$29:$CA$29=Q$20),$BS$30:$CA$38)),0)</f>
        <v>0</v>
      </c>
      <c r="Y60" s="17">
        <f t="array" aca="1" ref="Y60" ca="1">IF(Q25=C25,SUM(IF(($BR$30:$BR$38=C25)*($BS$29:$CA$29=Q$21),$BS$30:$CA$38)),0)</f>
        <v>0</v>
      </c>
      <c r="Z60" s="17">
        <f t="array" aca="1" ref="Z60" ca="1">IF(Q25=C25,SUM(IF(($BR$30:$BR$38=C25)*($BS$29:$CA$29=Q$22),$BS$30:$CA$38)),0)</f>
        <v>0</v>
      </c>
      <c r="AA60" s="17">
        <f t="array" aca="1" ref="AA60" ca="1">IF(Q25=C25,SUM(IF(($BR$30:$BR$38=C25)*($BS$29:$CA$29=Q$23),$BS$30:$CA$38)),0)</f>
        <v>0</v>
      </c>
      <c r="AB60" s="17">
        <f t="array" aca="1" ref="AB60" ca="1">IF(Q25=C25,SUM(IF(($BR$30:$BR$38=C25)*($BS$29:$CA$29=Q$24),$BS$30:$CA$38)),0)</f>
        <v>0</v>
      </c>
      <c r="AC60" s="18">
        <f t="array" aca="1" ref="AC60" ca="1">IF(R25=C25,SUM(IF(($BR$30:$BR$38=C25)*($BS$29:$CA$29=R$17),$BS$30:$CA$38)),0)</f>
        <v>0</v>
      </c>
      <c r="AD60" s="17">
        <f t="array" aca="1" ref="AD60" ca="1">IF(R25=C25,SUM(IF(($BR$30:$BR$38=C25)*($BS$29:$CA$29=R$18),$BS$30:$CA$38)),0)</f>
        <v>0</v>
      </c>
      <c r="AE60" s="17">
        <f t="array" aca="1" ref="AE60" ca="1">IF(R25=C25,SUM(IF(($BR$30:$BR$38=C25)*($BS$29:$CA$29=R$19),$BS$30:$CA$38)),0)</f>
        <v>0</v>
      </c>
      <c r="AF60" s="17">
        <f t="array" aca="1" ref="AF60" ca="1">IF(R25=C25,SUM(IF(($BR$30:$BR$38=C25)*($BS$29:$CA$29=R$20),$BS$30:$CA$38)),0)</f>
        <v>0</v>
      </c>
      <c r="AG60" s="17">
        <f t="array" aca="1" ref="AG60" ca="1">IF(R25=C25,SUM(IF(($BR$30:$BR$38=C25)*($BS$29:$CA$29=R$21),$BS$30:$CA$38)),0)</f>
        <v>0</v>
      </c>
      <c r="AH60" s="17">
        <f t="array" aca="1" ref="AH60" ca="1">IF(R25=C25,SUM(IF(($BR$30:$BR$38=C25)*($BS$29:$CA$29=R$22),$BS$30:$CA$38)),0)</f>
        <v>0</v>
      </c>
      <c r="AI60" s="17">
        <f t="array" aca="1" ref="AI60" ca="1">IF(R25=C25,SUM(IF(($BR$30:$BR$38=C25)*($BS$29:$CA$29=R$23),$BS$30:$CA$38)),0)</f>
        <v>0</v>
      </c>
      <c r="AJ60" s="17">
        <f t="array" aca="1" ref="AJ60" ca="1">IF(R25=C25,SUM(IF(($BR$30:$BR$38=C25)*($BS$29:$CA$29=R$24),$BS$30:$CA$38)),0)</f>
        <v>0</v>
      </c>
      <c r="AK60" s="18">
        <f t="array" aca="1" ref="AK60" ca="1">IF(S25=C25,SUM(IF(($BR$30:$BR$38=C25)*($BS$29:$CA$29=S$17),$BS$30:$CA$38)),0)</f>
        <v>0</v>
      </c>
      <c r="AL60" s="17">
        <f t="array" aca="1" ref="AL60" ca="1">IF(S25=C25,SUM(IF(($BR$30:$BR$38=C25)*($BS$29:$CA$29=S$18),$BS$30:$CA$38)),0)</f>
        <v>0</v>
      </c>
      <c r="AM60" s="17">
        <f t="array" aca="1" ref="AM60" ca="1">IF(S25=C25,SUM(IF(($BR$30:$BR$38=C25)*($BS$29:$CA$29=S$19),$BS$30:$CA$38)),0)</f>
        <v>0</v>
      </c>
      <c r="AN60" s="17">
        <f t="array" aca="1" ref="AN60" ca="1">IF(S25=C25,SUM(IF(($BR$30:$BR$38=C25)*($BS$29:$CA$29=S$20),$BS$30:$CA$38)),0)</f>
        <v>0</v>
      </c>
      <c r="AO60" s="17">
        <f t="array" aca="1" ref="AO60" ca="1">IF(S25=C25,SUM(IF(($BR$30:$BR$38=C25)*($BS$29:$CA$29=S$21),$BS$30:$CA$38)),0)</f>
        <v>0</v>
      </c>
      <c r="AP60" s="17">
        <f t="array" aca="1" ref="AP60" ca="1">IF(S25=C25,SUM(IF(($BR$30:$BR$38=C25)*($BS$29:$CA$29=S$22),$BS$30:$CA$38)),0)</f>
        <v>0</v>
      </c>
      <c r="AQ60" s="17">
        <f t="array" aca="1" ref="AQ60" ca="1">IF(S25=C25,SUM(IF(($BR$30:$BR$38=C25)*($BS$29:$CA$29=S$23),$BS$30:$CA$38)),0)</f>
        <v>0</v>
      </c>
      <c r="AR60" s="17">
        <f t="array" aca="1" ref="AR60" ca="1">IF(S25=C25,SUM(IF(($BR$30:$BR$38=C25)*($BS$29:$CA$29=S$24),$BS$30:$CA$38)),0)</f>
        <v>0</v>
      </c>
      <c r="AS60" s="18">
        <f t="array" aca="1" ref="AS60" ca="1">IF(T25=C25,SUM(IF(($BR$30:$BR$38=C25)*($BS$29:$CA$29=T$17),$BS$30:$CA$38)),0)</f>
        <v>0</v>
      </c>
      <c r="AT60" s="17">
        <f t="array" aca="1" ref="AT60" ca="1">IF(T25=C25,SUM(IF(($BR$30:$BR$38=C25)*($BS$29:$CA$29=T$18),$BS$30:$CA$38)),0)</f>
        <v>0</v>
      </c>
      <c r="AU60" s="17">
        <f t="array" aca="1" ref="AU60" ca="1">IF(T25=C25,SUM(IF(($BR$30:$BR$38=C25)*($BS$29:$CA$29=T$19),$BS$30:$CA$38)),0)</f>
        <v>0</v>
      </c>
      <c r="AV60" s="17">
        <f t="array" aca="1" ref="AV60" ca="1">IF(T25=C25,SUM(IF(($BR$30:$BR$38=C25)*($BS$29:$CA$29=T$20),$BS$30:$CA$38)),0)</f>
        <v>0</v>
      </c>
      <c r="AW60" s="17">
        <f t="array" aca="1" ref="AW60" ca="1">IF(T25=C25,SUM(IF(($BR$30:$BR$38=C25)*($BS$29:$CA$29=T$21),$BS$30:$CA$38)),0)</f>
        <v>0</v>
      </c>
      <c r="AX60" s="17">
        <f t="array" aca="1" ref="AX60" ca="1">IF(T25=C25,SUM(IF(($BR$30:$BR$38=C25)*($BS$29:$CA$29=T$22),$BS$30:$CA$38)),0)</f>
        <v>0</v>
      </c>
      <c r="AY60" s="17">
        <f t="array" aca="1" ref="AY60" ca="1">IF(T25=C25,SUM(IF(($BR$30:$BR$38=C25)*($BS$29:$CA$29=T$23),$BS$30:$CA$38)),0)</f>
        <v>0</v>
      </c>
      <c r="AZ60" s="17">
        <f t="array" aca="1" ref="AZ60" ca="1">IF(T25=C25,SUM(IF(($BR$30:$BR$38=C25)*($BS$29:$CA$29=T$24),$BS$30:$CA$38)),0)</f>
        <v>0</v>
      </c>
      <c r="BA60" s="18">
        <f t="array" aca="1" ref="BA60" ca="1">IF(U25=C25,SUM(IF(($BR$30:$BR$38=C25)*($BS$29:$CA$29=U$17),$BS$30:$CA$38)),0)</f>
        <v>0</v>
      </c>
      <c r="BB60" s="17">
        <f t="array" aca="1" ref="BB60" ca="1">IF(U25=C25,SUM(IF(($BR$30:$BR$38=C25)*($BS$29:$CA$29=U$18),$BS$30:$CA$38)),0)</f>
        <v>0</v>
      </c>
      <c r="BC60" s="17">
        <f t="array" aca="1" ref="BC60" ca="1">IF(U25=C25,SUM(IF(($BR$30:$BR$38=C25)*($BS$29:$CA$29=U$19),$BS$30:$CA$38)),0)</f>
        <v>0</v>
      </c>
      <c r="BD60" s="17">
        <f t="array" aca="1" ref="BD60" ca="1">IF(U25=C25,SUM(IF(($BR$30:$BR$38=C25)*($BS$29:$CA$29=U$20),$BS$30:$CA$38)),0)</f>
        <v>0</v>
      </c>
      <c r="BE60" s="17">
        <f t="array" aca="1" ref="BE60" ca="1">IF(U25=C25,SUM(IF(($BR$30:$BR$38=C25)*($BS$29:$CA$29=U$21),$BS$30:$CA$38)),0)</f>
        <v>0</v>
      </c>
      <c r="BF60" s="17">
        <f t="array" aca="1" ref="BF60" ca="1">IF(U25=C25,SUM(IF(($BR$30:$BR$38=C25)*($BS$29:$CA$29=U$22),$BS$30:$CA$38)),0)</f>
        <v>0</v>
      </c>
      <c r="BG60" s="17">
        <f t="array" aca="1" ref="BG60" ca="1">IF(U25=C25,SUM(IF(($BR$30:$BR$38=C25)*($BS$29:$CA$29=U$23),$BS$30:$CA$38)),0)</f>
        <v>0</v>
      </c>
      <c r="BH60" s="17">
        <f t="array" aca="1" ref="BH60" ca="1">IF(U25=C25,SUM(IF(($BR$30:$BR$38=C25)*($BS$29:$CA$29=U$24),$BS$30:$CA$38)),0)</f>
        <v>0</v>
      </c>
      <c r="BI60" s="18">
        <f t="array" aca="1" ref="BI60" ca="1">IF(V25=C25,SUM(IF(($BR$30:$BR$38=C25)*($BS$29:$CA$29=V$17),$BS$30:$CA$38)),0)</f>
        <v>0</v>
      </c>
      <c r="BJ60" s="17">
        <f t="array" aca="1" ref="BJ60" ca="1">IF(V25=C25,SUM(IF(($BR$30:$BR$38=C25)*($BS$29:$CA$29=V$18),$BS$30:$CA$38)),0)</f>
        <v>0</v>
      </c>
      <c r="BK60" s="17">
        <f t="array" aca="1" ref="BK60" ca="1">IF(V25=C25,SUM(IF(($BR$30:$BR$38=C25)*($BS$29:$CA$29=V$19),$BS$30:$CA$38)),0)</f>
        <v>0</v>
      </c>
      <c r="BL60" s="17">
        <f t="array" aca="1" ref="BL60" ca="1">IF(V25=C25,SUM(IF(($BR$30:$BR$38=C25)*($BS$29:$CA$29=V$20),$BS$30:$CA$38)),0)</f>
        <v>0</v>
      </c>
      <c r="BM60" s="17">
        <f t="array" aca="1" ref="BM60" ca="1">IF(V25=C25,SUM(IF(($BR$30:$BR$38=C25)*($BS$29:$CA$29=V$21),$BS$30:$CA$38)),0)</f>
        <v>0</v>
      </c>
      <c r="BN60" s="17">
        <f t="array" aca="1" ref="BN60" ca="1">IF(V25=C25,SUM(IF(($BR$30:$BR$38=C25)*($BS$29:$CA$29=V$22),$BS$30:$CA$38)),0)</f>
        <v>0</v>
      </c>
      <c r="BO60" s="17">
        <f t="array" aca="1" ref="BO60" ca="1">IF(V25=C25,SUM(IF(($BR$30:$BR$38=C25)*($BS$29:$CA$29=V$23),$BS$30:$CA$38)),0)</f>
        <v>0</v>
      </c>
      <c r="BP60" s="19">
        <f t="array" aca="1" ref="BP60" ca="1">IF(V25=C25,SUM(IF(($BR$30:$BR$38=C25)*($BS$29:$CA$29=V$24),$BS$30:$CA$38)),0)</f>
        <v>0</v>
      </c>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2:80" s="2" customFormat="1" ht="12.75" thickTop="1" x14ac:dyDescent="0.2">
      <c r="AC61" s="3"/>
      <c r="AD61" s="3"/>
      <c r="AE61" s="3"/>
      <c r="AF61" s="3"/>
      <c r="AG61" s="3"/>
      <c r="AH61" s="3"/>
      <c r="AI61" s="3"/>
      <c r="AJ61" s="3"/>
      <c r="AK61" s="3"/>
      <c r="AL61" s="3"/>
      <c r="AM61" s="3"/>
      <c r="AN61" s="3"/>
      <c r="AO61" s="3"/>
      <c r="AP61" s="3"/>
      <c r="AQ61" s="3"/>
      <c r="AR61" s="3"/>
    </row>
    <row r="62" spans="2:80" s="2" customFormat="1" x14ac:dyDescent="0.2">
      <c r="AC62" s="3"/>
      <c r="AD62" s="3"/>
      <c r="AE62" s="3"/>
      <c r="AF62" s="3"/>
      <c r="AG62" s="3"/>
      <c r="AH62" s="3"/>
      <c r="AI62" s="3"/>
      <c r="AJ62" s="3"/>
      <c r="AK62" s="3"/>
      <c r="AL62" s="3"/>
      <c r="AM62" s="3"/>
      <c r="AN62" s="3"/>
      <c r="AO62" s="3"/>
      <c r="AP62" s="3"/>
      <c r="AQ62" s="3"/>
      <c r="AR62" s="3"/>
    </row>
    <row r="63" spans="2: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2:80" s="2" customFormat="1" ht="14.25" thickTop="1" thickBot="1" x14ac:dyDescent="0.25">
      <c r="F64" s="192">
        <v>1000000</v>
      </c>
      <c r="G64" s="193" t="s">
        <v>110</v>
      </c>
      <c r="P64" s="44" t="s">
        <v>6</v>
      </c>
      <c r="Q64" s="59" t="str">
        <f ca="1">IF(PreliminaryRound!$R$15="","",PreliminaryRound!$R$15)</f>
        <v>Maibach 1822 eV</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IF(PreliminaryRound!$R$25="","",PreliminaryRound!$R$25)</f>
        <v>Mainz 05</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IF(PreliminaryRound!$R$35="","",PreliminaryRound!$R$35)</f>
        <v>Kickers Rodendorf</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2</v>
      </c>
      <c r="D4" s="12">
        <f ca="1">E4+ROW()/1000+(F4="")*10</f>
        <v>2.004</v>
      </c>
      <c r="E4" s="266">
        <f ca="1">IF($AI$15,RANK(AH17,AH$17:AH$25,1),RANK(X17,X$17:X$25,1))</f>
        <v>2</v>
      </c>
      <c r="F4" s="1" t="str">
        <f ca="1">$Q64</f>
        <v>1. FC Riedwald</v>
      </c>
      <c r="G4" s="1">
        <f ca="1">SUMIFS($X$64:$X$135,$V$64:$V$135,$F4)+SUMIFS($Y$64:$Y$135,$W$64:$W$135,$F4)+SUMIFS($AG$64:$AG$135,$V$64:$V$135,$F4)+SUMIFS($AH$64:$AH$135,$W$64:$W$135,$F4)</f>
        <v>163</v>
      </c>
      <c r="H4" s="1">
        <f ca="1">SUMIFS($Y$64:$Y$135,$V$64:$V$135,$F4)+SUMIFS($X$64:$X$135,$W$64:$W$135,$F4)+SUMIFS($AH$64:$AH$135,$V$64:$V$135,$F4)+SUMIFS($AG$64:$AG$135,$W$64:$W$135,$F4)</f>
        <v>190</v>
      </c>
      <c r="I4" s="12">
        <f ca="1">IF(Settings!$G$7,G4-H4,IF(H4=0,IF(G4=0,0,Settings!$F$7),G4/H4))</f>
        <v>-27</v>
      </c>
      <c r="J4" s="1">
        <f ca="1">SUMPRODUCT(($V$64:$V$135=F4)*$AE$64:$AE$135*$AA$64:$AA$135)+SUMPRODUCT(($W$64:$W$135=F4)*$AF$64:$AF$135*$AA$64:$AA$135)</f>
        <v>3</v>
      </c>
      <c r="K4" s="1">
        <f ca="1">SUMPRODUCT(($V$64:$V$135=F4)*$AA$64:$AA$135)+SUMPRODUCT(($W$64:$W$135=F4)*$AA$64:$AA$135)</f>
        <v>4</v>
      </c>
      <c r="L4" s="1">
        <f ca="1">K4-M4-N4</f>
        <v>0</v>
      </c>
      <c r="M4" s="1">
        <f ca="1">SUMPRODUCT(($V$64:$W$135=F4)*($AE$64:$AE$135=$AF$64:$AF$135)*$AA$64:$AA$135)</f>
        <v>3</v>
      </c>
      <c r="N4" s="1">
        <f ca="1">SUMPRODUCT(($V$64:$V$135=F4)*($AE$64:$AE$135&lt;$AF$64:$AF$135)*$AA$64:$AA$135)+SUMPRODUCT(($W$64:$W$135=F4)*($AE$64:$AE$135&gt;$AF$64:$AF$135)*$AA$64:$AA$135)</f>
        <v>1</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-27</v>
      </c>
    </row>
    <row r="5" spans="1:44" s="2" customFormat="1" x14ac:dyDescent="0.2">
      <c r="A5" s="254"/>
      <c r="B5" s="1">
        <v>2</v>
      </c>
      <c r="C5" s="21">
        <f t="shared" ref="C5:C12" ca="1" si="0">RANK(D5,$D$4:$D$12,1)</f>
        <v>3</v>
      </c>
      <c r="D5" s="12">
        <f t="shared" ref="D5:D12" ca="1" si="1">E5+ROW()/1000+(F5="")*10</f>
        <v>3.0049999999999999</v>
      </c>
      <c r="E5" s="266">
        <f t="shared" ref="E5:E12" ca="1" si="2">IF($AI$15,RANK(AH18,AH$17:AH$25,1),RANK(X18,X$17:X$25,1))</f>
        <v>3</v>
      </c>
      <c r="F5" s="1" t="str">
        <f t="shared" ref="F5:F12" ca="1" si="3">$Q65</f>
        <v>Manchester City</v>
      </c>
      <c r="G5" s="1">
        <f t="shared" ref="G5:G12" ca="1" si="4">SUMIFS($X$64:$X$135,$V$64:$V$135,$F5)+SUMIFS($Y$64:$Y$135,$W$64:$W$135,$F5)+SUMIFS($AG$64:$AG$135,$V$64:$V$135,$F5)+SUMIFS($AH$64:$AH$135,$W$64:$W$135,$F5)</f>
        <v>160</v>
      </c>
      <c r="H5" s="1">
        <f t="shared" ref="H5:H12" ca="1" si="5">SUMIFS($Y$64:$Y$135,$V$64:$V$135,$F5)+SUMIFS($X$64:$X$135,$W$64:$W$135,$F5)+SUMIFS($AH$64:$AH$135,$V$64:$V$135,$F5)+SUMIFS($AG$64:$AG$135,$W$64:$W$135,$F5)</f>
        <v>185</v>
      </c>
      <c r="I5" s="12">
        <f ca="1">IF(Settings!$G$7,G5-H5,IF(H5=0,IF(G5=0,0,Settings!$F$7),G5/H5))</f>
        <v>-25</v>
      </c>
      <c r="J5" s="1">
        <f t="shared" ref="J5:J12" ca="1" si="6">SUMPRODUCT(($V$64:$V$135=F5)*$AE$64:$AE$135*$AA$64:$AA$135)+SUMPRODUCT(($W$64:$W$135=F5)*$AF$64:$AF$135*$AA$64:$AA$135)</f>
        <v>2</v>
      </c>
      <c r="K5" s="1">
        <f t="shared" ref="K5:K12" ca="1" si="7">SUMPRODUCT(($V$64:$V$135=F5)*$AA$64:$AA$135)+SUMPRODUCT(($W$64:$W$135=F5)*$AA$64:$AA$135)</f>
        <v>4</v>
      </c>
      <c r="L5" s="1">
        <f t="shared" ref="L5:L12" ca="1" si="8">K5-M5-N5</f>
        <v>0</v>
      </c>
      <c r="M5" s="1">
        <f t="shared" ref="M5:M12" ca="1" si="9">SUMPRODUCT(($V$64:$W$135=F5)*($AE$64:$AE$135=$AF$64:$AF$135)*$AA$64:$AA$135)</f>
        <v>2</v>
      </c>
      <c r="N5" s="1">
        <f t="shared" ref="N5:N12" ca="1" si="10">SUMPRODUCT(($V$64:$V$135=F5)*($AE$64:$AE$135&lt;$AF$64:$AF$135)*$AA$64:$AA$135)+SUMPRODUCT(($W$64:$W$135=F5)*($AE$64:$AE$135&gt;$AF$64:$AF$135)*$AA$64:$AA$135)</f>
        <v>2</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-25</v>
      </c>
    </row>
    <row r="6" spans="1:44" s="2" customFormat="1" x14ac:dyDescent="0.2">
      <c r="A6" s="254"/>
      <c r="B6" s="1">
        <v>3</v>
      </c>
      <c r="C6" s="21">
        <f t="shared" ca="1" si="0"/>
        <v>1</v>
      </c>
      <c r="D6" s="12">
        <f t="shared" ca="1" si="1"/>
        <v>1.006</v>
      </c>
      <c r="E6" s="266">
        <f t="shared" ca="1" si="2"/>
        <v>1</v>
      </c>
      <c r="F6" s="1" t="str">
        <f t="shared" ca="1" si="3"/>
        <v>FSV Rauen</v>
      </c>
      <c r="G6" s="1">
        <f t="shared" ca="1" si="4"/>
        <v>159</v>
      </c>
      <c r="H6" s="1">
        <f t="shared" ca="1" si="5"/>
        <v>181</v>
      </c>
      <c r="I6" s="12">
        <f ca="1">IF(Settings!$G$7,G6-H6,IF(H6=0,IF(G6=0,0,Settings!$F$7),G6/H6))</f>
        <v>-22</v>
      </c>
      <c r="J6" s="1">
        <f t="shared" ca="1" si="6"/>
        <v>3</v>
      </c>
      <c r="K6" s="1">
        <f t="shared" ca="1" si="7"/>
        <v>4</v>
      </c>
      <c r="L6" s="1">
        <f t="shared" ca="1" si="8"/>
        <v>0</v>
      </c>
      <c r="M6" s="1">
        <f t="shared" ca="1" si="9"/>
        <v>3</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-22</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111</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t="s">
        <v>107</v>
      </c>
      <c r="AD16" s="261" t="s">
        <v>110</v>
      </c>
      <c r="AE16" s="265" t="s">
        <v>182</v>
      </c>
      <c r="AF16" s="1" t="s">
        <v>182</v>
      </c>
      <c r="AG16" s="1" t="s">
        <v>183</v>
      </c>
      <c r="AH16" s="191" t="s">
        <v>170</v>
      </c>
    </row>
    <row r="17" spans="2:80" s="2" customFormat="1" ht="12.75" thickTop="1" x14ac:dyDescent="0.2">
      <c r="C17" s="2" t="str">
        <f ca="1">$Q64</f>
        <v>1. FC Riedwald</v>
      </c>
      <c r="D17" s="1">
        <f t="shared" ref="D17:G25" ca="1" si="11">K4</f>
        <v>4</v>
      </c>
      <c r="E17" s="1">
        <f t="shared" ca="1" si="11"/>
        <v>0</v>
      </c>
      <c r="F17" s="1">
        <f t="shared" ca="1" si="11"/>
        <v>3</v>
      </c>
      <c r="G17" s="1">
        <f t="shared" ca="1" si="11"/>
        <v>1</v>
      </c>
      <c r="H17" s="1">
        <f t="shared" ref="H17:K25" ca="1" si="12">G4</f>
        <v>163</v>
      </c>
      <c r="I17" s="1">
        <f t="shared" ca="1" si="12"/>
        <v>190</v>
      </c>
      <c r="J17" s="12">
        <f t="shared" ca="1" si="12"/>
        <v>-27</v>
      </c>
      <c r="K17" s="1">
        <f t="shared" ca="1" si="12"/>
        <v>3</v>
      </c>
      <c r="L17" s="29">
        <f t="shared" ref="L17:L25" ca="1" si="13">K17*$F$64+(J17+$H$65)*$F$65+H17*$F$66</f>
        <v>3473163</v>
      </c>
      <c r="M17" s="13">
        <f ca="1">IF($AI$15,COUNTIF($K$17:$K$25,K17),COUNTIF($L$17:$L$25,L17))</f>
        <v>1</v>
      </c>
      <c r="N17" s="13">
        <f t="array" aca="1" ref="N17" ca="1">IF($AI$15,SUM(($K$17:$K$25&gt;=K17)/COUNTIF($K$17:$K$25,$K$17:$K$25)),SUM(($L$17:$L$25&gt;=L17)/COUNTIF($L$17:$L$25,$L$17:$L$25)))</f>
        <v>2</v>
      </c>
      <c r="O17" s="52" t="str">
        <f t="shared" ref="O17:O25" ca="1" si="14">IF(AND(M17&gt;1,N17=1),C17,"")</f>
        <v/>
      </c>
      <c r="P17" s="53" t="str">
        <f t="shared" ref="P17:P25" ca="1" si="15">IF(AND(M17&gt;1,N17=2),C17,"")</f>
        <v/>
      </c>
      <c r="Q17" s="53" t="str">
        <f t="shared" ref="Q17:Q25" ca="1" si="16">IF(AND(M17&gt;1,N17=3),C17,"")</f>
        <v/>
      </c>
      <c r="R17" s="53" t="str">
        <f t="shared" ref="R17:R25" ca="1" si="17">IF(AND(M17&gt;1,N17=4),C17,"")</f>
        <v/>
      </c>
      <c r="S17" s="53" t="str">
        <f t="shared" ref="S17:S25" ca="1" si="18">IF(AND(M17&gt;1,N17=5),C17,"")</f>
        <v/>
      </c>
      <c r="T17" s="53" t="str">
        <f t="shared" ref="T17:T25" ca="1" si="19">IF(AND($M17&gt;1,$N17=6),$C17,"")</f>
        <v/>
      </c>
      <c r="U17" s="53" t="str">
        <f t="shared" ref="U17:U25" ca="1" si="20">IF(AND($M17&gt;1,$N17=7),$C17,"")</f>
        <v/>
      </c>
      <c r="V17" s="54" t="str">
        <f t="shared" ref="V17:V25" ca="1" si="21">IF(AND($M17&gt;1,$N17=8),$C17,"")</f>
        <v/>
      </c>
      <c r="W17" s="62">
        <f ca="1">AA17*$F$64+(AB17+$H$65)*$F$65+AC17*$F$66</f>
        <v>500000</v>
      </c>
      <c r="X17" s="20">
        <f ca="1">RANK($L17,$L$17:$L$25)+RANK($W17,$W$17:$W$25)/100+(9-$Y17)/10000</f>
        <v>2.0108999999999999</v>
      </c>
      <c r="Y17" s="12">
        <v>0</v>
      </c>
      <c r="Z17" s="1">
        <f ca="1">RANK($W17,$W$17:$W$25)+(9-$Y17)/10</f>
        <v>1.9</v>
      </c>
      <c r="AA17" s="1">
        <f ca="1">SUM(E30:BP30)</f>
        <v>0</v>
      </c>
      <c r="AB17" s="1">
        <f ca="1">SUM(E41:BP41)</f>
        <v>0</v>
      </c>
      <c r="AC17" s="1">
        <f ca="1">SUM(E52:BP52)</f>
        <v>0</v>
      </c>
      <c r="AD17" s="260">
        <f ca="1">RANK($K17,$K$17:$K$25)</f>
        <v>1</v>
      </c>
      <c r="AE17" s="29">
        <f t="shared" ref="AE17:AE22" ca="1" si="22">(J17+$H$65)*$F$65+H17*$F$66</f>
        <v>473163</v>
      </c>
      <c r="AF17" s="1">
        <f ca="1">RANK($AE17,$AE$17:$AE$25)</f>
        <v>6</v>
      </c>
      <c r="AG17" s="1">
        <f ca="1">RANK($W17,$W$17:$W$25)</f>
        <v>1</v>
      </c>
      <c r="AH17" s="262">
        <f ca="1">AD17+AG17/100+AF17/10000+(10-Y17)/1000000</f>
        <v>1.01061</v>
      </c>
      <c r="AI17" s="1"/>
    </row>
    <row r="18" spans="2:80" s="2" customFormat="1" x14ac:dyDescent="0.2">
      <c r="C18" s="2" t="str">
        <f t="shared" ref="C18:C25" ca="1" si="23">$Q65</f>
        <v>Manchester City</v>
      </c>
      <c r="D18" s="1">
        <f t="shared" ca="1" si="11"/>
        <v>4</v>
      </c>
      <c r="E18" s="1">
        <f t="shared" ca="1" si="11"/>
        <v>0</v>
      </c>
      <c r="F18" s="1">
        <f t="shared" ca="1" si="11"/>
        <v>2</v>
      </c>
      <c r="G18" s="1">
        <f t="shared" ca="1" si="11"/>
        <v>2</v>
      </c>
      <c r="H18" s="1">
        <f t="shared" ca="1" si="12"/>
        <v>160</v>
      </c>
      <c r="I18" s="1">
        <f t="shared" ca="1" si="12"/>
        <v>185</v>
      </c>
      <c r="J18" s="12">
        <f t="shared" ca="1" si="12"/>
        <v>-25</v>
      </c>
      <c r="K18" s="1">
        <f t="shared" ca="1" si="12"/>
        <v>2</v>
      </c>
      <c r="L18" s="29">
        <f t="shared" ca="1" si="13"/>
        <v>2475160</v>
      </c>
      <c r="M18" s="13">
        <f t="shared" ref="M18:M25" ca="1" si="24">IF($AI$15,COUNTIF($K$17:$K$25,K18),COUNTIF($L$17:$L$25,L18))</f>
        <v>1</v>
      </c>
      <c r="N18" s="13">
        <f t="array" aca="1" ref="N18" ca="1">IF($AI$15,SUM(($K$17:$K$25&gt;=K18)/COUNTIF($K$17:$K$25,$K$17:$K$25)),SUM(($L$17:$L$25&gt;=L18)/COUNTIF($L$17:$L$25,$L$17:$L$25)))</f>
        <v>3</v>
      </c>
      <c r="O18" s="5" t="str">
        <f t="shared" ca="1" si="14"/>
        <v/>
      </c>
      <c r="P18" s="3" t="str">
        <f t="shared" ca="1" si="15"/>
        <v/>
      </c>
      <c r="Q18" s="3" t="str">
        <f t="shared" ca="1" si="16"/>
        <v/>
      </c>
      <c r="R18" s="3" t="str">
        <f t="shared" ca="1" si="17"/>
        <v/>
      </c>
      <c r="S18" s="3" t="str">
        <f t="shared" ca="1" si="18"/>
        <v/>
      </c>
      <c r="T18" s="3" t="str">
        <f t="shared" ca="1" si="19"/>
        <v/>
      </c>
      <c r="U18" s="3" t="str">
        <f t="shared" ca="1" si="20"/>
        <v/>
      </c>
      <c r="V18" s="55" t="str">
        <f t="shared" ca="1" si="21"/>
        <v/>
      </c>
      <c r="W18" s="62">
        <f ca="1">AA18*$F$64+(AB18+$H$65)*$F$65+AC18*$F$66</f>
        <v>500000</v>
      </c>
      <c r="X18" s="21">
        <f t="shared" ref="X18:X25" ca="1" si="25">RANK($L18,$L$17:$L$25)+RANK($W18,$W$17:$W$25)/100+(9-$Y18)/10000</f>
        <v>3.0108999999999999</v>
      </c>
      <c r="Y18" s="12">
        <v>0</v>
      </c>
      <c r="Z18" s="1">
        <f t="shared" ref="Z18:Z25" ca="1" si="26">RANK($W18,$W$17:$W$25)+(9-$Y18)/10</f>
        <v>1.9</v>
      </c>
      <c r="AA18" s="1">
        <f t="shared" ref="AA18:AA25" ca="1" si="27">SUM(E31:BP31)</f>
        <v>0</v>
      </c>
      <c r="AB18" s="1">
        <f t="shared" ref="AB18:AB25" ca="1" si="28">SUM(E42:BP42)</f>
        <v>0</v>
      </c>
      <c r="AC18" s="1">
        <f t="shared" ref="AC18:AC25" ca="1" si="29">SUM(E53:BP53)</f>
        <v>0</v>
      </c>
      <c r="AD18" s="260">
        <f t="shared" ref="AD18:AD25" ca="1" si="30">RANK($K18,$K$17:$K$25)</f>
        <v>3</v>
      </c>
      <c r="AE18" s="29">
        <f t="shared" ca="1" si="22"/>
        <v>475160</v>
      </c>
      <c r="AF18" s="1">
        <f t="shared" ref="AF18:AF25" ca="1" si="31">RANK($AE18,$AE$17:$AE$25)</f>
        <v>5</v>
      </c>
      <c r="AG18" s="1">
        <f t="shared" ref="AG18:AG25" ca="1" si="32">RANK($W18,$W$17:$W$25)</f>
        <v>1</v>
      </c>
      <c r="AH18" s="263">
        <f t="shared" ref="AH18:AH25" ca="1" si="33">AD18+AG18/100+AF18/10000+(10-Y18)/1000000</f>
        <v>3.01051</v>
      </c>
      <c r="AI18" s="1"/>
    </row>
    <row r="19" spans="2:80" s="2" customFormat="1" x14ac:dyDescent="0.2">
      <c r="C19" s="2" t="str">
        <f t="shared" ca="1" si="23"/>
        <v>FSV Rauen</v>
      </c>
      <c r="D19" s="1">
        <f t="shared" ca="1" si="11"/>
        <v>4</v>
      </c>
      <c r="E19" s="1">
        <f t="shared" ca="1" si="11"/>
        <v>0</v>
      </c>
      <c r="F19" s="1">
        <f t="shared" ca="1" si="11"/>
        <v>3</v>
      </c>
      <c r="G19" s="1">
        <f t="shared" ca="1" si="11"/>
        <v>1</v>
      </c>
      <c r="H19" s="1">
        <f t="shared" ca="1" si="12"/>
        <v>159</v>
      </c>
      <c r="I19" s="1">
        <f t="shared" ca="1" si="12"/>
        <v>181</v>
      </c>
      <c r="J19" s="12">
        <f t="shared" ca="1" si="12"/>
        <v>-22</v>
      </c>
      <c r="K19" s="1">
        <f t="shared" ca="1" si="12"/>
        <v>3</v>
      </c>
      <c r="L19" s="29">
        <f t="shared" ca="1" si="13"/>
        <v>3478159</v>
      </c>
      <c r="M19" s="13">
        <f t="shared" ca="1" si="24"/>
        <v>1</v>
      </c>
      <c r="N19" s="13">
        <f t="array" aca="1" ref="N19" ca="1">IF($AI$15,SUM(($K$17:$K$25&gt;=K19)/COUNTIF($K$17:$K$25,$K$17:$K$25)),SUM(($L$17:$L$25&gt;=L19)/COUNTIF($L$17:$L$25,$L$17:$L$25)))</f>
        <v>1</v>
      </c>
      <c r="O19" s="5" t="str">
        <f t="shared" ca="1" si="14"/>
        <v/>
      </c>
      <c r="P19" s="3" t="str">
        <f t="shared" ca="1" si="15"/>
        <v/>
      </c>
      <c r="Q19" s="3" t="str">
        <f t="shared" ca="1" si="16"/>
        <v/>
      </c>
      <c r="R19" s="3" t="str">
        <f t="shared" ca="1" si="17"/>
        <v/>
      </c>
      <c r="S19" s="3" t="str">
        <f t="shared" ca="1" si="18"/>
        <v/>
      </c>
      <c r="T19" s="3" t="str">
        <f t="shared" ca="1" si="19"/>
        <v/>
      </c>
      <c r="U19" s="3" t="str">
        <f t="shared" ca="1" si="20"/>
        <v/>
      </c>
      <c r="V19" s="55" t="str">
        <f t="shared" ca="1" si="21"/>
        <v/>
      </c>
      <c r="W19" s="62">
        <f ca="1">AA19*$F$64+(AB19+$H$65)*$F$65+AC19*$F$66</f>
        <v>500000</v>
      </c>
      <c r="X19" s="21">
        <f t="shared" ca="1" si="25"/>
        <v>1.0108999999999999</v>
      </c>
      <c r="Y19" s="12">
        <v>0</v>
      </c>
      <c r="Z19" s="1">
        <f t="shared" ca="1" si="26"/>
        <v>1.9</v>
      </c>
      <c r="AA19" s="1">
        <f t="shared" ca="1" si="27"/>
        <v>0</v>
      </c>
      <c r="AB19" s="1">
        <f t="shared" ca="1" si="28"/>
        <v>0</v>
      </c>
      <c r="AC19" s="1">
        <f t="shared" ca="1" si="29"/>
        <v>0</v>
      </c>
      <c r="AD19" s="260">
        <f t="shared" ca="1" si="30"/>
        <v>1</v>
      </c>
      <c r="AE19" s="29">
        <f t="shared" ca="1" si="22"/>
        <v>478159</v>
      </c>
      <c r="AF19" s="1">
        <f t="shared" ca="1" si="31"/>
        <v>4</v>
      </c>
      <c r="AG19" s="1">
        <f t="shared" ca="1" si="32"/>
        <v>1</v>
      </c>
      <c r="AH19" s="263">
        <f t="shared" ca="1" si="33"/>
        <v>1.01041</v>
      </c>
      <c r="AI19" s="1"/>
    </row>
    <row r="20" spans="2:80" s="2" customFormat="1" x14ac:dyDescent="0.2">
      <c r="C20" s="2" t="str">
        <f t="shared" si="23"/>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13"/>
        <v>500000</v>
      </c>
      <c r="M20" s="13">
        <f t="shared" ca="1" si="24"/>
        <v>6</v>
      </c>
      <c r="N20" s="13">
        <f t="array" aca="1" ref="N20" ca="1">IF($AI$15,SUM(($K$17:$K$25&gt;=K20)/COUNTIF($K$17:$K$25,$K$17:$K$25)),SUM(($L$17:$L$25&gt;=L20)/COUNTIF($L$17:$L$25,$L$17:$L$25)))</f>
        <v>3.9999999999999991</v>
      </c>
      <c r="O20" s="5" t="str">
        <f t="shared" ca="1" si="14"/>
        <v/>
      </c>
      <c r="P20" s="3" t="str">
        <f t="shared" ca="1" si="15"/>
        <v/>
      </c>
      <c r="Q20" s="3" t="str">
        <f t="shared" ca="1" si="16"/>
        <v/>
      </c>
      <c r="R20" s="3" t="str">
        <f t="shared" ca="1" si="17"/>
        <v/>
      </c>
      <c r="S20" s="3" t="str">
        <f t="shared" ca="1" si="18"/>
        <v/>
      </c>
      <c r="T20" s="3" t="str">
        <f t="shared" ca="1" si="19"/>
        <v/>
      </c>
      <c r="U20" s="3" t="str">
        <f t="shared" ca="1" si="20"/>
        <v/>
      </c>
      <c r="V20" s="55" t="str">
        <f t="shared" ca="1" si="21"/>
        <v/>
      </c>
      <c r="W20" s="62">
        <v>0</v>
      </c>
      <c r="X20" s="21">
        <f t="shared" ca="1" si="25"/>
        <v>4.0408999999999997</v>
      </c>
      <c r="Y20" s="12">
        <v>0</v>
      </c>
      <c r="Z20" s="1">
        <f t="shared" ca="1" si="26"/>
        <v>4.9000000000000004</v>
      </c>
      <c r="AA20" s="1">
        <f t="shared" ca="1" si="27"/>
        <v>0</v>
      </c>
      <c r="AB20" s="1">
        <f t="shared" ca="1" si="28"/>
        <v>0</v>
      </c>
      <c r="AC20" s="1">
        <f t="shared" ca="1" si="29"/>
        <v>0</v>
      </c>
      <c r="AD20" s="260">
        <f t="shared" ca="1" si="30"/>
        <v>4</v>
      </c>
      <c r="AE20" s="29">
        <f t="shared" ca="1" si="22"/>
        <v>500000</v>
      </c>
      <c r="AF20" s="1">
        <f t="shared" ca="1" si="31"/>
        <v>1</v>
      </c>
      <c r="AG20" s="1">
        <f t="shared" ca="1" si="32"/>
        <v>4</v>
      </c>
      <c r="AH20" s="263">
        <f t="shared" ca="1" si="33"/>
        <v>4.0401099999999994</v>
      </c>
      <c r="AI20" s="1"/>
    </row>
    <row r="21" spans="2:80" s="2" customFormat="1" x14ac:dyDescent="0.2">
      <c r="C21" s="2" t="str">
        <f t="shared" si="23"/>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13"/>
        <v>500000</v>
      </c>
      <c r="M21" s="13">
        <f t="shared" ca="1" si="24"/>
        <v>6</v>
      </c>
      <c r="N21" s="13">
        <f t="array" aca="1" ref="N21" ca="1">IF($AI$15,SUM(($K$17:$K$25&gt;=K21)/COUNTIF($K$17:$K$25,$K$17:$K$25)),SUM(($L$17:$L$25&gt;=L21)/COUNTIF($L$17:$L$25,$L$17:$L$25)))</f>
        <v>3.9999999999999991</v>
      </c>
      <c r="O21" s="5" t="str">
        <f t="shared" ca="1" si="14"/>
        <v/>
      </c>
      <c r="P21" s="3" t="str">
        <f t="shared" ca="1" si="15"/>
        <v/>
      </c>
      <c r="Q21" s="3" t="str">
        <f t="shared" ca="1" si="16"/>
        <v/>
      </c>
      <c r="R21" s="3" t="str">
        <f t="shared" ca="1" si="17"/>
        <v/>
      </c>
      <c r="S21" s="3" t="str">
        <f t="shared" ca="1" si="18"/>
        <v/>
      </c>
      <c r="T21" s="3" t="str">
        <f t="shared" ca="1" si="19"/>
        <v/>
      </c>
      <c r="U21" s="3" t="str">
        <f t="shared" ca="1" si="20"/>
        <v/>
      </c>
      <c r="V21" s="55" t="str">
        <f t="shared" ca="1" si="21"/>
        <v/>
      </c>
      <c r="W21" s="62">
        <v>0</v>
      </c>
      <c r="X21" s="21">
        <f t="shared" ca="1" si="25"/>
        <v>4.0408999999999997</v>
      </c>
      <c r="Y21" s="12">
        <v>0</v>
      </c>
      <c r="Z21" s="1">
        <f t="shared" ca="1" si="26"/>
        <v>4.9000000000000004</v>
      </c>
      <c r="AA21" s="1">
        <f t="shared" ca="1" si="27"/>
        <v>0</v>
      </c>
      <c r="AB21" s="1">
        <f t="shared" ca="1" si="28"/>
        <v>0</v>
      </c>
      <c r="AC21" s="1">
        <f t="shared" ca="1" si="29"/>
        <v>0</v>
      </c>
      <c r="AD21" s="260">
        <f t="shared" ca="1" si="30"/>
        <v>4</v>
      </c>
      <c r="AE21" s="29">
        <f t="shared" ca="1" si="22"/>
        <v>500000</v>
      </c>
      <c r="AF21" s="1">
        <f t="shared" ca="1" si="31"/>
        <v>1</v>
      </c>
      <c r="AG21" s="1">
        <f t="shared" ca="1" si="32"/>
        <v>4</v>
      </c>
      <c r="AH21" s="263">
        <f t="shared" ca="1" si="33"/>
        <v>4.0401099999999994</v>
      </c>
      <c r="AI21" s="1"/>
    </row>
    <row r="22" spans="2:80" s="2" customFormat="1" x14ac:dyDescent="0.2">
      <c r="C22" s="2" t="str">
        <f t="shared" si="23"/>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13"/>
        <v>500000</v>
      </c>
      <c r="M22" s="13">
        <f t="shared" ca="1" si="24"/>
        <v>6</v>
      </c>
      <c r="N22" s="13">
        <f t="array" aca="1" ref="N22" ca="1">IF($AI$15,SUM(($K$17:$K$25&gt;=K22)/COUNTIF($K$17:$K$25,$K$17:$K$25)),SUM(($L$17:$L$25&gt;=L22)/COUNTIF($L$17:$L$25,$L$17:$L$25)))</f>
        <v>3.9999999999999991</v>
      </c>
      <c r="O22" s="5" t="str">
        <f t="shared" ca="1" si="14"/>
        <v/>
      </c>
      <c r="P22" s="3" t="str">
        <f t="shared" ca="1" si="15"/>
        <v/>
      </c>
      <c r="Q22" s="3" t="str">
        <f t="shared" ca="1" si="16"/>
        <v/>
      </c>
      <c r="R22" s="3" t="str">
        <f t="shared" ca="1" si="17"/>
        <v/>
      </c>
      <c r="S22" s="3" t="str">
        <f t="shared" ca="1" si="18"/>
        <v/>
      </c>
      <c r="T22" s="3" t="str">
        <f t="shared" ca="1" si="19"/>
        <v/>
      </c>
      <c r="U22" s="3" t="str">
        <f t="shared" ca="1" si="20"/>
        <v/>
      </c>
      <c r="V22" s="55" t="str">
        <f t="shared" ca="1" si="21"/>
        <v/>
      </c>
      <c r="W22" s="62">
        <v>0</v>
      </c>
      <c r="X22" s="21">
        <f t="shared" ca="1" si="25"/>
        <v>4.0408999999999997</v>
      </c>
      <c r="Y22" s="12">
        <v>0</v>
      </c>
      <c r="Z22" s="1">
        <f t="shared" ca="1" si="26"/>
        <v>4.9000000000000004</v>
      </c>
      <c r="AA22" s="1">
        <f t="shared" ca="1" si="27"/>
        <v>0</v>
      </c>
      <c r="AB22" s="1">
        <f t="shared" ca="1" si="28"/>
        <v>0</v>
      </c>
      <c r="AC22" s="1">
        <f t="shared" ca="1" si="29"/>
        <v>0</v>
      </c>
      <c r="AD22" s="260">
        <f t="shared" ca="1" si="30"/>
        <v>4</v>
      </c>
      <c r="AE22" s="29">
        <f t="shared" ca="1" si="22"/>
        <v>500000</v>
      </c>
      <c r="AF22" s="1">
        <f t="shared" ca="1" si="31"/>
        <v>1</v>
      </c>
      <c r="AG22" s="1">
        <f t="shared" ca="1" si="32"/>
        <v>4</v>
      </c>
      <c r="AH22" s="263">
        <f t="shared" ca="1" si="33"/>
        <v>4.0401099999999994</v>
      </c>
      <c r="AI22" s="1"/>
    </row>
    <row r="23" spans="2:80" s="2" customFormat="1" x14ac:dyDescent="0.2">
      <c r="C23" s="2" t="str">
        <f t="shared" si="23"/>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13"/>
        <v>500000</v>
      </c>
      <c r="M23" s="13">
        <f t="shared" ca="1" si="24"/>
        <v>6</v>
      </c>
      <c r="N23" s="13">
        <f t="array" aca="1" ref="N23" ca="1">IF($AI$15,SUM(($K$17:$K$25&gt;=K23)/COUNTIF($K$17:$K$25,$K$17:$K$25)),SUM(($L$17:$L$25&gt;=L23)/COUNTIF($L$17:$L$25,$L$17:$L$25)))</f>
        <v>3.9999999999999991</v>
      </c>
      <c r="O23" s="5" t="str">
        <f t="shared" ca="1" si="14"/>
        <v/>
      </c>
      <c r="P23" s="3" t="str">
        <f t="shared" ca="1" si="15"/>
        <v/>
      </c>
      <c r="Q23" s="3" t="str">
        <f t="shared" ca="1" si="16"/>
        <v/>
      </c>
      <c r="R23" s="3" t="str">
        <f t="shared" ca="1" si="17"/>
        <v/>
      </c>
      <c r="S23" s="3" t="str">
        <f t="shared" ca="1" si="18"/>
        <v/>
      </c>
      <c r="T23" s="3" t="str">
        <f t="shared" ca="1" si="19"/>
        <v/>
      </c>
      <c r="U23" s="3" t="str">
        <f t="shared" ca="1" si="20"/>
        <v/>
      </c>
      <c r="V23" s="55" t="str">
        <f t="shared" ca="1" si="21"/>
        <v/>
      </c>
      <c r="W23" s="62">
        <v>0</v>
      </c>
      <c r="X23" s="21">
        <f t="shared" ca="1" si="25"/>
        <v>4.0408999999999997</v>
      </c>
      <c r="Y23" s="12">
        <v>0</v>
      </c>
      <c r="Z23" s="1">
        <f t="shared" ca="1" si="26"/>
        <v>4.9000000000000004</v>
      </c>
      <c r="AA23" s="1">
        <f t="shared" ca="1" si="27"/>
        <v>0</v>
      </c>
      <c r="AB23" s="1">
        <f t="shared" ca="1" si="28"/>
        <v>0</v>
      </c>
      <c r="AC23" s="1">
        <f t="shared" ca="1" si="29"/>
        <v>0</v>
      </c>
      <c r="AD23" s="260">
        <f t="shared" ca="1" si="30"/>
        <v>4</v>
      </c>
      <c r="AE23" s="29">
        <v>0</v>
      </c>
      <c r="AF23" s="1">
        <f t="shared" ca="1" si="31"/>
        <v>7</v>
      </c>
      <c r="AG23" s="1">
        <f t="shared" ca="1" si="32"/>
        <v>4</v>
      </c>
      <c r="AH23" s="263">
        <f t="shared" ca="1" si="33"/>
        <v>4.0407099999999998</v>
      </c>
      <c r="AI23" s="1"/>
    </row>
    <row r="24" spans="2:80" s="2" customFormat="1" x14ac:dyDescent="0.2">
      <c r="C24" s="2" t="str">
        <f t="shared" si="23"/>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13"/>
        <v>500000</v>
      </c>
      <c r="M24" s="13">
        <f t="shared" ca="1" si="24"/>
        <v>6</v>
      </c>
      <c r="N24" s="13">
        <f t="array" aca="1" ref="N24" ca="1">IF($AI$15,SUM(($K$17:$K$25&gt;=K24)/COUNTIF($K$17:$K$25,$K$17:$K$25)),SUM(($L$17:$L$25&gt;=L24)/COUNTIF($L$17:$L$25,$L$17:$L$25)))</f>
        <v>3.9999999999999991</v>
      </c>
      <c r="O24" s="5" t="str">
        <f t="shared" ca="1" si="14"/>
        <v/>
      </c>
      <c r="P24" s="3" t="str">
        <f t="shared" ca="1" si="15"/>
        <v/>
      </c>
      <c r="Q24" s="3" t="str">
        <f t="shared" ca="1" si="16"/>
        <v/>
      </c>
      <c r="R24" s="3" t="str">
        <f t="shared" ca="1" si="17"/>
        <v/>
      </c>
      <c r="S24" s="3" t="str">
        <f t="shared" ca="1" si="18"/>
        <v/>
      </c>
      <c r="T24" s="3" t="str">
        <f t="shared" ca="1" si="19"/>
        <v/>
      </c>
      <c r="U24" s="3" t="str">
        <f t="shared" ca="1" si="20"/>
        <v/>
      </c>
      <c r="V24" s="55" t="str">
        <f t="shared" ca="1" si="21"/>
        <v/>
      </c>
      <c r="W24" s="62">
        <v>0</v>
      </c>
      <c r="X24" s="21">
        <f t="shared" ca="1" si="25"/>
        <v>4.0408999999999997</v>
      </c>
      <c r="Y24" s="12">
        <v>0</v>
      </c>
      <c r="Z24" s="1">
        <f t="shared" ca="1" si="26"/>
        <v>4.9000000000000004</v>
      </c>
      <c r="AA24" s="1">
        <f t="shared" ca="1" si="27"/>
        <v>0</v>
      </c>
      <c r="AB24" s="1">
        <f t="shared" ca="1" si="28"/>
        <v>0</v>
      </c>
      <c r="AC24" s="1">
        <f t="shared" ca="1" si="29"/>
        <v>0</v>
      </c>
      <c r="AD24" s="260">
        <f t="shared" ca="1" si="30"/>
        <v>4</v>
      </c>
      <c r="AE24" s="29">
        <v>0</v>
      </c>
      <c r="AF24" s="1">
        <f t="shared" ca="1" si="31"/>
        <v>7</v>
      </c>
      <c r="AG24" s="1">
        <f t="shared" ca="1" si="32"/>
        <v>4</v>
      </c>
      <c r="AH24" s="263">
        <f t="shared" ca="1" si="33"/>
        <v>4.0407099999999998</v>
      </c>
      <c r="AI24" s="1"/>
    </row>
    <row r="25" spans="2:80" s="2" customFormat="1" ht="12.75" thickBot="1" x14ac:dyDescent="0.25">
      <c r="C25" s="2" t="str">
        <f t="shared" si="23"/>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13"/>
        <v>500000</v>
      </c>
      <c r="M25" s="13">
        <f t="shared" ca="1" si="24"/>
        <v>6</v>
      </c>
      <c r="N25" s="13">
        <f t="array" aca="1" ref="N25" ca="1">IF($AI$15,SUM(($K$17:$K$25&gt;=K25)/COUNTIF($K$17:$K$25,$K$17:$K$25)),SUM(($L$17:$L$25&gt;=L25)/COUNTIF($L$17:$L$25,$L$17:$L$25)))</f>
        <v>3.9999999999999991</v>
      </c>
      <c r="O25" s="56" t="str">
        <f t="shared" ca="1" si="14"/>
        <v/>
      </c>
      <c r="P25" s="57" t="str">
        <f t="shared" ca="1" si="15"/>
        <v/>
      </c>
      <c r="Q25" s="57" t="str">
        <f t="shared" ca="1" si="16"/>
        <v/>
      </c>
      <c r="R25" s="57" t="str">
        <f t="shared" ca="1" si="17"/>
        <v/>
      </c>
      <c r="S25" s="57" t="str">
        <f t="shared" ca="1" si="18"/>
        <v/>
      </c>
      <c r="T25" s="57" t="str">
        <f t="shared" ca="1" si="19"/>
        <v/>
      </c>
      <c r="U25" s="57" t="str">
        <f t="shared" ca="1" si="20"/>
        <v/>
      </c>
      <c r="V25" s="58" t="str">
        <f t="shared" ca="1" si="21"/>
        <v/>
      </c>
      <c r="W25" s="62">
        <v>0</v>
      </c>
      <c r="X25" s="22">
        <f t="shared" ca="1" si="25"/>
        <v>4.0408999999999997</v>
      </c>
      <c r="Y25" s="12">
        <v>0</v>
      </c>
      <c r="Z25" s="1">
        <f t="shared" ca="1" si="26"/>
        <v>4.9000000000000004</v>
      </c>
      <c r="AA25" s="1">
        <f t="shared" ca="1" si="27"/>
        <v>0</v>
      </c>
      <c r="AB25" s="1">
        <f t="shared" ca="1" si="28"/>
        <v>0</v>
      </c>
      <c r="AC25" s="1">
        <f t="shared" ca="1" si="29"/>
        <v>0</v>
      </c>
      <c r="AD25" s="260">
        <f t="shared" ca="1" si="30"/>
        <v>4</v>
      </c>
      <c r="AE25" s="29">
        <v>0</v>
      </c>
      <c r="AF25" s="1">
        <f t="shared" ca="1" si="31"/>
        <v>7</v>
      </c>
      <c r="AG25" s="1">
        <f t="shared" ca="1" si="32"/>
        <v>4</v>
      </c>
      <c r="AH25" s="264">
        <f t="shared" ca="1" si="33"/>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1. FC Riedwald</v>
      </c>
      <c r="BT29" s="2" t="str">
        <f ca="1">$F$5</f>
        <v>Manchester City</v>
      </c>
      <c r="BU29" s="2" t="str">
        <f ca="1">$F$6</f>
        <v>FSV Rauen</v>
      </c>
      <c r="BV29" s="2" t="str">
        <f>$F$7</f>
        <v/>
      </c>
      <c r="BW29" s="2" t="str">
        <f>$F$8</f>
        <v/>
      </c>
      <c r="BX29" s="2" t="str">
        <f>$F$9</f>
        <v/>
      </c>
      <c r="BY29" s="2" t="str">
        <f>$F$10</f>
        <v/>
      </c>
      <c r="BZ29" s="2" t="str">
        <f>$F$11</f>
        <v/>
      </c>
      <c r="CA29" s="2" t="str">
        <f>$F$12</f>
        <v/>
      </c>
      <c r="CB29" s="51"/>
    </row>
    <row r="30" spans="2:80" s="2" customFormat="1" x14ac:dyDescent="0.2">
      <c r="C30" s="2" t="str">
        <f ca="1">$Q64</f>
        <v>1. FC Riedwald</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1. FC Riedwald</v>
      </c>
      <c r="BS30" s="6"/>
      <c r="BT30" s="7">
        <f t="shared" ref="BT30:CA32" ca="1" si="35">SUMIFS($X$64:$X$135,$V$64:$V$135,$BR30,$W$64:$W$135,BT$29)+SUMIFS($Y$64:$Y$135,$W$64:$W$135,$BR30,$V$64:$V$135,BT$29)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Manchester City</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Manchester City</v>
      </c>
      <c r="BS31" s="8">
        <f t="shared" ref="BS31:BU38" ca="1" si="37">SUMIFS($X$64:$X$135,$V$64:$V$135,$BR31,$W$64:$W$135,BS$29)+SUMIFS($Y$64:$Y$135,$W$64:$W$135,$BR31,$V$64:$V$135,BS$29)</f>
        <v>0</v>
      </c>
      <c r="BT31" s="6"/>
      <c r="BU31" s="7">
        <f t="shared" ca="1" si="35"/>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FSV Rauen</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FSV Rauen</v>
      </c>
      <c r="BS32" s="8">
        <f t="shared" ca="1" si="37"/>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ca="1">SUMIFS($X$64:$X$135,$V$64:$V$135,$BR33,$W$64:$W$135,BW$29)+SUMIFS($Y$64:$Y$135,$W$64:$W$135,$BR33,$V$64:$V$135,BW$29)</f>
        <v>0</v>
      </c>
      <c r="BX33" s="7">
        <f ca="1">SUMIFS($X$64:$X$135,$V$64:$V$135,$BR33,$W$64:$W$135,BX$29)+SUMIFS($Y$64:$Y$135,$W$64:$W$135,$BR33,$V$64:$V$135,BX$29)</f>
        <v>0</v>
      </c>
      <c r="BY33" s="7">
        <f ca="1">SUMIFS($X$64:$X$135,$V$64:$V$135,$BR33,$W$64:$W$135,BY$29)+SUMIFS($Y$64:$Y$135,$W$64:$W$135,$BR33,$V$64:$V$135,BY$29)</f>
        <v>0</v>
      </c>
      <c r="BZ33" s="7">
        <f ca="1">SUMIFS($X$64:$X$135,$V$64:$V$135,$BR33,$W$64:$W$135,BZ$29)+SUMIFS($Y$64:$Y$135,$W$64:$W$135,$BR33,$V$64:$V$135,BZ$29)</f>
        <v>0</v>
      </c>
      <c r="CA33" s="7">
        <f ca="1">SUMIFS($X$64:$X$135,$V$64:$V$135,$BR33,$W$64:$W$135,CA$29)+SUMIFS($Y$64:$Y$135,$W$64:$W$135,$BR33,$V$64:$V$135,CA$29)</f>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ca="1">SUMIFS($X$64:$X$135,$V$64:$V$135,$BR34,$W$64:$W$135,BV$29)+SUMIFS($Y$64:$Y$135,$W$64:$W$135,$BR34,$V$64:$V$135,BV$29)</f>
        <v>0</v>
      </c>
      <c r="BW34" s="6"/>
      <c r="BX34" s="7">
        <f ca="1">SUMIFS($X$64:$X$135,$V$64:$V$135,$BR34,$W$64:$W$135,BX$29)+SUMIFS($Y$64:$Y$135,$W$64:$W$135,$BR34,$V$64:$V$135,BX$29)</f>
        <v>0</v>
      </c>
      <c r="BY34" s="7">
        <f ca="1">SUMIFS($X$64:$X$135,$V$64:$V$135,$BR34,$W$64:$W$135,BY$29)+SUMIFS($Y$64:$Y$135,$W$64:$W$135,$BR34,$V$64:$V$135,BY$29)</f>
        <v>0</v>
      </c>
      <c r="BZ34" s="7">
        <f ca="1">SUMIFS($X$64:$X$135,$V$64:$V$135,$BR34,$W$64:$W$135,BZ$29)+SUMIFS($Y$64:$Y$135,$W$64:$W$135,$BR34,$V$64:$V$135,BZ$29)</f>
        <v>0</v>
      </c>
      <c r="CA34" s="7">
        <f ca="1">SUMIFS($X$64:$X$135,$V$64:$V$135,$BR34,$W$64:$W$135,CA$29)+SUMIFS($Y$64:$Y$135,$W$64:$W$135,$BR34,$V$64:$V$135,CA$29)</f>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ca="1">SUMIFS($X$64:$X$135,$V$64:$V$135,$BR35,$W$64:$W$135,BV$29)+SUMIFS($Y$64:$Y$135,$W$64:$W$135,$BR35,$V$64:$V$135,BV$29)</f>
        <v>0</v>
      </c>
      <c r="BW35" s="8">
        <f ca="1">SUMIFS($X$64:$X$135,$V$64:$V$135,$BR35,$W$64:$W$135,BW$29)+SUMIFS($Y$64:$Y$135,$W$64:$W$135,$BR35,$V$64:$V$135,BW$29)</f>
        <v>0</v>
      </c>
      <c r="BX35" s="6"/>
      <c r="BY35" s="7">
        <f ca="1">SUMIFS($X$64:$X$135,$V$64:$V$135,$BR35,$W$64:$W$135,BY$29)+SUMIFS($Y$64:$Y$135,$W$64:$W$135,$BR35,$V$64:$V$135,BY$29)</f>
        <v>0</v>
      </c>
      <c r="BZ35" s="7">
        <f ca="1">SUMIFS($X$64:$X$135,$V$64:$V$135,$BR35,$W$64:$W$135,BZ$29)+SUMIFS($Y$64:$Y$135,$W$64:$W$135,$BR35,$V$64:$V$135,BZ$29)</f>
        <v>0</v>
      </c>
      <c r="CA35" s="7">
        <f ca="1">SUMIFS($X$64:$X$135,$V$64:$V$135,$BR35,$W$64:$W$135,CA$29)+SUMIFS($Y$64:$Y$135,$W$64:$W$135,$BR35,$V$64:$V$135,CA$29)</f>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ca="1">SUMIFS($X$64:$X$135,$V$64:$V$135,$BR36,$W$64:$W$135,BV$29)+SUMIFS($Y$64:$Y$135,$W$64:$W$135,$BR36,$V$64:$V$135,BV$29)</f>
        <v>0</v>
      </c>
      <c r="BW36" s="8">
        <f ca="1">SUMIFS($X$64:$X$135,$V$64:$V$135,$BR36,$W$64:$W$135,BW$29)+SUMIFS($Y$64:$Y$135,$W$64:$W$135,$BR36,$V$64:$V$135,BW$29)</f>
        <v>0</v>
      </c>
      <c r="BX36" s="8">
        <f ca="1">SUMIFS($X$64:$X$135,$V$64:$V$135,$BR36,$W$64:$W$135,BX$29)+SUMIFS($Y$64:$Y$135,$W$64:$W$135,$BR36,$V$64:$V$135,BX$29)</f>
        <v>0</v>
      </c>
      <c r="BY36" s="6"/>
      <c r="BZ36" s="7">
        <f ca="1">SUMIFS($X$64:$X$135,$V$64:$V$135,$BR36,$W$64:$W$135,BZ$29)+SUMIFS($Y$64:$Y$135,$W$64:$W$135,$BR36,$V$64:$V$135,BZ$29)</f>
        <v>0</v>
      </c>
      <c r="CA36" s="7">
        <f ca="1">SUMIFS($X$64:$X$135,$V$64:$V$135,$BR36,$W$64:$W$135,CA$29)+SUMIFS($Y$64:$Y$135,$W$64:$W$135,$BR36,$V$64:$V$135,CA$29)</f>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ca="1">SUMIFS($X$64:$X$135,$V$64:$V$135,$BR37,$W$64:$W$135,BV$29)+SUMIFS($Y$64:$Y$135,$W$64:$W$135,$BR37,$V$64:$V$135,BV$29)</f>
        <v>0</v>
      </c>
      <c r="BW37" s="8">
        <f ca="1">SUMIFS($X$64:$X$135,$V$64:$V$135,$BR37,$W$64:$W$135,BW$29)+SUMIFS($Y$64:$Y$135,$W$64:$W$135,$BR37,$V$64:$V$135,BW$29)</f>
        <v>0</v>
      </c>
      <c r="BX37" s="8">
        <f ca="1">SUMIFS($X$64:$X$135,$V$64:$V$135,$BR37,$W$64:$W$135,BX$29)+SUMIFS($Y$64:$Y$135,$W$64:$W$135,$BR37,$V$64:$V$135,BX$29)</f>
        <v>0</v>
      </c>
      <c r="BY37" s="8">
        <f ca="1">SUMIFS($X$64:$X$135,$V$64:$V$135,$BR37,$W$64:$W$135,BY$29)+SUMIFS($Y$64:$Y$135,$W$64:$W$135,$BR37,$V$64:$V$135,BY$29)</f>
        <v>0</v>
      </c>
      <c r="BZ37" s="6"/>
      <c r="CA37" s="7">
        <f ca="1">SUMIFS($X$64:$X$135,$V$64:$V$135,$BR37,$W$64:$W$135,CA$29)+SUMIFS($Y$64:$Y$135,$W$64:$W$135,$BR37,$V$64:$V$135,CA$29)</f>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ca="1">SUMIFS($X$64:$X$135,$V$64:$V$135,$BR38,$W$64:$W$135,BV$29)+SUMIFS($Y$64:$Y$135,$W$64:$W$135,$BR38,$V$64:$V$135,BV$29)</f>
        <v>0</v>
      </c>
      <c r="BW38" s="8">
        <f ca="1">SUMIFS($X$64:$X$135,$V$64:$V$135,$BR38,$W$64:$W$135,BW$29)+SUMIFS($Y$64:$Y$135,$W$64:$W$135,$BR38,$V$64:$V$135,BW$29)</f>
        <v>0</v>
      </c>
      <c r="BX38" s="8">
        <f ca="1">SUMIFS($X$64:$X$135,$V$64:$V$135,$BR38,$W$64:$W$135,BX$29)+SUMIFS($Y$64:$Y$135,$W$64:$W$135,$BR38,$V$64:$V$135,BX$29)</f>
        <v>0</v>
      </c>
      <c r="BY38" s="8">
        <f ca="1">SUMIFS($X$64:$X$135,$V$64:$V$135,$BR38,$W$64:$W$135,BY$29)+SUMIFS($Y$64:$Y$135,$W$64:$W$135,$BR38,$V$64:$V$135,BY$29)</f>
        <v>0</v>
      </c>
      <c r="BZ38" s="8">
        <f ca="1">SUMIFS($X$64:$X$135,$V$64:$V$135,$BR38,$W$64:$W$135,BZ$29)+SUMIFS($Y$64:$Y$135,$W$64:$W$135,$BR38,$V$64:$V$135,BZ$29)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1. FC Riedwald</v>
      </c>
      <c r="BT40" s="2" t="str">
        <f ca="1">$F$5</f>
        <v>Manchester City</v>
      </c>
      <c r="BU40" s="2" t="str">
        <f ca="1">$F$6</f>
        <v>FSV Rauen</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1. FC Riedwald</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Manchester City</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FSV Rauen</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2: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2: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2: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1. FC Riedwald</v>
      </c>
      <c r="BT51" s="2" t="str">
        <f ca="1">$F$5</f>
        <v>Manchester City</v>
      </c>
      <c r="BU51" s="2" t="str">
        <f ca="1">$F$6</f>
        <v>FSV Rauen</v>
      </c>
      <c r="BV51" s="2" t="str">
        <f>$F$7</f>
        <v/>
      </c>
      <c r="BW51" s="2" t="str">
        <f>$F$8</f>
        <v/>
      </c>
      <c r="BX51" s="2" t="str">
        <f>$F$9</f>
        <v/>
      </c>
      <c r="BY51" s="2" t="str">
        <f>$F$10</f>
        <v/>
      </c>
      <c r="BZ51" s="2" t="str">
        <f>$F$11</f>
        <v/>
      </c>
      <c r="CA51" s="2" t="str">
        <f>$F$12</f>
        <v/>
      </c>
      <c r="CB51" s="3"/>
    </row>
    <row r="52" spans="2:80" s="2" customFormat="1" x14ac:dyDescent="0.2">
      <c r="B52" s="2" t="s">
        <v>101</v>
      </c>
      <c r="E52" s="14">
        <f t="array" aca="1" ref="E52" ca="1">IF(O17=C17,SUM(IF(($BR$30:$BR$38=C17)*($BS$29:$CA$29=O18),$BS$30:$CA$38)),0)</f>
        <v>0</v>
      </c>
      <c r="F52" s="3">
        <f t="array" aca="1" ref="F52" ca="1">IF(O17=C17,SUM(IF(($BR$30:$BR$38=C17)*($BS$29:$CA$29=O19),$BS$30:$CA$38)),0)</f>
        <v>0</v>
      </c>
      <c r="G52" s="3">
        <f t="array" aca="1" ref="G52" ca="1">IF(O17=C17,SUM(IF(($BR$30:$BR$38=C17)*($BS$29:$CA$29=O20),$BS$30:$CA$38)),0)</f>
        <v>0</v>
      </c>
      <c r="H52" s="3">
        <f t="array" aca="1" ref="H52" ca="1">IF(O17=C17,SUM(IF(($BR$30:$BR$38=C17)*($BS$29:$CA$29=O21),$BS$30:$CA$38)),0)</f>
        <v>0</v>
      </c>
      <c r="I52" s="3">
        <f t="array" aca="1" ref="I52" ca="1">IF(O17=C17,SUM(IF(($BR$30:$BR$38=C17)*($BS$29:$CA$29=O22),$BS$30:$CA$38)),0)</f>
        <v>0</v>
      </c>
      <c r="J52" s="3">
        <f t="array" aca="1" ref="J52" ca="1">IF(O17=C17,SUM(IF(($BR$30:$BR$38=C17)*($BS$29:$CA$29=O23),$BS$30:$CA$38)),0)</f>
        <v>0</v>
      </c>
      <c r="K52" s="3">
        <f t="array" aca="1" ref="K52" ca="1">IF(O17=C17,SUM(IF(($BR$30:$BR$38=C17)*($BS$29:$CA$29=O$24),$BS$30:$CA$38)),0)</f>
        <v>0</v>
      </c>
      <c r="L52" s="3">
        <f t="array" aca="1" ref="L52" ca="1">IF(O17=C17,SUM(IF(($BR$30:$BR$38=C17)*($BS$29:$CA$29=O$25),$BS$30:$CA$38)),0)</f>
        <v>0</v>
      </c>
      <c r="M52" s="5">
        <f t="array" aca="1" ref="M52" ca="1">IF(P17=C17,SUM(IF(($BR$30:$BR$38=C17)*($BS$29:$CA$29=P18),$BS$30:$CA$38)),0)</f>
        <v>0</v>
      </c>
      <c r="N52" s="3">
        <f t="array" aca="1" ref="N52" ca="1">IF(P17=C17,SUM(IF(($BR$30:$BR$38=C17)*($BS$29:$CA$29=P19),$BS$30:$CA$38)),0)</f>
        <v>0</v>
      </c>
      <c r="O52" s="3">
        <f t="array" aca="1" ref="O52" ca="1">IF(P17=C17,SUM(IF(($BR$30:$BR$38=C17)*($BS$29:$CA$29=P20),$BS$30:$CA$38)),0)</f>
        <v>0</v>
      </c>
      <c r="P52" s="3">
        <f t="array" aca="1" ref="P52" ca="1">IF(P17=C17,SUM(IF(($BR$30:$BR$38=C17)*($BS$29:$CA$29=P21),$BS$30:$CA$38)),0)</f>
        <v>0</v>
      </c>
      <c r="Q52" s="3">
        <f t="array" aca="1" ref="Q52" ca="1">IF(P17=C17,SUM(IF(($BR$30:$BR$38=C17)*($BS$29:$CA$29=P22),$BS$30:$CA$38)),0)</f>
        <v>0</v>
      </c>
      <c r="R52" s="3">
        <f t="array" aca="1" ref="R52" ca="1">IF(P17=C17,SUM(IF(($BR$30:$BR$38=C17)*($BS$29:$CA$29=P23),$BS$30:$CA$38)),0)</f>
        <v>0</v>
      </c>
      <c r="S52" s="3">
        <f t="array" aca="1" ref="S52" ca="1">IF(P17=C17,SUM(IF(($BR$30:$BR$38=C17)*($BS$29:$CA$29=P$24),$BS$30:$CA$38)),0)</f>
        <v>0</v>
      </c>
      <c r="T52" s="3">
        <f t="array" aca="1" ref="T52" ca="1">IF(P17=C17,SUM(IF(($BR$30:$BR$38=C17)*($BS$29:$CA$29=P$25),$BS$30:$CA$38)),0)</f>
        <v>0</v>
      </c>
      <c r="U52" s="5">
        <f t="array" aca="1" ref="U52" ca="1">IF(Q17=C17,SUM(IF(($BR$30:$BR$38=C17)*($BS$29:$CA$29=Q18),$BS$30:$CA$38)),0)</f>
        <v>0</v>
      </c>
      <c r="V52" s="3">
        <f t="array" aca="1" ref="V52" ca="1">IF(Q17=C17,SUM(IF(($BR$30:$BR$38=C17)*($BS$29:$CA$29=Q19),$BS$30:$CA$38)),0)</f>
        <v>0</v>
      </c>
      <c r="W52" s="3">
        <f t="array" aca="1" ref="W52" ca="1">IF(Q17=C17,SUM(IF(($BR$30:$BR$38=C17)*($BS$29:$CA$29=Q20),$BS$30:$CA$38)),0)</f>
        <v>0</v>
      </c>
      <c r="X52" s="3">
        <f t="array" aca="1" ref="X52" ca="1">IF(Q17=C17,SUM(IF(($BR$30:$BR$38=C17)*($BS$29:$CA$29=Q21),$BS$30:$CA$38)),0)</f>
        <v>0</v>
      </c>
      <c r="Y52" s="3">
        <f t="array" aca="1" ref="Y52" ca="1">IF(Q17=C17,SUM(IF(($BR$30:$BR$38=C17)*($BS$29:$CA$29=Q22),$BS$30:$CA$38)),0)</f>
        <v>0</v>
      </c>
      <c r="Z52" s="3">
        <f t="array" aca="1" ref="Z52" ca="1">IF(Q17=C17,SUM(IF(($BR$30:$BR$38=C17)*($BS$29:$CA$29=Q23),$BS$30:$CA$38)),0)</f>
        <v>0</v>
      </c>
      <c r="AA52" s="3">
        <f t="array" aca="1" ref="AA52" ca="1">IF(Q17=C17,SUM(IF(($BR$30:$BR$38=C17)*($BS$29:$CA$29=Q$24),$BS$30:$CA$38)),0)</f>
        <v>0</v>
      </c>
      <c r="AB52" s="3">
        <f t="array" aca="1" ref="AB52" ca="1">IF(Q17=C17,SUM(IF(($BR$30:$BR$38=C17)*($BS$29:$CA$29=Q$25),$BS$30:$CA$38)),0)</f>
        <v>0</v>
      </c>
      <c r="AC52" s="5">
        <f t="array" aca="1" ref="AC52" ca="1">IF(R17=C17,SUM(IF(($BR$30:$BR$38=C17)*($BS$29:$CA$29=R18),$BS$30:$CA$38)),0)</f>
        <v>0</v>
      </c>
      <c r="AD52" s="3">
        <f t="array" aca="1" ref="AD52" ca="1">IF(R17=C17,SUM(IF(($BR$30:$BR$38=C17)*($BS$29:$CA$29=R19),$BS$30:$CA$38)),0)</f>
        <v>0</v>
      </c>
      <c r="AE52" s="3">
        <f t="array" aca="1" ref="AE52" ca="1">IF(R17=C17,SUM(IF(($BR$30:$BR$38=C17)*($BS$29:$CA$29=R20),$BS$30:$CA$38)),0)</f>
        <v>0</v>
      </c>
      <c r="AF52" s="3">
        <f t="array" aca="1" ref="AF52" ca="1">IF(R17=C17,SUM(IF(($BR$30:$BR$38=C17)*($BS$29:$CA$29=R21),$BS$30:$CA$38)),0)</f>
        <v>0</v>
      </c>
      <c r="AG52" s="3">
        <f t="array" aca="1" ref="AG52" ca="1">IF(R17=C17,SUM(IF(($BR$30:$BR$38=C17)*($BS$29:$CA$29=R22),$BS$30:$CA$38)),0)</f>
        <v>0</v>
      </c>
      <c r="AH52" s="3">
        <f t="array" aca="1" ref="AH52" ca="1">IF(R17=C17,SUM(IF(($BR$30:$BR$38=C17)*($BS$29:$CA$29=R23),$BS$30:$CA$38)),0)</f>
        <v>0</v>
      </c>
      <c r="AI52" s="3">
        <f t="array" aca="1" ref="AI52" ca="1">IF(R17=C17,SUM(IF(($BR$30:$BR$38=C17)*($BS$29:$CA$29=R$24),$BS$30:$CA$38)),0)</f>
        <v>0</v>
      </c>
      <c r="AJ52" s="3">
        <f t="array" aca="1" ref="AJ52" ca="1">IF(R17=C17,SUM(IF(($BR$30:$BR$38=C17)*($BS$29:$CA$29=R$25),$BS$30:$CA$38)),0)</f>
        <v>0</v>
      </c>
      <c r="AK52" s="5">
        <f t="array" aca="1" ref="AK52" ca="1">IF(S17=C17,SUM(IF(($BR$30:$BR$38=C17)*($BS$29:$CA$29=S18),$BS$30:$CA$38)),0)</f>
        <v>0</v>
      </c>
      <c r="AL52" s="3">
        <f t="array" aca="1" ref="AL52" ca="1">IF(S17=C17,SUM(IF(($BR$30:$BR$38=C17)*($BS$29:$CA$29=S19),$BS$30:$CA$38)),0)</f>
        <v>0</v>
      </c>
      <c r="AM52" s="3">
        <f t="array" aca="1" ref="AM52" ca="1">IF(S17=C17,SUM(IF(($BR$30:$BR$38=C17)*($BS$29:$CA$29=S20),$BS$30:$CA$38)),0)</f>
        <v>0</v>
      </c>
      <c r="AN52" s="3">
        <f t="array" aca="1" ref="AN52" ca="1">IF(S17=C17,SUM(IF(($BR$30:$BR$38=C17)*($BS$29:$CA$29=S21),$BS$30:$CA$38)),0)</f>
        <v>0</v>
      </c>
      <c r="AO52" s="3">
        <f t="array" aca="1" ref="AO52" ca="1">IF(S17=C17,SUM(IF(($BR$30:$BR$38=C17)*($BS$29:$CA$29=S22),$BS$30:$CA$38)),0)</f>
        <v>0</v>
      </c>
      <c r="AP52" s="3">
        <f t="array" aca="1" ref="AP52" ca="1">IF(S17=C17,SUM(IF(($BR$30:$BR$38=C17)*($BS$29:$CA$29=S23),$BS$30:$CA$38)),0)</f>
        <v>0</v>
      </c>
      <c r="AQ52" s="3">
        <f t="array" aca="1" ref="AQ52" ca="1">IF(S17=C17,SUM(IF(($BR$30:$BR$38=C17)*($BS$29:$CA$29=S$24),$BS$30:$CA$38)),0)</f>
        <v>0</v>
      </c>
      <c r="AR52" s="3">
        <f t="array" aca="1" ref="AR52" ca="1">IF(S17=C17,SUM(IF(($BR$30:$BR$38=C17)*($BS$29:$CA$29=S$25),$BS$30:$CA$38)),0)</f>
        <v>0</v>
      </c>
      <c r="AS52" s="5">
        <f t="array" aca="1" ref="AS52" ca="1">IF(T17=C17,SUM(IF(($BR$30:$BR$38=C17)*($BS$29:$CA$29=T18),$BS$30:$CA$38)),0)</f>
        <v>0</v>
      </c>
      <c r="AT52" s="3">
        <f t="array" aca="1" ref="AT52" ca="1">IF(T17=C17,SUM(IF(($BR$30:$BR$38=C17)*($BS$29:$CA$29=T19),$BS$30:$CA$38)),0)</f>
        <v>0</v>
      </c>
      <c r="AU52" s="3">
        <f t="array" aca="1" ref="AU52" ca="1">IF(T17=C17,SUM(IF(($BR$30:$BR$38=C17)*($BS$29:$CA$29=T20),$BS$30:$CA$38)),0)</f>
        <v>0</v>
      </c>
      <c r="AV52" s="3">
        <f t="array" aca="1" ref="AV52" ca="1">IF(T17=C17,SUM(IF(($BR$30:$BR$38=C17)*($BS$29:$CA$29=T21),$BS$30:$CA$38)),0)</f>
        <v>0</v>
      </c>
      <c r="AW52" s="3">
        <f t="array" aca="1" ref="AW52" ca="1">IF(T17=C17,SUM(IF(($BR$30:$BR$38=C17)*($BS$29:$CA$29=T22),$BS$30:$CA$38)),0)</f>
        <v>0</v>
      </c>
      <c r="AX52" s="3">
        <f t="array" aca="1" ref="AX52" ca="1">IF(T17=C17,SUM(IF(($BR$30:$BR$38=C17)*($BS$29:$CA$29=T23),$BS$30:$CA$38)),0)</f>
        <v>0</v>
      </c>
      <c r="AY52" s="3">
        <f t="array" aca="1" ref="AY52" ca="1">IF(T17=C17,SUM(IF(($BR$30:$BR$38=C17)*($BS$29:$CA$29=T$24),$BS$30:$CA$38)),0)</f>
        <v>0</v>
      </c>
      <c r="AZ52" s="3">
        <f t="array" aca="1" ref="AZ52" ca="1">IF(T17=C17,SUM(IF(($BR$30:$BR$38=C17)*($BS$29:$CA$29=T$25),$BS$30:$CA$38)),0)</f>
        <v>0</v>
      </c>
      <c r="BA52" s="5">
        <f t="array" aca="1" ref="BA52" ca="1">IF(U17=C17,SUM(IF(($BR$30:$BR$38=C17)*($BS$29:$CA$29=U$18),$BS$30:$CA$38)),0)</f>
        <v>0</v>
      </c>
      <c r="BB52" s="3">
        <f t="array" aca="1" ref="BB52" ca="1">IF(U17=C17,SUM(IF(($BR$30:$BR$38=C17)*($BS$29:$CA$29=U$19),$BS$30:$CA$38)),0)</f>
        <v>0</v>
      </c>
      <c r="BC52" s="3">
        <f t="array" aca="1" ref="BC52" ca="1">IF(U17=C17,SUM(IF(($BR$30:$BR$38=C17)*($BS$29:$CA$29=U$20),$BS$30:$CA$38)),0)</f>
        <v>0</v>
      </c>
      <c r="BD52" s="3">
        <f t="array" aca="1" ref="BD52" ca="1">IF(U17=C17,SUM(IF(($BR$30:$BR$38=C17)*($BS$29:$CA$29=U$21),$BS$30:$CA$38)),0)</f>
        <v>0</v>
      </c>
      <c r="BE52" s="3">
        <f t="array" aca="1" ref="BE52" ca="1">IF(U17=C17,SUM(IF(($BR$30:$BR$38=C17)*($BS$29:$CA$29=U$22),$BS$30:$CA$38)),0)</f>
        <v>0</v>
      </c>
      <c r="BF52" s="3">
        <f t="array" aca="1" ref="BF52" ca="1">IF(U17=C17,SUM(IF(($BR$30:$BR$38=C17)*($BS$29:$CA$29=U$23),$BS$30:$CA$38)),0)</f>
        <v>0</v>
      </c>
      <c r="BG52" s="3">
        <f t="array" aca="1" ref="BG52" ca="1">IF(U17=C17,SUM(IF(($BR$30:$BR$38=C17)*($BS$29:$CA$29=U$24),$BS$30:$CA$38)),0)</f>
        <v>0</v>
      </c>
      <c r="BH52" s="3">
        <f t="array" aca="1" ref="BH52" ca="1">IF(U17=C17,SUM(IF(($BR$30:$BR$38=C17)*($BS$29:$CA$29=U$25),$BS$30:$CA$38)),0)</f>
        <v>0</v>
      </c>
      <c r="BI52" s="5">
        <f t="array" aca="1" ref="BI52" ca="1">IF(V17=C17,SUM(IF(($BR$30:$BR$38=C17)*($BS$29:$CA$29=V$18),$BS$30:$CA$38)),0)</f>
        <v>0</v>
      </c>
      <c r="BJ52" s="3">
        <f t="array" aca="1" ref="BJ52" ca="1">IF(V17=C17,SUM(IF(($BR$30:$BR$38=C17)*($BS$29:$CA$29=V$19),$BS$30:$CA$38)),0)</f>
        <v>0</v>
      </c>
      <c r="BK52" s="3">
        <f t="array" aca="1" ref="BK52" ca="1">IF(V17=C17,SUM(IF(($BR$30:$BR$38=C17)*($BS$29:$CA$29=V$20),$BS$30:$CA$38)),0)</f>
        <v>0</v>
      </c>
      <c r="BL52" s="3">
        <f t="array" aca="1" ref="BL52" ca="1">IF(V17=C17,SUM(IF(($BR$30:$BR$38=C17)*($BS$29:$CA$29=V$21),$BS$30:$CA$38)),0)</f>
        <v>0</v>
      </c>
      <c r="BM52" s="3">
        <f t="array" aca="1" ref="BM52" ca="1">IF(V17=C17,SUM(IF(($BR$30:$BR$38=C17)*($BS$29:$CA$29=V$22),$BS$30:$CA$38)),0)</f>
        <v>0</v>
      </c>
      <c r="BN52" s="3">
        <f t="array" aca="1" ref="BN52" ca="1">IF(V17=C17,SUM(IF(($BR$30:$BR$38=C17)*($BS$29:$CA$29=V$23),$BS$30:$CA$38)),0)</f>
        <v>0</v>
      </c>
      <c r="BO52" s="3">
        <f t="array" aca="1" ref="BO52" ca="1">IF(V17=C17,SUM(IF(($BR$30:$BR$38=C17)*($BS$29:$CA$29=V$24),$BS$30:$CA$38)),0)</f>
        <v>0</v>
      </c>
      <c r="BP52" s="15">
        <f t="array" aca="1" ref="BP52" ca="1">IF(V17=C17,SUM(IF(($BR$30:$BR$38=C17)*($BS$29:$CA$29=V$25),$BS$30:$CA$38)),0)</f>
        <v>0</v>
      </c>
      <c r="BQ52" s="3"/>
      <c r="BR52" s="2" t="str">
        <f t="shared" ref="BR52:BR60" ca="1" si="40">F4</f>
        <v>1. FC Riedwald</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2:80" s="2" customFormat="1" x14ac:dyDescent="0.2">
      <c r="E53" s="14">
        <f t="array" aca="1" ref="E53" ca="1">IF(O18=C18,SUM(IF(($BR$30:$BR$38=C18)*($BS$29:$CA$29=O17),$BS$30:$CA$38)),0)</f>
        <v>0</v>
      </c>
      <c r="F53" s="3">
        <f t="array" aca="1" ref="F53" ca="1">IF(O18=C18,SUM(IF(($BR$30:$BR$38=C18)*($BS$29:$CA$29=O19),$BS$30:$CA$38)),0)</f>
        <v>0</v>
      </c>
      <c r="G53" s="3">
        <f t="array" aca="1" ref="G53" ca="1">IF(O18=C18,SUM(IF(($BR$30:$BR$38=C18)*($BS$29:$CA$29=O20),$BS$30:$CA$38)),0)</f>
        <v>0</v>
      </c>
      <c r="H53" s="3">
        <f t="array" aca="1" ref="H53" ca="1">IF(O18=C18,SUM(IF(($BR$30:$BR$38=C18)*($BS$29:$CA$29=O21),$BS$30:$CA$38)),0)</f>
        <v>0</v>
      </c>
      <c r="I53" s="3">
        <f t="array" aca="1" ref="I53" ca="1">IF(O18=C18,SUM(IF(($BR$30:$BR$38=C18)*($BS$29:$CA$29=O22),$BS$30:$CA$38)),0)</f>
        <v>0</v>
      </c>
      <c r="J53" s="3">
        <f t="array" aca="1" ref="J53" ca="1">IF(O18=C18,SUM(IF(($BR$30:$BR$38=C18)*($BS$29:$CA$29=O23),$BS$30:$CA$38)),0)</f>
        <v>0</v>
      </c>
      <c r="K53" s="3">
        <f t="array" aca="1" ref="K53" ca="1">IF(O18=C18,SUM(IF(($BR$30:$BR$38=C18)*($BS$29:$CA$29=O$24),$BS$30:$CA$38)),0)</f>
        <v>0</v>
      </c>
      <c r="L53" s="3">
        <f t="array" aca="1" ref="L53" ca="1">IF(O18=C18,SUM(IF(($BR$30:$BR$38=C18)*($BS$29:$CA$29=O$25),$BS$30:$CA$38)),0)</f>
        <v>0</v>
      </c>
      <c r="M53" s="5">
        <f t="array" aca="1" ref="M53" ca="1">IF(P18=C18,SUM(IF(($BR$30:$BR$38=C18)*($BS$29:$CA$29=P17),$BS$30:$CA$38)),0)</f>
        <v>0</v>
      </c>
      <c r="N53" s="3">
        <f t="array" aca="1" ref="N53" ca="1">IF(P18=C18,SUM(IF(($BR$30:$BR$38=C18)*($BS$29:$CA$29=P19),$BS$30:$CA$38)),0)</f>
        <v>0</v>
      </c>
      <c r="O53" s="3">
        <f t="array" aca="1" ref="O53" ca="1">IF(P18=C18,SUM(IF(($BR$30:$BR$38=C18)*($BS$29:$CA$29=P20),$BS$30:$CA$38)),0)</f>
        <v>0</v>
      </c>
      <c r="P53" s="3">
        <f t="array" aca="1" ref="P53" ca="1">IF(P18=C18,SUM(IF(($BR$30:$BR$38=C18)*($BS$29:$CA$29=P21),$BS$30:$CA$38)),0)</f>
        <v>0</v>
      </c>
      <c r="Q53" s="3">
        <f t="array" aca="1" ref="Q53" ca="1">IF(P18=C18,SUM(IF(($BR$30:$BR$38=C18)*($BS$29:$CA$29=P22),$BS$30:$CA$38)),0)</f>
        <v>0</v>
      </c>
      <c r="R53" s="3">
        <f t="array" aca="1" ref="R53" ca="1">IF(P18=C18,SUM(IF(($BR$30:$BR$38=C18)*($BS$29:$CA$29=P23),$BS$30:$CA$38)),0)</f>
        <v>0</v>
      </c>
      <c r="S53" s="3">
        <f t="array" aca="1" ref="S53" ca="1">IF(P18=C18,SUM(IF(($BR$30:$BR$38=C18)*($BS$29:$CA$29=P$24),$BS$30:$CA$38)),0)</f>
        <v>0</v>
      </c>
      <c r="T53" s="3">
        <f t="array" aca="1" ref="T53" ca="1">IF(P18=C18,SUM(IF(($BR$30:$BR$38=C18)*($BS$29:$CA$29=P$25),$BS$30:$CA$38)),0)</f>
        <v>0</v>
      </c>
      <c r="U53" s="5">
        <f t="array" aca="1" ref="U53" ca="1">IF(Q18=C18,SUM(IF(($BR$30:$BR$38=C18)*($BS$29:$CA$29=Q17),$BS$30:$CA$38)),0)</f>
        <v>0</v>
      </c>
      <c r="V53" s="3">
        <f t="array" aca="1" ref="V53" ca="1">IF(Q18=C18,SUM(IF(($BR$30:$BR$38=C18)*($BS$29:$CA$29=Q19),$BS$30:$CA$38)),0)</f>
        <v>0</v>
      </c>
      <c r="W53" s="3">
        <f t="array" aca="1" ref="W53" ca="1">IF(Q18=C18,SUM(IF(($BR$30:$BR$38=C18)*($BS$29:$CA$29=Q20),$BS$30:$CA$38)),0)</f>
        <v>0</v>
      </c>
      <c r="X53" s="3">
        <f t="array" aca="1" ref="X53" ca="1">IF(Q18=C18,SUM(IF(($BR$30:$BR$38=C18)*($BS$29:$CA$29=Q21),$BS$30:$CA$38)),0)</f>
        <v>0</v>
      </c>
      <c r="Y53" s="3">
        <f t="array" aca="1" ref="Y53" ca="1">IF(Q18=C18,SUM(IF(($BR$30:$BR$38=C18)*($BS$29:$CA$29=Q22),$BS$30:$CA$38)),0)</f>
        <v>0</v>
      </c>
      <c r="Z53" s="3">
        <f t="array" aca="1" ref="Z53" ca="1">IF(Q18=C18,SUM(IF(($BR$30:$BR$38=C18)*($BS$29:$CA$29=Q23),$BS$30:$CA$38)),0)</f>
        <v>0</v>
      </c>
      <c r="AA53" s="3">
        <f t="array" aca="1" ref="AA53" ca="1">IF(Q18=C18,SUM(IF(($BR$30:$BR$38=C18)*($BS$29:$CA$29=Q$24),$BS$30:$CA$38)),0)</f>
        <v>0</v>
      </c>
      <c r="AB53" s="3">
        <f t="array" aca="1" ref="AB53" ca="1">IF(Q18=C18,SUM(IF(($BR$30:$BR$38=C18)*($BS$29:$CA$29=Q$25),$BS$30:$CA$38)),0)</f>
        <v>0</v>
      </c>
      <c r="AC53" s="5">
        <f t="array" aca="1" ref="AC53" ca="1">IF(R18=C18,SUM(IF(($BR$30:$BR$38=C18)*($BS$29:$CA$29=R17),$BS$30:$CA$38)),0)</f>
        <v>0</v>
      </c>
      <c r="AD53" s="3">
        <f t="array" aca="1" ref="AD53" ca="1">IF(R18=C18,SUM(IF(($BR$30:$BR$38=C18)*($BS$29:$CA$29=R19),$BS$30:$CA$38)),0)</f>
        <v>0</v>
      </c>
      <c r="AE53" s="3">
        <f t="array" aca="1" ref="AE53" ca="1">IF(R18=C18,SUM(IF(($BR$30:$BR$38=C18)*($BS$29:$CA$29=R20),$BS$30:$CA$38)),0)</f>
        <v>0</v>
      </c>
      <c r="AF53" s="3">
        <f t="array" aca="1" ref="AF53" ca="1">IF(R18=C18,SUM(IF(($BR$30:$BR$38=C18)*($BS$29:$CA$29=R21),$BS$30:$CA$38)),0)</f>
        <v>0</v>
      </c>
      <c r="AG53" s="3">
        <f t="array" aca="1" ref="AG53" ca="1">IF(R18=C18,SUM(IF(($BR$30:$BR$38=C18)*($BS$29:$CA$29=R22),$BS$30:$CA$38)),0)</f>
        <v>0</v>
      </c>
      <c r="AH53" s="3">
        <f t="array" aca="1" ref="AH53" ca="1">IF(R18=C18,SUM(IF(($BR$30:$BR$38=C18)*($BS$29:$CA$29=R23),$BS$30:$CA$38)),0)</f>
        <v>0</v>
      </c>
      <c r="AI53" s="3">
        <f t="array" aca="1" ref="AI53" ca="1">IF(R18=C18,SUM(IF(($BR$30:$BR$38=C18)*($BS$29:$CA$29=R$24),$BS$30:$CA$38)),0)</f>
        <v>0</v>
      </c>
      <c r="AJ53" s="3">
        <f t="array" aca="1" ref="AJ53" ca="1">IF(R18=C18,SUM(IF(($BR$30:$BR$38=C18)*($BS$29:$CA$29=R$25),$BS$30:$CA$38)),0)</f>
        <v>0</v>
      </c>
      <c r="AK53" s="5">
        <f t="array" aca="1" ref="AK53" ca="1">IF(S18=C18,SUM(IF(($BR$30:$BR$38=C18)*($BS$29:$CA$29=S17),$BS$30:$CA$38)),0)</f>
        <v>0</v>
      </c>
      <c r="AL53" s="3">
        <f t="array" aca="1" ref="AL53" ca="1">IF(S18=C18,SUM(IF(($BR$30:$BR$38=C18)*($BS$29:$CA$29=S19),$BS$30:$CA$38)),0)</f>
        <v>0</v>
      </c>
      <c r="AM53" s="3">
        <f t="array" aca="1" ref="AM53" ca="1">IF(S18=C18,SUM(IF(($BR$30:$BR$38=C18)*($BS$29:$CA$29=S20),$BS$30:$CA$38)),0)</f>
        <v>0</v>
      </c>
      <c r="AN53" s="3">
        <f t="array" aca="1" ref="AN53" ca="1">IF(S18=C18,SUM(IF(($BR$30:$BR$38=C18)*($BS$29:$CA$29=S21),$BS$30:$CA$38)),0)</f>
        <v>0</v>
      </c>
      <c r="AO53" s="3">
        <f t="array" aca="1" ref="AO53" ca="1">IF(S18=C18,SUM(IF(($BR$30:$BR$38=C18)*($BS$29:$CA$29=S22),$BS$30:$CA$38)),0)</f>
        <v>0</v>
      </c>
      <c r="AP53" s="3">
        <f t="array" aca="1" ref="AP53" ca="1">IF(S18=C18,SUM(IF(($BR$30:$BR$38=C18)*($BS$29:$CA$29=S23),$BS$30:$CA$38)),0)</f>
        <v>0</v>
      </c>
      <c r="AQ53" s="3">
        <f t="array" aca="1" ref="AQ53" ca="1">IF(S18=C18,SUM(IF(($BR$30:$BR$38=C18)*($BS$29:$CA$29=S$24),$BS$30:$CA$38)),0)</f>
        <v>0</v>
      </c>
      <c r="AR53" s="3">
        <f t="array" aca="1" ref="AR53" ca="1">IF(S18=C18,SUM(IF(($BR$30:$BR$38=C18)*($BS$29:$CA$29=S$25),$BS$30:$CA$38)),0)</f>
        <v>0</v>
      </c>
      <c r="AS53" s="5">
        <f t="array" aca="1" ref="AS53" ca="1">IF(T18=C18,SUM(IF(($BR$30:$BR$38=C18)*($BS$29:$CA$29=T17),$BS$30:$CA$38)),0)</f>
        <v>0</v>
      </c>
      <c r="AT53" s="3">
        <f t="array" aca="1" ref="AT53" ca="1">IF(T18=C18,SUM(IF(($BR$30:$BR$38=C18)*($BS$29:$CA$29=T19),$BS$30:$CA$38)),0)</f>
        <v>0</v>
      </c>
      <c r="AU53" s="3">
        <f t="array" aca="1" ref="AU53" ca="1">IF(T18=C18,SUM(IF(($BR$30:$BR$38=C18)*($BS$29:$CA$29=T20),$BS$30:$CA$38)),0)</f>
        <v>0</v>
      </c>
      <c r="AV53" s="3">
        <f t="array" aca="1" ref="AV53" ca="1">IF(T18=C18,SUM(IF(($BR$30:$BR$38=C18)*($BS$29:$CA$29=T21),$BS$30:$CA$38)),0)</f>
        <v>0</v>
      </c>
      <c r="AW53" s="3">
        <f t="array" aca="1" ref="AW53" ca="1">IF(T18=C18,SUM(IF(($BR$30:$BR$38=C18)*($BS$29:$CA$29=T22),$BS$30:$CA$38)),0)</f>
        <v>0</v>
      </c>
      <c r="AX53" s="3">
        <f t="array" aca="1" ref="AX53" ca="1">IF(T18=C18,SUM(IF(($BR$30:$BR$38=C18)*($BS$29:$CA$29=T23),$BS$30:$CA$38)),0)</f>
        <v>0</v>
      </c>
      <c r="AY53" s="3">
        <f t="array" aca="1" ref="AY53" ca="1">IF(T18=C18,SUM(IF(($BR$30:$BR$38=C18)*($BS$29:$CA$29=T$24),$BS$30:$CA$38)),0)</f>
        <v>0</v>
      </c>
      <c r="AZ53" s="3">
        <f t="array" aca="1" ref="AZ53" ca="1">IF(T18=C18,SUM(IF(($BR$30:$BR$38=C18)*($BS$29:$CA$29=T$25),$BS$30:$CA$38)),0)</f>
        <v>0</v>
      </c>
      <c r="BA53" s="5">
        <f t="array" aca="1" ref="BA53" ca="1">IF(U18=C18,SUM(IF(($BR$30:$BR$38=C18)*($BS$29:$CA$29=U$17),$BS$30:$CA$38)),0)</f>
        <v>0</v>
      </c>
      <c r="BB53" s="3">
        <f t="array" aca="1" ref="BB53" ca="1">IF(U18=C18,SUM(IF(($BR$30:$BR$38=C18)*($BS$29:$CA$29=U$19),$BS$30:$CA$38)),0)</f>
        <v>0</v>
      </c>
      <c r="BC53" s="3">
        <f t="array" aca="1" ref="BC53" ca="1">IF(U18=C18,SUM(IF(($BR$30:$BR$38=C18)*($BS$29:$CA$29=U$20),$BS$30:$CA$38)),0)</f>
        <v>0</v>
      </c>
      <c r="BD53" s="3">
        <f t="array" aca="1" ref="BD53" ca="1">IF(U18=C18,SUM(IF(($BR$30:$BR$38=C18)*($BS$29:$CA$29=U$21),$BS$30:$CA$38)),0)</f>
        <v>0</v>
      </c>
      <c r="BE53" s="3">
        <f t="array" aca="1" ref="BE53" ca="1">IF(U18=C18,SUM(IF(($BR$30:$BR$38=C18)*($BS$29:$CA$29=U$22),$BS$30:$CA$38)),0)</f>
        <v>0</v>
      </c>
      <c r="BF53" s="3">
        <f t="array" aca="1" ref="BF53" ca="1">IF(U18=C18,SUM(IF(($BR$30:$BR$38=C18)*($BS$29:$CA$29=U$23),$BS$30:$CA$38)),0)</f>
        <v>0</v>
      </c>
      <c r="BG53" s="3">
        <f t="array" aca="1" ref="BG53" ca="1">IF(U18=C18,SUM(IF(($BR$30:$BR$38=C18)*($BS$29:$CA$29=U$24),$BS$30:$CA$38)),0)</f>
        <v>0</v>
      </c>
      <c r="BH53" s="3">
        <f t="array" aca="1" ref="BH53" ca="1">IF(U18=C18,SUM(IF(($BR$30:$BR$38=C18)*($BS$29:$CA$29=U$25),$BS$30:$CA$38)),0)</f>
        <v>0</v>
      </c>
      <c r="BI53" s="5">
        <f t="array" aca="1" ref="BI53" ca="1">IF(V18=C18,SUM(IF(($BR$30:$BR$38=C18)*($BS$29:$CA$29=V$17),$BS$30:$CA$38)),0)</f>
        <v>0</v>
      </c>
      <c r="BJ53" s="3">
        <f t="array" aca="1" ref="BJ53" ca="1">IF(V18=C18,SUM(IF(($BR$30:$BR$38=C18)*($BS$29:$CA$29=V$19),$BS$30:$CA$38)),0)</f>
        <v>0</v>
      </c>
      <c r="BK53" s="3">
        <f t="array" aca="1" ref="BK53" ca="1">IF(V18=C18,SUM(IF(($BR$30:$BR$38=C18)*($BS$29:$CA$29=V$20),$BS$30:$CA$38)),0)</f>
        <v>0</v>
      </c>
      <c r="BL53" s="3">
        <f t="array" aca="1" ref="BL53" ca="1">IF(V18=C18,SUM(IF(($BR$30:$BR$38=C18)*($BS$29:$CA$29=V$21),$BS$30:$CA$38)),0)</f>
        <v>0</v>
      </c>
      <c r="BM53" s="3">
        <f t="array" aca="1" ref="BM53" ca="1">IF(V18=C18,SUM(IF(($BR$30:$BR$38=C18)*($BS$29:$CA$29=V$22),$BS$30:$CA$38)),0)</f>
        <v>0</v>
      </c>
      <c r="BN53" s="3">
        <f t="array" aca="1" ref="BN53" ca="1">IF(V18=C18,SUM(IF(($BR$30:$BR$38=C18)*($BS$29:$CA$29=V$23),$BS$30:$CA$38)),0)</f>
        <v>0</v>
      </c>
      <c r="BO53" s="3">
        <f t="array" aca="1" ref="BO53" ca="1">IF(V18=C18,SUM(IF(($BR$30:$BR$38=C18)*($BS$29:$CA$29=V$24),$BS$30:$CA$38)),0)</f>
        <v>0</v>
      </c>
      <c r="BP53" s="15">
        <f t="array" aca="1" ref="BP53" ca="1">IF(V18=C18,SUM(IF(($BR$30:$BR$38=C18)*($BS$29:$CA$29=V$25),$BS$30:$CA$38)),0)</f>
        <v>0</v>
      </c>
      <c r="BQ53" s="3"/>
      <c r="BR53" s="2" t="str">
        <f t="shared" ca="1" si="40"/>
        <v>Manchester City</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2:80" s="2" customFormat="1" x14ac:dyDescent="0.2">
      <c r="E54" s="14">
        <f t="array" aca="1" ref="E54" ca="1">IF(O19=C19,SUM(IF(($BR$30:$BR$38=C19)*($BS$29:$CA$29=O17),$BS$30:$CA$38)),0)</f>
        <v>0</v>
      </c>
      <c r="F54" s="3">
        <f t="array" aca="1" ref="F54" ca="1">IF(O19=C19,SUM(IF(($BR$30:$BR$38=C19)*($BS$29:$CA$29=O18),$BS$30:$CA$38)),0)</f>
        <v>0</v>
      </c>
      <c r="G54" s="3">
        <f t="array" aca="1" ref="G54" ca="1">IF(O19=C19,SUM(IF(($BR$30:$BR$38=C19)*($BS$29:$CA$29=O20),$BS$30:$CA$38)),0)</f>
        <v>0</v>
      </c>
      <c r="H54" s="3">
        <f t="array" aca="1" ref="H54" ca="1">IF(O19=C19,SUM(IF(($BR$30:$BR$38=C19)*($BS$29:$CA$29=O21),$BS$30:$CA$38)),0)</f>
        <v>0</v>
      </c>
      <c r="I54" s="3">
        <f t="array" aca="1" ref="I54" ca="1">IF(O19=C19,SUM(IF(($BR$30:$BR$38=C19)*($BS$29:$CA$29=O22),$BS$30:$CA$38)),0)</f>
        <v>0</v>
      </c>
      <c r="J54" s="3">
        <f t="array" aca="1" ref="J54" ca="1">IF(O19=C19,SUM(IF(($BR$30:$BR$38=C19)*($BS$29:$CA$29=O23),$BS$30:$CA$38)),0)</f>
        <v>0</v>
      </c>
      <c r="K54" s="3">
        <f t="array" aca="1" ref="K54" ca="1">IF(O19=C19,SUM(IF(($BR$30:$BR$38=C19)*($BS$29:$CA$29=O$24),$BS$30:$CA$38)),0)</f>
        <v>0</v>
      </c>
      <c r="L54" s="3">
        <f t="array" aca="1" ref="L54" ca="1">IF(O19=C19,SUM(IF(($BR$30:$BR$38=C19)*($BS$29:$CA$29=O$25),$BS$30:$CA$38)),0)</f>
        <v>0</v>
      </c>
      <c r="M54" s="5">
        <f t="array" aca="1" ref="M54" ca="1">IF(P19=C19,SUM(IF(($BR$30:$BR$38=C19)*($BS$29:$CA$29=P17),$BS$30:$CA$38)),0)</f>
        <v>0</v>
      </c>
      <c r="N54" s="3">
        <f t="array" aca="1" ref="N54" ca="1">IF(P19=C19,SUM(IF(($BR$30:$BR$38=C19)*($BS$29:$CA$29=P18),$BS$30:$CA$38)),0)</f>
        <v>0</v>
      </c>
      <c r="O54" s="3">
        <f t="array" aca="1" ref="O54" ca="1">IF(P19=C19,SUM(IF(($BR$30:$BR$38=C19)*($BS$29:$CA$29=P20),$BS$30:$CA$38)),0)</f>
        <v>0</v>
      </c>
      <c r="P54" s="3">
        <f t="array" aca="1" ref="P54" ca="1">IF(P19=C19,SUM(IF(($BR$30:$BR$38=C19)*($BS$29:$CA$29=P21),$BS$30:$CA$38)),0)</f>
        <v>0</v>
      </c>
      <c r="Q54" s="3">
        <f t="array" aca="1" ref="Q54" ca="1">IF(P19=C19,SUM(IF(($BR$30:$BR$38=C19)*($BS$29:$CA$29=P22),$BS$30:$CA$38)),0)</f>
        <v>0</v>
      </c>
      <c r="R54" s="3">
        <f t="array" aca="1" ref="R54" ca="1">IF(P19=C19,SUM(IF(($BR$30:$BR$38=C19)*($BS$29:$CA$29=P23),$BS$30:$CA$38)),0)</f>
        <v>0</v>
      </c>
      <c r="S54" s="3">
        <f t="array" aca="1" ref="S54" ca="1">IF(P19=C19,SUM(IF(($BR$30:$BR$38=C19)*($BS$29:$CA$29=P$24),$BS$30:$CA$38)),0)</f>
        <v>0</v>
      </c>
      <c r="T54" s="3">
        <f t="array" aca="1" ref="T54" ca="1">IF(P19=C19,SUM(IF(($BR$30:$BR$38=C19)*($BS$29:$CA$29=P$25),$BS$30:$CA$38)),0)</f>
        <v>0</v>
      </c>
      <c r="U54" s="5">
        <f t="array" aca="1" ref="U54" ca="1">IF(Q19=C19,SUM(IF(($BR$30:$BR$38=C19)*($BS$29:$CA$29=Q17),$BS$30:$CA$38)),0)</f>
        <v>0</v>
      </c>
      <c r="V54" s="3">
        <f t="array" aca="1" ref="V54" ca="1">IF(Q19=C19,SUM(IF(($BR$30:$BR$38=C19)*($BS$29:$CA$29=Q18),$BS$30:$CA$38)),0)</f>
        <v>0</v>
      </c>
      <c r="W54" s="3">
        <f t="array" aca="1" ref="W54" ca="1">IF(Q19=C19,SUM(IF(($BR$30:$BR$38=C19)*($BS$29:$CA$29=Q20),$BS$30:$CA$38)),0)</f>
        <v>0</v>
      </c>
      <c r="X54" s="3">
        <f t="array" aca="1" ref="X54" ca="1">IF(Q19=C19,SUM(IF(($BR$30:$BR$38=C19)*($BS$29:$CA$29=Q21),$BS$30:$CA$38)),0)</f>
        <v>0</v>
      </c>
      <c r="Y54" s="3">
        <f t="array" aca="1" ref="Y54" ca="1">IF(Q19=C19,SUM(IF(($BR$30:$BR$38=C19)*($BS$29:$CA$29=Q22),$BS$30:$CA$38)),0)</f>
        <v>0</v>
      </c>
      <c r="Z54" s="3">
        <f t="array" aca="1" ref="Z54" ca="1">IF(Q19=C19,SUM(IF(($BR$30:$BR$38=C19)*($BS$29:$CA$29=Q23),$BS$30:$CA$38)),0)</f>
        <v>0</v>
      </c>
      <c r="AA54" s="3">
        <f t="array" aca="1" ref="AA54" ca="1">IF(Q19=C19,SUM(IF(($BR$30:$BR$38=C19)*($BS$29:$CA$29=Q$24),$BS$30:$CA$38)),0)</f>
        <v>0</v>
      </c>
      <c r="AB54" s="3">
        <f t="array" aca="1" ref="AB54" ca="1">IF(Q19=C19,SUM(IF(($BR$30:$BR$38=C19)*($BS$29:$CA$29=Q$25),$BS$30:$CA$38)),0)</f>
        <v>0</v>
      </c>
      <c r="AC54" s="5">
        <f t="array" aca="1" ref="AC54" ca="1">IF(R19=C19,SUM(IF(($BR$30:$BR$38=C19)*($BS$29:$CA$29=R17),$BS$30:$CA$38)),0)</f>
        <v>0</v>
      </c>
      <c r="AD54" s="3">
        <f t="array" aca="1" ref="AD54" ca="1">IF(R19=C19,SUM(IF(($BR$30:$BR$38=C19)*($BS$29:$CA$29=R18),$BS$30:$CA$38)),0)</f>
        <v>0</v>
      </c>
      <c r="AE54" s="3">
        <f t="array" aca="1" ref="AE54" ca="1">IF(R19=C19,SUM(IF(($BR$30:$BR$38=C19)*($BS$29:$CA$29=R20),$BS$30:$CA$38)),0)</f>
        <v>0</v>
      </c>
      <c r="AF54" s="3">
        <f t="array" aca="1" ref="AF54" ca="1">IF(R19=C19,SUM(IF(($BR$30:$BR$38=C19)*($BS$29:$CA$29=R21),$BS$30:$CA$38)),0)</f>
        <v>0</v>
      </c>
      <c r="AG54" s="3">
        <f t="array" aca="1" ref="AG54" ca="1">IF(R19=C19,SUM(IF(($BR$30:$BR$38=C19)*($BS$29:$CA$29=R22),$BS$30:$CA$38)),0)</f>
        <v>0</v>
      </c>
      <c r="AH54" s="3">
        <f t="array" aca="1" ref="AH54" ca="1">IF(R19=C19,SUM(IF(($BR$30:$BR$38=C19)*($BS$29:$CA$29=R23),$BS$30:$CA$38)),0)</f>
        <v>0</v>
      </c>
      <c r="AI54" s="3">
        <f t="array" aca="1" ref="AI54" ca="1">IF(R19=C19,SUM(IF(($BR$30:$BR$38=C19)*($BS$29:$CA$29=R$24),$BS$30:$CA$38)),0)</f>
        <v>0</v>
      </c>
      <c r="AJ54" s="3">
        <f t="array" aca="1" ref="AJ54" ca="1">IF(R19=C19,SUM(IF(($BR$30:$BR$38=C19)*($BS$29:$CA$29=R$25),$BS$30:$CA$38)),0)</f>
        <v>0</v>
      </c>
      <c r="AK54" s="5">
        <f t="array" aca="1" ref="AK54" ca="1">IF(S19=C19,SUM(IF(($BR$30:$BR$38=C19)*($BS$29:$CA$29=S17),$BS$30:$CA$38)),0)</f>
        <v>0</v>
      </c>
      <c r="AL54" s="3">
        <f t="array" aca="1" ref="AL54" ca="1">IF(S19=C19,SUM(IF(($BR$30:$BR$38=C19)*($BS$29:$CA$29=S18),$BS$30:$CA$38)),0)</f>
        <v>0</v>
      </c>
      <c r="AM54" s="3">
        <f t="array" aca="1" ref="AM54" ca="1">IF(S19=C19,SUM(IF(($BR$30:$BR$38=C19)*($BS$29:$CA$29=S20),$BS$30:$CA$38)),0)</f>
        <v>0</v>
      </c>
      <c r="AN54" s="3">
        <f t="array" aca="1" ref="AN54" ca="1">IF(S19=C19,SUM(IF(($BR$30:$BR$38=C19)*($BS$29:$CA$29=S21),$BS$30:$CA$38)),0)</f>
        <v>0</v>
      </c>
      <c r="AO54" s="3">
        <f t="array" aca="1" ref="AO54" ca="1">IF(S19=C19,SUM(IF(($BR$30:$BR$38=C19)*($BS$29:$CA$29=S22),$BS$30:$CA$38)),0)</f>
        <v>0</v>
      </c>
      <c r="AP54" s="3">
        <f t="array" aca="1" ref="AP54" ca="1">IF(S19=C19,SUM(IF(($BR$30:$BR$38=C19)*($BS$29:$CA$29=S23),$BS$30:$CA$38)),0)</f>
        <v>0</v>
      </c>
      <c r="AQ54" s="3">
        <f t="array" aca="1" ref="AQ54" ca="1">IF(S19=C19,SUM(IF(($BR$30:$BR$38=C19)*($BS$29:$CA$29=S$24),$BS$30:$CA$38)),0)</f>
        <v>0</v>
      </c>
      <c r="AR54" s="3">
        <f t="array" aca="1" ref="AR54" ca="1">IF(S19=C19,SUM(IF(($BR$30:$BR$38=C19)*($BS$29:$CA$29=S$25),$BS$30:$CA$38)),0)</f>
        <v>0</v>
      </c>
      <c r="AS54" s="5">
        <f t="array" aca="1" ref="AS54" ca="1">IF(T19=C19,SUM(IF(($BR$30:$BR$38=C19)*($BS$29:$CA$29=T17),$BS$30:$CA$38)),0)</f>
        <v>0</v>
      </c>
      <c r="AT54" s="3">
        <f t="array" aca="1" ref="AT54" ca="1">IF(T19=C19,SUM(IF(($BR$30:$BR$38=C19)*($BS$29:$CA$29=T18),$BS$30:$CA$38)),0)</f>
        <v>0</v>
      </c>
      <c r="AU54" s="3">
        <f t="array" aca="1" ref="AU54" ca="1">IF(T19=C19,SUM(IF(($BR$30:$BR$38=C19)*($BS$29:$CA$29=T20),$BS$30:$CA$38)),0)</f>
        <v>0</v>
      </c>
      <c r="AV54" s="3">
        <f t="array" aca="1" ref="AV54" ca="1">IF(T19=C19,SUM(IF(($BR$30:$BR$38=C19)*($BS$29:$CA$29=T21),$BS$30:$CA$38)),0)</f>
        <v>0</v>
      </c>
      <c r="AW54" s="3">
        <f t="array" aca="1" ref="AW54" ca="1">IF(T19=C19,SUM(IF(($BR$30:$BR$38=C19)*($BS$29:$CA$29=T22),$BS$30:$CA$38)),0)</f>
        <v>0</v>
      </c>
      <c r="AX54" s="3">
        <f t="array" aca="1" ref="AX54" ca="1">IF(T19=C19,SUM(IF(($BR$30:$BR$38=C19)*($BS$29:$CA$29=T23),$BS$30:$CA$38)),0)</f>
        <v>0</v>
      </c>
      <c r="AY54" s="3">
        <f t="array" aca="1" ref="AY54" ca="1">IF(T19=C19,SUM(IF(($BR$30:$BR$38=C19)*($BS$29:$CA$29=T$24),$BS$30:$CA$38)),0)</f>
        <v>0</v>
      </c>
      <c r="AZ54" s="3">
        <f t="array" aca="1" ref="AZ54" ca="1">IF(T19=C19,SUM(IF(($BR$30:$BR$38=C19)*($BS$29:$CA$29=T$25),$BS$30:$CA$38)),0)</f>
        <v>0</v>
      </c>
      <c r="BA54" s="5">
        <f t="array" aca="1" ref="BA54" ca="1">IF(U19=C19,SUM(IF(($BR$30:$BR$38=C19)*($BS$29:$CA$29=U$17),$BS$30:$CA$38)),0)</f>
        <v>0</v>
      </c>
      <c r="BB54" s="3">
        <f t="array" aca="1" ref="BB54" ca="1">IF(U19=C19,SUM(IF(($BR$30:$BR$38=C19)*($BS$29:$CA$29=U$18),$BS$30:$CA$38)),0)</f>
        <v>0</v>
      </c>
      <c r="BC54" s="3">
        <f t="array" aca="1" ref="BC54" ca="1">IF(U19=C19,SUM(IF(($BR$30:$BR$38=C19)*($BS$29:$CA$29=U$20),$BS$30:$CA$38)),0)</f>
        <v>0</v>
      </c>
      <c r="BD54" s="3">
        <f t="array" aca="1" ref="BD54" ca="1">IF(U19=C19,SUM(IF(($BR$30:$BR$38=C19)*($BS$29:$CA$29=U$21),$BS$30:$CA$38)),0)</f>
        <v>0</v>
      </c>
      <c r="BE54" s="3">
        <f t="array" aca="1" ref="BE54" ca="1">IF(U19=C19,SUM(IF(($BR$30:$BR$38=C19)*($BS$29:$CA$29=U$22),$BS$30:$CA$38)),0)</f>
        <v>0</v>
      </c>
      <c r="BF54" s="3">
        <f t="array" aca="1" ref="BF54" ca="1">IF(U19=C19,SUM(IF(($BR$30:$BR$38=C19)*($BS$29:$CA$29=U$23),$BS$30:$CA$38)),0)</f>
        <v>0</v>
      </c>
      <c r="BG54" s="3">
        <f t="array" aca="1" ref="BG54" ca="1">IF(U19=C19,SUM(IF(($BR$30:$BR$38=C19)*($BS$29:$CA$29=U$24),$BS$30:$CA$38)),0)</f>
        <v>0</v>
      </c>
      <c r="BH54" s="3">
        <f t="array" aca="1" ref="BH54" ca="1">IF(U19=C19,SUM(IF(($BR$30:$BR$38=C19)*($BS$29:$CA$29=U$25),$BS$30:$CA$38)),0)</f>
        <v>0</v>
      </c>
      <c r="BI54" s="5">
        <f t="array" aca="1" ref="BI54" ca="1">IF(V19=C19,SUM(IF(($BR$30:$BR$38=C19)*($BS$29:$CA$29=V$17),$BS$30:$CA$38)),0)</f>
        <v>0</v>
      </c>
      <c r="BJ54" s="3">
        <f t="array" aca="1" ref="BJ54" ca="1">IF(V19=C19,SUM(IF(($BR$30:$BR$38=C19)*($BS$29:$CA$29=V$18),$BS$30:$CA$38)),0)</f>
        <v>0</v>
      </c>
      <c r="BK54" s="3">
        <f t="array" aca="1" ref="BK54" ca="1">IF(V19=C19,SUM(IF(($BR$30:$BR$38=C19)*($BS$29:$CA$29=V$20),$BS$30:$CA$38)),0)</f>
        <v>0</v>
      </c>
      <c r="BL54" s="3">
        <f t="array" aca="1" ref="BL54" ca="1">IF(V19=C19,SUM(IF(($BR$30:$BR$38=C19)*($BS$29:$CA$29=V$21),$BS$30:$CA$38)),0)</f>
        <v>0</v>
      </c>
      <c r="BM54" s="3">
        <f t="array" aca="1" ref="BM54" ca="1">IF(V19=C19,SUM(IF(($BR$30:$BR$38=C19)*($BS$29:$CA$29=V$22),$BS$30:$CA$38)),0)</f>
        <v>0</v>
      </c>
      <c r="BN54" s="3">
        <f t="array" aca="1" ref="BN54" ca="1">IF(V19=C19,SUM(IF(($BR$30:$BR$38=C19)*($BS$29:$CA$29=V$23),$BS$30:$CA$38)),0)</f>
        <v>0</v>
      </c>
      <c r="BO54" s="3">
        <f t="array" aca="1" ref="BO54" ca="1">IF(V19=C19,SUM(IF(($BR$30:$BR$38=C19)*($BS$29:$CA$29=V$24),$BS$30:$CA$38)),0)</f>
        <v>0</v>
      </c>
      <c r="BP54" s="15">
        <f t="array" aca="1" ref="BP54" ca="1">IF(V19=C19,SUM(IF(($BR$30:$BR$38=C19)*($BS$29:$CA$29=V$25),$BS$30:$CA$38)),0)</f>
        <v>0</v>
      </c>
      <c r="BQ54" s="3"/>
      <c r="BR54" s="2" t="str">
        <f t="shared" ca="1" si="40"/>
        <v>FSV Rauen</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2:80" s="2" customFormat="1" x14ac:dyDescent="0.2">
      <c r="E55" s="14">
        <f t="array" aca="1" ref="E55" ca="1">IF(O20=C20,SUM(IF(($BR$30:$BR$38=C20)*($BS$29:$CA$29=O17),$BS$30:$CA$38)),0)</f>
        <v>0</v>
      </c>
      <c r="F55" s="3">
        <f t="array" aca="1" ref="F55" ca="1">IF(O20=C20,SUM(IF(($BR$30:$BR$38=C20)*($BS$29:$CA$29=O18),$BS$30:$CA$38)),0)</f>
        <v>0</v>
      </c>
      <c r="G55" s="3">
        <f t="array" aca="1" ref="G55" ca="1">IF(O20=C20,SUM(IF(($BR$30:$BR$38=C20)*($BS$29:$CA$29=O19),$BS$30:$CA$38)),0)</f>
        <v>0</v>
      </c>
      <c r="H55" s="3">
        <f t="array" aca="1" ref="H55" ca="1">IF(O20=C20,SUM(IF(($BR$30:$BR$38=C20)*($BS$29:$CA$29=O21),$BS$30:$CA$38)),0)</f>
        <v>0</v>
      </c>
      <c r="I55" s="3">
        <f t="array" aca="1" ref="I55" ca="1">IF(O20=C20,SUM(IF(($BR$30:$BR$38=C20)*($BS$29:$CA$29=O22),$BS$30:$CA$38)),0)</f>
        <v>0</v>
      </c>
      <c r="J55" s="3">
        <f t="array" aca="1" ref="J55" ca="1">IF(O20=C20,SUM(IF(($BR$30:$BR$38=C20)*($BS$29:$CA$29=O23),$BS$30:$CA$38)),0)</f>
        <v>0</v>
      </c>
      <c r="K55" s="3">
        <f t="array" aca="1" ref="K55" ca="1">IF(O20=C20,SUM(IF(($BR$30:$BR$38=C20)*($BS$29:$CA$29=O$24),$BS$30:$CA$38)),0)</f>
        <v>0</v>
      </c>
      <c r="L55" s="3">
        <f t="array" aca="1" ref="L55" ca="1">IF(O20=C20,SUM(IF(($BR$30:$BR$38=C20)*($BS$29:$CA$29=O$25),$BS$30:$CA$38)),0)</f>
        <v>0</v>
      </c>
      <c r="M55" s="5">
        <f t="array" aca="1" ref="M55" ca="1">IF(P20=C20,SUM(IF(($BR$30:$BR$38=C20)*($BS$29:$CA$29=P17),$BS$30:$CA$38)),0)</f>
        <v>0</v>
      </c>
      <c r="N55" s="3">
        <f t="array" aca="1" ref="N55" ca="1">IF(P20=C20,SUM(IF(($BR$30:$BR$38=C20)*($BS$29:$CA$29=P18),$BS$30:$CA$38)),0)</f>
        <v>0</v>
      </c>
      <c r="O55" s="3">
        <f t="array" aca="1" ref="O55" ca="1">IF(P20=C20,SUM(IF(($BR$30:$BR$38=C20)*($BS$29:$CA$29=P19),$BS$30:$CA$38)),0)</f>
        <v>0</v>
      </c>
      <c r="P55" s="3">
        <f t="array" aca="1" ref="P55" ca="1">IF(P20=C20,SUM(IF(($BR$30:$BR$38=C20)*($BS$29:$CA$29=P21),$BS$30:$CA$38)),0)</f>
        <v>0</v>
      </c>
      <c r="Q55" s="3">
        <f t="array" aca="1" ref="Q55" ca="1">IF(P20=C20,SUM(IF(($BR$30:$BR$38=C20)*($BS$29:$CA$29=P22),$BS$30:$CA$38)),0)</f>
        <v>0</v>
      </c>
      <c r="R55" s="3">
        <f t="array" aca="1" ref="R55" ca="1">IF(P20=C20,SUM(IF(($BR$30:$BR$38=C20)*($BS$29:$CA$29=P23),$BS$30:$CA$38)),0)</f>
        <v>0</v>
      </c>
      <c r="S55" s="3">
        <f t="array" aca="1" ref="S55" ca="1">IF(P20=C20,SUM(IF(($BR$30:$BR$38=C20)*($BS$29:$CA$29=P$24),$BS$30:$CA$38)),0)</f>
        <v>0</v>
      </c>
      <c r="T55" s="3">
        <f t="array" aca="1" ref="T55" ca="1">IF(P20=C20,SUM(IF(($BR$30:$BR$38=C20)*($BS$29:$CA$29=P$25),$BS$30:$CA$38)),0)</f>
        <v>0</v>
      </c>
      <c r="U55" s="5">
        <f t="array" aca="1" ref="U55" ca="1">IF(Q20=C20,SUM(IF(($BR$30:$BR$38=C20)*($BS$29:$CA$29=Q17),$BS$30:$CA$38)),0)</f>
        <v>0</v>
      </c>
      <c r="V55" s="3">
        <f t="array" aca="1" ref="V55" ca="1">IF(Q20=C20,SUM(IF(($BR$30:$BR$38=C20)*($BS$29:$CA$29=Q18),$BS$30:$CA$38)),0)</f>
        <v>0</v>
      </c>
      <c r="W55" s="3">
        <f t="array" aca="1" ref="W55" ca="1">IF(Q20=C20,SUM(IF(($BR$30:$BR$38=C20)*($BS$29:$CA$29=Q19),$BS$30:$CA$38)),0)</f>
        <v>0</v>
      </c>
      <c r="X55" s="3">
        <f t="array" aca="1" ref="X55" ca="1">IF(Q20=C20,SUM(IF(($BR$30:$BR$38=C20)*($BS$29:$CA$29=Q21),$BS$30:$CA$38)),0)</f>
        <v>0</v>
      </c>
      <c r="Y55" s="3">
        <f t="array" aca="1" ref="Y55" ca="1">IF(Q20=C20,SUM(IF(($BR$30:$BR$38=C20)*($BS$29:$CA$29=Q22),$BS$30:$CA$38)),0)</f>
        <v>0</v>
      </c>
      <c r="Z55" s="3">
        <f t="array" aca="1" ref="Z55" ca="1">IF(Q20=C20,SUM(IF(($BR$30:$BR$38=C20)*($BS$29:$CA$29=Q23),$BS$30:$CA$38)),0)</f>
        <v>0</v>
      </c>
      <c r="AA55" s="3">
        <f t="array" aca="1" ref="AA55" ca="1">IF(Q20=C20,SUM(IF(($BR$30:$BR$38=C20)*($BS$29:$CA$29=Q$24),$BS$30:$CA$38)),0)</f>
        <v>0</v>
      </c>
      <c r="AB55" s="3">
        <f t="array" aca="1" ref="AB55" ca="1">IF(Q20=C20,SUM(IF(($BR$30:$BR$38=C20)*($BS$29:$CA$29=Q$25),$BS$30:$CA$38)),0)</f>
        <v>0</v>
      </c>
      <c r="AC55" s="5">
        <f t="array" aca="1" ref="AC55" ca="1">IF(R20=C20,SUM(IF(($BR$30:$BR$38=C20)*($BS$29:$CA$29=R17),$BS$30:$CA$38)),0)</f>
        <v>0</v>
      </c>
      <c r="AD55" s="3">
        <f t="array" aca="1" ref="AD55" ca="1">IF(R20=C20,SUM(IF(($BR$30:$BR$38=C20)*($BS$29:$CA$29=R18),$BS$30:$CA$38)),0)</f>
        <v>0</v>
      </c>
      <c r="AE55" s="3">
        <f t="array" aca="1" ref="AE55" ca="1">IF(R20=C20,SUM(IF(($BR$30:$BR$38=C20)*($BS$29:$CA$29=R19),$BS$30:$CA$38)),0)</f>
        <v>0</v>
      </c>
      <c r="AF55" s="3">
        <f t="array" aca="1" ref="AF55" ca="1">IF(R20=C20,SUM(IF(($BR$30:$BR$38=C20)*($BS$29:$CA$29=R21),$BS$30:$CA$38)),0)</f>
        <v>0</v>
      </c>
      <c r="AG55" s="3">
        <f t="array" aca="1" ref="AG55" ca="1">IF(R20=C20,SUM(IF(($BR$30:$BR$38=C20)*($BS$29:$CA$29=R22),$BS$30:$CA$38)),0)</f>
        <v>0</v>
      </c>
      <c r="AH55" s="3">
        <f t="array" aca="1" ref="AH55" ca="1">IF(R20=C20,SUM(IF(($BR$30:$BR$38=C20)*($BS$29:$CA$29=R23),$BS$30:$CA$38)),0)</f>
        <v>0</v>
      </c>
      <c r="AI55" s="3">
        <f t="array" aca="1" ref="AI55" ca="1">IF(R20=C20,SUM(IF(($BR$30:$BR$38=C20)*($BS$29:$CA$29=R$24),$BS$30:$CA$38)),0)</f>
        <v>0</v>
      </c>
      <c r="AJ55" s="3">
        <f t="array" aca="1" ref="AJ55" ca="1">IF(R20=C20,SUM(IF(($BR$30:$BR$38=C20)*($BS$29:$CA$29=R$25),$BS$30:$CA$38)),0)</f>
        <v>0</v>
      </c>
      <c r="AK55" s="5">
        <f t="array" aca="1" ref="AK55" ca="1">IF(S20=C20,SUM(IF(($BR$30:$BR$38=C20)*($BS$29:$CA$29=S17),$BS$30:$CA$38)),0)</f>
        <v>0</v>
      </c>
      <c r="AL55" s="3">
        <f t="array" aca="1" ref="AL55" ca="1">IF(S20=C20,SUM(IF(($BR$30:$BR$38=C20)*($BS$29:$CA$29=S18),$BS$30:$CA$38)),0)</f>
        <v>0</v>
      </c>
      <c r="AM55" s="3">
        <f t="array" aca="1" ref="AM55" ca="1">IF(S20=C20,SUM(IF(($BR$30:$BR$38=C20)*($BS$29:$CA$29=S19),$BS$30:$CA$38)),0)</f>
        <v>0</v>
      </c>
      <c r="AN55" s="3">
        <f t="array" aca="1" ref="AN55" ca="1">IF(S20=C20,SUM(IF(($BR$30:$BR$38=C20)*($BS$29:$CA$29=S21),$BS$30:$CA$38)),0)</f>
        <v>0</v>
      </c>
      <c r="AO55" s="3">
        <f t="array" aca="1" ref="AO55" ca="1">IF(S20=C20,SUM(IF(($BR$30:$BR$38=C20)*($BS$29:$CA$29=S22),$BS$30:$CA$38)),0)</f>
        <v>0</v>
      </c>
      <c r="AP55" s="3">
        <f t="array" aca="1" ref="AP55" ca="1">IF(S20=C20,SUM(IF(($BR$30:$BR$38=C20)*($BS$29:$CA$29=S23),$BS$30:$CA$38)),0)</f>
        <v>0</v>
      </c>
      <c r="AQ55" s="3">
        <f t="array" aca="1" ref="AQ55" ca="1">IF(S20=C20,SUM(IF(($BR$30:$BR$38=C20)*($BS$29:$CA$29=S$24),$BS$30:$CA$38)),0)</f>
        <v>0</v>
      </c>
      <c r="AR55" s="3">
        <f t="array" aca="1" ref="AR55" ca="1">IF(S20=C20,SUM(IF(($BR$30:$BR$38=C20)*($BS$29:$CA$29=S$25),$BS$30:$CA$38)),0)</f>
        <v>0</v>
      </c>
      <c r="AS55" s="5">
        <f t="array" aca="1" ref="AS55" ca="1">IF(T20=C20,SUM(IF(($BR$30:$BR$38=C20)*($BS$29:$CA$29=T17),$BS$30:$CA$38)),0)</f>
        <v>0</v>
      </c>
      <c r="AT55" s="3">
        <f t="array" aca="1" ref="AT55" ca="1">IF(T20=C20,SUM(IF(($BR$30:$BR$38=C20)*($BS$29:$CA$29=T18),$BS$30:$CA$38)),0)</f>
        <v>0</v>
      </c>
      <c r="AU55" s="3">
        <f t="array" aca="1" ref="AU55" ca="1">IF(T20=C20,SUM(IF(($BR$30:$BR$38=C20)*($BS$29:$CA$29=T19),$BS$30:$CA$38)),0)</f>
        <v>0</v>
      </c>
      <c r="AV55" s="3">
        <f t="array" aca="1" ref="AV55" ca="1">IF(T20=C20,SUM(IF(($BR$30:$BR$38=C20)*($BS$29:$CA$29=T21),$BS$30:$CA$38)),0)</f>
        <v>0</v>
      </c>
      <c r="AW55" s="3">
        <f t="array" aca="1" ref="AW55" ca="1">IF(T20=C20,SUM(IF(($BR$30:$BR$38=C20)*($BS$29:$CA$29=T22),$BS$30:$CA$38)),0)</f>
        <v>0</v>
      </c>
      <c r="AX55" s="3">
        <f t="array" aca="1" ref="AX55" ca="1">IF(T20=C20,SUM(IF(($BR$30:$BR$38=C20)*($BS$29:$CA$29=T23),$BS$30:$CA$38)),0)</f>
        <v>0</v>
      </c>
      <c r="AY55" s="3">
        <f t="array" aca="1" ref="AY55" ca="1">IF(T20=C20,SUM(IF(($BR$30:$BR$38=C20)*($BS$29:$CA$29=T$24),$BS$30:$CA$38)),0)</f>
        <v>0</v>
      </c>
      <c r="AZ55" s="3">
        <f t="array" aca="1" ref="AZ55" ca="1">IF(T20=C20,SUM(IF(($BR$30:$BR$38=C20)*($BS$29:$CA$29=T$25),$BS$30:$CA$38)),0)</f>
        <v>0</v>
      </c>
      <c r="BA55" s="5">
        <f t="array" aca="1" ref="BA55" ca="1">IF(U20=C20,SUM(IF(($BR$30:$BR$38=C20)*($BS$29:$CA$29=U$17),$BS$30:$CA$38)),0)</f>
        <v>0</v>
      </c>
      <c r="BB55" s="3">
        <f t="array" aca="1" ref="BB55" ca="1">IF(U20=C20,SUM(IF(($BR$30:$BR$38=C20)*($BS$29:$CA$29=U$18),$BS$30:$CA$38)),0)</f>
        <v>0</v>
      </c>
      <c r="BC55" s="3">
        <f t="array" aca="1" ref="BC55" ca="1">IF(U20=C20,SUM(IF(($BR$30:$BR$38=C20)*($BS$29:$CA$29=U$19),$BS$30:$CA$38)),0)</f>
        <v>0</v>
      </c>
      <c r="BD55" s="3">
        <f t="array" aca="1" ref="BD55" ca="1">IF(U20=C20,SUM(IF(($BR$30:$BR$38=C20)*($BS$29:$CA$29=U$21),$BS$30:$CA$38)),0)</f>
        <v>0</v>
      </c>
      <c r="BE55" s="3">
        <f t="array" aca="1" ref="BE55" ca="1">IF(U20=C20,SUM(IF(($BR$30:$BR$38=C20)*($BS$29:$CA$29=U$22),$BS$30:$CA$38)),0)</f>
        <v>0</v>
      </c>
      <c r="BF55" s="3">
        <f t="array" aca="1" ref="BF55" ca="1">IF(U20=C20,SUM(IF(($BR$30:$BR$38=C20)*($BS$29:$CA$29=U$23),$BS$30:$CA$38)),0)</f>
        <v>0</v>
      </c>
      <c r="BG55" s="3">
        <f t="array" aca="1" ref="BG55" ca="1">IF(U20=C20,SUM(IF(($BR$30:$BR$38=C20)*($BS$29:$CA$29=U$24),$BS$30:$CA$38)),0)</f>
        <v>0</v>
      </c>
      <c r="BH55" s="3">
        <f t="array" aca="1" ref="BH55" ca="1">IF(U20=C20,SUM(IF(($BR$30:$BR$38=C20)*($BS$29:$CA$29=U$25),$BS$30:$CA$38)),0)</f>
        <v>0</v>
      </c>
      <c r="BI55" s="5">
        <f t="array" aca="1" ref="BI55" ca="1">IF(V20=C20,SUM(IF(($BR$30:$BR$38=C20)*($BS$29:$CA$29=V$17),$BS$30:$CA$38)),0)</f>
        <v>0</v>
      </c>
      <c r="BJ55" s="3">
        <f t="array" aca="1" ref="BJ55" ca="1">IF(V20=C20,SUM(IF(($BR$30:$BR$38=C20)*($BS$29:$CA$29=V$18),$BS$30:$CA$38)),0)</f>
        <v>0</v>
      </c>
      <c r="BK55" s="3">
        <f t="array" aca="1" ref="BK55" ca="1">IF(V20=C20,SUM(IF(($BR$30:$BR$38=C20)*($BS$29:$CA$29=V$19),$BS$30:$CA$38)),0)</f>
        <v>0</v>
      </c>
      <c r="BL55" s="3">
        <f t="array" aca="1" ref="BL55" ca="1">IF(V20=C20,SUM(IF(($BR$30:$BR$38=C20)*($BS$29:$CA$29=V$21),$BS$30:$CA$38)),0)</f>
        <v>0</v>
      </c>
      <c r="BM55" s="3">
        <f t="array" aca="1" ref="BM55" ca="1">IF(V20=C20,SUM(IF(($BR$30:$BR$38=C20)*($BS$29:$CA$29=V$22),$BS$30:$CA$38)),0)</f>
        <v>0</v>
      </c>
      <c r="BN55" s="3">
        <f t="array" aca="1" ref="BN55" ca="1">IF(V20=C20,SUM(IF(($BR$30:$BR$38=C20)*($BS$29:$CA$29=V$23),$BS$30:$CA$38)),0)</f>
        <v>0</v>
      </c>
      <c r="BO55" s="3">
        <f t="array" aca="1" ref="BO55" ca="1">IF(V20=C20,SUM(IF(($BR$30:$BR$38=C20)*($BS$29:$CA$29=V$24),$BS$30:$CA$38)),0)</f>
        <v>0</v>
      </c>
      <c r="BP55" s="15">
        <f t="array" aca="1" ref="BP55" ca="1">IF(V20=C20,SUM(IF(($BR$30:$BR$38=C20)*($BS$29:$CA$29=V$25),$BS$30:$CA$38)),0)</f>
        <v>0</v>
      </c>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2:80" s="2" customFormat="1" x14ac:dyDescent="0.2">
      <c r="E56" s="14">
        <f t="array" aca="1" ref="E56" ca="1">IF(O21=C21,SUM(IF(($BR$30:$BR$38=C21)*($BS$29:$CA$29=O17),$BS$30:$CA$38)),0)</f>
        <v>0</v>
      </c>
      <c r="F56" s="3">
        <f t="array" aca="1" ref="F56" ca="1">IF(O21=C21,SUM(IF(($BR$30:$BR$38=C21)*($BS$29:$CA$29=O18),$BS$30:$CA$38)),0)</f>
        <v>0</v>
      </c>
      <c r="G56" s="3">
        <f t="array" aca="1" ref="G56" ca="1">IF(O21=C21,SUM(IF(($BR$30:$BR$38=C21)*($BS$29:$CA$29=O19),$BS$30:$CA$38)),0)</f>
        <v>0</v>
      </c>
      <c r="H56" s="3">
        <f t="array" aca="1" ref="H56" ca="1">IF(O21=C21,SUM(IF(($BR$30:$BR$38=C21)*($BS$29:$CA$29=O20),$BS$30:$CA$38)),0)</f>
        <v>0</v>
      </c>
      <c r="I56" s="3">
        <f t="array" aca="1" ref="I56" ca="1">IF(O21=C21,SUM(IF(($BR$30:$BR$38=C21)*($BS$29:$CA$29=O22),$BS$30:$CA$38)),0)</f>
        <v>0</v>
      </c>
      <c r="J56" s="3">
        <f t="array" aca="1" ref="J56" ca="1">IF(O21=C21,SUM(IF(($BR$30:$BR$38=C21)*($BS$29:$CA$29=O23),$BS$30:$CA$38)),0)</f>
        <v>0</v>
      </c>
      <c r="K56" s="3">
        <f t="array" aca="1" ref="K56" ca="1">IF(O21=C21,SUM(IF(($BR$30:$BR$38=C21)*($BS$29:$CA$29=O$24),$BS$30:$CA$38)),0)</f>
        <v>0</v>
      </c>
      <c r="L56" s="3">
        <f t="array" aca="1" ref="L56" ca="1">IF(O21=C21,SUM(IF(($BR$30:$BR$38=C21)*($BS$29:$CA$29=O$25),$BS$30:$CA$38)),0)</f>
        <v>0</v>
      </c>
      <c r="M56" s="5">
        <f t="array" aca="1" ref="M56" ca="1">IF(P21=C21,SUM(IF(($BR$30:$BR$38=C21)*($BS$29:$CA$29=P17),$BS$30:$CA$38)),0)</f>
        <v>0</v>
      </c>
      <c r="N56" s="3">
        <f t="array" aca="1" ref="N56" ca="1">IF(P21=C21,SUM(IF(($BR$30:$BR$38=C21)*($BS$29:$CA$29=P18),$BS$30:$CA$38)),0)</f>
        <v>0</v>
      </c>
      <c r="O56" s="3">
        <f t="array" aca="1" ref="O56" ca="1">IF(P21=C21,SUM(IF(($BR$30:$BR$38=C21)*($BS$29:$CA$29=P19),$BS$30:$CA$38)),0)</f>
        <v>0</v>
      </c>
      <c r="P56" s="3">
        <f t="array" aca="1" ref="P56" ca="1">IF(P21=C21,SUM(IF(($BR$30:$BR$38=C21)*($BS$29:$CA$29=P20),$BS$30:$CA$38)),0)</f>
        <v>0</v>
      </c>
      <c r="Q56" s="3">
        <f t="array" aca="1" ref="Q56" ca="1">IF(P21=C21,SUM(IF(($BR$30:$BR$38=C21)*($BS$29:$CA$29=P22),$BS$30:$CA$38)),0)</f>
        <v>0</v>
      </c>
      <c r="R56" s="3">
        <f t="array" aca="1" ref="R56" ca="1">IF(P21=C21,SUM(IF(($BR$30:$BR$38=C21)*($BS$29:$CA$29=P23),$BS$30:$CA$38)),0)</f>
        <v>0</v>
      </c>
      <c r="S56" s="3">
        <f t="array" aca="1" ref="S56" ca="1">IF(P21=C21,SUM(IF(($BR$30:$BR$38=C21)*($BS$29:$CA$29=P$24),$BS$30:$CA$38)),0)</f>
        <v>0</v>
      </c>
      <c r="T56" s="3">
        <f t="array" aca="1" ref="T56" ca="1">IF(P21=C21,SUM(IF(($BR$30:$BR$38=C21)*($BS$29:$CA$29=P$25),$BS$30:$CA$38)),0)</f>
        <v>0</v>
      </c>
      <c r="U56" s="5">
        <f t="array" aca="1" ref="U56" ca="1">IF(Q21=C21,SUM(IF(($BR$30:$BR$38=C21)*($BS$29:$CA$29=Q17),$BS$30:$CA$38)),0)</f>
        <v>0</v>
      </c>
      <c r="V56" s="3">
        <f t="array" aca="1" ref="V56" ca="1">IF(Q21=C21,SUM(IF(($BR$30:$BR$38=C21)*($BS$29:$CA$29=Q18),$BS$30:$CA$38)),0)</f>
        <v>0</v>
      </c>
      <c r="W56" s="3">
        <f t="array" aca="1" ref="W56" ca="1">IF(Q21=C21,SUM(IF(($BR$30:$BR$38=C21)*($BS$29:$CA$29=Q19),$BS$30:$CA$38)),0)</f>
        <v>0</v>
      </c>
      <c r="X56" s="3">
        <f t="array" aca="1" ref="X56" ca="1">IF(Q21=C21,SUM(IF(($BR$30:$BR$38=C21)*($BS$29:$CA$29=Q20),$BS$30:$CA$38)),0)</f>
        <v>0</v>
      </c>
      <c r="Y56" s="3">
        <f t="array" aca="1" ref="Y56" ca="1">IF(Q21=C21,SUM(IF(($BR$30:$BR$38=C21)*($BS$29:$CA$29=Q22),$BS$30:$CA$38)),0)</f>
        <v>0</v>
      </c>
      <c r="Z56" s="3">
        <f t="array" aca="1" ref="Z56" ca="1">IF(Q21=C21,SUM(IF(($BR$30:$BR$38=C21)*($BS$29:$CA$29=Q23),$BS$30:$CA$38)),0)</f>
        <v>0</v>
      </c>
      <c r="AA56" s="3">
        <f t="array" aca="1" ref="AA56" ca="1">IF(Q21=C21,SUM(IF(($BR$30:$BR$38=C21)*($BS$29:$CA$29=Q$24),$BS$30:$CA$38)),0)</f>
        <v>0</v>
      </c>
      <c r="AB56" s="3">
        <f t="array" aca="1" ref="AB56" ca="1">IF(Q21=C21,SUM(IF(($BR$30:$BR$38=C21)*($BS$29:$CA$29=Q$25),$BS$30:$CA$38)),0)</f>
        <v>0</v>
      </c>
      <c r="AC56" s="5">
        <f t="array" aca="1" ref="AC56" ca="1">IF(R21=C21,SUM(IF(($BR$30:$BR$38=C21)*($BS$29:$CA$29=R17),$BS$30:$CA$38)),0)</f>
        <v>0</v>
      </c>
      <c r="AD56" s="3">
        <f t="array" aca="1" ref="AD56" ca="1">IF(R21=C21,SUM(IF(($BR$30:$BR$38=C21)*($BS$29:$CA$29=R18),$BS$30:$CA$38)),0)</f>
        <v>0</v>
      </c>
      <c r="AE56" s="3">
        <f t="array" aca="1" ref="AE56" ca="1">IF(R21=C21,SUM(IF(($BR$30:$BR$38=C21)*($BS$29:$CA$29=R19),$BS$30:$CA$38)),0)</f>
        <v>0</v>
      </c>
      <c r="AF56" s="3">
        <f t="array" aca="1" ref="AF56" ca="1">IF(R21=C21,SUM(IF(($BR$30:$BR$38=C21)*($BS$29:$CA$29=R20),$BS$30:$CA$38)),0)</f>
        <v>0</v>
      </c>
      <c r="AG56" s="3">
        <f t="array" aca="1" ref="AG56" ca="1">IF(R21=C21,SUM(IF(($BR$30:$BR$38=C21)*($BS$29:$CA$29=R22),$BS$30:$CA$38)),0)</f>
        <v>0</v>
      </c>
      <c r="AH56" s="3">
        <f t="array" aca="1" ref="AH56" ca="1">IF(R21=C21,SUM(IF(($BR$30:$BR$38=C21)*($BS$29:$CA$29=R23),$BS$30:$CA$38)),0)</f>
        <v>0</v>
      </c>
      <c r="AI56" s="3">
        <f t="array" aca="1" ref="AI56" ca="1">IF(R21=C21,SUM(IF(($BR$30:$BR$38=C21)*($BS$29:$CA$29=R$24),$BS$30:$CA$38)),0)</f>
        <v>0</v>
      </c>
      <c r="AJ56" s="3">
        <f t="array" aca="1" ref="AJ56" ca="1">IF(R21=C21,SUM(IF(($BR$30:$BR$38=C21)*($BS$29:$CA$29=R$25),$BS$30:$CA$38)),0)</f>
        <v>0</v>
      </c>
      <c r="AK56" s="5">
        <f t="array" aca="1" ref="AK56" ca="1">IF(S21=C21,SUM(IF(($BR$30:$BR$38=C21)*($BS$29:$CA$29=S17),$BS$30:$CA$38)),0)</f>
        <v>0</v>
      </c>
      <c r="AL56" s="3">
        <f t="array" aca="1" ref="AL56" ca="1">IF(S21=C21,SUM(IF(($BR$30:$BR$38=C21)*($BS$29:$CA$29=S18),$BS$30:$CA$38)),0)</f>
        <v>0</v>
      </c>
      <c r="AM56" s="3">
        <f t="array" aca="1" ref="AM56" ca="1">IF(S21=C21,SUM(IF(($BR$30:$BR$38=C21)*($BS$29:$CA$29=S19),$BS$30:$CA$38)),0)</f>
        <v>0</v>
      </c>
      <c r="AN56" s="3">
        <f t="array" aca="1" ref="AN56" ca="1">IF(S21=C21,SUM(IF(($BR$30:$BR$38=C21)*($BS$29:$CA$29=S20),$BS$30:$CA$38)),0)</f>
        <v>0</v>
      </c>
      <c r="AO56" s="3">
        <f t="array" aca="1" ref="AO56" ca="1">IF(S21=C21,SUM(IF(($BR$30:$BR$38=C21)*($BS$29:$CA$29=S22),$BS$30:$CA$38)),0)</f>
        <v>0</v>
      </c>
      <c r="AP56" s="3">
        <f t="array" aca="1" ref="AP56" ca="1">IF(S21=C21,SUM(IF(($BR$30:$BR$38=C21)*($BS$29:$CA$29=S23),$BS$30:$CA$38)),0)</f>
        <v>0</v>
      </c>
      <c r="AQ56" s="3">
        <f t="array" aca="1" ref="AQ56" ca="1">IF(S21=C21,SUM(IF(($BR$30:$BR$38=C21)*($BS$29:$CA$29=S$24),$BS$30:$CA$38)),0)</f>
        <v>0</v>
      </c>
      <c r="AR56" s="3">
        <f t="array" aca="1" ref="AR56" ca="1">IF(S21=C21,SUM(IF(($BR$30:$BR$38=C21)*($BS$29:$CA$29=S$25),$BS$30:$CA$38)),0)</f>
        <v>0</v>
      </c>
      <c r="AS56" s="5">
        <f t="array" aca="1" ref="AS56" ca="1">IF(T21=C21,SUM(IF(($BR$30:$BR$38=C21)*($BS$29:$CA$29=T17),$BS$30:$CA$38)),0)</f>
        <v>0</v>
      </c>
      <c r="AT56" s="3">
        <f t="array" aca="1" ref="AT56" ca="1">IF(T21=C21,SUM(IF(($BR$30:$BR$38=C21)*($BS$29:$CA$29=T18),$BS$30:$CA$38)),0)</f>
        <v>0</v>
      </c>
      <c r="AU56" s="3">
        <f t="array" aca="1" ref="AU56" ca="1">IF(T21=C21,SUM(IF(($BR$30:$BR$38=C21)*($BS$29:$CA$29=T19),$BS$30:$CA$38)),0)</f>
        <v>0</v>
      </c>
      <c r="AV56" s="3">
        <f t="array" aca="1" ref="AV56" ca="1">IF(T21=C21,SUM(IF(($BR$30:$BR$38=C21)*($BS$29:$CA$29=T20),$BS$30:$CA$38)),0)</f>
        <v>0</v>
      </c>
      <c r="AW56" s="3">
        <f t="array" aca="1" ref="AW56" ca="1">IF(T21=C21,SUM(IF(($BR$30:$BR$38=C21)*($BS$29:$CA$29=T22),$BS$30:$CA$38)),0)</f>
        <v>0</v>
      </c>
      <c r="AX56" s="3">
        <f t="array" aca="1" ref="AX56" ca="1">IF(T21=C21,SUM(IF(($BR$30:$BR$38=C21)*($BS$29:$CA$29=T23),$BS$30:$CA$38)),0)</f>
        <v>0</v>
      </c>
      <c r="AY56" s="3">
        <f t="array" aca="1" ref="AY56" ca="1">IF(T21=C21,SUM(IF(($BR$30:$BR$38=C21)*($BS$29:$CA$29=T$24),$BS$30:$CA$38)),0)</f>
        <v>0</v>
      </c>
      <c r="AZ56" s="3">
        <f t="array" aca="1" ref="AZ56" ca="1">IF(T21=C21,SUM(IF(($BR$30:$BR$38=C21)*($BS$29:$CA$29=T$25),$BS$30:$CA$38)),0)</f>
        <v>0</v>
      </c>
      <c r="BA56" s="5">
        <f t="array" aca="1" ref="BA56" ca="1">IF(U21=C21,SUM(IF(($BR$30:$BR$38=C21)*($BS$29:$CA$29=U$17),$BS$30:$CA$38)),0)</f>
        <v>0</v>
      </c>
      <c r="BB56" s="3">
        <f t="array" aca="1" ref="BB56" ca="1">IF(U21=C21,SUM(IF(($BR$30:$BR$38=C21)*($BS$29:$CA$29=U$18),$BS$30:$CA$38)),0)</f>
        <v>0</v>
      </c>
      <c r="BC56" s="3">
        <f t="array" aca="1" ref="BC56" ca="1">IF(U21=C21,SUM(IF(($BR$30:$BR$38=C21)*($BS$29:$CA$29=U$19),$BS$30:$CA$38)),0)</f>
        <v>0</v>
      </c>
      <c r="BD56" s="3">
        <f t="array" aca="1" ref="BD56" ca="1">IF(U21=C21,SUM(IF(($BR$30:$BR$38=C21)*($BS$29:$CA$29=U$20),$BS$30:$CA$38)),0)</f>
        <v>0</v>
      </c>
      <c r="BE56" s="3">
        <f t="array" aca="1" ref="BE56" ca="1">IF(U21=C21,SUM(IF(($BR$30:$BR$38=C21)*($BS$29:$CA$29=U$22),$BS$30:$CA$38)),0)</f>
        <v>0</v>
      </c>
      <c r="BF56" s="3">
        <f t="array" aca="1" ref="BF56" ca="1">IF(U21=C21,SUM(IF(($BR$30:$BR$38=C21)*($BS$29:$CA$29=U$23),$BS$30:$CA$38)),0)</f>
        <v>0</v>
      </c>
      <c r="BG56" s="3">
        <f t="array" aca="1" ref="BG56" ca="1">IF(U21=C21,SUM(IF(($BR$30:$BR$38=C21)*($BS$29:$CA$29=U$24),$BS$30:$CA$38)),0)</f>
        <v>0</v>
      </c>
      <c r="BH56" s="3">
        <f t="array" aca="1" ref="BH56" ca="1">IF(U21=C21,SUM(IF(($BR$30:$BR$38=C21)*($BS$29:$CA$29=U$25),$BS$30:$CA$38)),0)</f>
        <v>0</v>
      </c>
      <c r="BI56" s="5">
        <f t="array" aca="1" ref="BI56" ca="1">IF(V21=C21,SUM(IF(($BR$30:$BR$38=C21)*($BS$29:$CA$29=V$17),$BS$30:$CA$38)),0)</f>
        <v>0</v>
      </c>
      <c r="BJ56" s="3">
        <f t="array" aca="1" ref="BJ56" ca="1">IF(V21=C21,SUM(IF(($BR$30:$BR$38=C21)*($BS$29:$CA$29=V$18),$BS$30:$CA$38)),0)</f>
        <v>0</v>
      </c>
      <c r="BK56" s="3">
        <f t="array" aca="1" ref="BK56" ca="1">IF(V21=C21,SUM(IF(($BR$30:$BR$38=C21)*($BS$29:$CA$29=V$19),$BS$30:$CA$38)),0)</f>
        <v>0</v>
      </c>
      <c r="BL56" s="3">
        <f t="array" aca="1" ref="BL56" ca="1">IF(V21=C21,SUM(IF(($BR$30:$BR$38=C21)*($BS$29:$CA$29=V$20),$BS$30:$CA$38)),0)</f>
        <v>0</v>
      </c>
      <c r="BM56" s="3">
        <f t="array" aca="1" ref="BM56" ca="1">IF(V21=C21,SUM(IF(($BR$30:$BR$38=C21)*($BS$29:$CA$29=V$22),$BS$30:$CA$38)),0)</f>
        <v>0</v>
      </c>
      <c r="BN56" s="3">
        <f t="array" aca="1" ref="BN56" ca="1">IF(V21=C21,SUM(IF(($BR$30:$BR$38=C21)*($BS$29:$CA$29=V$23),$BS$30:$CA$38)),0)</f>
        <v>0</v>
      </c>
      <c r="BO56" s="3">
        <f t="array" aca="1" ref="BO56" ca="1">IF(V21=C21,SUM(IF(($BR$30:$BR$38=C21)*($BS$29:$CA$29=V$24),$BS$30:$CA$38)),0)</f>
        <v>0</v>
      </c>
      <c r="BP56" s="15">
        <f t="array" aca="1" ref="BP56" ca="1">IF(V21=C21,SUM(IF(($BR$30:$BR$38=C21)*($BS$29:$CA$29=V$25),$BS$30:$CA$38)),0)</f>
        <v>0</v>
      </c>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2:80" s="2" customFormat="1" x14ac:dyDescent="0.2">
      <c r="E57" s="14">
        <f t="array" aca="1" ref="E57" ca="1">IF(O22=C22,SUM(IF(($BR$30:$BR$38=C22)*($BS$29:$CA$29=O17),$BS$30:$CA$38)),0)</f>
        <v>0</v>
      </c>
      <c r="F57" s="3">
        <f t="array" aca="1" ref="F57" ca="1">IF(O22=C22,SUM(IF(($BR$30:$BR$38=C22)*($BS$29:$CA$29=O18),$BS$30:$CA$38)),0)</f>
        <v>0</v>
      </c>
      <c r="G57" s="3">
        <f t="array" aca="1" ref="G57" ca="1">IF(O22=C22,SUM(IF(($BR$30:$BR$38=C22)*($BS$29:$CA$29=O19),$BS$30:$CA$38)),0)</f>
        <v>0</v>
      </c>
      <c r="H57" s="3">
        <f t="array" aca="1" ref="H57" ca="1">IF(O22=C22,SUM(IF(($BR$30:$BR$38=C22)*($BS$29:$CA$29=O20),$BS$30:$CA$38)),0)</f>
        <v>0</v>
      </c>
      <c r="I57" s="3">
        <f t="array" aca="1" ref="I57" ca="1">IF(O22=C22,SUM(IF(($BR$30:$BR$38=C22)*($BS$29:$CA$29=O21),$BS$30:$CA$38)),0)</f>
        <v>0</v>
      </c>
      <c r="J57" s="3">
        <f t="array" aca="1" ref="J57" ca="1">IF(O22=C22,SUM(IF(($BR$30:$BR$38=C22)*($BS$29:$CA$29=O23),$BS$30:$CA$38)),0)</f>
        <v>0</v>
      </c>
      <c r="K57" s="3">
        <f t="array" aca="1" ref="K57" ca="1">IF(O22=C22,SUM(IF(($BR$30:$BR$38=C22)*($BS$29:$CA$29=O$24),$BS$30:$CA$38)),0)</f>
        <v>0</v>
      </c>
      <c r="L57" s="3">
        <f t="array" aca="1" ref="L57" ca="1">IF(O22=C22,SUM(IF(($BR$30:$BR$38=C22)*($BS$29:$CA$29=O$25),$BS$30:$CA$38)),0)</f>
        <v>0</v>
      </c>
      <c r="M57" s="5">
        <f t="array" aca="1" ref="M57" ca="1">IF(P22=C22,SUM(IF(($BR$30:$BR$38=C22)*($BS$29:$CA$29=P17),$BS$30:$CA$38)),0)</f>
        <v>0</v>
      </c>
      <c r="N57" s="3">
        <f t="array" aca="1" ref="N57" ca="1">IF(P22=C22,SUM(IF(($BR$30:$BR$38=C22)*($BS$29:$CA$29=P18),$BS$30:$CA$38)),0)</f>
        <v>0</v>
      </c>
      <c r="O57" s="3">
        <f t="array" aca="1" ref="O57" ca="1">IF(P22=C22,SUM(IF(($BR$30:$BR$38=C22)*($BS$29:$CA$29=P19),$BS$30:$CA$38)),0)</f>
        <v>0</v>
      </c>
      <c r="P57" s="3">
        <f t="array" aca="1" ref="P57" ca="1">IF(P22=C22,SUM(IF(($BR$30:$BR$38=C22)*($BS$29:$CA$29=P20),$BS$30:$CA$38)),0)</f>
        <v>0</v>
      </c>
      <c r="Q57" s="3">
        <f t="array" aca="1" ref="Q57" ca="1">IF(P22=C22,SUM(IF(($BR$30:$BR$38=C22)*($BS$29:$CA$29=P21),$BS$30:$CA$38)),0)</f>
        <v>0</v>
      </c>
      <c r="R57" s="3">
        <f t="array" aca="1" ref="R57" ca="1">IF(P22=C22,SUM(IF(($BR$30:$BR$38=C22)*($BS$29:$CA$29=P23),$BS$30:$CA$38)),0)</f>
        <v>0</v>
      </c>
      <c r="S57" s="3">
        <f t="array" aca="1" ref="S57" ca="1">IF(P22=C22,SUM(IF(($BR$30:$BR$38=C22)*($BS$29:$CA$29=P$24),$BS$30:$CA$38)),0)</f>
        <v>0</v>
      </c>
      <c r="T57" s="3">
        <f t="array" aca="1" ref="T57" ca="1">IF(P22=C22,SUM(IF(($BR$30:$BR$38=C22)*($BS$29:$CA$29=P$25),$BS$30:$CA$38)),0)</f>
        <v>0</v>
      </c>
      <c r="U57" s="5">
        <f t="array" aca="1" ref="U57" ca="1">IF(Q22=C22,SUM(IF(($BR$30:$BR$38=C22)*($BS$29:$CA$29=Q17),$BS$30:$CA$38)),0)</f>
        <v>0</v>
      </c>
      <c r="V57" s="3">
        <f t="array" aca="1" ref="V57" ca="1">IF(Q22=C22,SUM(IF(($BR$30:$BR$38=C22)*($BS$29:$CA$29=Q18),$BS$30:$CA$38)),0)</f>
        <v>0</v>
      </c>
      <c r="W57" s="3">
        <f t="array" aca="1" ref="W57" ca="1">IF(Q22=C22,SUM(IF(($BR$30:$BR$38=C22)*($BS$29:$CA$29=Q19),$BS$30:$CA$38)),0)</f>
        <v>0</v>
      </c>
      <c r="X57" s="3">
        <f t="array" aca="1" ref="X57" ca="1">IF(Q22=C22,SUM(IF(($BR$30:$BR$38=C22)*($BS$29:$CA$29=Q20),$BS$30:$CA$38)),0)</f>
        <v>0</v>
      </c>
      <c r="Y57" s="3">
        <f t="array" aca="1" ref="Y57" ca="1">IF(Q22=C22,SUM(IF(($BR$30:$BR$38=C22)*($BS$29:$CA$29=Q21),$BS$30:$CA$38)),0)</f>
        <v>0</v>
      </c>
      <c r="Z57" s="3">
        <f t="array" aca="1" ref="Z57" ca="1">IF(Q22=C22,SUM(IF(($BR$30:$BR$38=C22)*($BS$29:$CA$29=Q23),$BS$30:$CA$38)),0)</f>
        <v>0</v>
      </c>
      <c r="AA57" s="3">
        <f t="array" aca="1" ref="AA57" ca="1">IF(Q22=C22,SUM(IF(($BR$30:$BR$38=C22)*($BS$29:$CA$29=Q$24),$BS$30:$CA$38)),0)</f>
        <v>0</v>
      </c>
      <c r="AB57" s="3">
        <f t="array" aca="1" ref="AB57" ca="1">IF(Q22=C22,SUM(IF(($BR$30:$BR$38=C22)*($BS$29:$CA$29=Q$25),$BS$30:$CA$38)),0)</f>
        <v>0</v>
      </c>
      <c r="AC57" s="5">
        <f t="array" aca="1" ref="AC57" ca="1">IF(R22=C22,SUM(IF(($BR$30:$BR$38=C22)*($BS$29:$CA$29=R17),$BS$30:$CA$38)),0)</f>
        <v>0</v>
      </c>
      <c r="AD57" s="3">
        <f t="array" aca="1" ref="AD57" ca="1">IF(R22=C22,SUM(IF(($BR$30:$BR$38=C22)*($BS$29:$CA$29=R18),$BS$30:$CA$38)),0)</f>
        <v>0</v>
      </c>
      <c r="AE57" s="3">
        <f t="array" aca="1" ref="AE57" ca="1">IF(R22=C22,SUM(IF(($BR$30:$BR$38=C22)*($BS$29:$CA$29=R19),$BS$30:$CA$38)),0)</f>
        <v>0</v>
      </c>
      <c r="AF57" s="3">
        <f t="array" aca="1" ref="AF57" ca="1">IF(R22=C22,SUM(IF(($BR$30:$BR$38=C22)*($BS$29:$CA$29=R20),$BS$30:$CA$38)),0)</f>
        <v>0</v>
      </c>
      <c r="AG57" s="3">
        <f t="array" aca="1" ref="AG57" ca="1">IF(R22=C22,SUM(IF(($BR$30:$BR$38=C22)*($BS$29:$CA$29=R21),$BS$30:$CA$38)),0)</f>
        <v>0</v>
      </c>
      <c r="AH57" s="3">
        <f t="array" aca="1" ref="AH57" ca="1">IF(R22=C22,SUM(IF(($BR$30:$BR$38=C22)*($BS$29:$CA$29=R23),$BS$30:$CA$38)),0)</f>
        <v>0</v>
      </c>
      <c r="AI57" s="3">
        <f t="array" aca="1" ref="AI57" ca="1">IF(R22=C22,SUM(IF(($BR$30:$BR$38=C22)*($BS$29:$CA$29=R$24),$BS$30:$CA$38)),0)</f>
        <v>0</v>
      </c>
      <c r="AJ57" s="3">
        <f t="array" aca="1" ref="AJ57" ca="1">IF(R22=C22,SUM(IF(($BR$30:$BR$38=C22)*($BS$29:$CA$29=R$25),$BS$30:$CA$38)),0)</f>
        <v>0</v>
      </c>
      <c r="AK57" s="5">
        <f t="array" aca="1" ref="AK57" ca="1">IF(S22=C22,SUM(IF(($BR$30:$BR$38=C22)*($BS$29:$CA$29=S17),$BS$30:$CA$38)),0)</f>
        <v>0</v>
      </c>
      <c r="AL57" s="3">
        <f t="array" aca="1" ref="AL57" ca="1">IF(S22=C22,SUM(IF(($BR$30:$BR$38=C22)*($BS$29:$CA$29=S18),$BS$30:$CA$38)),0)</f>
        <v>0</v>
      </c>
      <c r="AM57" s="3">
        <f t="array" aca="1" ref="AM57" ca="1">IF(S22=C22,SUM(IF(($BR$30:$BR$38=C22)*($BS$29:$CA$29=S19),$BS$30:$CA$38)),0)</f>
        <v>0</v>
      </c>
      <c r="AN57" s="3">
        <f t="array" aca="1" ref="AN57" ca="1">IF(S22=C22,SUM(IF(($BR$30:$BR$38=C22)*($BS$29:$CA$29=S20),$BS$30:$CA$38)),0)</f>
        <v>0</v>
      </c>
      <c r="AO57" s="3">
        <f t="array" aca="1" ref="AO57" ca="1">IF(S22=C22,SUM(IF(($BR$30:$BR$38=C22)*($BS$29:$CA$29=S21),$BS$30:$CA$38)),0)</f>
        <v>0</v>
      </c>
      <c r="AP57" s="3">
        <f t="array" aca="1" ref="AP57" ca="1">IF(S22=C22,SUM(IF(($BR$30:$BR$38=C22)*($BS$29:$CA$29=S23),$BS$30:$CA$38)),0)</f>
        <v>0</v>
      </c>
      <c r="AQ57" s="3">
        <f t="array" aca="1" ref="AQ57" ca="1">IF(S22=C22,SUM(IF(($BR$30:$BR$38=C22)*($BS$29:$CA$29=S$24),$BS$30:$CA$38)),0)</f>
        <v>0</v>
      </c>
      <c r="AR57" s="3">
        <f t="array" aca="1" ref="AR57" ca="1">IF(S22=C22,SUM(IF(($BR$30:$BR$38=C22)*($BS$29:$CA$29=S$25),$BS$30:$CA$38)),0)</f>
        <v>0</v>
      </c>
      <c r="AS57" s="5">
        <f t="array" aca="1" ref="AS57" ca="1">IF(T22=C22,SUM(IF(($BR$30:$BR$38=C22)*($BS$29:$CA$29=T17),$BS$30:$CA$38)),0)</f>
        <v>0</v>
      </c>
      <c r="AT57" s="3">
        <f t="array" aca="1" ref="AT57" ca="1">IF(T22=C22,SUM(IF(($BR$30:$BR$38=C22)*($BS$29:$CA$29=T18),$BS$30:$CA$38)),0)</f>
        <v>0</v>
      </c>
      <c r="AU57" s="3">
        <f t="array" aca="1" ref="AU57" ca="1">IF(T22=C22,SUM(IF(($BR$30:$BR$38=C22)*($BS$29:$CA$29=T19),$BS$30:$CA$38)),0)</f>
        <v>0</v>
      </c>
      <c r="AV57" s="3">
        <f t="array" aca="1" ref="AV57" ca="1">IF(T22=C22,SUM(IF(($BR$30:$BR$38=C22)*($BS$29:$CA$29=T20),$BS$30:$CA$38)),0)</f>
        <v>0</v>
      </c>
      <c r="AW57" s="3">
        <f t="array" aca="1" ref="AW57" ca="1">IF(T22=C22,SUM(IF(($BR$30:$BR$38=C22)*($BS$29:$CA$29=T21),$BS$30:$CA$38)),0)</f>
        <v>0</v>
      </c>
      <c r="AX57" s="3">
        <f t="array" aca="1" ref="AX57" ca="1">IF(T22=C22,SUM(IF(($BR$30:$BR$38=C22)*($BS$29:$CA$29=T23),$BS$30:$CA$38)),0)</f>
        <v>0</v>
      </c>
      <c r="AY57" s="3">
        <f t="array" aca="1" ref="AY57" ca="1">IF(T22=C22,SUM(IF(($BR$30:$BR$38=C22)*($BS$29:$CA$29=T$24),$BS$30:$CA$38)),0)</f>
        <v>0</v>
      </c>
      <c r="AZ57" s="3">
        <f t="array" aca="1" ref="AZ57" ca="1">IF(T22=C22,SUM(IF(($BR$30:$BR$38=C22)*($BS$29:$CA$29=T$25),$BS$30:$CA$38)),0)</f>
        <v>0</v>
      </c>
      <c r="BA57" s="5">
        <f t="array" aca="1" ref="BA57" ca="1">IF(U22=C22,SUM(IF(($BR$30:$BR$38=C22)*($BS$29:$CA$29=U$17),$BS$30:$CA$38)),0)</f>
        <v>0</v>
      </c>
      <c r="BB57" s="3">
        <f t="array" aca="1" ref="BB57" ca="1">IF(U22=C22,SUM(IF(($BR$30:$BR$38=C22)*($BS$29:$CA$29=U$18),$BS$30:$CA$38)),0)</f>
        <v>0</v>
      </c>
      <c r="BC57" s="3">
        <f t="array" aca="1" ref="BC57" ca="1">IF(U22=C22,SUM(IF(($BR$30:$BR$38=C22)*($BS$29:$CA$29=U$19),$BS$30:$CA$38)),0)</f>
        <v>0</v>
      </c>
      <c r="BD57" s="3">
        <f t="array" aca="1" ref="BD57" ca="1">IF(U22=C22,SUM(IF(($BR$30:$BR$38=C22)*($BS$29:$CA$29=U$20),$BS$30:$CA$38)),0)</f>
        <v>0</v>
      </c>
      <c r="BE57" s="3">
        <f t="array" aca="1" ref="BE57" ca="1">IF(U22=C22,SUM(IF(($BR$30:$BR$38=C22)*($BS$29:$CA$29=U$21),$BS$30:$CA$38)),0)</f>
        <v>0</v>
      </c>
      <c r="BF57" s="3">
        <f t="array" aca="1" ref="BF57" ca="1">IF(U22=C22,SUM(IF(($BR$30:$BR$38=C22)*($BS$29:$CA$29=U$23),$BS$30:$CA$38)),0)</f>
        <v>0</v>
      </c>
      <c r="BG57" s="3">
        <f t="array" aca="1" ref="BG57" ca="1">IF(U22=C22,SUM(IF(($BR$30:$BR$38=C22)*($BS$29:$CA$29=U$24),$BS$30:$CA$38)),0)</f>
        <v>0</v>
      </c>
      <c r="BH57" s="3">
        <f t="array" aca="1" ref="BH57" ca="1">IF(U22=C22,SUM(IF(($BR$30:$BR$38=C22)*($BS$29:$CA$29=U$25),$BS$30:$CA$38)),0)</f>
        <v>0</v>
      </c>
      <c r="BI57" s="5">
        <f t="array" aca="1" ref="BI57" ca="1">IF(V22=C22,SUM(IF(($BR$30:$BR$38=C22)*($BS$29:$CA$29=V$17),$BS$30:$CA$38)),0)</f>
        <v>0</v>
      </c>
      <c r="BJ57" s="3">
        <f t="array" aca="1" ref="BJ57" ca="1">IF(V22=C22,SUM(IF(($BR$30:$BR$38=C22)*($BS$29:$CA$29=V$18),$BS$30:$CA$38)),0)</f>
        <v>0</v>
      </c>
      <c r="BK57" s="3">
        <f t="array" aca="1" ref="BK57" ca="1">IF(V22=C22,SUM(IF(($BR$30:$BR$38=C22)*($BS$29:$CA$29=V$19),$BS$30:$CA$38)),0)</f>
        <v>0</v>
      </c>
      <c r="BL57" s="3">
        <f t="array" aca="1" ref="BL57" ca="1">IF(V22=C22,SUM(IF(($BR$30:$BR$38=C22)*($BS$29:$CA$29=V$20),$BS$30:$CA$38)),0)</f>
        <v>0</v>
      </c>
      <c r="BM57" s="3">
        <f t="array" aca="1" ref="BM57" ca="1">IF(V22=C22,SUM(IF(($BR$30:$BR$38=C22)*($BS$29:$CA$29=V$21),$BS$30:$CA$38)),0)</f>
        <v>0</v>
      </c>
      <c r="BN57" s="3">
        <f t="array" aca="1" ref="BN57" ca="1">IF(V22=C22,SUM(IF(($BR$30:$BR$38=C22)*($BS$29:$CA$29=V$23),$BS$30:$CA$38)),0)</f>
        <v>0</v>
      </c>
      <c r="BO57" s="3">
        <f t="array" aca="1" ref="BO57" ca="1">IF(V22=C22,SUM(IF(($BR$30:$BR$38=C22)*($BS$29:$CA$29=V$24),$BS$30:$CA$38)),0)</f>
        <v>0</v>
      </c>
      <c r="BP57" s="15">
        <f t="array" aca="1" ref="BP57" ca="1">IF(V22=C22,SUM(IF(($BR$30:$BR$38=C22)*($BS$29:$CA$29=V$25),$BS$30:$CA$38)),0)</f>
        <v>0</v>
      </c>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2:80" s="2" customFormat="1" x14ac:dyDescent="0.2">
      <c r="E58" s="14">
        <f t="array" aca="1" ref="E58" ca="1">IF(O23=C23,SUM(IF(($BR$30:$BR$38=C23)*($BS$29:$CA$29=O$17),$BS$30:$CA$38)),0)</f>
        <v>0</v>
      </c>
      <c r="F58" s="3">
        <f t="array" aca="1" ref="F58" ca="1">IF(O23=C23,SUM(IF(($BR$30:$BR$38=C23)*($BS$29:$CA$29=O$18),$BS$30:$CA$38)),0)</f>
        <v>0</v>
      </c>
      <c r="G58" s="3">
        <f t="array" aca="1" ref="G58" ca="1">IF(O23=C23,SUM(IF(($BR$30:$BR$38=C23)*($BS$29:$CA$29=O$19),$BS$30:$CA$38)),0)</f>
        <v>0</v>
      </c>
      <c r="H58" s="3">
        <f t="array" aca="1" ref="H58" ca="1">IF(O23=C23,SUM(IF(($BR$30:$BR$38=C23)*($BS$29:$CA$29=O$20),$BS$30:$CA$38)),0)</f>
        <v>0</v>
      </c>
      <c r="I58" s="3">
        <f t="array" aca="1" ref="I58" ca="1">IF(O23=C23,SUM(IF(($BR$30:$BR$38=C23)*($BS$29:$CA$29=O$21),$BS$30:$CA$38)),0)</f>
        <v>0</v>
      </c>
      <c r="J58" s="3">
        <f t="array" aca="1" ref="J58" ca="1">IF(O23=C23,SUM(IF(($BR$30:$BR$38=C23)*($BS$29:$CA$29=O$22),$BS$30:$CA$38)),0)</f>
        <v>0</v>
      </c>
      <c r="K58" s="3">
        <f t="array" aca="1" ref="K58" ca="1">IF(O23=C23,SUM(IF(($BR$30:$BR$38=C23)*($BS$29:$CA$29=O$24),$BS$30:$CA$38)),0)</f>
        <v>0</v>
      </c>
      <c r="L58" s="3">
        <f t="array" aca="1" ref="L58" ca="1">IF(O23=C23,SUM(IF(($BR$30:$BR$38=C23)*($BS$29:$CA$29=O$25),$BS$30:$CA$38)),0)</f>
        <v>0</v>
      </c>
      <c r="M58" s="5">
        <f t="array" aca="1" ref="M58" ca="1">IF(P23=C23,SUM(IF(($BR$30:$BR$38=C23)*($BS$29:$CA$29=P$17),$BS$30:$CA$38)),0)</f>
        <v>0</v>
      </c>
      <c r="N58" s="3">
        <f t="array" aca="1" ref="N58" ca="1">IF(P23=C23,SUM(IF(($BR$30:$BR$38=C23)*($BS$29:$CA$29=P$18),$BS$30:$CA$38)),0)</f>
        <v>0</v>
      </c>
      <c r="O58" s="3">
        <f t="array" aca="1" ref="O58" ca="1">IF(P23=C23,SUM(IF(($BR$30:$BR$38=C23)*($BS$29:$CA$29=P$19),$BS$30:$CA$38)),0)</f>
        <v>0</v>
      </c>
      <c r="P58" s="3">
        <f t="array" aca="1" ref="P58" ca="1">IF(P23=C23,SUM(IF(($BR$30:$BR$38=C23)*($BS$29:$CA$29=P$20),$BS$30:$CA$38)),0)</f>
        <v>0</v>
      </c>
      <c r="Q58" s="3">
        <f t="array" aca="1" ref="Q58" ca="1">IF(P23=C23,SUM(IF(($BR$30:$BR$38=C23)*($BS$29:$CA$29=P$21),$BS$30:$CA$38)),0)</f>
        <v>0</v>
      </c>
      <c r="R58" s="3">
        <f t="array" aca="1" ref="R58" ca="1">IF(P23=C23,SUM(IF(($BR$30:$BR$38=C23)*($BS$29:$CA$29=P$22),$BS$30:$CA$38)),0)</f>
        <v>0</v>
      </c>
      <c r="S58" s="3">
        <f t="array" aca="1" ref="S58" ca="1">IF(P23=C23,SUM(IF(($BR$30:$BR$38=C23)*($BS$29:$CA$29=P$24),$BS$30:$CA$38)),0)</f>
        <v>0</v>
      </c>
      <c r="T58" s="3">
        <f t="array" aca="1" ref="T58" ca="1">IF(P23=C23,SUM(IF(($BR$30:$BR$38=C23)*($BS$29:$CA$29=P$25),$BS$30:$CA$38)),0)</f>
        <v>0</v>
      </c>
      <c r="U58" s="5">
        <f t="array" aca="1" ref="U58" ca="1">IF(Q23=C23,SUM(IF(($BR$30:$BR$38=C23)*($BS$29:$CA$29=Q$17),$BS$30:$CA$38)),0)</f>
        <v>0</v>
      </c>
      <c r="V58" s="3">
        <f t="array" aca="1" ref="V58" ca="1">IF(Q23=C23,SUM(IF(($BR$30:$BR$38=C23)*($BS$29:$CA$29=Q$18),$BS$30:$CA$38)),0)</f>
        <v>0</v>
      </c>
      <c r="W58" s="3">
        <f t="array" aca="1" ref="W58" ca="1">IF(Q23=C23,SUM(IF(($BR$30:$BR$38=C23)*($BS$29:$CA$29=Q$19),$BS$30:$CA$38)),0)</f>
        <v>0</v>
      </c>
      <c r="X58" s="3">
        <f t="array" aca="1" ref="X58" ca="1">IF(Q23=C23,SUM(IF(($BR$30:$BR$38=C23)*($BS$29:$CA$29=Q$20),$BS$30:$CA$38)),0)</f>
        <v>0</v>
      </c>
      <c r="Y58" s="3">
        <f t="array" aca="1" ref="Y58" ca="1">IF(Q23=C23,SUM(IF(($BR$30:$BR$38=C23)*($BS$29:$CA$29=Q$21),$BS$30:$CA$38)),0)</f>
        <v>0</v>
      </c>
      <c r="Z58" s="3">
        <f t="array" aca="1" ref="Z58" ca="1">IF(Q23=C23,SUM(IF(($BR$30:$BR$38=C23)*($BS$29:$CA$29=Q$22),$BS$30:$CA$38)),0)</f>
        <v>0</v>
      </c>
      <c r="AA58" s="3">
        <f t="array" aca="1" ref="AA58" ca="1">IF(Q23=C23,SUM(IF(($BR$30:$BR$38=C23)*($BS$29:$CA$29=Q$24),$BS$30:$CA$38)),0)</f>
        <v>0</v>
      </c>
      <c r="AB58" s="3">
        <f t="array" aca="1" ref="AB58" ca="1">IF(Q23=C23,SUM(IF(($BR$30:$BR$38=C23)*($BS$29:$CA$29=Q$25),$BS$30:$CA$38)),0)</f>
        <v>0</v>
      </c>
      <c r="AC58" s="5">
        <f t="array" aca="1" ref="AC58" ca="1">IF(R23=C23,SUM(IF(($BR$30:$BR$38=C23)*($BS$29:$CA$29=R$17),$BS$30:$CA$38)),0)</f>
        <v>0</v>
      </c>
      <c r="AD58" s="3">
        <f t="array" aca="1" ref="AD58" ca="1">IF(R23=C23,SUM(IF(($BR$30:$BR$38=C23)*($BS$29:$CA$29=R$18),$BS$30:$CA$38)),0)</f>
        <v>0</v>
      </c>
      <c r="AE58" s="3">
        <f t="array" aca="1" ref="AE58" ca="1">IF(R23=C23,SUM(IF(($BR$30:$BR$38=C23)*($BS$29:$CA$29=R$19),$BS$30:$CA$38)),0)</f>
        <v>0</v>
      </c>
      <c r="AF58" s="3">
        <f t="array" aca="1" ref="AF58" ca="1">IF(R23=C23,SUM(IF(($BR$30:$BR$38=C23)*($BS$29:$CA$29=R$20),$BS$30:$CA$38)),0)</f>
        <v>0</v>
      </c>
      <c r="AG58" s="3">
        <f t="array" aca="1" ref="AG58" ca="1">IF(R23=C23,SUM(IF(($BR$30:$BR$38=C23)*($BS$29:$CA$29=R$21),$BS$30:$CA$38)),0)</f>
        <v>0</v>
      </c>
      <c r="AH58" s="3">
        <f t="array" aca="1" ref="AH58" ca="1">IF(R23=C23,SUM(IF(($BR$30:$BR$38=C23)*($BS$29:$CA$29=R$22),$BS$30:$CA$38)),0)</f>
        <v>0</v>
      </c>
      <c r="AI58" s="3">
        <f t="array" aca="1" ref="AI58" ca="1">IF(R23=C23,SUM(IF(($BR$30:$BR$38=C23)*($BS$29:$CA$29=R$24),$BS$30:$CA$38)),0)</f>
        <v>0</v>
      </c>
      <c r="AJ58" s="3">
        <f t="array" aca="1" ref="AJ58" ca="1">IF(R23=C23,SUM(IF(($BR$30:$BR$38=C23)*($BS$29:$CA$29=R$25),$BS$30:$CA$38)),0)</f>
        <v>0</v>
      </c>
      <c r="AK58" s="5">
        <f t="array" aca="1" ref="AK58" ca="1">IF(S23=C23,SUM(IF(($BR$30:$BR$38=C23)*($BS$29:$CA$29=S$17),$BS$30:$CA$38)),0)</f>
        <v>0</v>
      </c>
      <c r="AL58" s="3">
        <f t="array" aca="1" ref="AL58" ca="1">IF(S23=C23,SUM(IF(($BR$30:$BR$38=C23)*($BS$29:$CA$29=S$18),$BS$30:$CA$38)),0)</f>
        <v>0</v>
      </c>
      <c r="AM58" s="3">
        <f t="array" aca="1" ref="AM58" ca="1">IF(S23=C23,SUM(IF(($BR$30:$BR$38=C23)*($BS$29:$CA$29=S$19),$BS$30:$CA$38)),0)</f>
        <v>0</v>
      </c>
      <c r="AN58" s="3">
        <f t="array" aca="1" ref="AN58" ca="1">IF(S23=C23,SUM(IF(($BR$30:$BR$38=C23)*($BS$29:$CA$29=S$20),$BS$30:$CA$38)),0)</f>
        <v>0</v>
      </c>
      <c r="AO58" s="3">
        <f t="array" aca="1" ref="AO58" ca="1">IF(S23=C23,SUM(IF(($BR$30:$BR$38=C23)*($BS$29:$CA$29=S$21),$BS$30:$CA$38)),0)</f>
        <v>0</v>
      </c>
      <c r="AP58" s="3">
        <f t="array" aca="1" ref="AP58" ca="1">IF(S23=C23,SUM(IF(($BR$30:$BR$38=C23)*($BS$29:$CA$29=S$22),$BS$30:$CA$38)),0)</f>
        <v>0</v>
      </c>
      <c r="AQ58" s="3">
        <f t="array" aca="1" ref="AQ58" ca="1">IF(S23=C23,SUM(IF(($BR$30:$BR$38=C23)*($BS$29:$CA$29=S$24),$BS$30:$CA$38)),0)</f>
        <v>0</v>
      </c>
      <c r="AR58" s="3">
        <f t="array" aca="1" ref="AR58" ca="1">IF(S23=C23,SUM(IF(($BR$30:$BR$38=C23)*($BS$29:$CA$29=S$25),$BS$30:$CA$38)),0)</f>
        <v>0</v>
      </c>
      <c r="AS58" s="5">
        <f t="array" aca="1" ref="AS58" ca="1">IF(T23=C23,SUM(IF(($BR$30:$BR$38=C23)*($BS$29:$CA$29=T$17),$BS$30:$CA$38)),0)</f>
        <v>0</v>
      </c>
      <c r="AT58" s="3">
        <f t="array" aca="1" ref="AT58" ca="1">IF(T23=C23,SUM(IF(($BR$30:$BR$38=C23)*($BS$29:$CA$29=T$18),$BS$30:$CA$38)),0)</f>
        <v>0</v>
      </c>
      <c r="AU58" s="3">
        <f t="array" aca="1" ref="AU58" ca="1">IF(T23=C23,SUM(IF(($BR$30:$BR$38=C23)*($BS$29:$CA$29=T$19),$BS$30:$CA$38)),0)</f>
        <v>0</v>
      </c>
      <c r="AV58" s="3">
        <f t="array" aca="1" ref="AV58" ca="1">IF(T23=C23,SUM(IF(($BR$30:$BR$38=C23)*($BS$29:$CA$29=T$20),$BS$30:$CA$38)),0)</f>
        <v>0</v>
      </c>
      <c r="AW58" s="3">
        <f t="array" aca="1" ref="AW58" ca="1">IF(T23=C23,SUM(IF(($BR$30:$BR$38=C23)*($BS$29:$CA$29=T$21),$BS$30:$CA$38)),0)</f>
        <v>0</v>
      </c>
      <c r="AX58" s="3">
        <f t="array" aca="1" ref="AX58" ca="1">IF(T23=C23,SUM(IF(($BR$30:$BR$38=C23)*($BS$29:$CA$29=T$22),$BS$30:$CA$38)),0)</f>
        <v>0</v>
      </c>
      <c r="AY58" s="3">
        <f t="array" aca="1" ref="AY58" ca="1">IF(T23=C23,SUM(IF(($BR$30:$BR$38=C23)*($BS$29:$CA$29=T$24),$BS$30:$CA$38)),0)</f>
        <v>0</v>
      </c>
      <c r="AZ58" s="3">
        <f t="array" aca="1" ref="AZ58" ca="1">IF(T23=C23,SUM(IF(($BR$30:$BR$38=C23)*($BS$29:$CA$29=T$25),$BS$30:$CA$38)),0)</f>
        <v>0</v>
      </c>
      <c r="BA58" s="5">
        <f t="array" aca="1" ref="BA58" ca="1">IF(U23=C23,SUM(IF(($BR$30:$BR$38=C23)*($BS$29:$CA$29=U$17),$BS$30:$CA$38)),0)</f>
        <v>0</v>
      </c>
      <c r="BB58" s="3">
        <f t="array" aca="1" ref="BB58" ca="1">IF(U23=C23,SUM(IF(($BR$30:$BR$38=C23)*($BS$29:$CA$29=U$18),$BS$30:$CA$38)),0)</f>
        <v>0</v>
      </c>
      <c r="BC58" s="3">
        <f t="array" aca="1" ref="BC58" ca="1">IF(U23=C23,SUM(IF(($BR$30:$BR$38=C23)*($BS$29:$CA$29=U$19),$BS$30:$CA$38)),0)</f>
        <v>0</v>
      </c>
      <c r="BD58" s="3">
        <f t="array" aca="1" ref="BD58" ca="1">IF(U23=C23,SUM(IF(($BR$30:$BR$38=C23)*($BS$29:$CA$29=U$20),$BS$30:$CA$38)),0)</f>
        <v>0</v>
      </c>
      <c r="BE58" s="3">
        <f t="array" aca="1" ref="BE58" ca="1">IF(U23=C23,SUM(IF(($BR$30:$BR$38=C23)*($BS$29:$CA$29=U$21),$BS$30:$CA$38)),0)</f>
        <v>0</v>
      </c>
      <c r="BF58" s="3">
        <f t="array" aca="1" ref="BF58" ca="1">IF(U23=C23,SUM(IF(($BR$30:$BR$38=C23)*($BS$29:$CA$29=U$22),$BS$30:$CA$38)),0)</f>
        <v>0</v>
      </c>
      <c r="BG58" s="3">
        <f t="array" aca="1" ref="BG58" ca="1">IF(U23=C23,SUM(IF(($BR$30:$BR$38=C23)*($BS$29:$CA$29=U$24),$BS$30:$CA$38)),0)</f>
        <v>0</v>
      </c>
      <c r="BH58" s="3">
        <f t="array" aca="1" ref="BH58" ca="1">IF(U23=C23,SUM(IF(($BR$30:$BR$38=C23)*($BS$29:$CA$29=U$25),$BS$30:$CA$38)),0)</f>
        <v>0</v>
      </c>
      <c r="BI58" s="5">
        <f t="array" aca="1" ref="BI58" ca="1">IF(V23=C23,SUM(IF(($BR$30:$BR$38=C23)*($BS$29:$CA$29=V$17),$BS$30:$CA$38)),0)</f>
        <v>0</v>
      </c>
      <c r="BJ58" s="3">
        <f t="array" aca="1" ref="BJ58" ca="1">IF(V23=C23,SUM(IF(($BR$30:$BR$38=C23)*($BS$29:$CA$29=V$18),$BS$30:$CA$38)),0)</f>
        <v>0</v>
      </c>
      <c r="BK58" s="3">
        <f t="array" aca="1" ref="BK58" ca="1">IF(V23=C23,SUM(IF(($BR$30:$BR$38=C23)*($BS$29:$CA$29=V$19),$BS$30:$CA$38)),0)</f>
        <v>0</v>
      </c>
      <c r="BL58" s="3">
        <f t="array" aca="1" ref="BL58" ca="1">IF(V23=C23,SUM(IF(($BR$30:$BR$38=C23)*($BS$29:$CA$29=V$20),$BS$30:$CA$38)),0)</f>
        <v>0</v>
      </c>
      <c r="BM58" s="3">
        <f t="array" aca="1" ref="BM58" ca="1">IF(V23=C23,SUM(IF(($BR$30:$BR$38=C23)*($BS$29:$CA$29=V$21),$BS$30:$CA$38)),0)</f>
        <v>0</v>
      </c>
      <c r="BN58" s="3">
        <f t="array" aca="1" ref="BN58" ca="1">IF(V23=C23,SUM(IF(($BR$30:$BR$38=C23)*($BS$29:$CA$29=V$22),$BS$30:$CA$38)),0)</f>
        <v>0</v>
      </c>
      <c r="BO58" s="3">
        <f t="array" aca="1" ref="BO58" ca="1">IF(V23=C23,SUM(IF(($BR$30:$BR$38=C23)*($BS$29:$CA$29=V$24),$BS$30:$CA$38)),0)</f>
        <v>0</v>
      </c>
      <c r="BP58" s="15">
        <f t="array" aca="1" ref="BP58" ca="1">IF(V23=C23,SUM(IF(($BR$30:$BR$38=C23)*($BS$29:$CA$29=V$25),$BS$30:$CA$38)),0)</f>
        <v>0</v>
      </c>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2:80" s="2" customFormat="1" x14ac:dyDescent="0.2">
      <c r="E59" s="14">
        <f t="array" aca="1" ref="E59" ca="1">IF(O24=C24,SUM(IF(($BR$30:$BR$38=C24)*($BS$29:$CA$29=O$17),$BS$30:$CA$38)),0)</f>
        <v>0</v>
      </c>
      <c r="F59" s="3">
        <f t="array" aca="1" ref="F59" ca="1">IF(O24=C24,SUM(IF(($BR$30:$BR$38=C24)*($BS$29:$CA$29=O$18),$BS$30:$CA$38)),0)</f>
        <v>0</v>
      </c>
      <c r="G59" s="3">
        <f t="array" aca="1" ref="G59" ca="1">IF(O24=C24,SUM(IF(($BR$30:$BR$38=C24)*($BS$29:$CA$29=O$19),$BS$30:$CA$38)),0)</f>
        <v>0</v>
      </c>
      <c r="H59" s="3">
        <f t="array" aca="1" ref="H59" ca="1">IF(O24=C24,SUM(IF(($BR$30:$BR$38=C24)*($BS$29:$CA$29=O$20),$BS$30:$CA$38)),0)</f>
        <v>0</v>
      </c>
      <c r="I59" s="3">
        <f t="array" aca="1" ref="I59" ca="1">IF(O24=C24,SUM(IF(($BR$30:$BR$38=C24)*($BS$29:$CA$29=O$21),$BS$30:$CA$38)),0)</f>
        <v>0</v>
      </c>
      <c r="J59" s="3">
        <f t="array" aca="1" ref="J59" ca="1">IF(O24=C24,SUM(IF(($BR$30:$BR$38=C24)*($BS$29:$CA$29=O$22),$BS$30:$CA$38)),0)</f>
        <v>0</v>
      </c>
      <c r="K59" s="3">
        <f t="array" aca="1" ref="K59" ca="1">IF(O24=C24,SUM(IF(($BR$30:$BR$38=C24)*($BS$29:$CA$29=O$23),$BS$30:$CA$38)),0)</f>
        <v>0</v>
      </c>
      <c r="L59" s="3">
        <f t="array" aca="1" ref="L59" ca="1">IF(O24=C24,SUM(IF(($BR$30:$BR$38=C24)*($BS$29:$CA$29=O$25),$BS$30:$CA$38)),0)</f>
        <v>0</v>
      </c>
      <c r="M59" s="5">
        <f t="array" aca="1" ref="M59" ca="1">IF(P24=C24,SUM(IF(($BR$30:$BR$38=C24)*($BS$29:$CA$29=P$17),$BS$30:$CA$38)),0)</f>
        <v>0</v>
      </c>
      <c r="N59" s="3">
        <f t="array" aca="1" ref="N59" ca="1">IF(P24=C24,SUM(IF(($BR$30:$BR$38=C24)*($BS$29:$CA$29=P$18),$BS$30:$CA$38)),0)</f>
        <v>0</v>
      </c>
      <c r="O59" s="3">
        <f t="array" aca="1" ref="O59" ca="1">IF(P24=C24,SUM(IF(($BR$30:$BR$38=C24)*($BS$29:$CA$29=P$19),$BS$30:$CA$38)),0)</f>
        <v>0</v>
      </c>
      <c r="P59" s="3">
        <f t="array" aca="1" ref="P59" ca="1">IF(P24=C24,SUM(IF(($BR$30:$BR$38=C24)*($BS$29:$CA$29=P$20),$BS$30:$CA$38)),0)</f>
        <v>0</v>
      </c>
      <c r="Q59" s="3">
        <f t="array" aca="1" ref="Q59" ca="1">IF(P24=C24,SUM(IF(($BR$30:$BR$38=C24)*($BS$29:$CA$29=P$21),$BS$30:$CA$38)),0)</f>
        <v>0</v>
      </c>
      <c r="R59" s="3">
        <f t="array" aca="1" ref="R59" ca="1">IF(P24=C24,SUM(IF(($BR$30:$BR$38=C24)*($BS$29:$CA$29=P$22),$BS$30:$CA$38)),0)</f>
        <v>0</v>
      </c>
      <c r="S59" s="3">
        <f t="array" aca="1" ref="S59" ca="1">IF(P24=C24,SUM(IF(($BR$30:$BR$38=C24)*($BS$29:$CA$29=P$23),$BS$30:$CA$38)),0)</f>
        <v>0</v>
      </c>
      <c r="T59" s="3">
        <f t="array" aca="1" ref="T59" ca="1">IF(P24=C24,SUM(IF(($BR$30:$BR$38=C24)*($BS$29:$CA$29=P$25),$BS$30:$CA$38)),0)</f>
        <v>0</v>
      </c>
      <c r="U59" s="5">
        <f t="array" aca="1" ref="U59" ca="1">IF(Q24=C24,SUM(IF(($BR$30:$BR$38=C24)*($BS$29:$CA$29=Q$17),$BS$30:$CA$38)),0)</f>
        <v>0</v>
      </c>
      <c r="V59" s="3">
        <f t="array" aca="1" ref="V59" ca="1">IF(Q24=C24,SUM(IF(($BR$30:$BR$38=C24)*($BS$29:$CA$29=Q$18),$BS$30:$CA$38)),0)</f>
        <v>0</v>
      </c>
      <c r="W59" s="3">
        <f t="array" aca="1" ref="W59" ca="1">IF(Q24=C24,SUM(IF(($BR$30:$BR$38=C24)*($BS$29:$CA$29=Q$19),$BS$30:$CA$38)),0)</f>
        <v>0</v>
      </c>
      <c r="X59" s="3">
        <f t="array" aca="1" ref="X59" ca="1">IF(Q24=C24,SUM(IF(($BR$30:$BR$38=C24)*($BS$29:$CA$29=Q$20),$BS$30:$CA$38)),0)</f>
        <v>0</v>
      </c>
      <c r="Y59" s="3">
        <f t="array" aca="1" ref="Y59" ca="1">IF(Q24=C24,SUM(IF(($BR$30:$BR$38=C24)*($BS$29:$CA$29=Q$21),$BS$30:$CA$38)),0)</f>
        <v>0</v>
      </c>
      <c r="Z59" s="3">
        <f t="array" aca="1" ref="Z59" ca="1">IF(Q24=C24,SUM(IF(($BR$30:$BR$38=C24)*($BS$29:$CA$29=Q$22),$BS$30:$CA$38)),0)</f>
        <v>0</v>
      </c>
      <c r="AA59" s="3">
        <f t="array" aca="1" ref="AA59" ca="1">IF(Q24=C24,SUM(IF(($BR$30:$BR$38=C24)*($BS$29:$CA$29=Q$23),$BS$30:$CA$38)),0)</f>
        <v>0</v>
      </c>
      <c r="AB59" s="3">
        <f t="array" aca="1" ref="AB59" ca="1">IF(Q24=C24,SUM(IF(($BR$30:$BR$38=C24)*($BS$29:$CA$29=Q$25),$BS$30:$CA$38)),0)</f>
        <v>0</v>
      </c>
      <c r="AC59" s="5">
        <f t="array" aca="1" ref="AC59" ca="1">IF(R24=C24,SUM(IF(($BR$30:$BR$38=C24)*($BS$29:$CA$29=R$17),$BS$30:$CA$38)),0)</f>
        <v>0</v>
      </c>
      <c r="AD59" s="3">
        <f t="array" aca="1" ref="AD59" ca="1">IF(R24=C24,SUM(IF(($BR$30:$BR$38=C24)*($BS$29:$CA$29=R$18),$BS$30:$CA$38)),0)</f>
        <v>0</v>
      </c>
      <c r="AE59" s="3">
        <f t="array" aca="1" ref="AE59" ca="1">IF(R24=C24,SUM(IF(($BR$30:$BR$38=C24)*($BS$29:$CA$29=R$19),$BS$30:$CA$38)),0)</f>
        <v>0</v>
      </c>
      <c r="AF59" s="3">
        <f t="array" aca="1" ref="AF59" ca="1">IF(R24=C24,SUM(IF(($BR$30:$BR$38=C24)*($BS$29:$CA$29=R$20),$BS$30:$CA$38)),0)</f>
        <v>0</v>
      </c>
      <c r="AG59" s="3">
        <f t="array" aca="1" ref="AG59" ca="1">IF(R24=C24,SUM(IF(($BR$30:$BR$38=C24)*($BS$29:$CA$29=R$21),$BS$30:$CA$38)),0)</f>
        <v>0</v>
      </c>
      <c r="AH59" s="3">
        <f t="array" aca="1" ref="AH59" ca="1">IF(R24=C24,SUM(IF(($BR$30:$BR$38=C24)*($BS$29:$CA$29=R$22),$BS$30:$CA$38)),0)</f>
        <v>0</v>
      </c>
      <c r="AI59" s="3">
        <f t="array" aca="1" ref="AI59" ca="1">IF(R24=C24,SUM(IF(($BR$30:$BR$38=C24)*($BS$29:$CA$29=R$23),$BS$30:$CA$38)),0)</f>
        <v>0</v>
      </c>
      <c r="AJ59" s="3">
        <f t="array" aca="1" ref="AJ59" ca="1">IF(R24=C24,SUM(IF(($BR$30:$BR$38=C24)*($BS$29:$CA$29=R$25),$BS$30:$CA$38)),0)</f>
        <v>0</v>
      </c>
      <c r="AK59" s="5">
        <f t="array" aca="1" ref="AK59" ca="1">IF(S24=C24,SUM(IF(($BR$30:$BR$38=C24)*($BS$29:$CA$29=S$17),$BS$30:$CA$38)),0)</f>
        <v>0</v>
      </c>
      <c r="AL59" s="3">
        <f t="array" aca="1" ref="AL59" ca="1">IF(S24=C24,SUM(IF(($BR$30:$BR$38=C24)*($BS$29:$CA$29=S$18),$BS$30:$CA$38)),0)</f>
        <v>0</v>
      </c>
      <c r="AM59" s="3">
        <f t="array" aca="1" ref="AM59" ca="1">IF(S24=C24,SUM(IF(($BR$30:$BR$38=C24)*($BS$29:$CA$29=S$19),$BS$30:$CA$38)),0)</f>
        <v>0</v>
      </c>
      <c r="AN59" s="3">
        <f t="array" aca="1" ref="AN59" ca="1">IF(S24=C24,SUM(IF(($BR$30:$BR$38=C24)*($BS$29:$CA$29=S$20),$BS$30:$CA$38)),0)</f>
        <v>0</v>
      </c>
      <c r="AO59" s="3">
        <f t="array" aca="1" ref="AO59" ca="1">IF(S24=C24,SUM(IF(($BR$30:$BR$38=C24)*($BS$29:$CA$29=S$21),$BS$30:$CA$38)),0)</f>
        <v>0</v>
      </c>
      <c r="AP59" s="3">
        <f t="array" aca="1" ref="AP59" ca="1">IF(S24=C24,SUM(IF(($BR$30:$BR$38=C24)*($BS$29:$CA$29=S$22),$BS$30:$CA$38)),0)</f>
        <v>0</v>
      </c>
      <c r="AQ59" s="3">
        <f t="array" aca="1" ref="AQ59" ca="1">IF(S24=C24,SUM(IF(($BR$30:$BR$38=C24)*($BS$29:$CA$29=S$23),$BS$30:$CA$38)),0)</f>
        <v>0</v>
      </c>
      <c r="AR59" s="3">
        <f t="array" aca="1" ref="AR59" ca="1">IF(S24=C24,SUM(IF(($BR$30:$BR$38=C24)*($BS$29:$CA$29=S$25),$BS$30:$CA$38)),0)</f>
        <v>0</v>
      </c>
      <c r="AS59" s="5">
        <f t="array" aca="1" ref="AS59" ca="1">IF(T24=C24,SUM(IF(($BR$30:$BR$38=C24)*($BS$29:$CA$29=T$17),$BS$30:$CA$38)),0)</f>
        <v>0</v>
      </c>
      <c r="AT59" s="3">
        <f t="array" aca="1" ref="AT59" ca="1">IF(T24=C24,SUM(IF(($BR$30:$BR$38=C24)*($BS$29:$CA$29=T$18),$BS$30:$CA$38)),0)</f>
        <v>0</v>
      </c>
      <c r="AU59" s="3">
        <f t="array" aca="1" ref="AU59" ca="1">IF(T24=C24,SUM(IF(($BR$30:$BR$38=C24)*($BS$29:$CA$29=T$19),$BS$30:$CA$38)),0)</f>
        <v>0</v>
      </c>
      <c r="AV59" s="3">
        <f t="array" aca="1" ref="AV59" ca="1">IF(T24=C24,SUM(IF(($BR$30:$BR$38=C24)*($BS$29:$CA$29=T$20),$BS$30:$CA$38)),0)</f>
        <v>0</v>
      </c>
      <c r="AW59" s="3">
        <f t="array" aca="1" ref="AW59" ca="1">IF(T24=C24,SUM(IF(($BR$30:$BR$38=C24)*($BS$29:$CA$29=T$21),$BS$30:$CA$38)),0)</f>
        <v>0</v>
      </c>
      <c r="AX59" s="3">
        <f t="array" aca="1" ref="AX59" ca="1">IF(T24=C24,SUM(IF(($BR$30:$BR$38=C24)*($BS$29:$CA$29=T$22),$BS$30:$CA$38)),0)</f>
        <v>0</v>
      </c>
      <c r="AY59" s="3">
        <f t="array" aca="1" ref="AY59" ca="1">IF(T24=C24,SUM(IF(($BR$30:$BR$38=C24)*($BS$29:$CA$29=T$23),$BS$30:$CA$38)),0)</f>
        <v>0</v>
      </c>
      <c r="AZ59" s="3">
        <f t="array" aca="1" ref="AZ59" ca="1">IF(T24=C24,SUM(IF(($BR$30:$BR$38=C24)*($BS$29:$CA$29=T$25),$BS$30:$CA$38)),0)</f>
        <v>0</v>
      </c>
      <c r="BA59" s="5">
        <f t="array" aca="1" ref="BA59" ca="1">IF(U24=C24,SUM(IF(($BR$30:$BR$38=C24)*($BS$29:$CA$29=U$17),$BS$30:$CA$38)),0)</f>
        <v>0</v>
      </c>
      <c r="BB59" s="3">
        <f t="array" aca="1" ref="BB59" ca="1">IF(U24=C24,SUM(IF(($BR$30:$BR$38=C24)*($BS$29:$CA$29=U$18),$BS$30:$CA$38)),0)</f>
        <v>0</v>
      </c>
      <c r="BC59" s="3">
        <f t="array" aca="1" ref="BC59" ca="1">IF(U24=C24,SUM(IF(($BR$30:$BR$38=C24)*($BS$29:$CA$29=U$19),$BS$30:$CA$38)),0)</f>
        <v>0</v>
      </c>
      <c r="BD59" s="3">
        <f t="array" aca="1" ref="BD59" ca="1">IF(U24=C24,SUM(IF(($BR$30:$BR$38=C24)*($BS$29:$CA$29=U$20),$BS$30:$CA$38)),0)</f>
        <v>0</v>
      </c>
      <c r="BE59" s="3">
        <f t="array" aca="1" ref="BE59" ca="1">IF(U24=C24,SUM(IF(($BR$30:$BR$38=C24)*($BS$29:$CA$29=U$21),$BS$30:$CA$38)),0)</f>
        <v>0</v>
      </c>
      <c r="BF59" s="3">
        <f t="array" aca="1" ref="BF59" ca="1">IF(U24=C24,SUM(IF(($BR$30:$BR$38=C24)*($BS$29:$CA$29=U$22),$BS$30:$CA$38)),0)</f>
        <v>0</v>
      </c>
      <c r="BG59" s="3">
        <f t="array" aca="1" ref="BG59" ca="1">IF(U24=C24,SUM(IF(($BR$30:$BR$38=C24)*($BS$29:$CA$29=U$23),$BS$30:$CA$38)),0)</f>
        <v>0</v>
      </c>
      <c r="BH59" s="3">
        <f t="array" aca="1" ref="BH59" ca="1">IF(U24=C24,SUM(IF(($BR$30:$BR$38=C24)*($BS$29:$CA$29=U$25),$BS$30:$CA$38)),0)</f>
        <v>0</v>
      </c>
      <c r="BI59" s="5">
        <f t="array" aca="1" ref="BI59" ca="1">IF(V24=C24,SUM(IF(($BR$30:$BR$38=C24)*($BS$29:$CA$29=V$17),$BS$30:$CA$38)),0)</f>
        <v>0</v>
      </c>
      <c r="BJ59" s="3">
        <f t="array" aca="1" ref="BJ59" ca="1">IF(V24=C24,SUM(IF(($BR$30:$BR$38=C24)*($BS$29:$CA$29=V$18),$BS$30:$CA$38)),0)</f>
        <v>0</v>
      </c>
      <c r="BK59" s="3">
        <f t="array" aca="1" ref="BK59" ca="1">IF(V24=C24,SUM(IF(($BR$30:$BR$38=C24)*($BS$29:$CA$29=V$19),$BS$30:$CA$38)),0)</f>
        <v>0</v>
      </c>
      <c r="BL59" s="3">
        <f t="array" aca="1" ref="BL59" ca="1">IF(V24=C24,SUM(IF(($BR$30:$BR$38=C24)*($BS$29:$CA$29=V$20),$BS$30:$CA$38)),0)</f>
        <v>0</v>
      </c>
      <c r="BM59" s="3">
        <f t="array" aca="1" ref="BM59" ca="1">IF(V24=C24,SUM(IF(($BR$30:$BR$38=C24)*($BS$29:$CA$29=V$21),$BS$30:$CA$38)),0)</f>
        <v>0</v>
      </c>
      <c r="BN59" s="3">
        <f t="array" aca="1" ref="BN59" ca="1">IF(V24=C24,SUM(IF(($BR$30:$BR$38=C24)*($BS$29:$CA$29=V$22),$BS$30:$CA$38)),0)</f>
        <v>0</v>
      </c>
      <c r="BO59" s="3">
        <f t="array" aca="1" ref="BO59" ca="1">IF(V24=C24,SUM(IF(($BR$30:$BR$38=C24)*($BS$29:$CA$29=V$23),$BS$30:$CA$38)),0)</f>
        <v>0</v>
      </c>
      <c r="BP59" s="15">
        <f t="array" aca="1" ref="BP59" ca="1">IF(V24=C24,SUM(IF(($BR$30:$BR$38=C24)*($BS$29:$CA$29=V$25),$BS$30:$CA$38)),0)</f>
        <v>0</v>
      </c>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2:80" s="2" customFormat="1" ht="12.75" thickBot="1" x14ac:dyDescent="0.25">
      <c r="E60" s="16">
        <f t="array" aca="1" ref="E60" ca="1">IF(O25=C25,SUM(IF(($BR$30:$BR$38=C25)*($BS$29:$CA$29=O$17),$BS$30:$CA$38)),0)</f>
        <v>0</v>
      </c>
      <c r="F60" s="17">
        <f t="array" aca="1" ref="F60" ca="1">IF(O25=C25,SUM(IF(($BR$30:$BR$38=C25)*($BS$29:$CA$29=O$18),$BS$30:$CA$38)),0)</f>
        <v>0</v>
      </c>
      <c r="G60" s="17">
        <f t="array" aca="1" ref="G60" ca="1">IF(O25=C25,SUM(IF(($BR$30:$BR$38=C25)*($BS$29:$CA$29=O$19),$BS$30:$CA$38)),0)</f>
        <v>0</v>
      </c>
      <c r="H60" s="17">
        <f t="array" aca="1" ref="H60" ca="1">IF(O25=C25,SUM(IF(($BR$30:$BR$38=C25)*($BS$29:$CA$29=O$20),$BS$30:$CA$38)),0)</f>
        <v>0</v>
      </c>
      <c r="I60" s="17">
        <f t="array" aca="1" ref="I60" ca="1">IF(O25=C25,SUM(IF(($BR$30:$BR$38=C25)*($BS$29:$CA$29=O$21),$BS$30:$CA$38)),0)</f>
        <v>0</v>
      </c>
      <c r="J60" s="17">
        <f t="array" aca="1" ref="J60" ca="1">IF(O25=C25,SUM(IF(($BR$30:$BR$38=C25)*($BS$29:$CA$29=O$22),$BS$30:$CA$38)),0)</f>
        <v>0</v>
      </c>
      <c r="K60" s="17">
        <f t="array" aca="1" ref="K60" ca="1">IF(O25=C25,SUM(IF(($BR$30:$BR$38=C25)*($BS$29:$CA$29=O$23),$BS$30:$CA$38)),0)</f>
        <v>0</v>
      </c>
      <c r="L60" s="17">
        <f t="array" aca="1" ref="L60" ca="1">IF(O25=C25,SUM(IF(($BR$30:$BR$38=C25)*($BS$29:$CA$29=O$24),$BS$30:$CA$38)),0)</f>
        <v>0</v>
      </c>
      <c r="M60" s="18">
        <f t="array" aca="1" ref="M60" ca="1">IF(P25=C25,SUM(IF(($BR$30:$BR$38=C25)*($BS$29:$CA$29=P$17),$BS$30:$CA$38)),0)</f>
        <v>0</v>
      </c>
      <c r="N60" s="17">
        <f t="array" aca="1" ref="N60" ca="1">IF(P25=C25,SUM(IF(($BR$30:$BR$38=C25)*($BS$29:$CA$29=P$18),$BS$30:$CA$38)),0)</f>
        <v>0</v>
      </c>
      <c r="O60" s="17">
        <f t="array" aca="1" ref="O60" ca="1">IF(P25=C25,SUM(IF(($BR$30:$BR$38=C25)*($BS$29:$CA$29=P$19),$BS$30:$CA$38)),0)</f>
        <v>0</v>
      </c>
      <c r="P60" s="17">
        <f t="array" aca="1" ref="P60" ca="1">IF(P25=C25,SUM(IF(($BR$30:$BR$38=C25)*($BS$29:$CA$29=P$20),$BS$30:$CA$38)),0)</f>
        <v>0</v>
      </c>
      <c r="Q60" s="17">
        <f t="array" aca="1" ref="Q60" ca="1">IF(P25=C25,SUM(IF(($BR$30:$BR$38=C25)*($BS$29:$CA$29=P$21),$BS$30:$CA$38)),0)</f>
        <v>0</v>
      </c>
      <c r="R60" s="17">
        <f t="array" aca="1" ref="R60" ca="1">IF(P25=C25,SUM(IF(($BR$30:$BR$38=C25)*($BS$29:$CA$29=P$22),$BS$30:$CA$38)),0)</f>
        <v>0</v>
      </c>
      <c r="S60" s="17">
        <f t="array" aca="1" ref="S60" ca="1">IF(P25=C25,SUM(IF(($BR$30:$BR$38=C25)*($BS$29:$CA$29=P$23),$BS$30:$CA$38)),0)</f>
        <v>0</v>
      </c>
      <c r="T60" s="17">
        <f t="array" aca="1" ref="T60" ca="1">IF(P25=C25,SUM(IF(($BR$30:$BR$38=C25)*($BS$29:$CA$29=P$24),$BS$30:$CA$38)),0)</f>
        <v>0</v>
      </c>
      <c r="U60" s="18">
        <f t="array" aca="1" ref="U60" ca="1">IF(Q25=C25,SUM(IF(($BR$30:$BR$38=C25)*($BS$29:$CA$29=Q$17),$BS$30:$CA$38)),0)</f>
        <v>0</v>
      </c>
      <c r="V60" s="17">
        <f t="array" aca="1" ref="V60" ca="1">IF(Q25=C25,SUM(IF(($BR$30:$BR$38=C25)*($BS$29:$CA$29=Q$18),$BS$30:$CA$38)),0)</f>
        <v>0</v>
      </c>
      <c r="W60" s="17">
        <f t="array" aca="1" ref="W60" ca="1">IF(Q25=C25,SUM(IF(($BR$30:$BR$38=C25)*($BS$29:$CA$29=Q$19),$BS$30:$CA$38)),0)</f>
        <v>0</v>
      </c>
      <c r="X60" s="17">
        <f t="array" aca="1" ref="X60" ca="1">IF(Q25=C25,SUM(IF(($BR$30:$BR$38=C25)*($BS$29:$CA$29=Q$20),$BS$30:$CA$38)),0)</f>
        <v>0</v>
      </c>
      <c r="Y60" s="17">
        <f t="array" aca="1" ref="Y60" ca="1">IF(Q25=C25,SUM(IF(($BR$30:$BR$38=C25)*($BS$29:$CA$29=Q$21),$BS$30:$CA$38)),0)</f>
        <v>0</v>
      </c>
      <c r="Z60" s="17">
        <f t="array" aca="1" ref="Z60" ca="1">IF(Q25=C25,SUM(IF(($BR$30:$BR$38=C25)*($BS$29:$CA$29=Q$22),$BS$30:$CA$38)),0)</f>
        <v>0</v>
      </c>
      <c r="AA60" s="17">
        <f t="array" aca="1" ref="AA60" ca="1">IF(Q25=C25,SUM(IF(($BR$30:$BR$38=C25)*($BS$29:$CA$29=Q$23),$BS$30:$CA$38)),0)</f>
        <v>0</v>
      </c>
      <c r="AB60" s="17">
        <f t="array" aca="1" ref="AB60" ca="1">IF(Q25=C25,SUM(IF(($BR$30:$BR$38=C25)*($BS$29:$CA$29=Q$24),$BS$30:$CA$38)),0)</f>
        <v>0</v>
      </c>
      <c r="AC60" s="18">
        <f t="array" aca="1" ref="AC60" ca="1">IF(R25=C25,SUM(IF(($BR$30:$BR$38=C25)*($BS$29:$CA$29=R$17),$BS$30:$CA$38)),0)</f>
        <v>0</v>
      </c>
      <c r="AD60" s="17">
        <f t="array" aca="1" ref="AD60" ca="1">IF(R25=C25,SUM(IF(($BR$30:$BR$38=C25)*($BS$29:$CA$29=R$18),$BS$30:$CA$38)),0)</f>
        <v>0</v>
      </c>
      <c r="AE60" s="17">
        <f t="array" aca="1" ref="AE60" ca="1">IF(R25=C25,SUM(IF(($BR$30:$BR$38=C25)*($BS$29:$CA$29=R$19),$BS$30:$CA$38)),0)</f>
        <v>0</v>
      </c>
      <c r="AF60" s="17">
        <f t="array" aca="1" ref="AF60" ca="1">IF(R25=C25,SUM(IF(($BR$30:$BR$38=C25)*($BS$29:$CA$29=R$20),$BS$30:$CA$38)),0)</f>
        <v>0</v>
      </c>
      <c r="AG60" s="17">
        <f t="array" aca="1" ref="AG60" ca="1">IF(R25=C25,SUM(IF(($BR$30:$BR$38=C25)*($BS$29:$CA$29=R$21),$BS$30:$CA$38)),0)</f>
        <v>0</v>
      </c>
      <c r="AH60" s="17">
        <f t="array" aca="1" ref="AH60" ca="1">IF(R25=C25,SUM(IF(($BR$30:$BR$38=C25)*($BS$29:$CA$29=R$22),$BS$30:$CA$38)),0)</f>
        <v>0</v>
      </c>
      <c r="AI60" s="17">
        <f t="array" aca="1" ref="AI60" ca="1">IF(R25=C25,SUM(IF(($BR$30:$BR$38=C25)*($BS$29:$CA$29=R$23),$BS$30:$CA$38)),0)</f>
        <v>0</v>
      </c>
      <c r="AJ60" s="17">
        <f t="array" aca="1" ref="AJ60" ca="1">IF(R25=C25,SUM(IF(($BR$30:$BR$38=C25)*($BS$29:$CA$29=R$24),$BS$30:$CA$38)),0)</f>
        <v>0</v>
      </c>
      <c r="AK60" s="18">
        <f t="array" aca="1" ref="AK60" ca="1">IF(S25=C25,SUM(IF(($BR$30:$BR$38=C25)*($BS$29:$CA$29=S$17),$BS$30:$CA$38)),0)</f>
        <v>0</v>
      </c>
      <c r="AL60" s="17">
        <f t="array" aca="1" ref="AL60" ca="1">IF(S25=C25,SUM(IF(($BR$30:$BR$38=C25)*($BS$29:$CA$29=S$18),$BS$30:$CA$38)),0)</f>
        <v>0</v>
      </c>
      <c r="AM60" s="17">
        <f t="array" aca="1" ref="AM60" ca="1">IF(S25=C25,SUM(IF(($BR$30:$BR$38=C25)*($BS$29:$CA$29=S$19),$BS$30:$CA$38)),0)</f>
        <v>0</v>
      </c>
      <c r="AN60" s="17">
        <f t="array" aca="1" ref="AN60" ca="1">IF(S25=C25,SUM(IF(($BR$30:$BR$38=C25)*($BS$29:$CA$29=S$20),$BS$30:$CA$38)),0)</f>
        <v>0</v>
      </c>
      <c r="AO60" s="17">
        <f t="array" aca="1" ref="AO60" ca="1">IF(S25=C25,SUM(IF(($BR$30:$BR$38=C25)*($BS$29:$CA$29=S$21),$BS$30:$CA$38)),0)</f>
        <v>0</v>
      </c>
      <c r="AP60" s="17">
        <f t="array" aca="1" ref="AP60" ca="1">IF(S25=C25,SUM(IF(($BR$30:$BR$38=C25)*($BS$29:$CA$29=S$22),$BS$30:$CA$38)),0)</f>
        <v>0</v>
      </c>
      <c r="AQ60" s="17">
        <f t="array" aca="1" ref="AQ60" ca="1">IF(S25=C25,SUM(IF(($BR$30:$BR$38=C25)*($BS$29:$CA$29=S$23),$BS$30:$CA$38)),0)</f>
        <v>0</v>
      </c>
      <c r="AR60" s="17">
        <f t="array" aca="1" ref="AR60" ca="1">IF(S25=C25,SUM(IF(($BR$30:$BR$38=C25)*($BS$29:$CA$29=S$24),$BS$30:$CA$38)),0)</f>
        <v>0</v>
      </c>
      <c r="AS60" s="18">
        <f t="array" aca="1" ref="AS60" ca="1">IF(T25=C25,SUM(IF(($BR$30:$BR$38=C25)*($BS$29:$CA$29=T$17),$BS$30:$CA$38)),0)</f>
        <v>0</v>
      </c>
      <c r="AT60" s="17">
        <f t="array" aca="1" ref="AT60" ca="1">IF(T25=C25,SUM(IF(($BR$30:$BR$38=C25)*($BS$29:$CA$29=T$18),$BS$30:$CA$38)),0)</f>
        <v>0</v>
      </c>
      <c r="AU60" s="17">
        <f t="array" aca="1" ref="AU60" ca="1">IF(T25=C25,SUM(IF(($BR$30:$BR$38=C25)*($BS$29:$CA$29=T$19),$BS$30:$CA$38)),0)</f>
        <v>0</v>
      </c>
      <c r="AV60" s="17">
        <f t="array" aca="1" ref="AV60" ca="1">IF(T25=C25,SUM(IF(($BR$30:$BR$38=C25)*($BS$29:$CA$29=T$20),$BS$30:$CA$38)),0)</f>
        <v>0</v>
      </c>
      <c r="AW60" s="17">
        <f t="array" aca="1" ref="AW60" ca="1">IF(T25=C25,SUM(IF(($BR$30:$BR$38=C25)*($BS$29:$CA$29=T$21),$BS$30:$CA$38)),0)</f>
        <v>0</v>
      </c>
      <c r="AX60" s="17">
        <f t="array" aca="1" ref="AX60" ca="1">IF(T25=C25,SUM(IF(($BR$30:$BR$38=C25)*($BS$29:$CA$29=T$22),$BS$30:$CA$38)),0)</f>
        <v>0</v>
      </c>
      <c r="AY60" s="17">
        <f t="array" aca="1" ref="AY60" ca="1">IF(T25=C25,SUM(IF(($BR$30:$BR$38=C25)*($BS$29:$CA$29=T$23),$BS$30:$CA$38)),0)</f>
        <v>0</v>
      </c>
      <c r="AZ60" s="17">
        <f t="array" aca="1" ref="AZ60" ca="1">IF(T25=C25,SUM(IF(($BR$30:$BR$38=C25)*($BS$29:$CA$29=T$24),$BS$30:$CA$38)),0)</f>
        <v>0</v>
      </c>
      <c r="BA60" s="18">
        <f t="array" aca="1" ref="BA60" ca="1">IF(U25=C25,SUM(IF(($BR$30:$BR$38=C25)*($BS$29:$CA$29=U$17),$BS$30:$CA$38)),0)</f>
        <v>0</v>
      </c>
      <c r="BB60" s="17">
        <f t="array" aca="1" ref="BB60" ca="1">IF(U25=C25,SUM(IF(($BR$30:$BR$38=C25)*($BS$29:$CA$29=U$18),$BS$30:$CA$38)),0)</f>
        <v>0</v>
      </c>
      <c r="BC60" s="17">
        <f t="array" aca="1" ref="BC60" ca="1">IF(U25=C25,SUM(IF(($BR$30:$BR$38=C25)*($BS$29:$CA$29=U$19),$BS$30:$CA$38)),0)</f>
        <v>0</v>
      </c>
      <c r="BD60" s="17">
        <f t="array" aca="1" ref="BD60" ca="1">IF(U25=C25,SUM(IF(($BR$30:$BR$38=C25)*($BS$29:$CA$29=U$20),$BS$30:$CA$38)),0)</f>
        <v>0</v>
      </c>
      <c r="BE60" s="17">
        <f t="array" aca="1" ref="BE60" ca="1">IF(U25=C25,SUM(IF(($BR$30:$BR$38=C25)*($BS$29:$CA$29=U$21),$BS$30:$CA$38)),0)</f>
        <v>0</v>
      </c>
      <c r="BF60" s="17">
        <f t="array" aca="1" ref="BF60" ca="1">IF(U25=C25,SUM(IF(($BR$30:$BR$38=C25)*($BS$29:$CA$29=U$22),$BS$30:$CA$38)),0)</f>
        <v>0</v>
      </c>
      <c r="BG60" s="17">
        <f t="array" aca="1" ref="BG60" ca="1">IF(U25=C25,SUM(IF(($BR$30:$BR$38=C25)*($BS$29:$CA$29=U$23),$BS$30:$CA$38)),0)</f>
        <v>0</v>
      </c>
      <c r="BH60" s="17">
        <f t="array" aca="1" ref="BH60" ca="1">IF(U25=C25,SUM(IF(($BR$30:$BR$38=C25)*($BS$29:$CA$29=U$24),$BS$30:$CA$38)),0)</f>
        <v>0</v>
      </c>
      <c r="BI60" s="18">
        <f t="array" aca="1" ref="BI60" ca="1">IF(V25=C25,SUM(IF(($BR$30:$BR$38=C25)*($BS$29:$CA$29=V$17),$BS$30:$CA$38)),0)</f>
        <v>0</v>
      </c>
      <c r="BJ60" s="17">
        <f t="array" aca="1" ref="BJ60" ca="1">IF(V25=C25,SUM(IF(($BR$30:$BR$38=C25)*($BS$29:$CA$29=V$18),$BS$30:$CA$38)),0)</f>
        <v>0</v>
      </c>
      <c r="BK60" s="17">
        <f t="array" aca="1" ref="BK60" ca="1">IF(V25=C25,SUM(IF(($BR$30:$BR$38=C25)*($BS$29:$CA$29=V$19),$BS$30:$CA$38)),0)</f>
        <v>0</v>
      </c>
      <c r="BL60" s="17">
        <f t="array" aca="1" ref="BL60" ca="1">IF(V25=C25,SUM(IF(($BR$30:$BR$38=C25)*($BS$29:$CA$29=V$20),$BS$30:$CA$38)),0)</f>
        <v>0</v>
      </c>
      <c r="BM60" s="17">
        <f t="array" aca="1" ref="BM60" ca="1">IF(V25=C25,SUM(IF(($BR$30:$BR$38=C25)*($BS$29:$CA$29=V$21),$BS$30:$CA$38)),0)</f>
        <v>0</v>
      </c>
      <c r="BN60" s="17">
        <f t="array" aca="1" ref="BN60" ca="1">IF(V25=C25,SUM(IF(($BR$30:$BR$38=C25)*($BS$29:$CA$29=V$22),$BS$30:$CA$38)),0)</f>
        <v>0</v>
      </c>
      <c r="BO60" s="17">
        <f t="array" aca="1" ref="BO60" ca="1">IF(V25=C25,SUM(IF(($BR$30:$BR$38=C25)*($BS$29:$CA$29=V$23),$BS$30:$CA$38)),0)</f>
        <v>0</v>
      </c>
      <c r="BP60" s="19">
        <f t="array" aca="1" ref="BP60" ca="1">IF(V25=C25,SUM(IF(($BR$30:$BR$38=C25)*($BS$29:$CA$29=V$24),$BS$30:$CA$38)),0)</f>
        <v>0</v>
      </c>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2:80" s="2" customFormat="1" ht="12.75" thickTop="1" x14ac:dyDescent="0.2">
      <c r="AC61" s="3"/>
      <c r="AD61" s="3"/>
      <c r="AE61" s="3"/>
      <c r="AF61" s="3"/>
      <c r="AG61" s="3"/>
      <c r="AH61" s="3"/>
      <c r="AI61" s="3"/>
      <c r="AJ61" s="3"/>
      <c r="AK61" s="3"/>
      <c r="AL61" s="3"/>
      <c r="AM61" s="3"/>
      <c r="AN61" s="3"/>
      <c r="AO61" s="3"/>
      <c r="AP61" s="3"/>
      <c r="AQ61" s="3"/>
      <c r="AR61" s="3"/>
    </row>
    <row r="62" spans="2:80" s="2" customFormat="1" x14ac:dyDescent="0.2">
      <c r="AC62" s="3"/>
      <c r="AD62" s="3"/>
      <c r="AE62" s="3"/>
      <c r="AF62" s="3"/>
      <c r="AG62" s="3"/>
      <c r="AH62" s="3"/>
      <c r="AI62" s="3"/>
      <c r="AJ62" s="3"/>
      <c r="AK62" s="3"/>
      <c r="AL62" s="3"/>
      <c r="AM62" s="3"/>
      <c r="AN62" s="3"/>
      <c r="AO62" s="3"/>
      <c r="AP62" s="3"/>
      <c r="AQ62" s="3"/>
      <c r="AR62" s="3"/>
    </row>
    <row r="63" spans="2: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2:80" s="2" customFormat="1" ht="14.25" thickTop="1" thickBot="1" x14ac:dyDescent="0.25">
      <c r="F64" s="192">
        <v>1000000</v>
      </c>
      <c r="G64" s="193" t="s">
        <v>110</v>
      </c>
      <c r="P64" s="44" t="s">
        <v>6</v>
      </c>
      <c r="Q64" s="59" t="str">
        <f ca="1">IF(PreliminaryRound!$R$16="","",PreliminaryRound!$R$16)</f>
        <v>1. FC Riedwald</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IF(PreliminaryRound!$R$26="","",PreliminaryRound!$R$26)</f>
        <v>Manchester City</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IF(PreliminaryRound!$R$36="","",PreliminaryRound!$R$36)</f>
        <v>FSV Rauen</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11.004</v>
      </c>
      <c r="E4" s="266">
        <f ca="1">IF($AI$15,RANK(AH17,AH$17:AH$25,1),RANK(X17,X$17:X$25,1))</f>
        <v>1</v>
      </c>
      <c r="F4" s="1" t="str">
        <f ca="1">$Q64</f>
        <v/>
      </c>
      <c r="G4" s="1">
        <f ca="1">SUMIFS($X$64:$X$135,$V$64:$V$135,$F4)+SUMIFS($Y$64:$Y$135,$W$64:$W$135,$F4)+SUMIFS($AG$64:$AG$135,$V$64:$V$135,$F4)+SUMIFS($AH$64:$AH$135,$W$64:$W$135,$F4)</f>
        <v>0</v>
      </c>
      <c r="H4" s="1">
        <f ca="1">SUMIFS($Y$64:$Y$135,$V$64:$V$135,$F4)+SUMIFS($X$64:$X$135,$W$64:$W$135,$F4)+SUMIFS($AH$64:$AH$135,$V$64:$V$135,$F4)+SUMIFS($AG$64:$AG$135,$W$64:$W$135,$F4)</f>
        <v>0</v>
      </c>
      <c r="I4" s="12">
        <f ca="1">IF(Settings!$G$7,G4-H4,IF(H4=0,IF(G4=0,0,Settings!$F$7),G4/H4))</f>
        <v>0</v>
      </c>
      <c r="J4" s="1">
        <f ca="1">SUMPRODUCT(($V$64:$V$135=F4)*$AE$64:$AE$135*$AA$64:$AA$135)+SUMPRODUCT(($W$64:$W$135=F4)*$AF$64:$AF$135*$AA$64:$AA$135)</f>
        <v>0</v>
      </c>
      <c r="K4" s="1">
        <f ca="1">SUMPRODUCT(($V$64:$V$135=F4)*$AA$64:$AA$135)+SUMPRODUCT(($W$64:$W$135=F4)*$AA$64:$AA$135)</f>
        <v>0</v>
      </c>
      <c r="L4" s="1">
        <f ca="1">K4-M4-N4</f>
        <v>0</v>
      </c>
      <c r="M4" s="1">
        <f ca="1">SUMPRODUCT(($V$64:$W$135=F4)*($AE$64:$AE$135=$AF$64:$AF$135)*$AA$64:$AA$135)</f>
        <v>0</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0</v>
      </c>
    </row>
    <row r="5" spans="1:44" s="2" customFormat="1" x14ac:dyDescent="0.2">
      <c r="A5" s="254"/>
      <c r="B5" s="1">
        <v>2</v>
      </c>
      <c r="C5" s="21">
        <f t="shared" ref="C5:C12" ca="1" si="0">RANK(D5,$D$4:$D$12,1)</f>
        <v>2</v>
      </c>
      <c r="D5" s="12">
        <f t="shared" ref="D5:D12" ca="1" si="1">E5+ROW()/1000+(F5="")*10</f>
        <v>11.004999999999999</v>
      </c>
      <c r="E5" s="266">
        <f t="shared" ref="E5:E12" ca="1" si="2">IF($AI$15,RANK(AH18,AH$17:AH$25,1),RANK(X18,X$17:X$25,1))</f>
        <v>1</v>
      </c>
      <c r="F5" s="1" t="str">
        <f t="shared" ref="F5:F12" ca="1" si="3">$Q65</f>
        <v/>
      </c>
      <c r="G5" s="1">
        <f t="shared" ref="G5:G12" ca="1" si="4">SUMIFS($X$64:$X$135,$V$64:$V$135,$F5)+SUMIFS($Y$64:$Y$135,$W$64:$W$135,$F5)+SUMIFS($AG$64:$AG$135,$V$64:$V$135,$F5)+SUMIFS($AH$64:$AH$135,$W$64:$W$135,$F5)</f>
        <v>0</v>
      </c>
      <c r="H5" s="1">
        <f t="shared" ref="H5:H12" ca="1" si="5">SUMIFS($Y$64:$Y$135,$V$64:$V$135,$F5)+SUMIFS($X$64:$X$135,$W$64:$W$135,$F5)+SUMIFS($AH$64:$AH$135,$V$64:$V$135,$F5)+SUMIFS($AG$64:$AG$135,$W$64:$W$135,$F5)</f>
        <v>0</v>
      </c>
      <c r="I5" s="12">
        <f ca="1">IF(Settings!$G$7,G5-H5,IF(H5=0,IF(G5=0,0,Settings!$F$7),G5/H5))</f>
        <v>0</v>
      </c>
      <c r="J5" s="1">
        <f t="shared" ref="J5:J12" ca="1" si="6">SUMPRODUCT(($V$64:$V$135=F5)*$AE$64:$AE$135*$AA$64:$AA$135)+SUMPRODUCT(($W$64:$W$135=F5)*$AF$64:$AF$135*$AA$64:$AA$135)</f>
        <v>0</v>
      </c>
      <c r="K5" s="1">
        <f t="shared" ref="K5:K12" ca="1" si="7">SUMPRODUCT(($V$64:$V$135=F5)*$AA$64:$AA$135)+SUMPRODUCT(($W$64:$W$135=F5)*$AA$64:$AA$135)</f>
        <v>0</v>
      </c>
      <c r="L5" s="1">
        <f t="shared" ref="L5:L12" ca="1" si="8">K5-M5-N5</f>
        <v>0</v>
      </c>
      <c r="M5" s="1">
        <f t="shared" ref="M5:M12" ca="1" si="9">SUMPRODUCT(($V$64:$W$135=F5)*($AE$64:$AE$135=$AF$64:$AF$135)*$AA$64:$AA$135)</f>
        <v>0</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0</v>
      </c>
    </row>
    <row r="6" spans="1:44" s="2" customFormat="1" x14ac:dyDescent="0.2">
      <c r="A6" s="254"/>
      <c r="B6" s="1">
        <v>3</v>
      </c>
      <c r="C6" s="21">
        <f t="shared" ca="1" si="0"/>
        <v>3</v>
      </c>
      <c r="D6" s="12">
        <f t="shared" ca="1" si="1"/>
        <v>11.006</v>
      </c>
      <c r="E6" s="266">
        <f t="shared" ca="1" si="2"/>
        <v>1</v>
      </c>
      <c r="F6" s="1" t="str">
        <f t="shared" ca="1" si="3"/>
        <v/>
      </c>
      <c r="G6" s="1">
        <f t="shared" ca="1" si="4"/>
        <v>0</v>
      </c>
      <c r="H6" s="1">
        <f t="shared" ca="1" si="5"/>
        <v>0</v>
      </c>
      <c r="I6" s="12">
        <f ca="1">IF(Settings!$G$7,G6-H6,IF(H6=0,IF(G6=0,0,Settings!$F$7),G6/H6))</f>
        <v>0</v>
      </c>
      <c r="J6" s="1">
        <f t="shared" ca="1" si="6"/>
        <v>0</v>
      </c>
      <c r="K6" s="1">
        <f t="shared" ca="1" si="7"/>
        <v>0</v>
      </c>
      <c r="L6" s="1">
        <f t="shared" ca="1" si="8"/>
        <v>0</v>
      </c>
      <c r="M6" s="1">
        <f t="shared" ca="1" si="9"/>
        <v>0</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0</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0</v>
      </c>
      <c r="C13" s="12"/>
      <c r="D13" s="12"/>
      <c r="E13" s="12"/>
      <c r="F13" s="12">
        <f ca="1">9-COUNTBLANK($F$4:$F$12)</f>
        <v>0</v>
      </c>
      <c r="G13" s="12"/>
      <c r="H13" s="12"/>
      <c r="I13" s="12"/>
      <c r="J13" s="12"/>
      <c r="K13" s="27">
        <f ca="1">QUOTIENT(SUM(K4:K12),2)</f>
        <v>0</v>
      </c>
      <c r="L13" s="1"/>
      <c r="M13" s="1"/>
      <c r="N13" s="1"/>
      <c r="O13" s="1"/>
      <c r="P13" s="1"/>
      <c r="Q13" s="1"/>
      <c r="R13" s="1"/>
      <c r="S13" s="1"/>
      <c r="T13" s="1"/>
      <c r="U13" s="1"/>
      <c r="V13" s="1"/>
      <c r="Y13" s="1"/>
      <c r="Z13" s="1"/>
    </row>
    <row r="14" spans="1:44" s="2" customFormat="1" x14ac:dyDescent="0.2">
      <c r="B14" s="13">
        <f ca="1">MAX($B$13,Calc2!$B$13,Calc3!$B$13)/2*3</f>
        <v>30</v>
      </c>
      <c r="D14" s="1" t="s">
        <v>272</v>
      </c>
      <c r="F14" s="13">
        <f ca="1">MAX($F$13,Calc2!$F$13,Calc3!$F$13)</f>
        <v>5</v>
      </c>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26" t="s">
        <v>97</v>
      </c>
      <c r="D16" s="26" t="s">
        <v>103</v>
      </c>
      <c r="E16" s="26" t="s">
        <v>104</v>
      </c>
      <c r="F16" s="26" t="s">
        <v>105</v>
      </c>
      <c r="G16" s="26" t="s">
        <v>106</v>
      </c>
      <c r="H16" s="26" t="s">
        <v>107</v>
      </c>
      <c r="I16" s="26" t="s">
        <v>108</v>
      </c>
      <c r="J16" s="26" t="s">
        <v>109</v>
      </c>
      <c r="K16" s="26" t="s">
        <v>110</v>
      </c>
      <c r="L16" s="10" t="s">
        <v>111</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t="s">
        <v>107</v>
      </c>
      <c r="AD16" s="261" t="s">
        <v>110</v>
      </c>
      <c r="AE16" s="265" t="s">
        <v>182</v>
      </c>
      <c r="AF16" s="1" t="s">
        <v>182</v>
      </c>
      <c r="AG16" s="1" t="s">
        <v>183</v>
      </c>
      <c r="AH16" s="191" t="s">
        <v>170</v>
      </c>
    </row>
    <row r="17" spans="2:80" s="2" customFormat="1" ht="12.75" thickTop="1" x14ac:dyDescent="0.2">
      <c r="C17" s="2" t="str">
        <f ca="1">$Q64</f>
        <v/>
      </c>
      <c r="D17" s="1">
        <f t="shared" ref="D17:G25" ca="1" si="11">K4</f>
        <v>0</v>
      </c>
      <c r="E17" s="1">
        <f t="shared" ca="1" si="11"/>
        <v>0</v>
      </c>
      <c r="F17" s="1">
        <f t="shared" ca="1" si="11"/>
        <v>0</v>
      </c>
      <c r="G17" s="1">
        <f t="shared" ca="1" si="11"/>
        <v>0</v>
      </c>
      <c r="H17" s="1">
        <f t="shared" ref="H17:K25" ca="1" si="12">G4</f>
        <v>0</v>
      </c>
      <c r="I17" s="1">
        <f t="shared" ca="1" si="12"/>
        <v>0</v>
      </c>
      <c r="J17" s="12">
        <f t="shared" ca="1" si="12"/>
        <v>0</v>
      </c>
      <c r="K17" s="1">
        <f t="shared" ca="1" si="12"/>
        <v>0</v>
      </c>
      <c r="L17" s="29">
        <f t="shared" ref="L17:L25" ca="1" si="13">K17*$F$64+(J17+$H$65)*$F$65+H17*$F$66</f>
        <v>500000</v>
      </c>
      <c r="M17" s="13">
        <f ca="1">IF($AI$15,COUNTIF($K$17:$K$25,K17),COUNTIF($L$17:$L$25,L17))</f>
        <v>9</v>
      </c>
      <c r="N17" s="13">
        <f t="array" aca="1" ref="N17" ca="1">IF($AI$15,SUM(($K$17:$K$25&gt;=K17)/COUNTIF($K$17:$K$25,$K$17:$K$25)),SUM(($L$17:$L$25&gt;=L17)/COUNTIF($L$17:$L$25,$L$17:$L$25)))</f>
        <v>1.0000000000000002</v>
      </c>
      <c r="O17" s="52" t="str">
        <f t="shared" ref="O17:O25" ca="1" si="14">IF(AND(M17&gt;1,N17=1),C17,"")</f>
        <v/>
      </c>
      <c r="P17" s="53" t="str">
        <f t="shared" ref="P17:P25" ca="1" si="15">IF(AND(M17&gt;1,N17=2),C17,"")</f>
        <v/>
      </c>
      <c r="Q17" s="53" t="str">
        <f t="shared" ref="Q17:Q25" ca="1" si="16">IF(AND(M17&gt;1,N17=3),C17,"")</f>
        <v/>
      </c>
      <c r="R17" s="53" t="str">
        <f t="shared" ref="R17:R25" ca="1" si="17">IF(AND(M17&gt;1,N17=4),C17,"")</f>
        <v/>
      </c>
      <c r="S17" s="53" t="str">
        <f t="shared" ref="S17:S25" ca="1" si="18">IF(AND(M17&gt;1,N17=5),C17,"")</f>
        <v/>
      </c>
      <c r="T17" s="53" t="str">
        <f t="shared" ref="T17:T25" ca="1" si="19">IF(AND($M17&gt;1,$N17=6),$C17,"")</f>
        <v/>
      </c>
      <c r="U17" s="53" t="str">
        <f t="shared" ref="U17:U25" ca="1" si="20">IF(AND($M17&gt;1,$N17=7),$C17,"")</f>
        <v/>
      </c>
      <c r="V17" s="54" t="str">
        <f t="shared" ref="V17:V25" ca="1" si="21">IF(AND($M17&gt;1,$N17=8),$C17,"")</f>
        <v/>
      </c>
      <c r="W17" s="62">
        <f ca="1">AA17*$F$64+(AB17+$H$65)*$F$65+AC17*$F$66</f>
        <v>500000</v>
      </c>
      <c r="X17" s="20">
        <f ca="1">RANK($L17,$L$17:$L$25)+RANK($W17,$W$17:$W$25)/100+(9-$Y17)/10000</f>
        <v>1.0108999999999999</v>
      </c>
      <c r="Y17" s="12">
        <v>0</v>
      </c>
      <c r="Z17" s="1">
        <f ca="1">RANK($W17,$W$17:$W$25)+(9-$Y17)/10</f>
        <v>1.9</v>
      </c>
      <c r="AA17" s="1">
        <f ca="1">SUM(E30:BP30)</f>
        <v>0</v>
      </c>
      <c r="AB17" s="1">
        <f ca="1">SUM(E41:BP41)</f>
        <v>0</v>
      </c>
      <c r="AC17" s="1">
        <f ca="1">SUM(E52:BP52)</f>
        <v>0</v>
      </c>
      <c r="AD17" s="260">
        <f ca="1">RANK($K17,$K$17:$K$25)</f>
        <v>1</v>
      </c>
      <c r="AE17" s="29">
        <f t="shared" ref="AE17:AE22" ca="1" si="22">(J17+$H$65)*$F$65+H17*$F$66</f>
        <v>500000</v>
      </c>
      <c r="AF17" s="1">
        <f ca="1">RANK($AE17,$AE$17:$AE$25)</f>
        <v>1</v>
      </c>
      <c r="AG17" s="1">
        <f ca="1">RANK($W17,$W$17:$W$25)</f>
        <v>1</v>
      </c>
      <c r="AH17" s="262">
        <f ca="1">AD17+AG17/100+AF17/10000+(10-Y17)/1000000</f>
        <v>1.0101100000000001</v>
      </c>
      <c r="AI17" s="1"/>
    </row>
    <row r="18" spans="2:80" s="2" customFormat="1" x14ac:dyDescent="0.2">
      <c r="C18" s="2" t="str">
        <f t="shared" ref="C18:C25" ca="1" si="23">$Q65</f>
        <v/>
      </c>
      <c r="D18" s="1">
        <f t="shared" ca="1" si="11"/>
        <v>0</v>
      </c>
      <c r="E18" s="1">
        <f t="shared" ca="1" si="11"/>
        <v>0</v>
      </c>
      <c r="F18" s="1">
        <f t="shared" ca="1" si="11"/>
        <v>0</v>
      </c>
      <c r="G18" s="1">
        <f t="shared" ca="1" si="11"/>
        <v>0</v>
      </c>
      <c r="H18" s="1">
        <f t="shared" ca="1" si="12"/>
        <v>0</v>
      </c>
      <c r="I18" s="1">
        <f t="shared" ca="1" si="12"/>
        <v>0</v>
      </c>
      <c r="J18" s="12">
        <f t="shared" ca="1" si="12"/>
        <v>0</v>
      </c>
      <c r="K18" s="1">
        <f t="shared" ca="1" si="12"/>
        <v>0</v>
      </c>
      <c r="L18" s="29">
        <f t="shared" ca="1" si="13"/>
        <v>500000</v>
      </c>
      <c r="M18" s="13">
        <f t="shared" ref="M18:M25" ca="1" si="24">IF($AI$15,COUNTIF($K$17:$K$25,K18),COUNTIF($L$17:$L$25,L18))</f>
        <v>9</v>
      </c>
      <c r="N18" s="13">
        <f t="array" aca="1" ref="N18" ca="1">IF($AI$15,SUM(($K$17:$K$25&gt;=K18)/COUNTIF($K$17:$K$25,$K$17:$K$25)),SUM(($L$17:$L$25&gt;=L18)/COUNTIF($L$17:$L$25,$L$17:$L$25)))</f>
        <v>1.0000000000000002</v>
      </c>
      <c r="O18" s="5" t="str">
        <f t="shared" ca="1" si="14"/>
        <v/>
      </c>
      <c r="P18" s="3" t="str">
        <f t="shared" ca="1" si="15"/>
        <v/>
      </c>
      <c r="Q18" s="3" t="str">
        <f t="shared" ca="1" si="16"/>
        <v/>
      </c>
      <c r="R18" s="3" t="str">
        <f t="shared" ca="1" si="17"/>
        <v/>
      </c>
      <c r="S18" s="3" t="str">
        <f t="shared" ca="1" si="18"/>
        <v/>
      </c>
      <c r="T18" s="3" t="str">
        <f t="shared" ca="1" si="19"/>
        <v/>
      </c>
      <c r="U18" s="3" t="str">
        <f t="shared" ca="1" si="20"/>
        <v/>
      </c>
      <c r="V18" s="55" t="str">
        <f t="shared" ca="1" si="21"/>
        <v/>
      </c>
      <c r="W18" s="62">
        <f ca="1">AA18*$F$64+(AB18+$H$65)*$F$65+AC18*$F$66</f>
        <v>500000</v>
      </c>
      <c r="X18" s="21">
        <f t="shared" ref="X18:X25" ca="1" si="25">RANK($L18,$L$17:$L$25)+RANK($W18,$W$17:$W$25)/100+(9-$Y18)/10000</f>
        <v>1.0108999999999999</v>
      </c>
      <c r="Y18" s="12">
        <v>0</v>
      </c>
      <c r="Z18" s="1">
        <f t="shared" ref="Z18:Z25" ca="1" si="26">RANK($W18,$W$17:$W$25)+(9-$Y18)/10</f>
        <v>1.9</v>
      </c>
      <c r="AA18" s="1">
        <f t="shared" ref="AA18:AA25" ca="1" si="27">SUM(E31:BP31)</f>
        <v>0</v>
      </c>
      <c r="AB18" s="1">
        <f t="shared" ref="AB18:AB25" ca="1" si="28">SUM(E42:BP42)</f>
        <v>0</v>
      </c>
      <c r="AC18" s="1">
        <f t="shared" ref="AC18:AC25" ca="1" si="29">SUM(E53:BP53)</f>
        <v>0</v>
      </c>
      <c r="AD18" s="260">
        <f t="shared" ref="AD18:AD25" ca="1" si="30">RANK($K18,$K$17:$K$25)</f>
        <v>1</v>
      </c>
      <c r="AE18" s="29">
        <f t="shared" ca="1" si="22"/>
        <v>500000</v>
      </c>
      <c r="AF18" s="1">
        <f t="shared" ref="AF18:AF25" ca="1" si="31">RANK($AE18,$AE$17:$AE$25)</f>
        <v>1</v>
      </c>
      <c r="AG18" s="1">
        <f t="shared" ref="AG18:AG25" ca="1" si="32">RANK($W18,$W$17:$W$25)</f>
        <v>1</v>
      </c>
      <c r="AH18" s="263">
        <f t="shared" ref="AH18:AH25" ca="1" si="33">AD18+AG18/100+AF18/10000+(10-Y18)/1000000</f>
        <v>1.0101100000000001</v>
      </c>
      <c r="AI18" s="1"/>
    </row>
    <row r="19" spans="2:80" s="2" customFormat="1" x14ac:dyDescent="0.2">
      <c r="C19" s="2" t="str">
        <f t="shared" ca="1" si="23"/>
        <v/>
      </c>
      <c r="D19" s="1">
        <f t="shared" ca="1" si="11"/>
        <v>0</v>
      </c>
      <c r="E19" s="1">
        <f t="shared" ca="1" si="11"/>
        <v>0</v>
      </c>
      <c r="F19" s="1">
        <f t="shared" ca="1" si="11"/>
        <v>0</v>
      </c>
      <c r="G19" s="1">
        <f t="shared" ca="1" si="11"/>
        <v>0</v>
      </c>
      <c r="H19" s="1">
        <f t="shared" ca="1" si="12"/>
        <v>0</v>
      </c>
      <c r="I19" s="1">
        <f t="shared" ca="1" si="12"/>
        <v>0</v>
      </c>
      <c r="J19" s="12">
        <f t="shared" ca="1" si="12"/>
        <v>0</v>
      </c>
      <c r="K19" s="1">
        <f t="shared" ca="1" si="12"/>
        <v>0</v>
      </c>
      <c r="L19" s="29">
        <f t="shared" ca="1" si="13"/>
        <v>500000</v>
      </c>
      <c r="M19" s="13">
        <f t="shared" ca="1" si="24"/>
        <v>9</v>
      </c>
      <c r="N19" s="13">
        <f t="array" aca="1" ref="N19" ca="1">IF($AI$15,SUM(($K$17:$K$25&gt;=K19)/COUNTIF($K$17:$K$25,$K$17:$K$25)),SUM(($L$17:$L$25&gt;=L19)/COUNTIF($L$17:$L$25,$L$17:$L$25)))</f>
        <v>1.0000000000000002</v>
      </c>
      <c r="O19" s="5" t="str">
        <f t="shared" ca="1" si="14"/>
        <v/>
      </c>
      <c r="P19" s="3" t="str">
        <f t="shared" ca="1" si="15"/>
        <v/>
      </c>
      <c r="Q19" s="3" t="str">
        <f t="shared" ca="1" si="16"/>
        <v/>
      </c>
      <c r="R19" s="3" t="str">
        <f t="shared" ca="1" si="17"/>
        <v/>
      </c>
      <c r="S19" s="3" t="str">
        <f t="shared" ca="1" si="18"/>
        <v/>
      </c>
      <c r="T19" s="3" t="str">
        <f t="shared" ca="1" si="19"/>
        <v/>
      </c>
      <c r="U19" s="3" t="str">
        <f t="shared" ca="1" si="20"/>
        <v/>
      </c>
      <c r="V19" s="55" t="str">
        <f t="shared" ca="1" si="21"/>
        <v/>
      </c>
      <c r="W19" s="62">
        <f ca="1">AA19*$F$64+(AB19+$H$65)*$F$65+AC19*$F$66</f>
        <v>500000</v>
      </c>
      <c r="X19" s="21">
        <f t="shared" ca="1" si="25"/>
        <v>1.0108999999999999</v>
      </c>
      <c r="Y19" s="12">
        <v>0</v>
      </c>
      <c r="Z19" s="1">
        <f t="shared" ca="1" si="26"/>
        <v>1.9</v>
      </c>
      <c r="AA19" s="1">
        <f t="shared" ca="1" si="27"/>
        <v>0</v>
      </c>
      <c r="AB19" s="1">
        <f t="shared" ca="1" si="28"/>
        <v>0</v>
      </c>
      <c r="AC19" s="1">
        <f t="shared" ca="1" si="29"/>
        <v>0</v>
      </c>
      <c r="AD19" s="260">
        <f t="shared" ca="1" si="30"/>
        <v>1</v>
      </c>
      <c r="AE19" s="29">
        <f t="shared" ca="1" si="22"/>
        <v>500000</v>
      </c>
      <c r="AF19" s="1">
        <f t="shared" ca="1" si="31"/>
        <v>1</v>
      </c>
      <c r="AG19" s="1">
        <f t="shared" ca="1" si="32"/>
        <v>1</v>
      </c>
      <c r="AH19" s="263">
        <f t="shared" ca="1" si="33"/>
        <v>1.0101100000000001</v>
      </c>
      <c r="AI19" s="1"/>
    </row>
    <row r="20" spans="2:80" s="2" customFormat="1" x14ac:dyDescent="0.2">
      <c r="C20" s="2" t="str">
        <f t="shared" si="23"/>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13"/>
        <v>500000</v>
      </c>
      <c r="M20" s="13">
        <f t="shared" ca="1" si="24"/>
        <v>9</v>
      </c>
      <c r="N20" s="13">
        <f t="array" aca="1" ref="N20" ca="1">IF($AI$15,SUM(($K$17:$K$25&gt;=K20)/COUNTIF($K$17:$K$25,$K$17:$K$25)),SUM(($L$17:$L$25&gt;=L20)/COUNTIF($L$17:$L$25,$L$17:$L$25)))</f>
        <v>1.0000000000000002</v>
      </c>
      <c r="O20" s="5" t="str">
        <f t="shared" ca="1" si="14"/>
        <v/>
      </c>
      <c r="P20" s="3" t="str">
        <f t="shared" ca="1" si="15"/>
        <v/>
      </c>
      <c r="Q20" s="3" t="str">
        <f t="shared" ca="1" si="16"/>
        <v/>
      </c>
      <c r="R20" s="3" t="str">
        <f t="shared" ca="1" si="17"/>
        <v/>
      </c>
      <c r="S20" s="3" t="str">
        <f t="shared" ca="1" si="18"/>
        <v/>
      </c>
      <c r="T20" s="3" t="str">
        <f t="shared" ca="1" si="19"/>
        <v/>
      </c>
      <c r="U20" s="3" t="str">
        <f t="shared" ca="1" si="20"/>
        <v/>
      </c>
      <c r="V20" s="55" t="str">
        <f t="shared" ca="1" si="21"/>
        <v/>
      </c>
      <c r="W20" s="62">
        <v>0</v>
      </c>
      <c r="X20" s="21">
        <f t="shared" ca="1" si="25"/>
        <v>1.0408999999999999</v>
      </c>
      <c r="Y20" s="12">
        <v>0</v>
      </c>
      <c r="Z20" s="1">
        <f t="shared" ca="1" si="26"/>
        <v>4.9000000000000004</v>
      </c>
      <c r="AA20" s="1">
        <f t="shared" ca="1" si="27"/>
        <v>0</v>
      </c>
      <c r="AB20" s="1">
        <f t="shared" ca="1" si="28"/>
        <v>0</v>
      </c>
      <c r="AC20" s="1">
        <f t="shared" ca="1" si="29"/>
        <v>0</v>
      </c>
      <c r="AD20" s="260">
        <f t="shared" ca="1" si="30"/>
        <v>1</v>
      </c>
      <c r="AE20" s="29">
        <f t="shared" ca="1" si="22"/>
        <v>500000</v>
      </c>
      <c r="AF20" s="1">
        <f t="shared" ca="1" si="31"/>
        <v>1</v>
      </c>
      <c r="AG20" s="1">
        <f t="shared" ca="1" si="32"/>
        <v>4</v>
      </c>
      <c r="AH20" s="263">
        <f t="shared" ca="1" si="33"/>
        <v>1.0401100000000001</v>
      </c>
      <c r="AI20" s="1"/>
    </row>
    <row r="21" spans="2:80" s="2" customFormat="1" x14ac:dyDescent="0.2">
      <c r="C21" s="2" t="str">
        <f t="shared" si="23"/>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13"/>
        <v>500000</v>
      </c>
      <c r="M21" s="13">
        <f t="shared" ca="1" si="24"/>
        <v>9</v>
      </c>
      <c r="N21" s="13">
        <f t="array" aca="1" ref="N21" ca="1">IF($AI$15,SUM(($K$17:$K$25&gt;=K21)/COUNTIF($K$17:$K$25,$K$17:$K$25)),SUM(($L$17:$L$25&gt;=L21)/COUNTIF($L$17:$L$25,$L$17:$L$25)))</f>
        <v>1.0000000000000002</v>
      </c>
      <c r="O21" s="5" t="str">
        <f t="shared" ca="1" si="14"/>
        <v/>
      </c>
      <c r="P21" s="3" t="str">
        <f t="shared" ca="1" si="15"/>
        <v/>
      </c>
      <c r="Q21" s="3" t="str">
        <f t="shared" ca="1" si="16"/>
        <v/>
      </c>
      <c r="R21" s="3" t="str">
        <f t="shared" ca="1" si="17"/>
        <v/>
      </c>
      <c r="S21" s="3" t="str">
        <f t="shared" ca="1" si="18"/>
        <v/>
      </c>
      <c r="T21" s="3" t="str">
        <f t="shared" ca="1" si="19"/>
        <v/>
      </c>
      <c r="U21" s="3" t="str">
        <f t="shared" ca="1" si="20"/>
        <v/>
      </c>
      <c r="V21" s="55" t="str">
        <f t="shared" ca="1" si="21"/>
        <v/>
      </c>
      <c r="W21" s="62">
        <v>0</v>
      </c>
      <c r="X21" s="21">
        <f t="shared" ca="1" si="25"/>
        <v>1.0408999999999999</v>
      </c>
      <c r="Y21" s="12">
        <v>0</v>
      </c>
      <c r="Z21" s="1">
        <f t="shared" ca="1" si="26"/>
        <v>4.9000000000000004</v>
      </c>
      <c r="AA21" s="1">
        <f t="shared" ca="1" si="27"/>
        <v>0</v>
      </c>
      <c r="AB21" s="1">
        <f t="shared" ca="1" si="28"/>
        <v>0</v>
      </c>
      <c r="AC21" s="1">
        <f t="shared" ca="1" si="29"/>
        <v>0</v>
      </c>
      <c r="AD21" s="260">
        <f t="shared" ca="1" si="30"/>
        <v>1</v>
      </c>
      <c r="AE21" s="29">
        <f t="shared" ca="1" si="22"/>
        <v>500000</v>
      </c>
      <c r="AF21" s="1">
        <f t="shared" ca="1" si="31"/>
        <v>1</v>
      </c>
      <c r="AG21" s="1">
        <f t="shared" ca="1" si="32"/>
        <v>4</v>
      </c>
      <c r="AH21" s="263">
        <f t="shared" ca="1" si="33"/>
        <v>1.0401100000000001</v>
      </c>
      <c r="AI21" s="1"/>
    </row>
    <row r="22" spans="2:80" s="2" customFormat="1" x14ac:dyDescent="0.2">
      <c r="C22" s="2" t="str">
        <f t="shared" si="23"/>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13"/>
        <v>500000</v>
      </c>
      <c r="M22" s="13">
        <f t="shared" ca="1" si="24"/>
        <v>9</v>
      </c>
      <c r="N22" s="13">
        <f t="array" aca="1" ref="N22" ca="1">IF($AI$15,SUM(($K$17:$K$25&gt;=K22)/COUNTIF($K$17:$K$25,$K$17:$K$25)),SUM(($L$17:$L$25&gt;=L22)/COUNTIF($L$17:$L$25,$L$17:$L$25)))</f>
        <v>1.0000000000000002</v>
      </c>
      <c r="O22" s="5" t="str">
        <f t="shared" ca="1" si="14"/>
        <v/>
      </c>
      <c r="P22" s="3" t="str">
        <f t="shared" ca="1" si="15"/>
        <v/>
      </c>
      <c r="Q22" s="3" t="str">
        <f t="shared" ca="1" si="16"/>
        <v/>
      </c>
      <c r="R22" s="3" t="str">
        <f t="shared" ca="1" si="17"/>
        <v/>
      </c>
      <c r="S22" s="3" t="str">
        <f t="shared" ca="1" si="18"/>
        <v/>
      </c>
      <c r="T22" s="3" t="str">
        <f t="shared" ca="1" si="19"/>
        <v/>
      </c>
      <c r="U22" s="3" t="str">
        <f t="shared" ca="1" si="20"/>
        <v/>
      </c>
      <c r="V22" s="55" t="str">
        <f t="shared" ca="1" si="21"/>
        <v/>
      </c>
      <c r="W22" s="62">
        <v>0</v>
      </c>
      <c r="X22" s="21">
        <f t="shared" ca="1" si="25"/>
        <v>1.0408999999999999</v>
      </c>
      <c r="Y22" s="12">
        <v>0</v>
      </c>
      <c r="Z22" s="1">
        <f t="shared" ca="1" si="26"/>
        <v>4.9000000000000004</v>
      </c>
      <c r="AA22" s="1">
        <f t="shared" ca="1" si="27"/>
        <v>0</v>
      </c>
      <c r="AB22" s="1">
        <f t="shared" ca="1" si="28"/>
        <v>0</v>
      </c>
      <c r="AC22" s="1">
        <f t="shared" ca="1" si="29"/>
        <v>0</v>
      </c>
      <c r="AD22" s="260">
        <f t="shared" ca="1" si="30"/>
        <v>1</v>
      </c>
      <c r="AE22" s="29">
        <f t="shared" ca="1" si="22"/>
        <v>500000</v>
      </c>
      <c r="AF22" s="1">
        <f t="shared" ca="1" si="31"/>
        <v>1</v>
      </c>
      <c r="AG22" s="1">
        <f t="shared" ca="1" si="32"/>
        <v>4</v>
      </c>
      <c r="AH22" s="263">
        <f t="shared" ca="1" si="33"/>
        <v>1.0401100000000001</v>
      </c>
      <c r="AI22" s="1"/>
    </row>
    <row r="23" spans="2:80" s="2" customFormat="1" x14ac:dyDescent="0.2">
      <c r="C23" s="2" t="str">
        <f t="shared" si="23"/>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13"/>
        <v>500000</v>
      </c>
      <c r="M23" s="13">
        <f t="shared" ca="1" si="24"/>
        <v>9</v>
      </c>
      <c r="N23" s="13">
        <f t="array" aca="1" ref="N23" ca="1">IF($AI$15,SUM(($K$17:$K$25&gt;=K23)/COUNTIF($K$17:$K$25,$K$17:$K$25)),SUM(($L$17:$L$25&gt;=L23)/COUNTIF($L$17:$L$25,$L$17:$L$25)))</f>
        <v>1.0000000000000002</v>
      </c>
      <c r="O23" s="5" t="str">
        <f t="shared" ca="1" si="14"/>
        <v/>
      </c>
      <c r="P23" s="3" t="str">
        <f t="shared" ca="1" si="15"/>
        <v/>
      </c>
      <c r="Q23" s="3" t="str">
        <f t="shared" ca="1" si="16"/>
        <v/>
      </c>
      <c r="R23" s="3" t="str">
        <f t="shared" ca="1" si="17"/>
        <v/>
      </c>
      <c r="S23" s="3" t="str">
        <f t="shared" ca="1" si="18"/>
        <v/>
      </c>
      <c r="T23" s="3" t="str">
        <f t="shared" ca="1" si="19"/>
        <v/>
      </c>
      <c r="U23" s="3" t="str">
        <f t="shared" ca="1" si="20"/>
        <v/>
      </c>
      <c r="V23" s="55" t="str">
        <f t="shared" ca="1" si="21"/>
        <v/>
      </c>
      <c r="W23" s="62">
        <v>0</v>
      </c>
      <c r="X23" s="21">
        <f t="shared" ca="1" si="25"/>
        <v>1.0408999999999999</v>
      </c>
      <c r="Y23" s="12">
        <v>0</v>
      </c>
      <c r="Z23" s="1">
        <f t="shared" ca="1" si="26"/>
        <v>4.9000000000000004</v>
      </c>
      <c r="AA23" s="1">
        <f t="shared" ca="1" si="27"/>
        <v>0</v>
      </c>
      <c r="AB23" s="1">
        <f t="shared" ca="1" si="28"/>
        <v>0</v>
      </c>
      <c r="AC23" s="1">
        <f t="shared" ca="1" si="29"/>
        <v>0</v>
      </c>
      <c r="AD23" s="260">
        <f t="shared" ca="1" si="30"/>
        <v>1</v>
      </c>
      <c r="AE23" s="29">
        <v>0</v>
      </c>
      <c r="AF23" s="1">
        <f t="shared" ca="1" si="31"/>
        <v>7</v>
      </c>
      <c r="AG23" s="1">
        <f t="shared" ca="1" si="32"/>
        <v>4</v>
      </c>
      <c r="AH23" s="263">
        <f t="shared" ca="1" si="33"/>
        <v>1.04071</v>
      </c>
      <c r="AI23" s="1"/>
    </row>
    <row r="24" spans="2:80" s="2" customFormat="1" x14ac:dyDescent="0.2">
      <c r="C24" s="2" t="str">
        <f t="shared" si="23"/>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13"/>
        <v>500000</v>
      </c>
      <c r="M24" s="13">
        <f t="shared" ca="1" si="24"/>
        <v>9</v>
      </c>
      <c r="N24" s="13">
        <f t="array" aca="1" ref="N24" ca="1">IF($AI$15,SUM(($K$17:$K$25&gt;=K24)/COUNTIF($K$17:$K$25,$K$17:$K$25)),SUM(($L$17:$L$25&gt;=L24)/COUNTIF($L$17:$L$25,$L$17:$L$25)))</f>
        <v>1.0000000000000002</v>
      </c>
      <c r="O24" s="5" t="str">
        <f t="shared" ca="1" si="14"/>
        <v/>
      </c>
      <c r="P24" s="3" t="str">
        <f t="shared" ca="1" si="15"/>
        <v/>
      </c>
      <c r="Q24" s="3" t="str">
        <f t="shared" ca="1" si="16"/>
        <v/>
      </c>
      <c r="R24" s="3" t="str">
        <f t="shared" ca="1" si="17"/>
        <v/>
      </c>
      <c r="S24" s="3" t="str">
        <f t="shared" ca="1" si="18"/>
        <v/>
      </c>
      <c r="T24" s="3" t="str">
        <f t="shared" ca="1" si="19"/>
        <v/>
      </c>
      <c r="U24" s="3" t="str">
        <f t="shared" ca="1" si="20"/>
        <v/>
      </c>
      <c r="V24" s="55" t="str">
        <f t="shared" ca="1" si="21"/>
        <v/>
      </c>
      <c r="W24" s="62">
        <v>0</v>
      </c>
      <c r="X24" s="21">
        <f t="shared" ca="1" si="25"/>
        <v>1.0408999999999999</v>
      </c>
      <c r="Y24" s="12">
        <v>0</v>
      </c>
      <c r="Z24" s="1">
        <f t="shared" ca="1" si="26"/>
        <v>4.9000000000000004</v>
      </c>
      <c r="AA24" s="1">
        <f t="shared" ca="1" si="27"/>
        <v>0</v>
      </c>
      <c r="AB24" s="1">
        <f t="shared" ca="1" si="28"/>
        <v>0</v>
      </c>
      <c r="AC24" s="1">
        <f t="shared" ca="1" si="29"/>
        <v>0</v>
      </c>
      <c r="AD24" s="260">
        <f t="shared" ca="1" si="30"/>
        <v>1</v>
      </c>
      <c r="AE24" s="29">
        <v>0</v>
      </c>
      <c r="AF24" s="1">
        <f t="shared" ca="1" si="31"/>
        <v>7</v>
      </c>
      <c r="AG24" s="1">
        <f t="shared" ca="1" si="32"/>
        <v>4</v>
      </c>
      <c r="AH24" s="263">
        <f t="shared" ca="1" si="33"/>
        <v>1.04071</v>
      </c>
      <c r="AI24" s="1"/>
    </row>
    <row r="25" spans="2:80" s="2" customFormat="1" ht="12.75" thickBot="1" x14ac:dyDescent="0.25">
      <c r="C25" s="2" t="str">
        <f t="shared" si="23"/>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13"/>
        <v>500000</v>
      </c>
      <c r="M25" s="13">
        <f t="shared" ca="1" si="24"/>
        <v>9</v>
      </c>
      <c r="N25" s="13">
        <f t="array" aca="1" ref="N25" ca="1">IF($AI$15,SUM(($K$17:$K$25&gt;=K25)/COUNTIF($K$17:$K$25,$K$17:$K$25)),SUM(($L$17:$L$25&gt;=L25)/COUNTIF($L$17:$L$25,$L$17:$L$25)))</f>
        <v>1.0000000000000002</v>
      </c>
      <c r="O25" s="56" t="str">
        <f t="shared" ca="1" si="14"/>
        <v/>
      </c>
      <c r="P25" s="57" t="str">
        <f t="shared" ca="1" si="15"/>
        <v/>
      </c>
      <c r="Q25" s="57" t="str">
        <f t="shared" ca="1" si="16"/>
        <v/>
      </c>
      <c r="R25" s="57" t="str">
        <f t="shared" ca="1" si="17"/>
        <v/>
      </c>
      <c r="S25" s="57" t="str">
        <f t="shared" ca="1" si="18"/>
        <v/>
      </c>
      <c r="T25" s="57" t="str">
        <f t="shared" ca="1" si="19"/>
        <v/>
      </c>
      <c r="U25" s="57" t="str">
        <f t="shared" ca="1" si="20"/>
        <v/>
      </c>
      <c r="V25" s="58" t="str">
        <f t="shared" ca="1" si="21"/>
        <v/>
      </c>
      <c r="W25" s="62">
        <v>0</v>
      </c>
      <c r="X25" s="22">
        <f t="shared" ca="1" si="25"/>
        <v>1.0408999999999999</v>
      </c>
      <c r="Y25" s="12">
        <v>0</v>
      </c>
      <c r="Z25" s="1">
        <f t="shared" ca="1" si="26"/>
        <v>4.9000000000000004</v>
      </c>
      <c r="AA25" s="1">
        <f t="shared" ca="1" si="27"/>
        <v>0</v>
      </c>
      <c r="AB25" s="1">
        <f t="shared" ca="1" si="28"/>
        <v>0</v>
      </c>
      <c r="AC25" s="1">
        <f t="shared" ca="1" si="29"/>
        <v>0</v>
      </c>
      <c r="AD25" s="260">
        <f t="shared" ca="1" si="30"/>
        <v>1</v>
      </c>
      <c r="AE25" s="29">
        <v>0</v>
      </c>
      <c r="AF25" s="1">
        <f t="shared" ca="1" si="31"/>
        <v>7</v>
      </c>
      <c r="AG25" s="1">
        <f t="shared" ca="1" si="32"/>
        <v>4</v>
      </c>
      <c r="AH25" s="264">
        <f t="shared" ca="1" si="33"/>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
      </c>
      <c r="BT29" s="2" t="str">
        <f ca="1">$F$5</f>
        <v/>
      </c>
      <c r="BU29" s="2" t="str">
        <f ca="1">$F$6</f>
        <v/>
      </c>
      <c r="BV29" s="2" t="str">
        <f>$F$7</f>
        <v/>
      </c>
      <c r="BW29" s="2" t="str">
        <f>$F$8</f>
        <v/>
      </c>
      <c r="BX29" s="2" t="str">
        <f>$F$9</f>
        <v/>
      </c>
      <c r="BY29" s="2" t="str">
        <f>$F$10</f>
        <v/>
      </c>
      <c r="BZ29" s="2" t="str">
        <f>$F$11</f>
        <v/>
      </c>
      <c r="CA29" s="2" t="str">
        <f>$F$12</f>
        <v/>
      </c>
      <c r="CB29" s="51"/>
    </row>
    <row r="30" spans="2:80" s="2" customFormat="1" x14ac:dyDescent="0.2">
      <c r="C30" s="2" t="str">
        <f ca="1">$Q64</f>
        <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
      </c>
      <c r="BS30" s="6"/>
      <c r="BT30" s="7">
        <f t="shared" ref="BT30:CA32" ca="1" si="35">SUMIFS($X$64:$X$135,$V$64:$V$135,$BR30,$W$64:$W$135,BT$29)+SUMIFS($Y$64:$Y$135,$W$64:$W$135,$BR30,$V$64:$V$135,BT$29)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
      </c>
      <c r="BS31" s="8">
        <f t="shared" ref="BS31:BU38" ca="1" si="37">SUMIFS($X$64:$X$135,$V$64:$V$135,$BR31,$W$64:$W$135,BS$29)+SUMIFS($Y$64:$Y$135,$W$64:$W$135,$BR31,$V$64:$V$135,BS$29)</f>
        <v>0</v>
      </c>
      <c r="BT31" s="6"/>
      <c r="BU31" s="7">
        <f t="shared" ca="1" si="35"/>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
      </c>
      <c r="BS32" s="8">
        <f t="shared" ca="1" si="37"/>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ca="1">SUMIFS($X$64:$X$135,$V$64:$V$135,$BR33,$W$64:$W$135,BW$29)+SUMIFS($Y$64:$Y$135,$W$64:$W$135,$BR33,$V$64:$V$135,BW$29)</f>
        <v>0</v>
      </c>
      <c r="BX33" s="7">
        <f ca="1">SUMIFS($X$64:$X$135,$V$64:$V$135,$BR33,$W$64:$W$135,BX$29)+SUMIFS($Y$64:$Y$135,$W$64:$W$135,$BR33,$V$64:$V$135,BX$29)</f>
        <v>0</v>
      </c>
      <c r="BY33" s="7">
        <f ca="1">SUMIFS($X$64:$X$135,$V$64:$V$135,$BR33,$W$64:$W$135,BY$29)+SUMIFS($Y$64:$Y$135,$W$64:$W$135,$BR33,$V$64:$V$135,BY$29)</f>
        <v>0</v>
      </c>
      <c r="BZ33" s="7">
        <f ca="1">SUMIFS($X$64:$X$135,$V$64:$V$135,$BR33,$W$64:$W$135,BZ$29)+SUMIFS($Y$64:$Y$135,$W$64:$W$135,$BR33,$V$64:$V$135,BZ$29)</f>
        <v>0</v>
      </c>
      <c r="CA33" s="7">
        <f ca="1">SUMIFS($X$64:$X$135,$V$64:$V$135,$BR33,$W$64:$W$135,CA$29)+SUMIFS($Y$64:$Y$135,$W$64:$W$135,$BR33,$V$64:$V$135,CA$29)</f>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ca="1">SUMIFS($X$64:$X$135,$V$64:$V$135,$BR34,$W$64:$W$135,BV$29)+SUMIFS($Y$64:$Y$135,$W$64:$W$135,$BR34,$V$64:$V$135,BV$29)</f>
        <v>0</v>
      </c>
      <c r="BW34" s="6"/>
      <c r="BX34" s="7">
        <f ca="1">SUMIFS($X$64:$X$135,$V$64:$V$135,$BR34,$W$64:$W$135,BX$29)+SUMIFS($Y$64:$Y$135,$W$64:$W$135,$BR34,$V$64:$V$135,BX$29)</f>
        <v>0</v>
      </c>
      <c r="BY34" s="7">
        <f ca="1">SUMIFS($X$64:$X$135,$V$64:$V$135,$BR34,$W$64:$W$135,BY$29)+SUMIFS($Y$64:$Y$135,$W$64:$W$135,$BR34,$V$64:$V$135,BY$29)</f>
        <v>0</v>
      </c>
      <c r="BZ34" s="7">
        <f ca="1">SUMIFS($X$64:$X$135,$V$64:$V$135,$BR34,$W$64:$W$135,BZ$29)+SUMIFS($Y$64:$Y$135,$W$64:$W$135,$BR34,$V$64:$V$135,BZ$29)</f>
        <v>0</v>
      </c>
      <c r="CA34" s="7">
        <f ca="1">SUMIFS($X$64:$X$135,$V$64:$V$135,$BR34,$W$64:$W$135,CA$29)+SUMIFS($Y$64:$Y$135,$W$64:$W$135,$BR34,$V$64:$V$135,CA$29)</f>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ca="1">SUMIFS($X$64:$X$135,$V$64:$V$135,$BR35,$W$64:$W$135,BV$29)+SUMIFS($Y$64:$Y$135,$W$64:$W$135,$BR35,$V$64:$V$135,BV$29)</f>
        <v>0</v>
      </c>
      <c r="BW35" s="8">
        <f ca="1">SUMIFS($X$64:$X$135,$V$64:$V$135,$BR35,$W$64:$W$135,BW$29)+SUMIFS($Y$64:$Y$135,$W$64:$W$135,$BR35,$V$64:$V$135,BW$29)</f>
        <v>0</v>
      </c>
      <c r="BX35" s="6"/>
      <c r="BY35" s="7">
        <f ca="1">SUMIFS($X$64:$X$135,$V$64:$V$135,$BR35,$W$64:$W$135,BY$29)+SUMIFS($Y$64:$Y$135,$W$64:$W$135,$BR35,$V$64:$V$135,BY$29)</f>
        <v>0</v>
      </c>
      <c r="BZ35" s="7">
        <f ca="1">SUMIFS($X$64:$X$135,$V$64:$V$135,$BR35,$W$64:$W$135,BZ$29)+SUMIFS($Y$64:$Y$135,$W$64:$W$135,$BR35,$V$64:$V$135,BZ$29)</f>
        <v>0</v>
      </c>
      <c r="CA35" s="7">
        <f ca="1">SUMIFS($X$64:$X$135,$V$64:$V$135,$BR35,$W$64:$W$135,CA$29)+SUMIFS($Y$64:$Y$135,$W$64:$W$135,$BR35,$V$64:$V$135,CA$29)</f>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ca="1">SUMIFS($X$64:$X$135,$V$64:$V$135,$BR36,$W$64:$W$135,BV$29)+SUMIFS($Y$64:$Y$135,$W$64:$W$135,$BR36,$V$64:$V$135,BV$29)</f>
        <v>0</v>
      </c>
      <c r="BW36" s="8">
        <f ca="1">SUMIFS($X$64:$X$135,$V$64:$V$135,$BR36,$W$64:$W$135,BW$29)+SUMIFS($Y$64:$Y$135,$W$64:$W$135,$BR36,$V$64:$V$135,BW$29)</f>
        <v>0</v>
      </c>
      <c r="BX36" s="8">
        <f ca="1">SUMIFS($X$64:$X$135,$V$64:$V$135,$BR36,$W$64:$W$135,BX$29)+SUMIFS($Y$64:$Y$135,$W$64:$W$135,$BR36,$V$64:$V$135,BX$29)</f>
        <v>0</v>
      </c>
      <c r="BY36" s="6"/>
      <c r="BZ36" s="7">
        <f ca="1">SUMIFS($X$64:$X$135,$V$64:$V$135,$BR36,$W$64:$W$135,BZ$29)+SUMIFS($Y$64:$Y$135,$W$64:$W$135,$BR36,$V$64:$V$135,BZ$29)</f>
        <v>0</v>
      </c>
      <c r="CA36" s="7">
        <f ca="1">SUMIFS($X$64:$X$135,$V$64:$V$135,$BR36,$W$64:$W$135,CA$29)+SUMIFS($Y$64:$Y$135,$W$64:$W$135,$BR36,$V$64:$V$135,CA$29)</f>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ca="1">SUMIFS($X$64:$X$135,$V$64:$V$135,$BR37,$W$64:$W$135,BV$29)+SUMIFS($Y$64:$Y$135,$W$64:$W$135,$BR37,$V$64:$V$135,BV$29)</f>
        <v>0</v>
      </c>
      <c r="BW37" s="8">
        <f ca="1">SUMIFS($X$64:$X$135,$V$64:$V$135,$BR37,$W$64:$W$135,BW$29)+SUMIFS($Y$64:$Y$135,$W$64:$W$135,$BR37,$V$64:$V$135,BW$29)</f>
        <v>0</v>
      </c>
      <c r="BX37" s="8">
        <f ca="1">SUMIFS($X$64:$X$135,$V$64:$V$135,$BR37,$W$64:$W$135,BX$29)+SUMIFS($Y$64:$Y$135,$W$64:$W$135,$BR37,$V$64:$V$135,BX$29)</f>
        <v>0</v>
      </c>
      <c r="BY37" s="8">
        <f ca="1">SUMIFS($X$64:$X$135,$V$64:$V$135,$BR37,$W$64:$W$135,BY$29)+SUMIFS($Y$64:$Y$135,$W$64:$W$135,$BR37,$V$64:$V$135,BY$29)</f>
        <v>0</v>
      </c>
      <c r="BZ37" s="6"/>
      <c r="CA37" s="7">
        <f ca="1">SUMIFS($X$64:$X$135,$V$64:$V$135,$BR37,$W$64:$W$135,CA$29)+SUMIFS($Y$64:$Y$135,$W$64:$W$135,$BR37,$V$64:$V$135,CA$29)</f>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ca="1">SUMIFS($X$64:$X$135,$V$64:$V$135,$BR38,$W$64:$W$135,BV$29)+SUMIFS($Y$64:$Y$135,$W$64:$W$135,$BR38,$V$64:$V$135,BV$29)</f>
        <v>0</v>
      </c>
      <c r="BW38" s="8">
        <f ca="1">SUMIFS($X$64:$X$135,$V$64:$V$135,$BR38,$W$64:$W$135,BW$29)+SUMIFS($Y$64:$Y$135,$W$64:$W$135,$BR38,$V$64:$V$135,BW$29)</f>
        <v>0</v>
      </c>
      <c r="BX38" s="8">
        <f ca="1">SUMIFS($X$64:$X$135,$V$64:$V$135,$BR38,$W$64:$W$135,BX$29)+SUMIFS($Y$64:$Y$135,$W$64:$W$135,$BR38,$V$64:$V$135,BX$29)</f>
        <v>0</v>
      </c>
      <c r="BY38" s="8">
        <f ca="1">SUMIFS($X$64:$X$135,$V$64:$V$135,$BR38,$W$64:$W$135,BY$29)+SUMIFS($Y$64:$Y$135,$W$64:$W$135,$BR38,$V$64:$V$135,BY$29)</f>
        <v>0</v>
      </c>
      <c r="BZ38" s="8">
        <f ca="1">SUMIFS($X$64:$X$135,$V$64:$V$135,$BR38,$W$64:$W$135,BZ$29)+SUMIFS($Y$64:$Y$135,$W$64:$W$135,$BR38,$V$64:$V$135,BZ$29)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
      </c>
      <c r="BT40" s="2" t="str">
        <f ca="1">$F$5</f>
        <v/>
      </c>
      <c r="BU40" s="2" t="str">
        <f ca="1">$F$6</f>
        <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2: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2: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2: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
      </c>
      <c r="BT51" s="2" t="str">
        <f ca="1">$F$5</f>
        <v/>
      </c>
      <c r="BU51" s="2" t="str">
        <f ca="1">$F$6</f>
        <v/>
      </c>
      <c r="BV51" s="2" t="str">
        <f>$F$7</f>
        <v/>
      </c>
      <c r="BW51" s="2" t="str">
        <f>$F$8</f>
        <v/>
      </c>
      <c r="BX51" s="2" t="str">
        <f>$F$9</f>
        <v/>
      </c>
      <c r="BY51" s="2" t="str">
        <f>$F$10</f>
        <v/>
      </c>
      <c r="BZ51" s="2" t="str">
        <f>$F$11</f>
        <v/>
      </c>
      <c r="CA51" s="2" t="str">
        <f>$F$12</f>
        <v/>
      </c>
      <c r="CB51" s="3"/>
    </row>
    <row r="52" spans="2:80" s="2" customFormat="1" x14ac:dyDescent="0.2">
      <c r="B52" s="2" t="s">
        <v>101</v>
      </c>
      <c r="E52" s="14">
        <f t="array" aca="1" ref="E52" ca="1">IF(O17=C17,SUM(IF(($BR$30:$BR$38=C17)*($BS$29:$CA$29=O18),$BS$30:$CA$38)),0)</f>
        <v>0</v>
      </c>
      <c r="F52" s="3">
        <f t="array" aca="1" ref="F52" ca="1">IF(O17=C17,SUM(IF(($BR$30:$BR$38=C17)*($BS$29:$CA$29=O19),$BS$30:$CA$38)),0)</f>
        <v>0</v>
      </c>
      <c r="G52" s="3">
        <f t="array" aca="1" ref="G52" ca="1">IF(O17=C17,SUM(IF(($BR$30:$BR$38=C17)*($BS$29:$CA$29=O20),$BS$30:$CA$38)),0)</f>
        <v>0</v>
      </c>
      <c r="H52" s="3">
        <f t="array" aca="1" ref="H52" ca="1">IF(O17=C17,SUM(IF(($BR$30:$BR$38=C17)*($BS$29:$CA$29=O21),$BS$30:$CA$38)),0)</f>
        <v>0</v>
      </c>
      <c r="I52" s="3">
        <f t="array" aca="1" ref="I52" ca="1">IF(O17=C17,SUM(IF(($BR$30:$BR$38=C17)*($BS$29:$CA$29=O22),$BS$30:$CA$38)),0)</f>
        <v>0</v>
      </c>
      <c r="J52" s="3">
        <f t="array" aca="1" ref="J52" ca="1">IF(O17=C17,SUM(IF(($BR$30:$BR$38=C17)*($BS$29:$CA$29=O23),$BS$30:$CA$38)),0)</f>
        <v>0</v>
      </c>
      <c r="K52" s="3">
        <f t="array" aca="1" ref="K52" ca="1">IF(O17=C17,SUM(IF(($BR$30:$BR$38=C17)*($BS$29:$CA$29=O$24),$BS$30:$CA$38)),0)</f>
        <v>0</v>
      </c>
      <c r="L52" s="3">
        <f t="array" aca="1" ref="L52" ca="1">IF(O17=C17,SUM(IF(($BR$30:$BR$38=C17)*($BS$29:$CA$29=O$25),$BS$30:$CA$38)),0)</f>
        <v>0</v>
      </c>
      <c r="M52" s="5">
        <f t="array" aca="1" ref="M52" ca="1">IF(P17=C17,SUM(IF(($BR$30:$BR$38=C17)*($BS$29:$CA$29=P18),$BS$30:$CA$38)),0)</f>
        <v>0</v>
      </c>
      <c r="N52" s="3">
        <f t="array" aca="1" ref="N52" ca="1">IF(P17=C17,SUM(IF(($BR$30:$BR$38=C17)*($BS$29:$CA$29=P19),$BS$30:$CA$38)),0)</f>
        <v>0</v>
      </c>
      <c r="O52" s="3">
        <f t="array" aca="1" ref="O52" ca="1">IF(P17=C17,SUM(IF(($BR$30:$BR$38=C17)*($BS$29:$CA$29=P20),$BS$30:$CA$38)),0)</f>
        <v>0</v>
      </c>
      <c r="P52" s="3">
        <f t="array" aca="1" ref="P52" ca="1">IF(P17=C17,SUM(IF(($BR$30:$BR$38=C17)*($BS$29:$CA$29=P21),$BS$30:$CA$38)),0)</f>
        <v>0</v>
      </c>
      <c r="Q52" s="3">
        <f t="array" aca="1" ref="Q52" ca="1">IF(P17=C17,SUM(IF(($BR$30:$BR$38=C17)*($BS$29:$CA$29=P22),$BS$30:$CA$38)),0)</f>
        <v>0</v>
      </c>
      <c r="R52" s="3">
        <f t="array" aca="1" ref="R52" ca="1">IF(P17=C17,SUM(IF(($BR$30:$BR$38=C17)*($BS$29:$CA$29=P23),$BS$30:$CA$38)),0)</f>
        <v>0</v>
      </c>
      <c r="S52" s="3">
        <f t="array" aca="1" ref="S52" ca="1">IF(P17=C17,SUM(IF(($BR$30:$BR$38=C17)*($BS$29:$CA$29=P$24),$BS$30:$CA$38)),0)</f>
        <v>0</v>
      </c>
      <c r="T52" s="3">
        <f t="array" aca="1" ref="T52" ca="1">IF(P17=C17,SUM(IF(($BR$30:$BR$38=C17)*($BS$29:$CA$29=P$25),$BS$30:$CA$38)),0)</f>
        <v>0</v>
      </c>
      <c r="U52" s="5">
        <f t="array" aca="1" ref="U52" ca="1">IF(Q17=C17,SUM(IF(($BR$30:$BR$38=C17)*($BS$29:$CA$29=Q18),$BS$30:$CA$38)),0)</f>
        <v>0</v>
      </c>
      <c r="V52" s="3">
        <f t="array" aca="1" ref="V52" ca="1">IF(Q17=C17,SUM(IF(($BR$30:$BR$38=C17)*($BS$29:$CA$29=Q19),$BS$30:$CA$38)),0)</f>
        <v>0</v>
      </c>
      <c r="W52" s="3">
        <f t="array" aca="1" ref="W52" ca="1">IF(Q17=C17,SUM(IF(($BR$30:$BR$38=C17)*($BS$29:$CA$29=Q20),$BS$30:$CA$38)),0)</f>
        <v>0</v>
      </c>
      <c r="X52" s="3">
        <f t="array" aca="1" ref="X52" ca="1">IF(Q17=C17,SUM(IF(($BR$30:$BR$38=C17)*($BS$29:$CA$29=Q21),$BS$30:$CA$38)),0)</f>
        <v>0</v>
      </c>
      <c r="Y52" s="3">
        <f t="array" aca="1" ref="Y52" ca="1">IF(Q17=C17,SUM(IF(($BR$30:$BR$38=C17)*($BS$29:$CA$29=Q22),$BS$30:$CA$38)),0)</f>
        <v>0</v>
      </c>
      <c r="Z52" s="3">
        <f t="array" aca="1" ref="Z52" ca="1">IF(Q17=C17,SUM(IF(($BR$30:$BR$38=C17)*($BS$29:$CA$29=Q23),$BS$30:$CA$38)),0)</f>
        <v>0</v>
      </c>
      <c r="AA52" s="3">
        <f t="array" aca="1" ref="AA52" ca="1">IF(Q17=C17,SUM(IF(($BR$30:$BR$38=C17)*($BS$29:$CA$29=Q$24),$BS$30:$CA$38)),0)</f>
        <v>0</v>
      </c>
      <c r="AB52" s="3">
        <f t="array" aca="1" ref="AB52" ca="1">IF(Q17=C17,SUM(IF(($BR$30:$BR$38=C17)*($BS$29:$CA$29=Q$25),$BS$30:$CA$38)),0)</f>
        <v>0</v>
      </c>
      <c r="AC52" s="5">
        <f t="array" aca="1" ref="AC52" ca="1">IF(R17=C17,SUM(IF(($BR$30:$BR$38=C17)*($BS$29:$CA$29=R18),$BS$30:$CA$38)),0)</f>
        <v>0</v>
      </c>
      <c r="AD52" s="3">
        <f t="array" aca="1" ref="AD52" ca="1">IF(R17=C17,SUM(IF(($BR$30:$BR$38=C17)*($BS$29:$CA$29=R19),$BS$30:$CA$38)),0)</f>
        <v>0</v>
      </c>
      <c r="AE52" s="3">
        <f t="array" aca="1" ref="AE52" ca="1">IF(R17=C17,SUM(IF(($BR$30:$BR$38=C17)*($BS$29:$CA$29=R20),$BS$30:$CA$38)),0)</f>
        <v>0</v>
      </c>
      <c r="AF52" s="3">
        <f t="array" aca="1" ref="AF52" ca="1">IF(R17=C17,SUM(IF(($BR$30:$BR$38=C17)*($BS$29:$CA$29=R21),$BS$30:$CA$38)),0)</f>
        <v>0</v>
      </c>
      <c r="AG52" s="3">
        <f t="array" aca="1" ref="AG52" ca="1">IF(R17=C17,SUM(IF(($BR$30:$BR$38=C17)*($BS$29:$CA$29=R22),$BS$30:$CA$38)),0)</f>
        <v>0</v>
      </c>
      <c r="AH52" s="3">
        <f t="array" aca="1" ref="AH52" ca="1">IF(R17=C17,SUM(IF(($BR$30:$BR$38=C17)*($BS$29:$CA$29=R23),$BS$30:$CA$38)),0)</f>
        <v>0</v>
      </c>
      <c r="AI52" s="3">
        <f t="array" aca="1" ref="AI52" ca="1">IF(R17=C17,SUM(IF(($BR$30:$BR$38=C17)*($BS$29:$CA$29=R$24),$BS$30:$CA$38)),0)</f>
        <v>0</v>
      </c>
      <c r="AJ52" s="3">
        <f t="array" aca="1" ref="AJ52" ca="1">IF(R17=C17,SUM(IF(($BR$30:$BR$38=C17)*($BS$29:$CA$29=R$25),$BS$30:$CA$38)),0)</f>
        <v>0</v>
      </c>
      <c r="AK52" s="5">
        <f t="array" aca="1" ref="AK52" ca="1">IF(S17=C17,SUM(IF(($BR$30:$BR$38=C17)*($BS$29:$CA$29=S18),$BS$30:$CA$38)),0)</f>
        <v>0</v>
      </c>
      <c r="AL52" s="3">
        <f t="array" aca="1" ref="AL52" ca="1">IF(S17=C17,SUM(IF(($BR$30:$BR$38=C17)*($BS$29:$CA$29=S19),$BS$30:$CA$38)),0)</f>
        <v>0</v>
      </c>
      <c r="AM52" s="3">
        <f t="array" aca="1" ref="AM52" ca="1">IF(S17=C17,SUM(IF(($BR$30:$BR$38=C17)*($BS$29:$CA$29=S20),$BS$30:$CA$38)),0)</f>
        <v>0</v>
      </c>
      <c r="AN52" s="3">
        <f t="array" aca="1" ref="AN52" ca="1">IF(S17=C17,SUM(IF(($BR$30:$BR$38=C17)*($BS$29:$CA$29=S21),$BS$30:$CA$38)),0)</f>
        <v>0</v>
      </c>
      <c r="AO52" s="3">
        <f t="array" aca="1" ref="AO52" ca="1">IF(S17=C17,SUM(IF(($BR$30:$BR$38=C17)*($BS$29:$CA$29=S22),$BS$30:$CA$38)),0)</f>
        <v>0</v>
      </c>
      <c r="AP52" s="3">
        <f t="array" aca="1" ref="AP52" ca="1">IF(S17=C17,SUM(IF(($BR$30:$BR$38=C17)*($BS$29:$CA$29=S23),$BS$30:$CA$38)),0)</f>
        <v>0</v>
      </c>
      <c r="AQ52" s="3">
        <f t="array" aca="1" ref="AQ52" ca="1">IF(S17=C17,SUM(IF(($BR$30:$BR$38=C17)*($BS$29:$CA$29=S$24),$BS$30:$CA$38)),0)</f>
        <v>0</v>
      </c>
      <c r="AR52" s="3">
        <f t="array" aca="1" ref="AR52" ca="1">IF(S17=C17,SUM(IF(($BR$30:$BR$38=C17)*($BS$29:$CA$29=S$25),$BS$30:$CA$38)),0)</f>
        <v>0</v>
      </c>
      <c r="AS52" s="5">
        <f t="array" aca="1" ref="AS52" ca="1">IF(T17=C17,SUM(IF(($BR$30:$BR$38=C17)*($BS$29:$CA$29=T18),$BS$30:$CA$38)),0)</f>
        <v>0</v>
      </c>
      <c r="AT52" s="3">
        <f t="array" aca="1" ref="AT52" ca="1">IF(T17=C17,SUM(IF(($BR$30:$BR$38=C17)*($BS$29:$CA$29=T19),$BS$30:$CA$38)),0)</f>
        <v>0</v>
      </c>
      <c r="AU52" s="3">
        <f t="array" aca="1" ref="AU52" ca="1">IF(T17=C17,SUM(IF(($BR$30:$BR$38=C17)*($BS$29:$CA$29=T20),$BS$30:$CA$38)),0)</f>
        <v>0</v>
      </c>
      <c r="AV52" s="3">
        <f t="array" aca="1" ref="AV52" ca="1">IF(T17=C17,SUM(IF(($BR$30:$BR$38=C17)*($BS$29:$CA$29=T21),$BS$30:$CA$38)),0)</f>
        <v>0</v>
      </c>
      <c r="AW52" s="3">
        <f t="array" aca="1" ref="AW52" ca="1">IF(T17=C17,SUM(IF(($BR$30:$BR$38=C17)*($BS$29:$CA$29=T22),$BS$30:$CA$38)),0)</f>
        <v>0</v>
      </c>
      <c r="AX52" s="3">
        <f t="array" aca="1" ref="AX52" ca="1">IF(T17=C17,SUM(IF(($BR$30:$BR$38=C17)*($BS$29:$CA$29=T23),$BS$30:$CA$38)),0)</f>
        <v>0</v>
      </c>
      <c r="AY52" s="3">
        <f t="array" aca="1" ref="AY52" ca="1">IF(T17=C17,SUM(IF(($BR$30:$BR$38=C17)*($BS$29:$CA$29=T$24),$BS$30:$CA$38)),0)</f>
        <v>0</v>
      </c>
      <c r="AZ52" s="3">
        <f t="array" aca="1" ref="AZ52" ca="1">IF(T17=C17,SUM(IF(($BR$30:$BR$38=C17)*($BS$29:$CA$29=T$25),$BS$30:$CA$38)),0)</f>
        <v>0</v>
      </c>
      <c r="BA52" s="5">
        <f t="array" aca="1" ref="BA52" ca="1">IF(U17=C17,SUM(IF(($BR$30:$BR$38=C17)*($BS$29:$CA$29=U$18),$BS$30:$CA$38)),0)</f>
        <v>0</v>
      </c>
      <c r="BB52" s="3">
        <f t="array" aca="1" ref="BB52" ca="1">IF(U17=C17,SUM(IF(($BR$30:$BR$38=C17)*($BS$29:$CA$29=U$19),$BS$30:$CA$38)),0)</f>
        <v>0</v>
      </c>
      <c r="BC52" s="3">
        <f t="array" aca="1" ref="BC52" ca="1">IF(U17=C17,SUM(IF(($BR$30:$BR$38=C17)*($BS$29:$CA$29=U$20),$BS$30:$CA$38)),0)</f>
        <v>0</v>
      </c>
      <c r="BD52" s="3">
        <f t="array" aca="1" ref="BD52" ca="1">IF(U17=C17,SUM(IF(($BR$30:$BR$38=C17)*($BS$29:$CA$29=U$21),$BS$30:$CA$38)),0)</f>
        <v>0</v>
      </c>
      <c r="BE52" s="3">
        <f t="array" aca="1" ref="BE52" ca="1">IF(U17=C17,SUM(IF(($BR$30:$BR$38=C17)*($BS$29:$CA$29=U$22),$BS$30:$CA$38)),0)</f>
        <v>0</v>
      </c>
      <c r="BF52" s="3">
        <f t="array" aca="1" ref="BF52" ca="1">IF(U17=C17,SUM(IF(($BR$30:$BR$38=C17)*($BS$29:$CA$29=U$23),$BS$30:$CA$38)),0)</f>
        <v>0</v>
      </c>
      <c r="BG52" s="3">
        <f t="array" aca="1" ref="BG52" ca="1">IF(U17=C17,SUM(IF(($BR$30:$BR$38=C17)*($BS$29:$CA$29=U$24),$BS$30:$CA$38)),0)</f>
        <v>0</v>
      </c>
      <c r="BH52" s="3">
        <f t="array" aca="1" ref="BH52" ca="1">IF(U17=C17,SUM(IF(($BR$30:$BR$38=C17)*($BS$29:$CA$29=U$25),$BS$30:$CA$38)),0)</f>
        <v>0</v>
      </c>
      <c r="BI52" s="5">
        <f t="array" aca="1" ref="BI52" ca="1">IF(V17=C17,SUM(IF(($BR$30:$BR$38=C17)*($BS$29:$CA$29=V$18),$BS$30:$CA$38)),0)</f>
        <v>0</v>
      </c>
      <c r="BJ52" s="3">
        <f t="array" aca="1" ref="BJ52" ca="1">IF(V17=C17,SUM(IF(($BR$30:$BR$38=C17)*($BS$29:$CA$29=V$19),$BS$30:$CA$38)),0)</f>
        <v>0</v>
      </c>
      <c r="BK52" s="3">
        <f t="array" aca="1" ref="BK52" ca="1">IF(V17=C17,SUM(IF(($BR$30:$BR$38=C17)*($BS$29:$CA$29=V$20),$BS$30:$CA$38)),0)</f>
        <v>0</v>
      </c>
      <c r="BL52" s="3">
        <f t="array" aca="1" ref="BL52" ca="1">IF(V17=C17,SUM(IF(($BR$30:$BR$38=C17)*($BS$29:$CA$29=V$21),$BS$30:$CA$38)),0)</f>
        <v>0</v>
      </c>
      <c r="BM52" s="3">
        <f t="array" aca="1" ref="BM52" ca="1">IF(V17=C17,SUM(IF(($BR$30:$BR$38=C17)*($BS$29:$CA$29=V$22),$BS$30:$CA$38)),0)</f>
        <v>0</v>
      </c>
      <c r="BN52" s="3">
        <f t="array" aca="1" ref="BN52" ca="1">IF(V17=C17,SUM(IF(($BR$30:$BR$38=C17)*($BS$29:$CA$29=V$23),$BS$30:$CA$38)),0)</f>
        <v>0</v>
      </c>
      <c r="BO52" s="3">
        <f t="array" aca="1" ref="BO52" ca="1">IF(V17=C17,SUM(IF(($BR$30:$BR$38=C17)*($BS$29:$CA$29=V$24),$BS$30:$CA$38)),0)</f>
        <v>0</v>
      </c>
      <c r="BP52" s="15">
        <f t="array" aca="1" ref="BP52" ca="1">IF(V17=C17,SUM(IF(($BR$30:$BR$38=C17)*($BS$29:$CA$29=V$25),$BS$30:$CA$38)),0)</f>
        <v>0</v>
      </c>
      <c r="BQ52" s="3"/>
      <c r="BR52" s="2" t="str">
        <f t="shared" ref="BR52:BR60" ca="1" si="40">F4</f>
        <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2:80" s="2" customFormat="1" x14ac:dyDescent="0.2">
      <c r="E53" s="14">
        <f t="array" aca="1" ref="E53" ca="1">IF(O18=C18,SUM(IF(($BR$30:$BR$38=C18)*($BS$29:$CA$29=O17),$BS$30:$CA$38)),0)</f>
        <v>0</v>
      </c>
      <c r="F53" s="3">
        <f t="array" aca="1" ref="F53" ca="1">IF(O18=C18,SUM(IF(($BR$30:$BR$38=C18)*($BS$29:$CA$29=O19),$BS$30:$CA$38)),0)</f>
        <v>0</v>
      </c>
      <c r="G53" s="3">
        <f t="array" aca="1" ref="G53" ca="1">IF(O18=C18,SUM(IF(($BR$30:$BR$38=C18)*($BS$29:$CA$29=O20),$BS$30:$CA$38)),0)</f>
        <v>0</v>
      </c>
      <c r="H53" s="3">
        <f t="array" aca="1" ref="H53" ca="1">IF(O18=C18,SUM(IF(($BR$30:$BR$38=C18)*($BS$29:$CA$29=O21),$BS$30:$CA$38)),0)</f>
        <v>0</v>
      </c>
      <c r="I53" s="3">
        <f t="array" aca="1" ref="I53" ca="1">IF(O18=C18,SUM(IF(($BR$30:$BR$38=C18)*($BS$29:$CA$29=O22),$BS$30:$CA$38)),0)</f>
        <v>0</v>
      </c>
      <c r="J53" s="3">
        <f t="array" aca="1" ref="J53" ca="1">IF(O18=C18,SUM(IF(($BR$30:$BR$38=C18)*($BS$29:$CA$29=O23),$BS$30:$CA$38)),0)</f>
        <v>0</v>
      </c>
      <c r="K53" s="3">
        <f t="array" aca="1" ref="K53" ca="1">IF(O18=C18,SUM(IF(($BR$30:$BR$38=C18)*($BS$29:$CA$29=O$24),$BS$30:$CA$38)),0)</f>
        <v>0</v>
      </c>
      <c r="L53" s="3">
        <f t="array" aca="1" ref="L53" ca="1">IF(O18=C18,SUM(IF(($BR$30:$BR$38=C18)*($BS$29:$CA$29=O$25),$BS$30:$CA$38)),0)</f>
        <v>0</v>
      </c>
      <c r="M53" s="5">
        <f t="array" aca="1" ref="M53" ca="1">IF(P18=C18,SUM(IF(($BR$30:$BR$38=C18)*($BS$29:$CA$29=P17),$BS$30:$CA$38)),0)</f>
        <v>0</v>
      </c>
      <c r="N53" s="3">
        <f t="array" aca="1" ref="N53" ca="1">IF(P18=C18,SUM(IF(($BR$30:$BR$38=C18)*($BS$29:$CA$29=P19),$BS$30:$CA$38)),0)</f>
        <v>0</v>
      </c>
      <c r="O53" s="3">
        <f t="array" aca="1" ref="O53" ca="1">IF(P18=C18,SUM(IF(($BR$30:$BR$38=C18)*($BS$29:$CA$29=P20),$BS$30:$CA$38)),0)</f>
        <v>0</v>
      </c>
      <c r="P53" s="3">
        <f t="array" aca="1" ref="P53" ca="1">IF(P18=C18,SUM(IF(($BR$30:$BR$38=C18)*($BS$29:$CA$29=P21),$BS$30:$CA$38)),0)</f>
        <v>0</v>
      </c>
      <c r="Q53" s="3">
        <f t="array" aca="1" ref="Q53" ca="1">IF(P18=C18,SUM(IF(($BR$30:$BR$38=C18)*($BS$29:$CA$29=P22),$BS$30:$CA$38)),0)</f>
        <v>0</v>
      </c>
      <c r="R53" s="3">
        <f t="array" aca="1" ref="R53" ca="1">IF(P18=C18,SUM(IF(($BR$30:$BR$38=C18)*($BS$29:$CA$29=P23),$BS$30:$CA$38)),0)</f>
        <v>0</v>
      </c>
      <c r="S53" s="3">
        <f t="array" aca="1" ref="S53" ca="1">IF(P18=C18,SUM(IF(($BR$30:$BR$38=C18)*($BS$29:$CA$29=P$24),$BS$30:$CA$38)),0)</f>
        <v>0</v>
      </c>
      <c r="T53" s="3">
        <f t="array" aca="1" ref="T53" ca="1">IF(P18=C18,SUM(IF(($BR$30:$BR$38=C18)*($BS$29:$CA$29=P$25),$BS$30:$CA$38)),0)</f>
        <v>0</v>
      </c>
      <c r="U53" s="5">
        <f t="array" aca="1" ref="U53" ca="1">IF(Q18=C18,SUM(IF(($BR$30:$BR$38=C18)*($BS$29:$CA$29=Q17),$BS$30:$CA$38)),0)</f>
        <v>0</v>
      </c>
      <c r="V53" s="3">
        <f t="array" aca="1" ref="V53" ca="1">IF(Q18=C18,SUM(IF(($BR$30:$BR$38=C18)*($BS$29:$CA$29=Q19),$BS$30:$CA$38)),0)</f>
        <v>0</v>
      </c>
      <c r="W53" s="3">
        <f t="array" aca="1" ref="W53" ca="1">IF(Q18=C18,SUM(IF(($BR$30:$BR$38=C18)*($BS$29:$CA$29=Q20),$BS$30:$CA$38)),0)</f>
        <v>0</v>
      </c>
      <c r="X53" s="3">
        <f t="array" aca="1" ref="X53" ca="1">IF(Q18=C18,SUM(IF(($BR$30:$BR$38=C18)*($BS$29:$CA$29=Q21),$BS$30:$CA$38)),0)</f>
        <v>0</v>
      </c>
      <c r="Y53" s="3">
        <f t="array" aca="1" ref="Y53" ca="1">IF(Q18=C18,SUM(IF(($BR$30:$BR$38=C18)*($BS$29:$CA$29=Q22),$BS$30:$CA$38)),0)</f>
        <v>0</v>
      </c>
      <c r="Z53" s="3">
        <f t="array" aca="1" ref="Z53" ca="1">IF(Q18=C18,SUM(IF(($BR$30:$BR$38=C18)*($BS$29:$CA$29=Q23),$BS$30:$CA$38)),0)</f>
        <v>0</v>
      </c>
      <c r="AA53" s="3">
        <f t="array" aca="1" ref="AA53" ca="1">IF(Q18=C18,SUM(IF(($BR$30:$BR$38=C18)*($BS$29:$CA$29=Q$24),$BS$30:$CA$38)),0)</f>
        <v>0</v>
      </c>
      <c r="AB53" s="3">
        <f t="array" aca="1" ref="AB53" ca="1">IF(Q18=C18,SUM(IF(($BR$30:$BR$38=C18)*($BS$29:$CA$29=Q$25),$BS$30:$CA$38)),0)</f>
        <v>0</v>
      </c>
      <c r="AC53" s="5">
        <f t="array" aca="1" ref="AC53" ca="1">IF(R18=C18,SUM(IF(($BR$30:$BR$38=C18)*($BS$29:$CA$29=R17),$BS$30:$CA$38)),0)</f>
        <v>0</v>
      </c>
      <c r="AD53" s="3">
        <f t="array" aca="1" ref="AD53" ca="1">IF(R18=C18,SUM(IF(($BR$30:$BR$38=C18)*($BS$29:$CA$29=R19),$BS$30:$CA$38)),0)</f>
        <v>0</v>
      </c>
      <c r="AE53" s="3">
        <f t="array" aca="1" ref="AE53" ca="1">IF(R18=C18,SUM(IF(($BR$30:$BR$38=C18)*($BS$29:$CA$29=R20),$BS$30:$CA$38)),0)</f>
        <v>0</v>
      </c>
      <c r="AF53" s="3">
        <f t="array" aca="1" ref="AF53" ca="1">IF(R18=C18,SUM(IF(($BR$30:$BR$38=C18)*($BS$29:$CA$29=R21),$BS$30:$CA$38)),0)</f>
        <v>0</v>
      </c>
      <c r="AG53" s="3">
        <f t="array" aca="1" ref="AG53" ca="1">IF(R18=C18,SUM(IF(($BR$30:$BR$38=C18)*($BS$29:$CA$29=R22),$BS$30:$CA$38)),0)</f>
        <v>0</v>
      </c>
      <c r="AH53" s="3">
        <f t="array" aca="1" ref="AH53" ca="1">IF(R18=C18,SUM(IF(($BR$30:$BR$38=C18)*($BS$29:$CA$29=R23),$BS$30:$CA$38)),0)</f>
        <v>0</v>
      </c>
      <c r="AI53" s="3">
        <f t="array" aca="1" ref="AI53" ca="1">IF(R18=C18,SUM(IF(($BR$30:$BR$38=C18)*($BS$29:$CA$29=R$24),$BS$30:$CA$38)),0)</f>
        <v>0</v>
      </c>
      <c r="AJ53" s="3">
        <f t="array" aca="1" ref="AJ53" ca="1">IF(R18=C18,SUM(IF(($BR$30:$BR$38=C18)*($BS$29:$CA$29=R$25),$BS$30:$CA$38)),0)</f>
        <v>0</v>
      </c>
      <c r="AK53" s="5">
        <f t="array" aca="1" ref="AK53" ca="1">IF(S18=C18,SUM(IF(($BR$30:$BR$38=C18)*($BS$29:$CA$29=S17),$BS$30:$CA$38)),0)</f>
        <v>0</v>
      </c>
      <c r="AL53" s="3">
        <f t="array" aca="1" ref="AL53" ca="1">IF(S18=C18,SUM(IF(($BR$30:$BR$38=C18)*($BS$29:$CA$29=S19),$BS$30:$CA$38)),0)</f>
        <v>0</v>
      </c>
      <c r="AM53" s="3">
        <f t="array" aca="1" ref="AM53" ca="1">IF(S18=C18,SUM(IF(($BR$30:$BR$38=C18)*($BS$29:$CA$29=S20),$BS$30:$CA$38)),0)</f>
        <v>0</v>
      </c>
      <c r="AN53" s="3">
        <f t="array" aca="1" ref="AN53" ca="1">IF(S18=C18,SUM(IF(($BR$30:$BR$38=C18)*($BS$29:$CA$29=S21),$BS$30:$CA$38)),0)</f>
        <v>0</v>
      </c>
      <c r="AO53" s="3">
        <f t="array" aca="1" ref="AO53" ca="1">IF(S18=C18,SUM(IF(($BR$30:$BR$38=C18)*($BS$29:$CA$29=S22),$BS$30:$CA$38)),0)</f>
        <v>0</v>
      </c>
      <c r="AP53" s="3">
        <f t="array" aca="1" ref="AP53" ca="1">IF(S18=C18,SUM(IF(($BR$30:$BR$38=C18)*($BS$29:$CA$29=S23),$BS$30:$CA$38)),0)</f>
        <v>0</v>
      </c>
      <c r="AQ53" s="3">
        <f t="array" aca="1" ref="AQ53" ca="1">IF(S18=C18,SUM(IF(($BR$30:$BR$38=C18)*($BS$29:$CA$29=S$24),$BS$30:$CA$38)),0)</f>
        <v>0</v>
      </c>
      <c r="AR53" s="3">
        <f t="array" aca="1" ref="AR53" ca="1">IF(S18=C18,SUM(IF(($BR$30:$BR$38=C18)*($BS$29:$CA$29=S$25),$BS$30:$CA$38)),0)</f>
        <v>0</v>
      </c>
      <c r="AS53" s="5">
        <f t="array" aca="1" ref="AS53" ca="1">IF(T18=C18,SUM(IF(($BR$30:$BR$38=C18)*($BS$29:$CA$29=T17),$BS$30:$CA$38)),0)</f>
        <v>0</v>
      </c>
      <c r="AT53" s="3">
        <f t="array" aca="1" ref="AT53" ca="1">IF(T18=C18,SUM(IF(($BR$30:$BR$38=C18)*($BS$29:$CA$29=T19),$BS$30:$CA$38)),0)</f>
        <v>0</v>
      </c>
      <c r="AU53" s="3">
        <f t="array" aca="1" ref="AU53" ca="1">IF(T18=C18,SUM(IF(($BR$30:$BR$38=C18)*($BS$29:$CA$29=T20),$BS$30:$CA$38)),0)</f>
        <v>0</v>
      </c>
      <c r="AV53" s="3">
        <f t="array" aca="1" ref="AV53" ca="1">IF(T18=C18,SUM(IF(($BR$30:$BR$38=C18)*($BS$29:$CA$29=T21),$BS$30:$CA$38)),0)</f>
        <v>0</v>
      </c>
      <c r="AW53" s="3">
        <f t="array" aca="1" ref="AW53" ca="1">IF(T18=C18,SUM(IF(($BR$30:$BR$38=C18)*($BS$29:$CA$29=T22),$BS$30:$CA$38)),0)</f>
        <v>0</v>
      </c>
      <c r="AX53" s="3">
        <f t="array" aca="1" ref="AX53" ca="1">IF(T18=C18,SUM(IF(($BR$30:$BR$38=C18)*($BS$29:$CA$29=T23),$BS$30:$CA$38)),0)</f>
        <v>0</v>
      </c>
      <c r="AY53" s="3">
        <f t="array" aca="1" ref="AY53" ca="1">IF(T18=C18,SUM(IF(($BR$30:$BR$38=C18)*($BS$29:$CA$29=T$24),$BS$30:$CA$38)),0)</f>
        <v>0</v>
      </c>
      <c r="AZ53" s="3">
        <f t="array" aca="1" ref="AZ53" ca="1">IF(T18=C18,SUM(IF(($BR$30:$BR$38=C18)*($BS$29:$CA$29=T$25),$BS$30:$CA$38)),0)</f>
        <v>0</v>
      </c>
      <c r="BA53" s="5">
        <f t="array" aca="1" ref="BA53" ca="1">IF(U18=C18,SUM(IF(($BR$30:$BR$38=C18)*($BS$29:$CA$29=U$17),$BS$30:$CA$38)),0)</f>
        <v>0</v>
      </c>
      <c r="BB53" s="3">
        <f t="array" aca="1" ref="BB53" ca="1">IF(U18=C18,SUM(IF(($BR$30:$BR$38=C18)*($BS$29:$CA$29=U$19),$BS$30:$CA$38)),0)</f>
        <v>0</v>
      </c>
      <c r="BC53" s="3">
        <f t="array" aca="1" ref="BC53" ca="1">IF(U18=C18,SUM(IF(($BR$30:$BR$38=C18)*($BS$29:$CA$29=U$20),$BS$30:$CA$38)),0)</f>
        <v>0</v>
      </c>
      <c r="BD53" s="3">
        <f t="array" aca="1" ref="BD53" ca="1">IF(U18=C18,SUM(IF(($BR$30:$BR$38=C18)*($BS$29:$CA$29=U$21),$BS$30:$CA$38)),0)</f>
        <v>0</v>
      </c>
      <c r="BE53" s="3">
        <f t="array" aca="1" ref="BE53" ca="1">IF(U18=C18,SUM(IF(($BR$30:$BR$38=C18)*($BS$29:$CA$29=U$22),$BS$30:$CA$38)),0)</f>
        <v>0</v>
      </c>
      <c r="BF53" s="3">
        <f t="array" aca="1" ref="BF53" ca="1">IF(U18=C18,SUM(IF(($BR$30:$BR$38=C18)*($BS$29:$CA$29=U$23),$BS$30:$CA$38)),0)</f>
        <v>0</v>
      </c>
      <c r="BG53" s="3">
        <f t="array" aca="1" ref="BG53" ca="1">IF(U18=C18,SUM(IF(($BR$30:$BR$38=C18)*($BS$29:$CA$29=U$24),$BS$30:$CA$38)),0)</f>
        <v>0</v>
      </c>
      <c r="BH53" s="3">
        <f t="array" aca="1" ref="BH53" ca="1">IF(U18=C18,SUM(IF(($BR$30:$BR$38=C18)*($BS$29:$CA$29=U$25),$BS$30:$CA$38)),0)</f>
        <v>0</v>
      </c>
      <c r="BI53" s="5">
        <f t="array" aca="1" ref="BI53" ca="1">IF(V18=C18,SUM(IF(($BR$30:$BR$38=C18)*($BS$29:$CA$29=V$17),$BS$30:$CA$38)),0)</f>
        <v>0</v>
      </c>
      <c r="BJ53" s="3">
        <f t="array" aca="1" ref="BJ53" ca="1">IF(V18=C18,SUM(IF(($BR$30:$BR$38=C18)*($BS$29:$CA$29=V$19),$BS$30:$CA$38)),0)</f>
        <v>0</v>
      </c>
      <c r="BK53" s="3">
        <f t="array" aca="1" ref="BK53" ca="1">IF(V18=C18,SUM(IF(($BR$30:$BR$38=C18)*($BS$29:$CA$29=V$20),$BS$30:$CA$38)),0)</f>
        <v>0</v>
      </c>
      <c r="BL53" s="3">
        <f t="array" aca="1" ref="BL53" ca="1">IF(V18=C18,SUM(IF(($BR$30:$BR$38=C18)*($BS$29:$CA$29=V$21),$BS$30:$CA$38)),0)</f>
        <v>0</v>
      </c>
      <c r="BM53" s="3">
        <f t="array" aca="1" ref="BM53" ca="1">IF(V18=C18,SUM(IF(($BR$30:$BR$38=C18)*($BS$29:$CA$29=V$22),$BS$30:$CA$38)),0)</f>
        <v>0</v>
      </c>
      <c r="BN53" s="3">
        <f t="array" aca="1" ref="BN53" ca="1">IF(V18=C18,SUM(IF(($BR$30:$BR$38=C18)*($BS$29:$CA$29=V$23),$BS$30:$CA$38)),0)</f>
        <v>0</v>
      </c>
      <c r="BO53" s="3">
        <f t="array" aca="1" ref="BO53" ca="1">IF(V18=C18,SUM(IF(($BR$30:$BR$38=C18)*($BS$29:$CA$29=V$24),$BS$30:$CA$38)),0)</f>
        <v>0</v>
      </c>
      <c r="BP53" s="15">
        <f t="array" aca="1" ref="BP53" ca="1">IF(V18=C18,SUM(IF(($BR$30:$BR$38=C18)*($BS$29:$CA$29=V$25),$BS$30:$CA$38)),0)</f>
        <v>0</v>
      </c>
      <c r="BQ53" s="3"/>
      <c r="BR53" s="2" t="str">
        <f t="shared" ca="1" si="40"/>
        <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2:80" s="2" customFormat="1" x14ac:dyDescent="0.2">
      <c r="E54" s="14">
        <f t="array" aca="1" ref="E54" ca="1">IF(O19=C19,SUM(IF(($BR$30:$BR$38=C19)*($BS$29:$CA$29=O17),$BS$30:$CA$38)),0)</f>
        <v>0</v>
      </c>
      <c r="F54" s="3">
        <f t="array" aca="1" ref="F54" ca="1">IF(O19=C19,SUM(IF(($BR$30:$BR$38=C19)*($BS$29:$CA$29=O18),$BS$30:$CA$38)),0)</f>
        <v>0</v>
      </c>
      <c r="G54" s="3">
        <f t="array" aca="1" ref="G54" ca="1">IF(O19=C19,SUM(IF(($BR$30:$BR$38=C19)*($BS$29:$CA$29=O20),$BS$30:$CA$38)),0)</f>
        <v>0</v>
      </c>
      <c r="H54" s="3">
        <f t="array" aca="1" ref="H54" ca="1">IF(O19=C19,SUM(IF(($BR$30:$BR$38=C19)*($BS$29:$CA$29=O21),$BS$30:$CA$38)),0)</f>
        <v>0</v>
      </c>
      <c r="I54" s="3">
        <f t="array" aca="1" ref="I54" ca="1">IF(O19=C19,SUM(IF(($BR$30:$BR$38=C19)*($BS$29:$CA$29=O22),$BS$30:$CA$38)),0)</f>
        <v>0</v>
      </c>
      <c r="J54" s="3">
        <f t="array" aca="1" ref="J54" ca="1">IF(O19=C19,SUM(IF(($BR$30:$BR$38=C19)*($BS$29:$CA$29=O23),$BS$30:$CA$38)),0)</f>
        <v>0</v>
      </c>
      <c r="K54" s="3">
        <f t="array" aca="1" ref="K54" ca="1">IF(O19=C19,SUM(IF(($BR$30:$BR$38=C19)*($BS$29:$CA$29=O$24),$BS$30:$CA$38)),0)</f>
        <v>0</v>
      </c>
      <c r="L54" s="3">
        <f t="array" aca="1" ref="L54" ca="1">IF(O19=C19,SUM(IF(($BR$30:$BR$38=C19)*($BS$29:$CA$29=O$25),$BS$30:$CA$38)),0)</f>
        <v>0</v>
      </c>
      <c r="M54" s="5">
        <f t="array" aca="1" ref="M54" ca="1">IF(P19=C19,SUM(IF(($BR$30:$BR$38=C19)*($BS$29:$CA$29=P17),$BS$30:$CA$38)),0)</f>
        <v>0</v>
      </c>
      <c r="N54" s="3">
        <f t="array" aca="1" ref="N54" ca="1">IF(P19=C19,SUM(IF(($BR$30:$BR$38=C19)*($BS$29:$CA$29=P18),$BS$30:$CA$38)),0)</f>
        <v>0</v>
      </c>
      <c r="O54" s="3">
        <f t="array" aca="1" ref="O54" ca="1">IF(P19=C19,SUM(IF(($BR$30:$BR$38=C19)*($BS$29:$CA$29=P20),$BS$30:$CA$38)),0)</f>
        <v>0</v>
      </c>
      <c r="P54" s="3">
        <f t="array" aca="1" ref="P54" ca="1">IF(P19=C19,SUM(IF(($BR$30:$BR$38=C19)*($BS$29:$CA$29=P21),$BS$30:$CA$38)),0)</f>
        <v>0</v>
      </c>
      <c r="Q54" s="3">
        <f t="array" aca="1" ref="Q54" ca="1">IF(P19=C19,SUM(IF(($BR$30:$BR$38=C19)*($BS$29:$CA$29=P22),$BS$30:$CA$38)),0)</f>
        <v>0</v>
      </c>
      <c r="R54" s="3">
        <f t="array" aca="1" ref="R54" ca="1">IF(P19=C19,SUM(IF(($BR$30:$BR$38=C19)*($BS$29:$CA$29=P23),$BS$30:$CA$38)),0)</f>
        <v>0</v>
      </c>
      <c r="S54" s="3">
        <f t="array" aca="1" ref="S54" ca="1">IF(P19=C19,SUM(IF(($BR$30:$BR$38=C19)*($BS$29:$CA$29=P$24),$BS$30:$CA$38)),0)</f>
        <v>0</v>
      </c>
      <c r="T54" s="3">
        <f t="array" aca="1" ref="T54" ca="1">IF(P19=C19,SUM(IF(($BR$30:$BR$38=C19)*($BS$29:$CA$29=P$25),$BS$30:$CA$38)),0)</f>
        <v>0</v>
      </c>
      <c r="U54" s="5">
        <f t="array" aca="1" ref="U54" ca="1">IF(Q19=C19,SUM(IF(($BR$30:$BR$38=C19)*($BS$29:$CA$29=Q17),$BS$30:$CA$38)),0)</f>
        <v>0</v>
      </c>
      <c r="V54" s="3">
        <f t="array" aca="1" ref="V54" ca="1">IF(Q19=C19,SUM(IF(($BR$30:$BR$38=C19)*($BS$29:$CA$29=Q18),$BS$30:$CA$38)),0)</f>
        <v>0</v>
      </c>
      <c r="W54" s="3">
        <f t="array" aca="1" ref="W54" ca="1">IF(Q19=C19,SUM(IF(($BR$30:$BR$38=C19)*($BS$29:$CA$29=Q20),$BS$30:$CA$38)),0)</f>
        <v>0</v>
      </c>
      <c r="X54" s="3">
        <f t="array" aca="1" ref="X54" ca="1">IF(Q19=C19,SUM(IF(($BR$30:$BR$38=C19)*($BS$29:$CA$29=Q21),$BS$30:$CA$38)),0)</f>
        <v>0</v>
      </c>
      <c r="Y54" s="3">
        <f t="array" aca="1" ref="Y54" ca="1">IF(Q19=C19,SUM(IF(($BR$30:$BR$38=C19)*($BS$29:$CA$29=Q22),$BS$30:$CA$38)),0)</f>
        <v>0</v>
      </c>
      <c r="Z54" s="3">
        <f t="array" aca="1" ref="Z54" ca="1">IF(Q19=C19,SUM(IF(($BR$30:$BR$38=C19)*($BS$29:$CA$29=Q23),$BS$30:$CA$38)),0)</f>
        <v>0</v>
      </c>
      <c r="AA54" s="3">
        <f t="array" aca="1" ref="AA54" ca="1">IF(Q19=C19,SUM(IF(($BR$30:$BR$38=C19)*($BS$29:$CA$29=Q$24),$BS$30:$CA$38)),0)</f>
        <v>0</v>
      </c>
      <c r="AB54" s="3">
        <f t="array" aca="1" ref="AB54" ca="1">IF(Q19=C19,SUM(IF(($BR$30:$BR$38=C19)*($BS$29:$CA$29=Q$25),$BS$30:$CA$38)),0)</f>
        <v>0</v>
      </c>
      <c r="AC54" s="5">
        <f t="array" aca="1" ref="AC54" ca="1">IF(R19=C19,SUM(IF(($BR$30:$BR$38=C19)*($BS$29:$CA$29=R17),$BS$30:$CA$38)),0)</f>
        <v>0</v>
      </c>
      <c r="AD54" s="3">
        <f t="array" aca="1" ref="AD54" ca="1">IF(R19=C19,SUM(IF(($BR$30:$BR$38=C19)*($BS$29:$CA$29=R18),$BS$30:$CA$38)),0)</f>
        <v>0</v>
      </c>
      <c r="AE54" s="3">
        <f t="array" aca="1" ref="AE54" ca="1">IF(R19=C19,SUM(IF(($BR$30:$BR$38=C19)*($BS$29:$CA$29=R20),$BS$30:$CA$38)),0)</f>
        <v>0</v>
      </c>
      <c r="AF54" s="3">
        <f t="array" aca="1" ref="AF54" ca="1">IF(R19=C19,SUM(IF(($BR$30:$BR$38=C19)*($BS$29:$CA$29=R21),$BS$30:$CA$38)),0)</f>
        <v>0</v>
      </c>
      <c r="AG54" s="3">
        <f t="array" aca="1" ref="AG54" ca="1">IF(R19=C19,SUM(IF(($BR$30:$BR$38=C19)*($BS$29:$CA$29=R22),$BS$30:$CA$38)),0)</f>
        <v>0</v>
      </c>
      <c r="AH54" s="3">
        <f t="array" aca="1" ref="AH54" ca="1">IF(R19=C19,SUM(IF(($BR$30:$BR$38=C19)*($BS$29:$CA$29=R23),$BS$30:$CA$38)),0)</f>
        <v>0</v>
      </c>
      <c r="AI54" s="3">
        <f t="array" aca="1" ref="AI54" ca="1">IF(R19=C19,SUM(IF(($BR$30:$BR$38=C19)*($BS$29:$CA$29=R$24),$BS$30:$CA$38)),0)</f>
        <v>0</v>
      </c>
      <c r="AJ54" s="3">
        <f t="array" aca="1" ref="AJ54" ca="1">IF(R19=C19,SUM(IF(($BR$30:$BR$38=C19)*($BS$29:$CA$29=R$25),$BS$30:$CA$38)),0)</f>
        <v>0</v>
      </c>
      <c r="AK54" s="5">
        <f t="array" aca="1" ref="AK54" ca="1">IF(S19=C19,SUM(IF(($BR$30:$BR$38=C19)*($BS$29:$CA$29=S17),$BS$30:$CA$38)),0)</f>
        <v>0</v>
      </c>
      <c r="AL54" s="3">
        <f t="array" aca="1" ref="AL54" ca="1">IF(S19=C19,SUM(IF(($BR$30:$BR$38=C19)*($BS$29:$CA$29=S18),$BS$30:$CA$38)),0)</f>
        <v>0</v>
      </c>
      <c r="AM54" s="3">
        <f t="array" aca="1" ref="AM54" ca="1">IF(S19=C19,SUM(IF(($BR$30:$BR$38=C19)*($BS$29:$CA$29=S20),$BS$30:$CA$38)),0)</f>
        <v>0</v>
      </c>
      <c r="AN54" s="3">
        <f t="array" aca="1" ref="AN54" ca="1">IF(S19=C19,SUM(IF(($BR$30:$BR$38=C19)*($BS$29:$CA$29=S21),$BS$30:$CA$38)),0)</f>
        <v>0</v>
      </c>
      <c r="AO54" s="3">
        <f t="array" aca="1" ref="AO54" ca="1">IF(S19=C19,SUM(IF(($BR$30:$BR$38=C19)*($BS$29:$CA$29=S22),$BS$30:$CA$38)),0)</f>
        <v>0</v>
      </c>
      <c r="AP54" s="3">
        <f t="array" aca="1" ref="AP54" ca="1">IF(S19=C19,SUM(IF(($BR$30:$BR$38=C19)*($BS$29:$CA$29=S23),$BS$30:$CA$38)),0)</f>
        <v>0</v>
      </c>
      <c r="AQ54" s="3">
        <f t="array" aca="1" ref="AQ54" ca="1">IF(S19=C19,SUM(IF(($BR$30:$BR$38=C19)*($BS$29:$CA$29=S$24),$BS$30:$CA$38)),0)</f>
        <v>0</v>
      </c>
      <c r="AR54" s="3">
        <f t="array" aca="1" ref="AR54" ca="1">IF(S19=C19,SUM(IF(($BR$30:$BR$38=C19)*($BS$29:$CA$29=S$25),$BS$30:$CA$38)),0)</f>
        <v>0</v>
      </c>
      <c r="AS54" s="5">
        <f t="array" aca="1" ref="AS54" ca="1">IF(T19=C19,SUM(IF(($BR$30:$BR$38=C19)*($BS$29:$CA$29=T17),$BS$30:$CA$38)),0)</f>
        <v>0</v>
      </c>
      <c r="AT54" s="3">
        <f t="array" aca="1" ref="AT54" ca="1">IF(T19=C19,SUM(IF(($BR$30:$BR$38=C19)*($BS$29:$CA$29=T18),$BS$30:$CA$38)),0)</f>
        <v>0</v>
      </c>
      <c r="AU54" s="3">
        <f t="array" aca="1" ref="AU54" ca="1">IF(T19=C19,SUM(IF(($BR$30:$BR$38=C19)*($BS$29:$CA$29=T20),$BS$30:$CA$38)),0)</f>
        <v>0</v>
      </c>
      <c r="AV54" s="3">
        <f t="array" aca="1" ref="AV54" ca="1">IF(T19=C19,SUM(IF(($BR$30:$BR$38=C19)*($BS$29:$CA$29=T21),$BS$30:$CA$38)),0)</f>
        <v>0</v>
      </c>
      <c r="AW54" s="3">
        <f t="array" aca="1" ref="AW54" ca="1">IF(T19=C19,SUM(IF(($BR$30:$BR$38=C19)*($BS$29:$CA$29=T22),$BS$30:$CA$38)),0)</f>
        <v>0</v>
      </c>
      <c r="AX54" s="3">
        <f t="array" aca="1" ref="AX54" ca="1">IF(T19=C19,SUM(IF(($BR$30:$BR$38=C19)*($BS$29:$CA$29=T23),$BS$30:$CA$38)),0)</f>
        <v>0</v>
      </c>
      <c r="AY54" s="3">
        <f t="array" aca="1" ref="AY54" ca="1">IF(T19=C19,SUM(IF(($BR$30:$BR$38=C19)*($BS$29:$CA$29=T$24),$BS$30:$CA$38)),0)</f>
        <v>0</v>
      </c>
      <c r="AZ54" s="3">
        <f t="array" aca="1" ref="AZ54" ca="1">IF(T19=C19,SUM(IF(($BR$30:$BR$38=C19)*($BS$29:$CA$29=T$25),$BS$30:$CA$38)),0)</f>
        <v>0</v>
      </c>
      <c r="BA54" s="5">
        <f t="array" aca="1" ref="BA54" ca="1">IF(U19=C19,SUM(IF(($BR$30:$BR$38=C19)*($BS$29:$CA$29=U$17),$BS$30:$CA$38)),0)</f>
        <v>0</v>
      </c>
      <c r="BB54" s="3">
        <f t="array" aca="1" ref="BB54" ca="1">IF(U19=C19,SUM(IF(($BR$30:$BR$38=C19)*($BS$29:$CA$29=U$18),$BS$30:$CA$38)),0)</f>
        <v>0</v>
      </c>
      <c r="BC54" s="3">
        <f t="array" aca="1" ref="BC54" ca="1">IF(U19=C19,SUM(IF(($BR$30:$BR$38=C19)*($BS$29:$CA$29=U$20),$BS$30:$CA$38)),0)</f>
        <v>0</v>
      </c>
      <c r="BD54" s="3">
        <f t="array" aca="1" ref="BD54" ca="1">IF(U19=C19,SUM(IF(($BR$30:$BR$38=C19)*($BS$29:$CA$29=U$21),$BS$30:$CA$38)),0)</f>
        <v>0</v>
      </c>
      <c r="BE54" s="3">
        <f t="array" aca="1" ref="BE54" ca="1">IF(U19=C19,SUM(IF(($BR$30:$BR$38=C19)*($BS$29:$CA$29=U$22),$BS$30:$CA$38)),0)</f>
        <v>0</v>
      </c>
      <c r="BF54" s="3">
        <f t="array" aca="1" ref="BF54" ca="1">IF(U19=C19,SUM(IF(($BR$30:$BR$38=C19)*($BS$29:$CA$29=U$23),$BS$30:$CA$38)),0)</f>
        <v>0</v>
      </c>
      <c r="BG54" s="3">
        <f t="array" aca="1" ref="BG54" ca="1">IF(U19=C19,SUM(IF(($BR$30:$BR$38=C19)*($BS$29:$CA$29=U$24),$BS$30:$CA$38)),0)</f>
        <v>0</v>
      </c>
      <c r="BH54" s="3">
        <f t="array" aca="1" ref="BH54" ca="1">IF(U19=C19,SUM(IF(($BR$30:$BR$38=C19)*($BS$29:$CA$29=U$25),$BS$30:$CA$38)),0)</f>
        <v>0</v>
      </c>
      <c r="BI54" s="5">
        <f t="array" aca="1" ref="BI54" ca="1">IF(V19=C19,SUM(IF(($BR$30:$BR$38=C19)*($BS$29:$CA$29=V$17),$BS$30:$CA$38)),0)</f>
        <v>0</v>
      </c>
      <c r="BJ54" s="3">
        <f t="array" aca="1" ref="BJ54" ca="1">IF(V19=C19,SUM(IF(($BR$30:$BR$38=C19)*($BS$29:$CA$29=V$18),$BS$30:$CA$38)),0)</f>
        <v>0</v>
      </c>
      <c r="BK54" s="3">
        <f t="array" aca="1" ref="BK54" ca="1">IF(V19=C19,SUM(IF(($BR$30:$BR$38=C19)*($BS$29:$CA$29=V$20),$BS$30:$CA$38)),0)</f>
        <v>0</v>
      </c>
      <c r="BL54" s="3">
        <f t="array" aca="1" ref="BL54" ca="1">IF(V19=C19,SUM(IF(($BR$30:$BR$38=C19)*($BS$29:$CA$29=V$21),$BS$30:$CA$38)),0)</f>
        <v>0</v>
      </c>
      <c r="BM54" s="3">
        <f t="array" aca="1" ref="BM54" ca="1">IF(V19=C19,SUM(IF(($BR$30:$BR$38=C19)*($BS$29:$CA$29=V$22),$BS$30:$CA$38)),0)</f>
        <v>0</v>
      </c>
      <c r="BN54" s="3">
        <f t="array" aca="1" ref="BN54" ca="1">IF(V19=C19,SUM(IF(($BR$30:$BR$38=C19)*($BS$29:$CA$29=V$23),$BS$30:$CA$38)),0)</f>
        <v>0</v>
      </c>
      <c r="BO54" s="3">
        <f t="array" aca="1" ref="BO54" ca="1">IF(V19=C19,SUM(IF(($BR$30:$BR$38=C19)*($BS$29:$CA$29=V$24),$BS$30:$CA$38)),0)</f>
        <v>0</v>
      </c>
      <c r="BP54" s="15">
        <f t="array" aca="1" ref="BP54" ca="1">IF(V19=C19,SUM(IF(($BR$30:$BR$38=C19)*($BS$29:$CA$29=V$25),$BS$30:$CA$38)),0)</f>
        <v>0</v>
      </c>
      <c r="BQ54" s="3"/>
      <c r="BR54" s="2" t="str">
        <f t="shared" ca="1" si="40"/>
        <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2:80" s="2" customFormat="1" x14ac:dyDescent="0.2">
      <c r="E55" s="14">
        <f t="array" aca="1" ref="E55" ca="1">IF(O20=C20,SUM(IF(($BR$30:$BR$38=C20)*($BS$29:$CA$29=O17),$BS$30:$CA$38)),0)</f>
        <v>0</v>
      </c>
      <c r="F55" s="3">
        <f t="array" aca="1" ref="F55" ca="1">IF(O20=C20,SUM(IF(($BR$30:$BR$38=C20)*($BS$29:$CA$29=O18),$BS$30:$CA$38)),0)</f>
        <v>0</v>
      </c>
      <c r="G55" s="3">
        <f t="array" aca="1" ref="G55" ca="1">IF(O20=C20,SUM(IF(($BR$30:$BR$38=C20)*($BS$29:$CA$29=O19),$BS$30:$CA$38)),0)</f>
        <v>0</v>
      </c>
      <c r="H55" s="3">
        <f t="array" aca="1" ref="H55" ca="1">IF(O20=C20,SUM(IF(($BR$30:$BR$38=C20)*($BS$29:$CA$29=O21),$BS$30:$CA$38)),0)</f>
        <v>0</v>
      </c>
      <c r="I55" s="3">
        <f t="array" aca="1" ref="I55" ca="1">IF(O20=C20,SUM(IF(($BR$30:$BR$38=C20)*($BS$29:$CA$29=O22),$BS$30:$CA$38)),0)</f>
        <v>0</v>
      </c>
      <c r="J55" s="3">
        <f t="array" aca="1" ref="J55" ca="1">IF(O20=C20,SUM(IF(($BR$30:$BR$38=C20)*($BS$29:$CA$29=O23),$BS$30:$CA$38)),0)</f>
        <v>0</v>
      </c>
      <c r="K55" s="3">
        <f t="array" aca="1" ref="K55" ca="1">IF(O20=C20,SUM(IF(($BR$30:$BR$38=C20)*($BS$29:$CA$29=O$24),$BS$30:$CA$38)),0)</f>
        <v>0</v>
      </c>
      <c r="L55" s="3">
        <f t="array" aca="1" ref="L55" ca="1">IF(O20=C20,SUM(IF(($BR$30:$BR$38=C20)*($BS$29:$CA$29=O$25),$BS$30:$CA$38)),0)</f>
        <v>0</v>
      </c>
      <c r="M55" s="5">
        <f t="array" aca="1" ref="M55" ca="1">IF(P20=C20,SUM(IF(($BR$30:$BR$38=C20)*($BS$29:$CA$29=P17),$BS$30:$CA$38)),0)</f>
        <v>0</v>
      </c>
      <c r="N55" s="3">
        <f t="array" aca="1" ref="N55" ca="1">IF(P20=C20,SUM(IF(($BR$30:$BR$38=C20)*($BS$29:$CA$29=P18),$BS$30:$CA$38)),0)</f>
        <v>0</v>
      </c>
      <c r="O55" s="3">
        <f t="array" aca="1" ref="O55" ca="1">IF(P20=C20,SUM(IF(($BR$30:$BR$38=C20)*($BS$29:$CA$29=P19),$BS$30:$CA$38)),0)</f>
        <v>0</v>
      </c>
      <c r="P55" s="3">
        <f t="array" aca="1" ref="P55" ca="1">IF(P20=C20,SUM(IF(($BR$30:$BR$38=C20)*($BS$29:$CA$29=P21),$BS$30:$CA$38)),0)</f>
        <v>0</v>
      </c>
      <c r="Q55" s="3">
        <f t="array" aca="1" ref="Q55" ca="1">IF(P20=C20,SUM(IF(($BR$30:$BR$38=C20)*($BS$29:$CA$29=P22),$BS$30:$CA$38)),0)</f>
        <v>0</v>
      </c>
      <c r="R55" s="3">
        <f t="array" aca="1" ref="R55" ca="1">IF(P20=C20,SUM(IF(($BR$30:$BR$38=C20)*($BS$29:$CA$29=P23),$BS$30:$CA$38)),0)</f>
        <v>0</v>
      </c>
      <c r="S55" s="3">
        <f t="array" aca="1" ref="S55" ca="1">IF(P20=C20,SUM(IF(($BR$30:$BR$38=C20)*($BS$29:$CA$29=P$24),$BS$30:$CA$38)),0)</f>
        <v>0</v>
      </c>
      <c r="T55" s="3">
        <f t="array" aca="1" ref="T55" ca="1">IF(P20=C20,SUM(IF(($BR$30:$BR$38=C20)*($BS$29:$CA$29=P$25),$BS$30:$CA$38)),0)</f>
        <v>0</v>
      </c>
      <c r="U55" s="5">
        <f t="array" aca="1" ref="U55" ca="1">IF(Q20=C20,SUM(IF(($BR$30:$BR$38=C20)*($BS$29:$CA$29=Q17),$BS$30:$CA$38)),0)</f>
        <v>0</v>
      </c>
      <c r="V55" s="3">
        <f t="array" aca="1" ref="V55" ca="1">IF(Q20=C20,SUM(IF(($BR$30:$BR$38=C20)*($BS$29:$CA$29=Q18),$BS$30:$CA$38)),0)</f>
        <v>0</v>
      </c>
      <c r="W55" s="3">
        <f t="array" aca="1" ref="W55" ca="1">IF(Q20=C20,SUM(IF(($BR$30:$BR$38=C20)*($BS$29:$CA$29=Q19),$BS$30:$CA$38)),0)</f>
        <v>0</v>
      </c>
      <c r="X55" s="3">
        <f t="array" aca="1" ref="X55" ca="1">IF(Q20=C20,SUM(IF(($BR$30:$BR$38=C20)*($BS$29:$CA$29=Q21),$BS$30:$CA$38)),0)</f>
        <v>0</v>
      </c>
      <c r="Y55" s="3">
        <f t="array" aca="1" ref="Y55" ca="1">IF(Q20=C20,SUM(IF(($BR$30:$BR$38=C20)*($BS$29:$CA$29=Q22),$BS$30:$CA$38)),0)</f>
        <v>0</v>
      </c>
      <c r="Z55" s="3">
        <f t="array" aca="1" ref="Z55" ca="1">IF(Q20=C20,SUM(IF(($BR$30:$BR$38=C20)*($BS$29:$CA$29=Q23),$BS$30:$CA$38)),0)</f>
        <v>0</v>
      </c>
      <c r="AA55" s="3">
        <f t="array" aca="1" ref="AA55" ca="1">IF(Q20=C20,SUM(IF(($BR$30:$BR$38=C20)*($BS$29:$CA$29=Q$24),$BS$30:$CA$38)),0)</f>
        <v>0</v>
      </c>
      <c r="AB55" s="3">
        <f t="array" aca="1" ref="AB55" ca="1">IF(Q20=C20,SUM(IF(($BR$30:$BR$38=C20)*($BS$29:$CA$29=Q$25),$BS$30:$CA$38)),0)</f>
        <v>0</v>
      </c>
      <c r="AC55" s="5">
        <f t="array" aca="1" ref="AC55" ca="1">IF(R20=C20,SUM(IF(($BR$30:$BR$38=C20)*($BS$29:$CA$29=R17),$BS$30:$CA$38)),0)</f>
        <v>0</v>
      </c>
      <c r="AD55" s="3">
        <f t="array" aca="1" ref="AD55" ca="1">IF(R20=C20,SUM(IF(($BR$30:$BR$38=C20)*($BS$29:$CA$29=R18),$BS$30:$CA$38)),0)</f>
        <v>0</v>
      </c>
      <c r="AE55" s="3">
        <f t="array" aca="1" ref="AE55" ca="1">IF(R20=C20,SUM(IF(($BR$30:$BR$38=C20)*($BS$29:$CA$29=R19),$BS$30:$CA$38)),0)</f>
        <v>0</v>
      </c>
      <c r="AF55" s="3">
        <f t="array" aca="1" ref="AF55" ca="1">IF(R20=C20,SUM(IF(($BR$30:$BR$38=C20)*($BS$29:$CA$29=R21),$BS$30:$CA$38)),0)</f>
        <v>0</v>
      </c>
      <c r="AG55" s="3">
        <f t="array" aca="1" ref="AG55" ca="1">IF(R20=C20,SUM(IF(($BR$30:$BR$38=C20)*($BS$29:$CA$29=R22),$BS$30:$CA$38)),0)</f>
        <v>0</v>
      </c>
      <c r="AH55" s="3">
        <f t="array" aca="1" ref="AH55" ca="1">IF(R20=C20,SUM(IF(($BR$30:$BR$38=C20)*($BS$29:$CA$29=R23),$BS$30:$CA$38)),0)</f>
        <v>0</v>
      </c>
      <c r="AI55" s="3">
        <f t="array" aca="1" ref="AI55" ca="1">IF(R20=C20,SUM(IF(($BR$30:$BR$38=C20)*($BS$29:$CA$29=R$24),$BS$30:$CA$38)),0)</f>
        <v>0</v>
      </c>
      <c r="AJ55" s="3">
        <f t="array" aca="1" ref="AJ55" ca="1">IF(R20=C20,SUM(IF(($BR$30:$BR$38=C20)*($BS$29:$CA$29=R$25),$BS$30:$CA$38)),0)</f>
        <v>0</v>
      </c>
      <c r="AK55" s="5">
        <f t="array" aca="1" ref="AK55" ca="1">IF(S20=C20,SUM(IF(($BR$30:$BR$38=C20)*($BS$29:$CA$29=S17),$BS$30:$CA$38)),0)</f>
        <v>0</v>
      </c>
      <c r="AL55" s="3">
        <f t="array" aca="1" ref="AL55" ca="1">IF(S20=C20,SUM(IF(($BR$30:$BR$38=C20)*($BS$29:$CA$29=S18),$BS$30:$CA$38)),0)</f>
        <v>0</v>
      </c>
      <c r="AM55" s="3">
        <f t="array" aca="1" ref="AM55" ca="1">IF(S20=C20,SUM(IF(($BR$30:$BR$38=C20)*($BS$29:$CA$29=S19),$BS$30:$CA$38)),0)</f>
        <v>0</v>
      </c>
      <c r="AN55" s="3">
        <f t="array" aca="1" ref="AN55" ca="1">IF(S20=C20,SUM(IF(($BR$30:$BR$38=C20)*($BS$29:$CA$29=S21),$BS$30:$CA$38)),0)</f>
        <v>0</v>
      </c>
      <c r="AO55" s="3">
        <f t="array" aca="1" ref="AO55" ca="1">IF(S20=C20,SUM(IF(($BR$30:$BR$38=C20)*($BS$29:$CA$29=S22),$BS$30:$CA$38)),0)</f>
        <v>0</v>
      </c>
      <c r="AP55" s="3">
        <f t="array" aca="1" ref="AP55" ca="1">IF(S20=C20,SUM(IF(($BR$30:$BR$38=C20)*($BS$29:$CA$29=S23),$BS$30:$CA$38)),0)</f>
        <v>0</v>
      </c>
      <c r="AQ55" s="3">
        <f t="array" aca="1" ref="AQ55" ca="1">IF(S20=C20,SUM(IF(($BR$30:$BR$38=C20)*($BS$29:$CA$29=S$24),$BS$30:$CA$38)),0)</f>
        <v>0</v>
      </c>
      <c r="AR55" s="3">
        <f t="array" aca="1" ref="AR55" ca="1">IF(S20=C20,SUM(IF(($BR$30:$BR$38=C20)*($BS$29:$CA$29=S$25),$BS$30:$CA$38)),0)</f>
        <v>0</v>
      </c>
      <c r="AS55" s="5">
        <f t="array" aca="1" ref="AS55" ca="1">IF(T20=C20,SUM(IF(($BR$30:$BR$38=C20)*($BS$29:$CA$29=T17),$BS$30:$CA$38)),0)</f>
        <v>0</v>
      </c>
      <c r="AT55" s="3">
        <f t="array" aca="1" ref="AT55" ca="1">IF(T20=C20,SUM(IF(($BR$30:$BR$38=C20)*($BS$29:$CA$29=T18),$BS$30:$CA$38)),0)</f>
        <v>0</v>
      </c>
      <c r="AU55" s="3">
        <f t="array" aca="1" ref="AU55" ca="1">IF(T20=C20,SUM(IF(($BR$30:$BR$38=C20)*($BS$29:$CA$29=T19),$BS$30:$CA$38)),0)</f>
        <v>0</v>
      </c>
      <c r="AV55" s="3">
        <f t="array" aca="1" ref="AV55" ca="1">IF(T20=C20,SUM(IF(($BR$30:$BR$38=C20)*($BS$29:$CA$29=T21),$BS$30:$CA$38)),0)</f>
        <v>0</v>
      </c>
      <c r="AW55" s="3">
        <f t="array" aca="1" ref="AW55" ca="1">IF(T20=C20,SUM(IF(($BR$30:$BR$38=C20)*($BS$29:$CA$29=T22),$BS$30:$CA$38)),0)</f>
        <v>0</v>
      </c>
      <c r="AX55" s="3">
        <f t="array" aca="1" ref="AX55" ca="1">IF(T20=C20,SUM(IF(($BR$30:$BR$38=C20)*($BS$29:$CA$29=T23),$BS$30:$CA$38)),0)</f>
        <v>0</v>
      </c>
      <c r="AY55" s="3">
        <f t="array" aca="1" ref="AY55" ca="1">IF(T20=C20,SUM(IF(($BR$30:$BR$38=C20)*($BS$29:$CA$29=T$24),$BS$30:$CA$38)),0)</f>
        <v>0</v>
      </c>
      <c r="AZ55" s="3">
        <f t="array" aca="1" ref="AZ55" ca="1">IF(T20=C20,SUM(IF(($BR$30:$BR$38=C20)*($BS$29:$CA$29=T$25),$BS$30:$CA$38)),0)</f>
        <v>0</v>
      </c>
      <c r="BA55" s="5">
        <f t="array" aca="1" ref="BA55" ca="1">IF(U20=C20,SUM(IF(($BR$30:$BR$38=C20)*($BS$29:$CA$29=U$17),$BS$30:$CA$38)),0)</f>
        <v>0</v>
      </c>
      <c r="BB55" s="3">
        <f t="array" aca="1" ref="BB55" ca="1">IF(U20=C20,SUM(IF(($BR$30:$BR$38=C20)*($BS$29:$CA$29=U$18),$BS$30:$CA$38)),0)</f>
        <v>0</v>
      </c>
      <c r="BC55" s="3">
        <f t="array" aca="1" ref="BC55" ca="1">IF(U20=C20,SUM(IF(($BR$30:$BR$38=C20)*($BS$29:$CA$29=U$19),$BS$30:$CA$38)),0)</f>
        <v>0</v>
      </c>
      <c r="BD55" s="3">
        <f t="array" aca="1" ref="BD55" ca="1">IF(U20=C20,SUM(IF(($BR$30:$BR$38=C20)*($BS$29:$CA$29=U$21),$BS$30:$CA$38)),0)</f>
        <v>0</v>
      </c>
      <c r="BE55" s="3">
        <f t="array" aca="1" ref="BE55" ca="1">IF(U20=C20,SUM(IF(($BR$30:$BR$38=C20)*($BS$29:$CA$29=U$22),$BS$30:$CA$38)),0)</f>
        <v>0</v>
      </c>
      <c r="BF55" s="3">
        <f t="array" aca="1" ref="BF55" ca="1">IF(U20=C20,SUM(IF(($BR$30:$BR$38=C20)*($BS$29:$CA$29=U$23),$BS$30:$CA$38)),0)</f>
        <v>0</v>
      </c>
      <c r="BG55" s="3">
        <f t="array" aca="1" ref="BG55" ca="1">IF(U20=C20,SUM(IF(($BR$30:$BR$38=C20)*($BS$29:$CA$29=U$24),$BS$30:$CA$38)),0)</f>
        <v>0</v>
      </c>
      <c r="BH55" s="3">
        <f t="array" aca="1" ref="BH55" ca="1">IF(U20=C20,SUM(IF(($BR$30:$BR$38=C20)*($BS$29:$CA$29=U$25),$BS$30:$CA$38)),0)</f>
        <v>0</v>
      </c>
      <c r="BI55" s="5">
        <f t="array" aca="1" ref="BI55" ca="1">IF(V20=C20,SUM(IF(($BR$30:$BR$38=C20)*($BS$29:$CA$29=V$17),$BS$30:$CA$38)),0)</f>
        <v>0</v>
      </c>
      <c r="BJ55" s="3">
        <f t="array" aca="1" ref="BJ55" ca="1">IF(V20=C20,SUM(IF(($BR$30:$BR$38=C20)*($BS$29:$CA$29=V$18),$BS$30:$CA$38)),0)</f>
        <v>0</v>
      </c>
      <c r="BK55" s="3">
        <f t="array" aca="1" ref="BK55" ca="1">IF(V20=C20,SUM(IF(($BR$30:$BR$38=C20)*($BS$29:$CA$29=V$19),$BS$30:$CA$38)),0)</f>
        <v>0</v>
      </c>
      <c r="BL55" s="3">
        <f t="array" aca="1" ref="BL55" ca="1">IF(V20=C20,SUM(IF(($BR$30:$BR$38=C20)*($BS$29:$CA$29=V$21),$BS$30:$CA$38)),0)</f>
        <v>0</v>
      </c>
      <c r="BM55" s="3">
        <f t="array" aca="1" ref="BM55" ca="1">IF(V20=C20,SUM(IF(($BR$30:$BR$38=C20)*($BS$29:$CA$29=V$22),$BS$30:$CA$38)),0)</f>
        <v>0</v>
      </c>
      <c r="BN55" s="3">
        <f t="array" aca="1" ref="BN55" ca="1">IF(V20=C20,SUM(IF(($BR$30:$BR$38=C20)*($BS$29:$CA$29=V$23),$BS$30:$CA$38)),0)</f>
        <v>0</v>
      </c>
      <c r="BO55" s="3">
        <f t="array" aca="1" ref="BO55" ca="1">IF(V20=C20,SUM(IF(($BR$30:$BR$38=C20)*($BS$29:$CA$29=V$24),$BS$30:$CA$38)),0)</f>
        <v>0</v>
      </c>
      <c r="BP55" s="15">
        <f t="array" aca="1" ref="BP55" ca="1">IF(V20=C20,SUM(IF(($BR$30:$BR$38=C20)*($BS$29:$CA$29=V$25),$BS$30:$CA$38)),0)</f>
        <v>0</v>
      </c>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2:80" s="2" customFormat="1" x14ac:dyDescent="0.2">
      <c r="E56" s="14">
        <f t="array" aca="1" ref="E56" ca="1">IF(O21=C21,SUM(IF(($BR$30:$BR$38=C21)*($BS$29:$CA$29=O17),$BS$30:$CA$38)),0)</f>
        <v>0</v>
      </c>
      <c r="F56" s="3">
        <f t="array" aca="1" ref="F56" ca="1">IF(O21=C21,SUM(IF(($BR$30:$BR$38=C21)*($BS$29:$CA$29=O18),$BS$30:$CA$38)),0)</f>
        <v>0</v>
      </c>
      <c r="G56" s="3">
        <f t="array" aca="1" ref="G56" ca="1">IF(O21=C21,SUM(IF(($BR$30:$BR$38=C21)*($BS$29:$CA$29=O19),$BS$30:$CA$38)),0)</f>
        <v>0</v>
      </c>
      <c r="H56" s="3">
        <f t="array" aca="1" ref="H56" ca="1">IF(O21=C21,SUM(IF(($BR$30:$BR$38=C21)*($BS$29:$CA$29=O20),$BS$30:$CA$38)),0)</f>
        <v>0</v>
      </c>
      <c r="I56" s="3">
        <f t="array" aca="1" ref="I56" ca="1">IF(O21=C21,SUM(IF(($BR$30:$BR$38=C21)*($BS$29:$CA$29=O22),$BS$30:$CA$38)),0)</f>
        <v>0</v>
      </c>
      <c r="J56" s="3">
        <f t="array" aca="1" ref="J56" ca="1">IF(O21=C21,SUM(IF(($BR$30:$BR$38=C21)*($BS$29:$CA$29=O23),$BS$30:$CA$38)),0)</f>
        <v>0</v>
      </c>
      <c r="K56" s="3">
        <f t="array" aca="1" ref="K56" ca="1">IF(O21=C21,SUM(IF(($BR$30:$BR$38=C21)*($BS$29:$CA$29=O$24),$BS$30:$CA$38)),0)</f>
        <v>0</v>
      </c>
      <c r="L56" s="3">
        <f t="array" aca="1" ref="L56" ca="1">IF(O21=C21,SUM(IF(($BR$30:$BR$38=C21)*($BS$29:$CA$29=O$25),$BS$30:$CA$38)),0)</f>
        <v>0</v>
      </c>
      <c r="M56" s="5">
        <f t="array" aca="1" ref="M56" ca="1">IF(P21=C21,SUM(IF(($BR$30:$BR$38=C21)*($BS$29:$CA$29=P17),$BS$30:$CA$38)),0)</f>
        <v>0</v>
      </c>
      <c r="N56" s="3">
        <f t="array" aca="1" ref="N56" ca="1">IF(P21=C21,SUM(IF(($BR$30:$BR$38=C21)*($BS$29:$CA$29=P18),$BS$30:$CA$38)),0)</f>
        <v>0</v>
      </c>
      <c r="O56" s="3">
        <f t="array" aca="1" ref="O56" ca="1">IF(P21=C21,SUM(IF(($BR$30:$BR$38=C21)*($BS$29:$CA$29=P19),$BS$30:$CA$38)),0)</f>
        <v>0</v>
      </c>
      <c r="P56" s="3">
        <f t="array" aca="1" ref="P56" ca="1">IF(P21=C21,SUM(IF(($BR$30:$BR$38=C21)*($BS$29:$CA$29=P20),$BS$30:$CA$38)),0)</f>
        <v>0</v>
      </c>
      <c r="Q56" s="3">
        <f t="array" aca="1" ref="Q56" ca="1">IF(P21=C21,SUM(IF(($BR$30:$BR$38=C21)*($BS$29:$CA$29=P22),$BS$30:$CA$38)),0)</f>
        <v>0</v>
      </c>
      <c r="R56" s="3">
        <f t="array" aca="1" ref="R56" ca="1">IF(P21=C21,SUM(IF(($BR$30:$BR$38=C21)*($BS$29:$CA$29=P23),$BS$30:$CA$38)),0)</f>
        <v>0</v>
      </c>
      <c r="S56" s="3">
        <f t="array" aca="1" ref="S56" ca="1">IF(P21=C21,SUM(IF(($BR$30:$BR$38=C21)*($BS$29:$CA$29=P$24),$BS$30:$CA$38)),0)</f>
        <v>0</v>
      </c>
      <c r="T56" s="3">
        <f t="array" aca="1" ref="T56" ca="1">IF(P21=C21,SUM(IF(($BR$30:$BR$38=C21)*($BS$29:$CA$29=P$25),$BS$30:$CA$38)),0)</f>
        <v>0</v>
      </c>
      <c r="U56" s="5">
        <f t="array" aca="1" ref="U56" ca="1">IF(Q21=C21,SUM(IF(($BR$30:$BR$38=C21)*($BS$29:$CA$29=Q17),$BS$30:$CA$38)),0)</f>
        <v>0</v>
      </c>
      <c r="V56" s="3">
        <f t="array" aca="1" ref="V56" ca="1">IF(Q21=C21,SUM(IF(($BR$30:$BR$38=C21)*($BS$29:$CA$29=Q18),$BS$30:$CA$38)),0)</f>
        <v>0</v>
      </c>
      <c r="W56" s="3">
        <f t="array" aca="1" ref="W56" ca="1">IF(Q21=C21,SUM(IF(($BR$30:$BR$38=C21)*($BS$29:$CA$29=Q19),$BS$30:$CA$38)),0)</f>
        <v>0</v>
      </c>
      <c r="X56" s="3">
        <f t="array" aca="1" ref="X56" ca="1">IF(Q21=C21,SUM(IF(($BR$30:$BR$38=C21)*($BS$29:$CA$29=Q20),$BS$30:$CA$38)),0)</f>
        <v>0</v>
      </c>
      <c r="Y56" s="3">
        <f t="array" aca="1" ref="Y56" ca="1">IF(Q21=C21,SUM(IF(($BR$30:$BR$38=C21)*($BS$29:$CA$29=Q22),$BS$30:$CA$38)),0)</f>
        <v>0</v>
      </c>
      <c r="Z56" s="3">
        <f t="array" aca="1" ref="Z56" ca="1">IF(Q21=C21,SUM(IF(($BR$30:$BR$38=C21)*($BS$29:$CA$29=Q23),$BS$30:$CA$38)),0)</f>
        <v>0</v>
      </c>
      <c r="AA56" s="3">
        <f t="array" aca="1" ref="AA56" ca="1">IF(Q21=C21,SUM(IF(($BR$30:$BR$38=C21)*($BS$29:$CA$29=Q$24),$BS$30:$CA$38)),0)</f>
        <v>0</v>
      </c>
      <c r="AB56" s="3">
        <f t="array" aca="1" ref="AB56" ca="1">IF(Q21=C21,SUM(IF(($BR$30:$BR$38=C21)*($BS$29:$CA$29=Q$25),$BS$30:$CA$38)),0)</f>
        <v>0</v>
      </c>
      <c r="AC56" s="5">
        <f t="array" aca="1" ref="AC56" ca="1">IF(R21=C21,SUM(IF(($BR$30:$BR$38=C21)*($BS$29:$CA$29=R17),$BS$30:$CA$38)),0)</f>
        <v>0</v>
      </c>
      <c r="AD56" s="3">
        <f t="array" aca="1" ref="AD56" ca="1">IF(R21=C21,SUM(IF(($BR$30:$BR$38=C21)*($BS$29:$CA$29=R18),$BS$30:$CA$38)),0)</f>
        <v>0</v>
      </c>
      <c r="AE56" s="3">
        <f t="array" aca="1" ref="AE56" ca="1">IF(R21=C21,SUM(IF(($BR$30:$BR$38=C21)*($BS$29:$CA$29=R19),$BS$30:$CA$38)),0)</f>
        <v>0</v>
      </c>
      <c r="AF56" s="3">
        <f t="array" aca="1" ref="AF56" ca="1">IF(R21=C21,SUM(IF(($BR$30:$BR$38=C21)*($BS$29:$CA$29=R20),$BS$30:$CA$38)),0)</f>
        <v>0</v>
      </c>
      <c r="AG56" s="3">
        <f t="array" aca="1" ref="AG56" ca="1">IF(R21=C21,SUM(IF(($BR$30:$BR$38=C21)*($BS$29:$CA$29=R22),$BS$30:$CA$38)),0)</f>
        <v>0</v>
      </c>
      <c r="AH56" s="3">
        <f t="array" aca="1" ref="AH56" ca="1">IF(R21=C21,SUM(IF(($BR$30:$BR$38=C21)*($BS$29:$CA$29=R23),$BS$30:$CA$38)),0)</f>
        <v>0</v>
      </c>
      <c r="AI56" s="3">
        <f t="array" aca="1" ref="AI56" ca="1">IF(R21=C21,SUM(IF(($BR$30:$BR$38=C21)*($BS$29:$CA$29=R$24),$BS$30:$CA$38)),0)</f>
        <v>0</v>
      </c>
      <c r="AJ56" s="3">
        <f t="array" aca="1" ref="AJ56" ca="1">IF(R21=C21,SUM(IF(($BR$30:$BR$38=C21)*($BS$29:$CA$29=R$25),$BS$30:$CA$38)),0)</f>
        <v>0</v>
      </c>
      <c r="AK56" s="5">
        <f t="array" aca="1" ref="AK56" ca="1">IF(S21=C21,SUM(IF(($BR$30:$BR$38=C21)*($BS$29:$CA$29=S17),$BS$30:$CA$38)),0)</f>
        <v>0</v>
      </c>
      <c r="AL56" s="3">
        <f t="array" aca="1" ref="AL56" ca="1">IF(S21=C21,SUM(IF(($BR$30:$BR$38=C21)*($BS$29:$CA$29=S18),$BS$30:$CA$38)),0)</f>
        <v>0</v>
      </c>
      <c r="AM56" s="3">
        <f t="array" aca="1" ref="AM56" ca="1">IF(S21=C21,SUM(IF(($BR$30:$BR$38=C21)*($BS$29:$CA$29=S19),$BS$30:$CA$38)),0)</f>
        <v>0</v>
      </c>
      <c r="AN56" s="3">
        <f t="array" aca="1" ref="AN56" ca="1">IF(S21=C21,SUM(IF(($BR$30:$BR$38=C21)*($BS$29:$CA$29=S20),$BS$30:$CA$38)),0)</f>
        <v>0</v>
      </c>
      <c r="AO56" s="3">
        <f t="array" aca="1" ref="AO56" ca="1">IF(S21=C21,SUM(IF(($BR$30:$BR$38=C21)*($BS$29:$CA$29=S22),$BS$30:$CA$38)),0)</f>
        <v>0</v>
      </c>
      <c r="AP56" s="3">
        <f t="array" aca="1" ref="AP56" ca="1">IF(S21=C21,SUM(IF(($BR$30:$BR$38=C21)*($BS$29:$CA$29=S23),$BS$30:$CA$38)),0)</f>
        <v>0</v>
      </c>
      <c r="AQ56" s="3">
        <f t="array" aca="1" ref="AQ56" ca="1">IF(S21=C21,SUM(IF(($BR$30:$BR$38=C21)*($BS$29:$CA$29=S$24),$BS$30:$CA$38)),0)</f>
        <v>0</v>
      </c>
      <c r="AR56" s="3">
        <f t="array" aca="1" ref="AR56" ca="1">IF(S21=C21,SUM(IF(($BR$30:$BR$38=C21)*($BS$29:$CA$29=S$25),$BS$30:$CA$38)),0)</f>
        <v>0</v>
      </c>
      <c r="AS56" s="5">
        <f t="array" aca="1" ref="AS56" ca="1">IF(T21=C21,SUM(IF(($BR$30:$BR$38=C21)*($BS$29:$CA$29=T17),$BS$30:$CA$38)),0)</f>
        <v>0</v>
      </c>
      <c r="AT56" s="3">
        <f t="array" aca="1" ref="AT56" ca="1">IF(T21=C21,SUM(IF(($BR$30:$BR$38=C21)*($BS$29:$CA$29=T18),$BS$30:$CA$38)),0)</f>
        <v>0</v>
      </c>
      <c r="AU56" s="3">
        <f t="array" aca="1" ref="AU56" ca="1">IF(T21=C21,SUM(IF(($BR$30:$BR$38=C21)*($BS$29:$CA$29=T19),$BS$30:$CA$38)),0)</f>
        <v>0</v>
      </c>
      <c r="AV56" s="3">
        <f t="array" aca="1" ref="AV56" ca="1">IF(T21=C21,SUM(IF(($BR$30:$BR$38=C21)*($BS$29:$CA$29=T20),$BS$30:$CA$38)),0)</f>
        <v>0</v>
      </c>
      <c r="AW56" s="3">
        <f t="array" aca="1" ref="AW56" ca="1">IF(T21=C21,SUM(IF(($BR$30:$BR$38=C21)*($BS$29:$CA$29=T22),$BS$30:$CA$38)),0)</f>
        <v>0</v>
      </c>
      <c r="AX56" s="3">
        <f t="array" aca="1" ref="AX56" ca="1">IF(T21=C21,SUM(IF(($BR$30:$BR$38=C21)*($BS$29:$CA$29=T23),$BS$30:$CA$38)),0)</f>
        <v>0</v>
      </c>
      <c r="AY56" s="3">
        <f t="array" aca="1" ref="AY56" ca="1">IF(T21=C21,SUM(IF(($BR$30:$BR$38=C21)*($BS$29:$CA$29=T$24),$BS$30:$CA$38)),0)</f>
        <v>0</v>
      </c>
      <c r="AZ56" s="3">
        <f t="array" aca="1" ref="AZ56" ca="1">IF(T21=C21,SUM(IF(($BR$30:$BR$38=C21)*($BS$29:$CA$29=T$25),$BS$30:$CA$38)),0)</f>
        <v>0</v>
      </c>
      <c r="BA56" s="5">
        <f t="array" aca="1" ref="BA56" ca="1">IF(U21=C21,SUM(IF(($BR$30:$BR$38=C21)*($BS$29:$CA$29=U$17),$BS$30:$CA$38)),0)</f>
        <v>0</v>
      </c>
      <c r="BB56" s="3">
        <f t="array" aca="1" ref="BB56" ca="1">IF(U21=C21,SUM(IF(($BR$30:$BR$38=C21)*($BS$29:$CA$29=U$18),$BS$30:$CA$38)),0)</f>
        <v>0</v>
      </c>
      <c r="BC56" s="3">
        <f t="array" aca="1" ref="BC56" ca="1">IF(U21=C21,SUM(IF(($BR$30:$BR$38=C21)*($BS$29:$CA$29=U$19),$BS$30:$CA$38)),0)</f>
        <v>0</v>
      </c>
      <c r="BD56" s="3">
        <f t="array" aca="1" ref="BD56" ca="1">IF(U21=C21,SUM(IF(($BR$30:$BR$38=C21)*($BS$29:$CA$29=U$20),$BS$30:$CA$38)),0)</f>
        <v>0</v>
      </c>
      <c r="BE56" s="3">
        <f t="array" aca="1" ref="BE56" ca="1">IF(U21=C21,SUM(IF(($BR$30:$BR$38=C21)*($BS$29:$CA$29=U$22),$BS$30:$CA$38)),0)</f>
        <v>0</v>
      </c>
      <c r="BF56" s="3">
        <f t="array" aca="1" ref="BF56" ca="1">IF(U21=C21,SUM(IF(($BR$30:$BR$38=C21)*($BS$29:$CA$29=U$23),$BS$30:$CA$38)),0)</f>
        <v>0</v>
      </c>
      <c r="BG56" s="3">
        <f t="array" aca="1" ref="BG56" ca="1">IF(U21=C21,SUM(IF(($BR$30:$BR$38=C21)*($BS$29:$CA$29=U$24),$BS$30:$CA$38)),0)</f>
        <v>0</v>
      </c>
      <c r="BH56" s="3">
        <f t="array" aca="1" ref="BH56" ca="1">IF(U21=C21,SUM(IF(($BR$30:$BR$38=C21)*($BS$29:$CA$29=U$25),$BS$30:$CA$38)),0)</f>
        <v>0</v>
      </c>
      <c r="BI56" s="5">
        <f t="array" aca="1" ref="BI56" ca="1">IF(V21=C21,SUM(IF(($BR$30:$BR$38=C21)*($BS$29:$CA$29=V$17),$BS$30:$CA$38)),0)</f>
        <v>0</v>
      </c>
      <c r="BJ56" s="3">
        <f t="array" aca="1" ref="BJ56" ca="1">IF(V21=C21,SUM(IF(($BR$30:$BR$38=C21)*($BS$29:$CA$29=V$18),$BS$30:$CA$38)),0)</f>
        <v>0</v>
      </c>
      <c r="BK56" s="3">
        <f t="array" aca="1" ref="BK56" ca="1">IF(V21=C21,SUM(IF(($BR$30:$BR$38=C21)*($BS$29:$CA$29=V$19),$BS$30:$CA$38)),0)</f>
        <v>0</v>
      </c>
      <c r="BL56" s="3">
        <f t="array" aca="1" ref="BL56" ca="1">IF(V21=C21,SUM(IF(($BR$30:$BR$38=C21)*($BS$29:$CA$29=V$20),$BS$30:$CA$38)),0)</f>
        <v>0</v>
      </c>
      <c r="BM56" s="3">
        <f t="array" aca="1" ref="BM56" ca="1">IF(V21=C21,SUM(IF(($BR$30:$BR$38=C21)*($BS$29:$CA$29=V$22),$BS$30:$CA$38)),0)</f>
        <v>0</v>
      </c>
      <c r="BN56" s="3">
        <f t="array" aca="1" ref="BN56" ca="1">IF(V21=C21,SUM(IF(($BR$30:$BR$38=C21)*($BS$29:$CA$29=V$23),$BS$30:$CA$38)),0)</f>
        <v>0</v>
      </c>
      <c r="BO56" s="3">
        <f t="array" aca="1" ref="BO56" ca="1">IF(V21=C21,SUM(IF(($BR$30:$BR$38=C21)*($BS$29:$CA$29=V$24),$BS$30:$CA$38)),0)</f>
        <v>0</v>
      </c>
      <c r="BP56" s="15">
        <f t="array" aca="1" ref="BP56" ca="1">IF(V21=C21,SUM(IF(($BR$30:$BR$38=C21)*($BS$29:$CA$29=V$25),$BS$30:$CA$38)),0)</f>
        <v>0</v>
      </c>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2:80" s="2" customFormat="1" x14ac:dyDescent="0.2">
      <c r="E57" s="14">
        <f t="array" aca="1" ref="E57" ca="1">IF(O22=C22,SUM(IF(($BR$30:$BR$38=C22)*($BS$29:$CA$29=O17),$BS$30:$CA$38)),0)</f>
        <v>0</v>
      </c>
      <c r="F57" s="3">
        <f t="array" aca="1" ref="F57" ca="1">IF(O22=C22,SUM(IF(($BR$30:$BR$38=C22)*($BS$29:$CA$29=O18),$BS$30:$CA$38)),0)</f>
        <v>0</v>
      </c>
      <c r="G57" s="3">
        <f t="array" aca="1" ref="G57" ca="1">IF(O22=C22,SUM(IF(($BR$30:$BR$38=C22)*($BS$29:$CA$29=O19),$BS$30:$CA$38)),0)</f>
        <v>0</v>
      </c>
      <c r="H57" s="3">
        <f t="array" aca="1" ref="H57" ca="1">IF(O22=C22,SUM(IF(($BR$30:$BR$38=C22)*($BS$29:$CA$29=O20),$BS$30:$CA$38)),0)</f>
        <v>0</v>
      </c>
      <c r="I57" s="3">
        <f t="array" aca="1" ref="I57" ca="1">IF(O22=C22,SUM(IF(($BR$30:$BR$38=C22)*($BS$29:$CA$29=O21),$BS$30:$CA$38)),0)</f>
        <v>0</v>
      </c>
      <c r="J57" s="3">
        <f t="array" aca="1" ref="J57" ca="1">IF(O22=C22,SUM(IF(($BR$30:$BR$38=C22)*($BS$29:$CA$29=O23),$BS$30:$CA$38)),0)</f>
        <v>0</v>
      </c>
      <c r="K57" s="3">
        <f t="array" aca="1" ref="K57" ca="1">IF(O22=C22,SUM(IF(($BR$30:$BR$38=C22)*($BS$29:$CA$29=O$24),$BS$30:$CA$38)),0)</f>
        <v>0</v>
      </c>
      <c r="L57" s="3">
        <f t="array" aca="1" ref="L57" ca="1">IF(O22=C22,SUM(IF(($BR$30:$BR$38=C22)*($BS$29:$CA$29=O$25),$BS$30:$CA$38)),0)</f>
        <v>0</v>
      </c>
      <c r="M57" s="5">
        <f t="array" aca="1" ref="M57" ca="1">IF(P22=C22,SUM(IF(($BR$30:$BR$38=C22)*($BS$29:$CA$29=P17),$BS$30:$CA$38)),0)</f>
        <v>0</v>
      </c>
      <c r="N57" s="3">
        <f t="array" aca="1" ref="N57" ca="1">IF(P22=C22,SUM(IF(($BR$30:$BR$38=C22)*($BS$29:$CA$29=P18),$BS$30:$CA$38)),0)</f>
        <v>0</v>
      </c>
      <c r="O57" s="3">
        <f t="array" aca="1" ref="O57" ca="1">IF(P22=C22,SUM(IF(($BR$30:$BR$38=C22)*($BS$29:$CA$29=P19),$BS$30:$CA$38)),0)</f>
        <v>0</v>
      </c>
      <c r="P57" s="3">
        <f t="array" aca="1" ref="P57" ca="1">IF(P22=C22,SUM(IF(($BR$30:$BR$38=C22)*($BS$29:$CA$29=P20),$BS$30:$CA$38)),0)</f>
        <v>0</v>
      </c>
      <c r="Q57" s="3">
        <f t="array" aca="1" ref="Q57" ca="1">IF(P22=C22,SUM(IF(($BR$30:$BR$38=C22)*($BS$29:$CA$29=P21),$BS$30:$CA$38)),0)</f>
        <v>0</v>
      </c>
      <c r="R57" s="3">
        <f t="array" aca="1" ref="R57" ca="1">IF(P22=C22,SUM(IF(($BR$30:$BR$38=C22)*($BS$29:$CA$29=P23),$BS$30:$CA$38)),0)</f>
        <v>0</v>
      </c>
      <c r="S57" s="3">
        <f t="array" aca="1" ref="S57" ca="1">IF(P22=C22,SUM(IF(($BR$30:$BR$38=C22)*($BS$29:$CA$29=P$24),$BS$30:$CA$38)),0)</f>
        <v>0</v>
      </c>
      <c r="T57" s="3">
        <f t="array" aca="1" ref="T57" ca="1">IF(P22=C22,SUM(IF(($BR$30:$BR$38=C22)*($BS$29:$CA$29=P$25),$BS$30:$CA$38)),0)</f>
        <v>0</v>
      </c>
      <c r="U57" s="5">
        <f t="array" aca="1" ref="U57" ca="1">IF(Q22=C22,SUM(IF(($BR$30:$BR$38=C22)*($BS$29:$CA$29=Q17),$BS$30:$CA$38)),0)</f>
        <v>0</v>
      </c>
      <c r="V57" s="3">
        <f t="array" aca="1" ref="V57" ca="1">IF(Q22=C22,SUM(IF(($BR$30:$BR$38=C22)*($BS$29:$CA$29=Q18),$BS$30:$CA$38)),0)</f>
        <v>0</v>
      </c>
      <c r="W57" s="3">
        <f t="array" aca="1" ref="W57" ca="1">IF(Q22=C22,SUM(IF(($BR$30:$BR$38=C22)*($BS$29:$CA$29=Q19),$BS$30:$CA$38)),0)</f>
        <v>0</v>
      </c>
      <c r="X57" s="3">
        <f t="array" aca="1" ref="X57" ca="1">IF(Q22=C22,SUM(IF(($BR$30:$BR$38=C22)*($BS$29:$CA$29=Q20),$BS$30:$CA$38)),0)</f>
        <v>0</v>
      </c>
      <c r="Y57" s="3">
        <f t="array" aca="1" ref="Y57" ca="1">IF(Q22=C22,SUM(IF(($BR$30:$BR$38=C22)*($BS$29:$CA$29=Q21),$BS$30:$CA$38)),0)</f>
        <v>0</v>
      </c>
      <c r="Z57" s="3">
        <f t="array" aca="1" ref="Z57" ca="1">IF(Q22=C22,SUM(IF(($BR$30:$BR$38=C22)*($BS$29:$CA$29=Q23),$BS$30:$CA$38)),0)</f>
        <v>0</v>
      </c>
      <c r="AA57" s="3">
        <f t="array" aca="1" ref="AA57" ca="1">IF(Q22=C22,SUM(IF(($BR$30:$BR$38=C22)*($BS$29:$CA$29=Q$24),$BS$30:$CA$38)),0)</f>
        <v>0</v>
      </c>
      <c r="AB57" s="3">
        <f t="array" aca="1" ref="AB57" ca="1">IF(Q22=C22,SUM(IF(($BR$30:$BR$38=C22)*($BS$29:$CA$29=Q$25),$BS$30:$CA$38)),0)</f>
        <v>0</v>
      </c>
      <c r="AC57" s="5">
        <f t="array" aca="1" ref="AC57" ca="1">IF(R22=C22,SUM(IF(($BR$30:$BR$38=C22)*($BS$29:$CA$29=R17),$BS$30:$CA$38)),0)</f>
        <v>0</v>
      </c>
      <c r="AD57" s="3">
        <f t="array" aca="1" ref="AD57" ca="1">IF(R22=C22,SUM(IF(($BR$30:$BR$38=C22)*($BS$29:$CA$29=R18),$BS$30:$CA$38)),0)</f>
        <v>0</v>
      </c>
      <c r="AE57" s="3">
        <f t="array" aca="1" ref="AE57" ca="1">IF(R22=C22,SUM(IF(($BR$30:$BR$38=C22)*($BS$29:$CA$29=R19),$BS$30:$CA$38)),0)</f>
        <v>0</v>
      </c>
      <c r="AF57" s="3">
        <f t="array" aca="1" ref="AF57" ca="1">IF(R22=C22,SUM(IF(($BR$30:$BR$38=C22)*($BS$29:$CA$29=R20),$BS$30:$CA$38)),0)</f>
        <v>0</v>
      </c>
      <c r="AG57" s="3">
        <f t="array" aca="1" ref="AG57" ca="1">IF(R22=C22,SUM(IF(($BR$30:$BR$38=C22)*($BS$29:$CA$29=R21),$BS$30:$CA$38)),0)</f>
        <v>0</v>
      </c>
      <c r="AH57" s="3">
        <f t="array" aca="1" ref="AH57" ca="1">IF(R22=C22,SUM(IF(($BR$30:$BR$38=C22)*($BS$29:$CA$29=R23),$BS$30:$CA$38)),0)</f>
        <v>0</v>
      </c>
      <c r="AI57" s="3">
        <f t="array" aca="1" ref="AI57" ca="1">IF(R22=C22,SUM(IF(($BR$30:$BR$38=C22)*($BS$29:$CA$29=R$24),$BS$30:$CA$38)),0)</f>
        <v>0</v>
      </c>
      <c r="AJ57" s="3">
        <f t="array" aca="1" ref="AJ57" ca="1">IF(R22=C22,SUM(IF(($BR$30:$BR$38=C22)*($BS$29:$CA$29=R$25),$BS$30:$CA$38)),0)</f>
        <v>0</v>
      </c>
      <c r="AK57" s="5">
        <f t="array" aca="1" ref="AK57" ca="1">IF(S22=C22,SUM(IF(($BR$30:$BR$38=C22)*($BS$29:$CA$29=S17),$BS$30:$CA$38)),0)</f>
        <v>0</v>
      </c>
      <c r="AL57" s="3">
        <f t="array" aca="1" ref="AL57" ca="1">IF(S22=C22,SUM(IF(($BR$30:$BR$38=C22)*($BS$29:$CA$29=S18),$BS$30:$CA$38)),0)</f>
        <v>0</v>
      </c>
      <c r="AM57" s="3">
        <f t="array" aca="1" ref="AM57" ca="1">IF(S22=C22,SUM(IF(($BR$30:$BR$38=C22)*($BS$29:$CA$29=S19),$BS$30:$CA$38)),0)</f>
        <v>0</v>
      </c>
      <c r="AN57" s="3">
        <f t="array" aca="1" ref="AN57" ca="1">IF(S22=C22,SUM(IF(($BR$30:$BR$38=C22)*($BS$29:$CA$29=S20),$BS$30:$CA$38)),0)</f>
        <v>0</v>
      </c>
      <c r="AO57" s="3">
        <f t="array" aca="1" ref="AO57" ca="1">IF(S22=C22,SUM(IF(($BR$30:$BR$38=C22)*($BS$29:$CA$29=S21),$BS$30:$CA$38)),0)</f>
        <v>0</v>
      </c>
      <c r="AP57" s="3">
        <f t="array" aca="1" ref="AP57" ca="1">IF(S22=C22,SUM(IF(($BR$30:$BR$38=C22)*($BS$29:$CA$29=S23),$BS$30:$CA$38)),0)</f>
        <v>0</v>
      </c>
      <c r="AQ57" s="3">
        <f t="array" aca="1" ref="AQ57" ca="1">IF(S22=C22,SUM(IF(($BR$30:$BR$38=C22)*($BS$29:$CA$29=S$24),$BS$30:$CA$38)),0)</f>
        <v>0</v>
      </c>
      <c r="AR57" s="3">
        <f t="array" aca="1" ref="AR57" ca="1">IF(S22=C22,SUM(IF(($BR$30:$BR$38=C22)*($BS$29:$CA$29=S$25),$BS$30:$CA$38)),0)</f>
        <v>0</v>
      </c>
      <c r="AS57" s="5">
        <f t="array" aca="1" ref="AS57" ca="1">IF(T22=C22,SUM(IF(($BR$30:$BR$38=C22)*($BS$29:$CA$29=T17),$BS$30:$CA$38)),0)</f>
        <v>0</v>
      </c>
      <c r="AT57" s="3">
        <f t="array" aca="1" ref="AT57" ca="1">IF(T22=C22,SUM(IF(($BR$30:$BR$38=C22)*($BS$29:$CA$29=T18),$BS$30:$CA$38)),0)</f>
        <v>0</v>
      </c>
      <c r="AU57" s="3">
        <f t="array" aca="1" ref="AU57" ca="1">IF(T22=C22,SUM(IF(($BR$30:$BR$38=C22)*($BS$29:$CA$29=T19),$BS$30:$CA$38)),0)</f>
        <v>0</v>
      </c>
      <c r="AV57" s="3">
        <f t="array" aca="1" ref="AV57" ca="1">IF(T22=C22,SUM(IF(($BR$30:$BR$38=C22)*($BS$29:$CA$29=T20),$BS$30:$CA$38)),0)</f>
        <v>0</v>
      </c>
      <c r="AW57" s="3">
        <f t="array" aca="1" ref="AW57" ca="1">IF(T22=C22,SUM(IF(($BR$30:$BR$38=C22)*($BS$29:$CA$29=T21),$BS$30:$CA$38)),0)</f>
        <v>0</v>
      </c>
      <c r="AX57" s="3">
        <f t="array" aca="1" ref="AX57" ca="1">IF(T22=C22,SUM(IF(($BR$30:$BR$38=C22)*($BS$29:$CA$29=T23),$BS$30:$CA$38)),0)</f>
        <v>0</v>
      </c>
      <c r="AY57" s="3">
        <f t="array" aca="1" ref="AY57" ca="1">IF(T22=C22,SUM(IF(($BR$30:$BR$38=C22)*($BS$29:$CA$29=T$24),$BS$30:$CA$38)),0)</f>
        <v>0</v>
      </c>
      <c r="AZ57" s="3">
        <f t="array" aca="1" ref="AZ57" ca="1">IF(T22=C22,SUM(IF(($BR$30:$BR$38=C22)*($BS$29:$CA$29=T$25),$BS$30:$CA$38)),0)</f>
        <v>0</v>
      </c>
      <c r="BA57" s="5">
        <f t="array" aca="1" ref="BA57" ca="1">IF(U22=C22,SUM(IF(($BR$30:$BR$38=C22)*($BS$29:$CA$29=U$17),$BS$30:$CA$38)),0)</f>
        <v>0</v>
      </c>
      <c r="BB57" s="3">
        <f t="array" aca="1" ref="BB57" ca="1">IF(U22=C22,SUM(IF(($BR$30:$BR$38=C22)*($BS$29:$CA$29=U$18),$BS$30:$CA$38)),0)</f>
        <v>0</v>
      </c>
      <c r="BC57" s="3">
        <f t="array" aca="1" ref="BC57" ca="1">IF(U22=C22,SUM(IF(($BR$30:$BR$38=C22)*($BS$29:$CA$29=U$19),$BS$30:$CA$38)),0)</f>
        <v>0</v>
      </c>
      <c r="BD57" s="3">
        <f t="array" aca="1" ref="BD57" ca="1">IF(U22=C22,SUM(IF(($BR$30:$BR$38=C22)*($BS$29:$CA$29=U$20),$BS$30:$CA$38)),0)</f>
        <v>0</v>
      </c>
      <c r="BE57" s="3">
        <f t="array" aca="1" ref="BE57" ca="1">IF(U22=C22,SUM(IF(($BR$30:$BR$38=C22)*($BS$29:$CA$29=U$21),$BS$30:$CA$38)),0)</f>
        <v>0</v>
      </c>
      <c r="BF57" s="3">
        <f t="array" aca="1" ref="BF57" ca="1">IF(U22=C22,SUM(IF(($BR$30:$BR$38=C22)*($BS$29:$CA$29=U$23),$BS$30:$CA$38)),0)</f>
        <v>0</v>
      </c>
      <c r="BG57" s="3">
        <f t="array" aca="1" ref="BG57" ca="1">IF(U22=C22,SUM(IF(($BR$30:$BR$38=C22)*($BS$29:$CA$29=U$24),$BS$30:$CA$38)),0)</f>
        <v>0</v>
      </c>
      <c r="BH57" s="3">
        <f t="array" aca="1" ref="BH57" ca="1">IF(U22=C22,SUM(IF(($BR$30:$BR$38=C22)*($BS$29:$CA$29=U$25),$BS$30:$CA$38)),0)</f>
        <v>0</v>
      </c>
      <c r="BI57" s="5">
        <f t="array" aca="1" ref="BI57" ca="1">IF(V22=C22,SUM(IF(($BR$30:$BR$38=C22)*($BS$29:$CA$29=V$17),$BS$30:$CA$38)),0)</f>
        <v>0</v>
      </c>
      <c r="BJ57" s="3">
        <f t="array" aca="1" ref="BJ57" ca="1">IF(V22=C22,SUM(IF(($BR$30:$BR$38=C22)*($BS$29:$CA$29=V$18),$BS$30:$CA$38)),0)</f>
        <v>0</v>
      </c>
      <c r="BK57" s="3">
        <f t="array" aca="1" ref="BK57" ca="1">IF(V22=C22,SUM(IF(($BR$30:$BR$38=C22)*($BS$29:$CA$29=V$19),$BS$30:$CA$38)),0)</f>
        <v>0</v>
      </c>
      <c r="BL57" s="3">
        <f t="array" aca="1" ref="BL57" ca="1">IF(V22=C22,SUM(IF(($BR$30:$BR$38=C22)*($BS$29:$CA$29=V$20),$BS$30:$CA$38)),0)</f>
        <v>0</v>
      </c>
      <c r="BM57" s="3">
        <f t="array" aca="1" ref="BM57" ca="1">IF(V22=C22,SUM(IF(($BR$30:$BR$38=C22)*($BS$29:$CA$29=V$21),$BS$30:$CA$38)),0)</f>
        <v>0</v>
      </c>
      <c r="BN57" s="3">
        <f t="array" aca="1" ref="BN57" ca="1">IF(V22=C22,SUM(IF(($BR$30:$BR$38=C22)*($BS$29:$CA$29=V$23),$BS$30:$CA$38)),0)</f>
        <v>0</v>
      </c>
      <c r="BO57" s="3">
        <f t="array" aca="1" ref="BO57" ca="1">IF(V22=C22,SUM(IF(($BR$30:$BR$38=C22)*($BS$29:$CA$29=V$24),$BS$30:$CA$38)),0)</f>
        <v>0</v>
      </c>
      <c r="BP57" s="15">
        <f t="array" aca="1" ref="BP57" ca="1">IF(V22=C22,SUM(IF(($BR$30:$BR$38=C22)*($BS$29:$CA$29=V$25),$BS$30:$CA$38)),0)</f>
        <v>0</v>
      </c>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2:80" s="2" customFormat="1" x14ac:dyDescent="0.2">
      <c r="E58" s="14">
        <f t="array" aca="1" ref="E58" ca="1">IF(O23=C23,SUM(IF(($BR$30:$BR$38=C23)*($BS$29:$CA$29=O$17),$BS$30:$CA$38)),0)</f>
        <v>0</v>
      </c>
      <c r="F58" s="3">
        <f t="array" aca="1" ref="F58" ca="1">IF(O23=C23,SUM(IF(($BR$30:$BR$38=C23)*($BS$29:$CA$29=O$18),$BS$30:$CA$38)),0)</f>
        <v>0</v>
      </c>
      <c r="G58" s="3">
        <f t="array" aca="1" ref="G58" ca="1">IF(O23=C23,SUM(IF(($BR$30:$BR$38=C23)*($BS$29:$CA$29=O$19),$BS$30:$CA$38)),0)</f>
        <v>0</v>
      </c>
      <c r="H58" s="3">
        <f t="array" aca="1" ref="H58" ca="1">IF(O23=C23,SUM(IF(($BR$30:$BR$38=C23)*($BS$29:$CA$29=O$20),$BS$30:$CA$38)),0)</f>
        <v>0</v>
      </c>
      <c r="I58" s="3">
        <f t="array" aca="1" ref="I58" ca="1">IF(O23=C23,SUM(IF(($BR$30:$BR$38=C23)*($BS$29:$CA$29=O$21),$BS$30:$CA$38)),0)</f>
        <v>0</v>
      </c>
      <c r="J58" s="3">
        <f t="array" aca="1" ref="J58" ca="1">IF(O23=C23,SUM(IF(($BR$30:$BR$38=C23)*($BS$29:$CA$29=O$22),$BS$30:$CA$38)),0)</f>
        <v>0</v>
      </c>
      <c r="K58" s="3">
        <f t="array" aca="1" ref="K58" ca="1">IF(O23=C23,SUM(IF(($BR$30:$BR$38=C23)*($BS$29:$CA$29=O$24),$BS$30:$CA$38)),0)</f>
        <v>0</v>
      </c>
      <c r="L58" s="3">
        <f t="array" aca="1" ref="L58" ca="1">IF(O23=C23,SUM(IF(($BR$30:$BR$38=C23)*($BS$29:$CA$29=O$25),$BS$30:$CA$38)),0)</f>
        <v>0</v>
      </c>
      <c r="M58" s="5">
        <f t="array" aca="1" ref="M58" ca="1">IF(P23=C23,SUM(IF(($BR$30:$BR$38=C23)*($BS$29:$CA$29=P$17),$BS$30:$CA$38)),0)</f>
        <v>0</v>
      </c>
      <c r="N58" s="3">
        <f t="array" aca="1" ref="N58" ca="1">IF(P23=C23,SUM(IF(($BR$30:$BR$38=C23)*($BS$29:$CA$29=P$18),$BS$30:$CA$38)),0)</f>
        <v>0</v>
      </c>
      <c r="O58" s="3">
        <f t="array" aca="1" ref="O58" ca="1">IF(P23=C23,SUM(IF(($BR$30:$BR$38=C23)*($BS$29:$CA$29=P$19),$BS$30:$CA$38)),0)</f>
        <v>0</v>
      </c>
      <c r="P58" s="3">
        <f t="array" aca="1" ref="P58" ca="1">IF(P23=C23,SUM(IF(($BR$30:$BR$38=C23)*($BS$29:$CA$29=P$20),$BS$30:$CA$38)),0)</f>
        <v>0</v>
      </c>
      <c r="Q58" s="3">
        <f t="array" aca="1" ref="Q58" ca="1">IF(P23=C23,SUM(IF(($BR$30:$BR$38=C23)*($BS$29:$CA$29=P$21),$BS$30:$CA$38)),0)</f>
        <v>0</v>
      </c>
      <c r="R58" s="3">
        <f t="array" aca="1" ref="R58" ca="1">IF(P23=C23,SUM(IF(($BR$30:$BR$38=C23)*($BS$29:$CA$29=P$22),$BS$30:$CA$38)),0)</f>
        <v>0</v>
      </c>
      <c r="S58" s="3">
        <f t="array" aca="1" ref="S58" ca="1">IF(P23=C23,SUM(IF(($BR$30:$BR$38=C23)*($BS$29:$CA$29=P$24),$BS$30:$CA$38)),0)</f>
        <v>0</v>
      </c>
      <c r="T58" s="3">
        <f t="array" aca="1" ref="T58" ca="1">IF(P23=C23,SUM(IF(($BR$30:$BR$38=C23)*($BS$29:$CA$29=P$25),$BS$30:$CA$38)),0)</f>
        <v>0</v>
      </c>
      <c r="U58" s="5">
        <f t="array" aca="1" ref="U58" ca="1">IF(Q23=C23,SUM(IF(($BR$30:$BR$38=C23)*($BS$29:$CA$29=Q$17),$BS$30:$CA$38)),0)</f>
        <v>0</v>
      </c>
      <c r="V58" s="3">
        <f t="array" aca="1" ref="V58" ca="1">IF(Q23=C23,SUM(IF(($BR$30:$BR$38=C23)*($BS$29:$CA$29=Q$18),$BS$30:$CA$38)),0)</f>
        <v>0</v>
      </c>
      <c r="W58" s="3">
        <f t="array" aca="1" ref="W58" ca="1">IF(Q23=C23,SUM(IF(($BR$30:$BR$38=C23)*($BS$29:$CA$29=Q$19),$BS$30:$CA$38)),0)</f>
        <v>0</v>
      </c>
      <c r="X58" s="3">
        <f t="array" aca="1" ref="X58" ca="1">IF(Q23=C23,SUM(IF(($BR$30:$BR$38=C23)*($BS$29:$CA$29=Q$20),$BS$30:$CA$38)),0)</f>
        <v>0</v>
      </c>
      <c r="Y58" s="3">
        <f t="array" aca="1" ref="Y58" ca="1">IF(Q23=C23,SUM(IF(($BR$30:$BR$38=C23)*($BS$29:$CA$29=Q$21),$BS$30:$CA$38)),0)</f>
        <v>0</v>
      </c>
      <c r="Z58" s="3">
        <f t="array" aca="1" ref="Z58" ca="1">IF(Q23=C23,SUM(IF(($BR$30:$BR$38=C23)*($BS$29:$CA$29=Q$22),$BS$30:$CA$38)),0)</f>
        <v>0</v>
      </c>
      <c r="AA58" s="3">
        <f t="array" aca="1" ref="AA58" ca="1">IF(Q23=C23,SUM(IF(($BR$30:$BR$38=C23)*($BS$29:$CA$29=Q$24),$BS$30:$CA$38)),0)</f>
        <v>0</v>
      </c>
      <c r="AB58" s="3">
        <f t="array" aca="1" ref="AB58" ca="1">IF(Q23=C23,SUM(IF(($BR$30:$BR$38=C23)*($BS$29:$CA$29=Q$25),$BS$30:$CA$38)),0)</f>
        <v>0</v>
      </c>
      <c r="AC58" s="5">
        <f t="array" aca="1" ref="AC58" ca="1">IF(R23=C23,SUM(IF(($BR$30:$BR$38=C23)*($BS$29:$CA$29=R$17),$BS$30:$CA$38)),0)</f>
        <v>0</v>
      </c>
      <c r="AD58" s="3">
        <f t="array" aca="1" ref="AD58" ca="1">IF(R23=C23,SUM(IF(($BR$30:$BR$38=C23)*($BS$29:$CA$29=R$18),$BS$30:$CA$38)),0)</f>
        <v>0</v>
      </c>
      <c r="AE58" s="3">
        <f t="array" aca="1" ref="AE58" ca="1">IF(R23=C23,SUM(IF(($BR$30:$BR$38=C23)*($BS$29:$CA$29=R$19),$BS$30:$CA$38)),0)</f>
        <v>0</v>
      </c>
      <c r="AF58" s="3">
        <f t="array" aca="1" ref="AF58" ca="1">IF(R23=C23,SUM(IF(($BR$30:$BR$38=C23)*($BS$29:$CA$29=R$20),$BS$30:$CA$38)),0)</f>
        <v>0</v>
      </c>
      <c r="AG58" s="3">
        <f t="array" aca="1" ref="AG58" ca="1">IF(R23=C23,SUM(IF(($BR$30:$BR$38=C23)*($BS$29:$CA$29=R$21),$BS$30:$CA$38)),0)</f>
        <v>0</v>
      </c>
      <c r="AH58" s="3">
        <f t="array" aca="1" ref="AH58" ca="1">IF(R23=C23,SUM(IF(($BR$30:$BR$38=C23)*($BS$29:$CA$29=R$22),$BS$30:$CA$38)),0)</f>
        <v>0</v>
      </c>
      <c r="AI58" s="3">
        <f t="array" aca="1" ref="AI58" ca="1">IF(R23=C23,SUM(IF(($BR$30:$BR$38=C23)*($BS$29:$CA$29=R$24),$BS$30:$CA$38)),0)</f>
        <v>0</v>
      </c>
      <c r="AJ58" s="3">
        <f t="array" aca="1" ref="AJ58" ca="1">IF(R23=C23,SUM(IF(($BR$30:$BR$38=C23)*($BS$29:$CA$29=R$25),$BS$30:$CA$38)),0)</f>
        <v>0</v>
      </c>
      <c r="AK58" s="5">
        <f t="array" aca="1" ref="AK58" ca="1">IF(S23=C23,SUM(IF(($BR$30:$BR$38=C23)*($BS$29:$CA$29=S$17),$BS$30:$CA$38)),0)</f>
        <v>0</v>
      </c>
      <c r="AL58" s="3">
        <f t="array" aca="1" ref="AL58" ca="1">IF(S23=C23,SUM(IF(($BR$30:$BR$38=C23)*($BS$29:$CA$29=S$18),$BS$30:$CA$38)),0)</f>
        <v>0</v>
      </c>
      <c r="AM58" s="3">
        <f t="array" aca="1" ref="AM58" ca="1">IF(S23=C23,SUM(IF(($BR$30:$BR$38=C23)*($BS$29:$CA$29=S$19),$BS$30:$CA$38)),0)</f>
        <v>0</v>
      </c>
      <c r="AN58" s="3">
        <f t="array" aca="1" ref="AN58" ca="1">IF(S23=C23,SUM(IF(($BR$30:$BR$38=C23)*($BS$29:$CA$29=S$20),$BS$30:$CA$38)),0)</f>
        <v>0</v>
      </c>
      <c r="AO58" s="3">
        <f t="array" aca="1" ref="AO58" ca="1">IF(S23=C23,SUM(IF(($BR$30:$BR$38=C23)*($BS$29:$CA$29=S$21),$BS$30:$CA$38)),0)</f>
        <v>0</v>
      </c>
      <c r="AP58" s="3">
        <f t="array" aca="1" ref="AP58" ca="1">IF(S23=C23,SUM(IF(($BR$30:$BR$38=C23)*($BS$29:$CA$29=S$22),$BS$30:$CA$38)),0)</f>
        <v>0</v>
      </c>
      <c r="AQ58" s="3">
        <f t="array" aca="1" ref="AQ58" ca="1">IF(S23=C23,SUM(IF(($BR$30:$BR$38=C23)*($BS$29:$CA$29=S$24),$BS$30:$CA$38)),0)</f>
        <v>0</v>
      </c>
      <c r="AR58" s="3">
        <f t="array" aca="1" ref="AR58" ca="1">IF(S23=C23,SUM(IF(($BR$30:$BR$38=C23)*($BS$29:$CA$29=S$25),$BS$30:$CA$38)),0)</f>
        <v>0</v>
      </c>
      <c r="AS58" s="5">
        <f t="array" aca="1" ref="AS58" ca="1">IF(T23=C23,SUM(IF(($BR$30:$BR$38=C23)*($BS$29:$CA$29=T$17),$BS$30:$CA$38)),0)</f>
        <v>0</v>
      </c>
      <c r="AT58" s="3">
        <f t="array" aca="1" ref="AT58" ca="1">IF(T23=C23,SUM(IF(($BR$30:$BR$38=C23)*($BS$29:$CA$29=T$18),$BS$30:$CA$38)),0)</f>
        <v>0</v>
      </c>
      <c r="AU58" s="3">
        <f t="array" aca="1" ref="AU58" ca="1">IF(T23=C23,SUM(IF(($BR$30:$BR$38=C23)*($BS$29:$CA$29=T$19),$BS$30:$CA$38)),0)</f>
        <v>0</v>
      </c>
      <c r="AV58" s="3">
        <f t="array" aca="1" ref="AV58" ca="1">IF(T23=C23,SUM(IF(($BR$30:$BR$38=C23)*($BS$29:$CA$29=T$20),$BS$30:$CA$38)),0)</f>
        <v>0</v>
      </c>
      <c r="AW58" s="3">
        <f t="array" aca="1" ref="AW58" ca="1">IF(T23=C23,SUM(IF(($BR$30:$BR$38=C23)*($BS$29:$CA$29=T$21),$BS$30:$CA$38)),0)</f>
        <v>0</v>
      </c>
      <c r="AX58" s="3">
        <f t="array" aca="1" ref="AX58" ca="1">IF(T23=C23,SUM(IF(($BR$30:$BR$38=C23)*($BS$29:$CA$29=T$22),$BS$30:$CA$38)),0)</f>
        <v>0</v>
      </c>
      <c r="AY58" s="3">
        <f t="array" aca="1" ref="AY58" ca="1">IF(T23=C23,SUM(IF(($BR$30:$BR$38=C23)*($BS$29:$CA$29=T$24),$BS$30:$CA$38)),0)</f>
        <v>0</v>
      </c>
      <c r="AZ58" s="3">
        <f t="array" aca="1" ref="AZ58" ca="1">IF(T23=C23,SUM(IF(($BR$30:$BR$38=C23)*($BS$29:$CA$29=T$25),$BS$30:$CA$38)),0)</f>
        <v>0</v>
      </c>
      <c r="BA58" s="5">
        <f t="array" aca="1" ref="BA58" ca="1">IF(U23=C23,SUM(IF(($BR$30:$BR$38=C23)*($BS$29:$CA$29=U$17),$BS$30:$CA$38)),0)</f>
        <v>0</v>
      </c>
      <c r="BB58" s="3">
        <f t="array" aca="1" ref="BB58" ca="1">IF(U23=C23,SUM(IF(($BR$30:$BR$38=C23)*($BS$29:$CA$29=U$18),$BS$30:$CA$38)),0)</f>
        <v>0</v>
      </c>
      <c r="BC58" s="3">
        <f t="array" aca="1" ref="BC58" ca="1">IF(U23=C23,SUM(IF(($BR$30:$BR$38=C23)*($BS$29:$CA$29=U$19),$BS$30:$CA$38)),0)</f>
        <v>0</v>
      </c>
      <c r="BD58" s="3">
        <f t="array" aca="1" ref="BD58" ca="1">IF(U23=C23,SUM(IF(($BR$30:$BR$38=C23)*($BS$29:$CA$29=U$20),$BS$30:$CA$38)),0)</f>
        <v>0</v>
      </c>
      <c r="BE58" s="3">
        <f t="array" aca="1" ref="BE58" ca="1">IF(U23=C23,SUM(IF(($BR$30:$BR$38=C23)*($BS$29:$CA$29=U$21),$BS$30:$CA$38)),0)</f>
        <v>0</v>
      </c>
      <c r="BF58" s="3">
        <f t="array" aca="1" ref="BF58" ca="1">IF(U23=C23,SUM(IF(($BR$30:$BR$38=C23)*($BS$29:$CA$29=U$22),$BS$30:$CA$38)),0)</f>
        <v>0</v>
      </c>
      <c r="BG58" s="3">
        <f t="array" aca="1" ref="BG58" ca="1">IF(U23=C23,SUM(IF(($BR$30:$BR$38=C23)*($BS$29:$CA$29=U$24),$BS$30:$CA$38)),0)</f>
        <v>0</v>
      </c>
      <c r="BH58" s="3">
        <f t="array" aca="1" ref="BH58" ca="1">IF(U23=C23,SUM(IF(($BR$30:$BR$38=C23)*($BS$29:$CA$29=U$25),$BS$30:$CA$38)),0)</f>
        <v>0</v>
      </c>
      <c r="BI58" s="5">
        <f t="array" aca="1" ref="BI58" ca="1">IF(V23=C23,SUM(IF(($BR$30:$BR$38=C23)*($BS$29:$CA$29=V$17),$BS$30:$CA$38)),0)</f>
        <v>0</v>
      </c>
      <c r="BJ58" s="3">
        <f t="array" aca="1" ref="BJ58" ca="1">IF(V23=C23,SUM(IF(($BR$30:$BR$38=C23)*($BS$29:$CA$29=V$18),$BS$30:$CA$38)),0)</f>
        <v>0</v>
      </c>
      <c r="BK58" s="3">
        <f t="array" aca="1" ref="BK58" ca="1">IF(V23=C23,SUM(IF(($BR$30:$BR$38=C23)*($BS$29:$CA$29=V$19),$BS$30:$CA$38)),0)</f>
        <v>0</v>
      </c>
      <c r="BL58" s="3">
        <f t="array" aca="1" ref="BL58" ca="1">IF(V23=C23,SUM(IF(($BR$30:$BR$38=C23)*($BS$29:$CA$29=V$20),$BS$30:$CA$38)),0)</f>
        <v>0</v>
      </c>
      <c r="BM58" s="3">
        <f t="array" aca="1" ref="BM58" ca="1">IF(V23=C23,SUM(IF(($BR$30:$BR$38=C23)*($BS$29:$CA$29=V$21),$BS$30:$CA$38)),0)</f>
        <v>0</v>
      </c>
      <c r="BN58" s="3">
        <f t="array" aca="1" ref="BN58" ca="1">IF(V23=C23,SUM(IF(($BR$30:$BR$38=C23)*($BS$29:$CA$29=V$22),$BS$30:$CA$38)),0)</f>
        <v>0</v>
      </c>
      <c r="BO58" s="3">
        <f t="array" aca="1" ref="BO58" ca="1">IF(V23=C23,SUM(IF(($BR$30:$BR$38=C23)*($BS$29:$CA$29=V$24),$BS$30:$CA$38)),0)</f>
        <v>0</v>
      </c>
      <c r="BP58" s="15">
        <f t="array" aca="1" ref="BP58" ca="1">IF(V23=C23,SUM(IF(($BR$30:$BR$38=C23)*($BS$29:$CA$29=V$25),$BS$30:$CA$38)),0)</f>
        <v>0</v>
      </c>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2:80" s="2" customFormat="1" x14ac:dyDescent="0.2">
      <c r="E59" s="14">
        <f t="array" aca="1" ref="E59" ca="1">IF(O24=C24,SUM(IF(($BR$30:$BR$38=C24)*($BS$29:$CA$29=O$17),$BS$30:$CA$38)),0)</f>
        <v>0</v>
      </c>
      <c r="F59" s="3">
        <f t="array" aca="1" ref="F59" ca="1">IF(O24=C24,SUM(IF(($BR$30:$BR$38=C24)*($BS$29:$CA$29=O$18),$BS$30:$CA$38)),0)</f>
        <v>0</v>
      </c>
      <c r="G59" s="3">
        <f t="array" aca="1" ref="G59" ca="1">IF(O24=C24,SUM(IF(($BR$30:$BR$38=C24)*($BS$29:$CA$29=O$19),$BS$30:$CA$38)),0)</f>
        <v>0</v>
      </c>
      <c r="H59" s="3">
        <f t="array" aca="1" ref="H59" ca="1">IF(O24=C24,SUM(IF(($BR$30:$BR$38=C24)*($BS$29:$CA$29=O$20),$BS$30:$CA$38)),0)</f>
        <v>0</v>
      </c>
      <c r="I59" s="3">
        <f t="array" aca="1" ref="I59" ca="1">IF(O24=C24,SUM(IF(($BR$30:$BR$38=C24)*($BS$29:$CA$29=O$21),$BS$30:$CA$38)),0)</f>
        <v>0</v>
      </c>
      <c r="J59" s="3">
        <f t="array" aca="1" ref="J59" ca="1">IF(O24=C24,SUM(IF(($BR$30:$BR$38=C24)*($BS$29:$CA$29=O$22),$BS$30:$CA$38)),0)</f>
        <v>0</v>
      </c>
      <c r="K59" s="3">
        <f t="array" aca="1" ref="K59" ca="1">IF(O24=C24,SUM(IF(($BR$30:$BR$38=C24)*($BS$29:$CA$29=O$23),$BS$30:$CA$38)),0)</f>
        <v>0</v>
      </c>
      <c r="L59" s="3">
        <f t="array" aca="1" ref="L59" ca="1">IF(O24=C24,SUM(IF(($BR$30:$BR$38=C24)*($BS$29:$CA$29=O$25),$BS$30:$CA$38)),0)</f>
        <v>0</v>
      </c>
      <c r="M59" s="5">
        <f t="array" aca="1" ref="M59" ca="1">IF(P24=C24,SUM(IF(($BR$30:$BR$38=C24)*($BS$29:$CA$29=P$17),$BS$30:$CA$38)),0)</f>
        <v>0</v>
      </c>
      <c r="N59" s="3">
        <f t="array" aca="1" ref="N59" ca="1">IF(P24=C24,SUM(IF(($BR$30:$BR$38=C24)*($BS$29:$CA$29=P$18),$BS$30:$CA$38)),0)</f>
        <v>0</v>
      </c>
      <c r="O59" s="3">
        <f t="array" aca="1" ref="O59" ca="1">IF(P24=C24,SUM(IF(($BR$30:$BR$38=C24)*($BS$29:$CA$29=P$19),$BS$30:$CA$38)),0)</f>
        <v>0</v>
      </c>
      <c r="P59" s="3">
        <f t="array" aca="1" ref="P59" ca="1">IF(P24=C24,SUM(IF(($BR$30:$BR$38=C24)*($BS$29:$CA$29=P$20),$BS$30:$CA$38)),0)</f>
        <v>0</v>
      </c>
      <c r="Q59" s="3">
        <f t="array" aca="1" ref="Q59" ca="1">IF(P24=C24,SUM(IF(($BR$30:$BR$38=C24)*($BS$29:$CA$29=P$21),$BS$30:$CA$38)),0)</f>
        <v>0</v>
      </c>
      <c r="R59" s="3">
        <f t="array" aca="1" ref="R59" ca="1">IF(P24=C24,SUM(IF(($BR$30:$BR$38=C24)*($BS$29:$CA$29=P$22),$BS$30:$CA$38)),0)</f>
        <v>0</v>
      </c>
      <c r="S59" s="3">
        <f t="array" aca="1" ref="S59" ca="1">IF(P24=C24,SUM(IF(($BR$30:$BR$38=C24)*($BS$29:$CA$29=P$23),$BS$30:$CA$38)),0)</f>
        <v>0</v>
      </c>
      <c r="T59" s="3">
        <f t="array" aca="1" ref="T59" ca="1">IF(P24=C24,SUM(IF(($BR$30:$BR$38=C24)*($BS$29:$CA$29=P$25),$BS$30:$CA$38)),0)</f>
        <v>0</v>
      </c>
      <c r="U59" s="5">
        <f t="array" aca="1" ref="U59" ca="1">IF(Q24=C24,SUM(IF(($BR$30:$BR$38=C24)*($BS$29:$CA$29=Q$17),$BS$30:$CA$38)),0)</f>
        <v>0</v>
      </c>
      <c r="V59" s="3">
        <f t="array" aca="1" ref="V59" ca="1">IF(Q24=C24,SUM(IF(($BR$30:$BR$38=C24)*($BS$29:$CA$29=Q$18),$BS$30:$CA$38)),0)</f>
        <v>0</v>
      </c>
      <c r="W59" s="3">
        <f t="array" aca="1" ref="W59" ca="1">IF(Q24=C24,SUM(IF(($BR$30:$BR$38=C24)*($BS$29:$CA$29=Q$19),$BS$30:$CA$38)),0)</f>
        <v>0</v>
      </c>
      <c r="X59" s="3">
        <f t="array" aca="1" ref="X59" ca="1">IF(Q24=C24,SUM(IF(($BR$30:$BR$38=C24)*($BS$29:$CA$29=Q$20),$BS$30:$CA$38)),0)</f>
        <v>0</v>
      </c>
      <c r="Y59" s="3">
        <f t="array" aca="1" ref="Y59" ca="1">IF(Q24=C24,SUM(IF(($BR$30:$BR$38=C24)*($BS$29:$CA$29=Q$21),$BS$30:$CA$38)),0)</f>
        <v>0</v>
      </c>
      <c r="Z59" s="3">
        <f t="array" aca="1" ref="Z59" ca="1">IF(Q24=C24,SUM(IF(($BR$30:$BR$38=C24)*($BS$29:$CA$29=Q$22),$BS$30:$CA$38)),0)</f>
        <v>0</v>
      </c>
      <c r="AA59" s="3">
        <f t="array" aca="1" ref="AA59" ca="1">IF(Q24=C24,SUM(IF(($BR$30:$BR$38=C24)*($BS$29:$CA$29=Q$23),$BS$30:$CA$38)),0)</f>
        <v>0</v>
      </c>
      <c r="AB59" s="3">
        <f t="array" aca="1" ref="AB59" ca="1">IF(Q24=C24,SUM(IF(($BR$30:$BR$38=C24)*($BS$29:$CA$29=Q$25),$BS$30:$CA$38)),0)</f>
        <v>0</v>
      </c>
      <c r="AC59" s="5">
        <f t="array" aca="1" ref="AC59" ca="1">IF(R24=C24,SUM(IF(($BR$30:$BR$38=C24)*($BS$29:$CA$29=R$17),$BS$30:$CA$38)),0)</f>
        <v>0</v>
      </c>
      <c r="AD59" s="3">
        <f t="array" aca="1" ref="AD59" ca="1">IF(R24=C24,SUM(IF(($BR$30:$BR$38=C24)*($BS$29:$CA$29=R$18),$BS$30:$CA$38)),0)</f>
        <v>0</v>
      </c>
      <c r="AE59" s="3">
        <f t="array" aca="1" ref="AE59" ca="1">IF(R24=C24,SUM(IF(($BR$30:$BR$38=C24)*($BS$29:$CA$29=R$19),$BS$30:$CA$38)),0)</f>
        <v>0</v>
      </c>
      <c r="AF59" s="3">
        <f t="array" aca="1" ref="AF59" ca="1">IF(R24=C24,SUM(IF(($BR$30:$BR$38=C24)*($BS$29:$CA$29=R$20),$BS$30:$CA$38)),0)</f>
        <v>0</v>
      </c>
      <c r="AG59" s="3">
        <f t="array" aca="1" ref="AG59" ca="1">IF(R24=C24,SUM(IF(($BR$30:$BR$38=C24)*($BS$29:$CA$29=R$21),$BS$30:$CA$38)),0)</f>
        <v>0</v>
      </c>
      <c r="AH59" s="3">
        <f t="array" aca="1" ref="AH59" ca="1">IF(R24=C24,SUM(IF(($BR$30:$BR$38=C24)*($BS$29:$CA$29=R$22),$BS$30:$CA$38)),0)</f>
        <v>0</v>
      </c>
      <c r="AI59" s="3">
        <f t="array" aca="1" ref="AI59" ca="1">IF(R24=C24,SUM(IF(($BR$30:$BR$38=C24)*($BS$29:$CA$29=R$23),$BS$30:$CA$38)),0)</f>
        <v>0</v>
      </c>
      <c r="AJ59" s="3">
        <f t="array" aca="1" ref="AJ59" ca="1">IF(R24=C24,SUM(IF(($BR$30:$BR$38=C24)*($BS$29:$CA$29=R$25),$BS$30:$CA$38)),0)</f>
        <v>0</v>
      </c>
      <c r="AK59" s="5">
        <f t="array" aca="1" ref="AK59" ca="1">IF(S24=C24,SUM(IF(($BR$30:$BR$38=C24)*($BS$29:$CA$29=S$17),$BS$30:$CA$38)),0)</f>
        <v>0</v>
      </c>
      <c r="AL59" s="3">
        <f t="array" aca="1" ref="AL59" ca="1">IF(S24=C24,SUM(IF(($BR$30:$BR$38=C24)*($BS$29:$CA$29=S$18),$BS$30:$CA$38)),0)</f>
        <v>0</v>
      </c>
      <c r="AM59" s="3">
        <f t="array" aca="1" ref="AM59" ca="1">IF(S24=C24,SUM(IF(($BR$30:$BR$38=C24)*($BS$29:$CA$29=S$19),$BS$30:$CA$38)),0)</f>
        <v>0</v>
      </c>
      <c r="AN59" s="3">
        <f t="array" aca="1" ref="AN59" ca="1">IF(S24=C24,SUM(IF(($BR$30:$BR$38=C24)*($BS$29:$CA$29=S$20),$BS$30:$CA$38)),0)</f>
        <v>0</v>
      </c>
      <c r="AO59" s="3">
        <f t="array" aca="1" ref="AO59" ca="1">IF(S24=C24,SUM(IF(($BR$30:$BR$38=C24)*($BS$29:$CA$29=S$21),$BS$30:$CA$38)),0)</f>
        <v>0</v>
      </c>
      <c r="AP59" s="3">
        <f t="array" aca="1" ref="AP59" ca="1">IF(S24=C24,SUM(IF(($BR$30:$BR$38=C24)*($BS$29:$CA$29=S$22),$BS$30:$CA$38)),0)</f>
        <v>0</v>
      </c>
      <c r="AQ59" s="3">
        <f t="array" aca="1" ref="AQ59" ca="1">IF(S24=C24,SUM(IF(($BR$30:$BR$38=C24)*($BS$29:$CA$29=S$23),$BS$30:$CA$38)),0)</f>
        <v>0</v>
      </c>
      <c r="AR59" s="3">
        <f t="array" aca="1" ref="AR59" ca="1">IF(S24=C24,SUM(IF(($BR$30:$BR$38=C24)*($BS$29:$CA$29=S$25),$BS$30:$CA$38)),0)</f>
        <v>0</v>
      </c>
      <c r="AS59" s="5">
        <f t="array" aca="1" ref="AS59" ca="1">IF(T24=C24,SUM(IF(($BR$30:$BR$38=C24)*($BS$29:$CA$29=T$17),$BS$30:$CA$38)),0)</f>
        <v>0</v>
      </c>
      <c r="AT59" s="3">
        <f t="array" aca="1" ref="AT59" ca="1">IF(T24=C24,SUM(IF(($BR$30:$BR$38=C24)*($BS$29:$CA$29=T$18),$BS$30:$CA$38)),0)</f>
        <v>0</v>
      </c>
      <c r="AU59" s="3">
        <f t="array" aca="1" ref="AU59" ca="1">IF(T24=C24,SUM(IF(($BR$30:$BR$38=C24)*($BS$29:$CA$29=T$19),$BS$30:$CA$38)),0)</f>
        <v>0</v>
      </c>
      <c r="AV59" s="3">
        <f t="array" aca="1" ref="AV59" ca="1">IF(T24=C24,SUM(IF(($BR$30:$BR$38=C24)*($BS$29:$CA$29=T$20),$BS$30:$CA$38)),0)</f>
        <v>0</v>
      </c>
      <c r="AW59" s="3">
        <f t="array" aca="1" ref="AW59" ca="1">IF(T24=C24,SUM(IF(($BR$30:$BR$38=C24)*($BS$29:$CA$29=T$21),$BS$30:$CA$38)),0)</f>
        <v>0</v>
      </c>
      <c r="AX59" s="3">
        <f t="array" aca="1" ref="AX59" ca="1">IF(T24=C24,SUM(IF(($BR$30:$BR$38=C24)*($BS$29:$CA$29=T$22),$BS$30:$CA$38)),0)</f>
        <v>0</v>
      </c>
      <c r="AY59" s="3">
        <f t="array" aca="1" ref="AY59" ca="1">IF(T24=C24,SUM(IF(($BR$30:$BR$38=C24)*($BS$29:$CA$29=T$23),$BS$30:$CA$38)),0)</f>
        <v>0</v>
      </c>
      <c r="AZ59" s="3">
        <f t="array" aca="1" ref="AZ59" ca="1">IF(T24=C24,SUM(IF(($BR$30:$BR$38=C24)*($BS$29:$CA$29=T$25),$BS$30:$CA$38)),0)</f>
        <v>0</v>
      </c>
      <c r="BA59" s="5">
        <f t="array" aca="1" ref="BA59" ca="1">IF(U24=C24,SUM(IF(($BR$30:$BR$38=C24)*($BS$29:$CA$29=U$17),$BS$30:$CA$38)),0)</f>
        <v>0</v>
      </c>
      <c r="BB59" s="3">
        <f t="array" aca="1" ref="BB59" ca="1">IF(U24=C24,SUM(IF(($BR$30:$BR$38=C24)*($BS$29:$CA$29=U$18),$BS$30:$CA$38)),0)</f>
        <v>0</v>
      </c>
      <c r="BC59" s="3">
        <f t="array" aca="1" ref="BC59" ca="1">IF(U24=C24,SUM(IF(($BR$30:$BR$38=C24)*($BS$29:$CA$29=U$19),$BS$30:$CA$38)),0)</f>
        <v>0</v>
      </c>
      <c r="BD59" s="3">
        <f t="array" aca="1" ref="BD59" ca="1">IF(U24=C24,SUM(IF(($BR$30:$BR$38=C24)*($BS$29:$CA$29=U$20),$BS$30:$CA$38)),0)</f>
        <v>0</v>
      </c>
      <c r="BE59" s="3">
        <f t="array" aca="1" ref="BE59" ca="1">IF(U24=C24,SUM(IF(($BR$30:$BR$38=C24)*($BS$29:$CA$29=U$21),$BS$30:$CA$38)),0)</f>
        <v>0</v>
      </c>
      <c r="BF59" s="3">
        <f t="array" aca="1" ref="BF59" ca="1">IF(U24=C24,SUM(IF(($BR$30:$BR$38=C24)*($BS$29:$CA$29=U$22),$BS$30:$CA$38)),0)</f>
        <v>0</v>
      </c>
      <c r="BG59" s="3">
        <f t="array" aca="1" ref="BG59" ca="1">IF(U24=C24,SUM(IF(($BR$30:$BR$38=C24)*($BS$29:$CA$29=U$23),$BS$30:$CA$38)),0)</f>
        <v>0</v>
      </c>
      <c r="BH59" s="3">
        <f t="array" aca="1" ref="BH59" ca="1">IF(U24=C24,SUM(IF(($BR$30:$BR$38=C24)*($BS$29:$CA$29=U$25),$BS$30:$CA$38)),0)</f>
        <v>0</v>
      </c>
      <c r="BI59" s="5">
        <f t="array" aca="1" ref="BI59" ca="1">IF(V24=C24,SUM(IF(($BR$30:$BR$38=C24)*($BS$29:$CA$29=V$17),$BS$30:$CA$38)),0)</f>
        <v>0</v>
      </c>
      <c r="BJ59" s="3">
        <f t="array" aca="1" ref="BJ59" ca="1">IF(V24=C24,SUM(IF(($BR$30:$BR$38=C24)*($BS$29:$CA$29=V$18),$BS$30:$CA$38)),0)</f>
        <v>0</v>
      </c>
      <c r="BK59" s="3">
        <f t="array" aca="1" ref="BK59" ca="1">IF(V24=C24,SUM(IF(($BR$30:$BR$38=C24)*($BS$29:$CA$29=V$19),$BS$30:$CA$38)),0)</f>
        <v>0</v>
      </c>
      <c r="BL59" s="3">
        <f t="array" aca="1" ref="BL59" ca="1">IF(V24=C24,SUM(IF(($BR$30:$BR$38=C24)*($BS$29:$CA$29=V$20),$BS$30:$CA$38)),0)</f>
        <v>0</v>
      </c>
      <c r="BM59" s="3">
        <f t="array" aca="1" ref="BM59" ca="1">IF(V24=C24,SUM(IF(($BR$30:$BR$38=C24)*($BS$29:$CA$29=V$21),$BS$30:$CA$38)),0)</f>
        <v>0</v>
      </c>
      <c r="BN59" s="3">
        <f t="array" aca="1" ref="BN59" ca="1">IF(V24=C24,SUM(IF(($BR$30:$BR$38=C24)*($BS$29:$CA$29=V$22),$BS$30:$CA$38)),0)</f>
        <v>0</v>
      </c>
      <c r="BO59" s="3">
        <f t="array" aca="1" ref="BO59" ca="1">IF(V24=C24,SUM(IF(($BR$30:$BR$38=C24)*($BS$29:$CA$29=V$23),$BS$30:$CA$38)),0)</f>
        <v>0</v>
      </c>
      <c r="BP59" s="15">
        <f t="array" aca="1" ref="BP59" ca="1">IF(V24=C24,SUM(IF(($BR$30:$BR$38=C24)*($BS$29:$CA$29=V$25),$BS$30:$CA$38)),0)</f>
        <v>0</v>
      </c>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2:80" s="2" customFormat="1" ht="12.75" thickBot="1" x14ac:dyDescent="0.25">
      <c r="E60" s="16">
        <f t="array" aca="1" ref="E60" ca="1">IF(O25=C25,SUM(IF(($BR$30:$BR$38=C25)*($BS$29:$CA$29=O$17),$BS$30:$CA$38)),0)</f>
        <v>0</v>
      </c>
      <c r="F60" s="17">
        <f t="array" aca="1" ref="F60" ca="1">IF(O25=C25,SUM(IF(($BR$30:$BR$38=C25)*($BS$29:$CA$29=O$18),$BS$30:$CA$38)),0)</f>
        <v>0</v>
      </c>
      <c r="G60" s="17">
        <f t="array" aca="1" ref="G60" ca="1">IF(O25=C25,SUM(IF(($BR$30:$BR$38=C25)*($BS$29:$CA$29=O$19),$BS$30:$CA$38)),0)</f>
        <v>0</v>
      </c>
      <c r="H60" s="17">
        <f t="array" aca="1" ref="H60" ca="1">IF(O25=C25,SUM(IF(($BR$30:$BR$38=C25)*($BS$29:$CA$29=O$20),$BS$30:$CA$38)),0)</f>
        <v>0</v>
      </c>
      <c r="I60" s="17">
        <f t="array" aca="1" ref="I60" ca="1">IF(O25=C25,SUM(IF(($BR$30:$BR$38=C25)*($BS$29:$CA$29=O$21),$BS$30:$CA$38)),0)</f>
        <v>0</v>
      </c>
      <c r="J60" s="17">
        <f t="array" aca="1" ref="J60" ca="1">IF(O25=C25,SUM(IF(($BR$30:$BR$38=C25)*($BS$29:$CA$29=O$22),$BS$30:$CA$38)),0)</f>
        <v>0</v>
      </c>
      <c r="K60" s="17">
        <f t="array" aca="1" ref="K60" ca="1">IF(O25=C25,SUM(IF(($BR$30:$BR$38=C25)*($BS$29:$CA$29=O$23),$BS$30:$CA$38)),0)</f>
        <v>0</v>
      </c>
      <c r="L60" s="17">
        <f t="array" aca="1" ref="L60" ca="1">IF(O25=C25,SUM(IF(($BR$30:$BR$38=C25)*($BS$29:$CA$29=O$24),$BS$30:$CA$38)),0)</f>
        <v>0</v>
      </c>
      <c r="M60" s="18">
        <f t="array" aca="1" ref="M60" ca="1">IF(P25=C25,SUM(IF(($BR$30:$BR$38=C25)*($BS$29:$CA$29=P$17),$BS$30:$CA$38)),0)</f>
        <v>0</v>
      </c>
      <c r="N60" s="17">
        <f t="array" aca="1" ref="N60" ca="1">IF(P25=C25,SUM(IF(($BR$30:$BR$38=C25)*($BS$29:$CA$29=P$18),$BS$30:$CA$38)),0)</f>
        <v>0</v>
      </c>
      <c r="O60" s="17">
        <f t="array" aca="1" ref="O60" ca="1">IF(P25=C25,SUM(IF(($BR$30:$BR$38=C25)*($BS$29:$CA$29=P$19),$BS$30:$CA$38)),0)</f>
        <v>0</v>
      </c>
      <c r="P60" s="17">
        <f t="array" aca="1" ref="P60" ca="1">IF(P25=C25,SUM(IF(($BR$30:$BR$38=C25)*($BS$29:$CA$29=P$20),$BS$30:$CA$38)),0)</f>
        <v>0</v>
      </c>
      <c r="Q60" s="17">
        <f t="array" aca="1" ref="Q60" ca="1">IF(P25=C25,SUM(IF(($BR$30:$BR$38=C25)*($BS$29:$CA$29=P$21),$BS$30:$CA$38)),0)</f>
        <v>0</v>
      </c>
      <c r="R60" s="17">
        <f t="array" aca="1" ref="R60" ca="1">IF(P25=C25,SUM(IF(($BR$30:$BR$38=C25)*($BS$29:$CA$29=P$22),$BS$30:$CA$38)),0)</f>
        <v>0</v>
      </c>
      <c r="S60" s="17">
        <f t="array" aca="1" ref="S60" ca="1">IF(P25=C25,SUM(IF(($BR$30:$BR$38=C25)*($BS$29:$CA$29=P$23),$BS$30:$CA$38)),0)</f>
        <v>0</v>
      </c>
      <c r="T60" s="17">
        <f t="array" aca="1" ref="T60" ca="1">IF(P25=C25,SUM(IF(($BR$30:$BR$38=C25)*($BS$29:$CA$29=P$24),$BS$30:$CA$38)),0)</f>
        <v>0</v>
      </c>
      <c r="U60" s="18">
        <f t="array" aca="1" ref="U60" ca="1">IF(Q25=C25,SUM(IF(($BR$30:$BR$38=C25)*($BS$29:$CA$29=Q$17),$BS$30:$CA$38)),0)</f>
        <v>0</v>
      </c>
      <c r="V60" s="17">
        <f t="array" aca="1" ref="V60" ca="1">IF(Q25=C25,SUM(IF(($BR$30:$BR$38=C25)*($BS$29:$CA$29=Q$18),$BS$30:$CA$38)),0)</f>
        <v>0</v>
      </c>
      <c r="W60" s="17">
        <f t="array" aca="1" ref="W60" ca="1">IF(Q25=C25,SUM(IF(($BR$30:$BR$38=C25)*($BS$29:$CA$29=Q$19),$BS$30:$CA$38)),0)</f>
        <v>0</v>
      </c>
      <c r="X60" s="17">
        <f t="array" aca="1" ref="X60" ca="1">IF(Q25=C25,SUM(IF(($BR$30:$BR$38=C25)*($BS$29:$CA$29=Q$20),$BS$30:$CA$38)),0)</f>
        <v>0</v>
      </c>
      <c r="Y60" s="17">
        <f t="array" aca="1" ref="Y60" ca="1">IF(Q25=C25,SUM(IF(($BR$30:$BR$38=C25)*($BS$29:$CA$29=Q$21),$BS$30:$CA$38)),0)</f>
        <v>0</v>
      </c>
      <c r="Z60" s="17">
        <f t="array" aca="1" ref="Z60" ca="1">IF(Q25=C25,SUM(IF(($BR$30:$BR$38=C25)*($BS$29:$CA$29=Q$22),$BS$30:$CA$38)),0)</f>
        <v>0</v>
      </c>
      <c r="AA60" s="17">
        <f t="array" aca="1" ref="AA60" ca="1">IF(Q25=C25,SUM(IF(($BR$30:$BR$38=C25)*($BS$29:$CA$29=Q$23),$BS$30:$CA$38)),0)</f>
        <v>0</v>
      </c>
      <c r="AB60" s="17">
        <f t="array" aca="1" ref="AB60" ca="1">IF(Q25=C25,SUM(IF(($BR$30:$BR$38=C25)*($BS$29:$CA$29=Q$24),$BS$30:$CA$38)),0)</f>
        <v>0</v>
      </c>
      <c r="AC60" s="18">
        <f t="array" aca="1" ref="AC60" ca="1">IF(R25=C25,SUM(IF(($BR$30:$BR$38=C25)*($BS$29:$CA$29=R$17),$BS$30:$CA$38)),0)</f>
        <v>0</v>
      </c>
      <c r="AD60" s="17">
        <f t="array" aca="1" ref="AD60" ca="1">IF(R25=C25,SUM(IF(($BR$30:$BR$38=C25)*($BS$29:$CA$29=R$18),$BS$30:$CA$38)),0)</f>
        <v>0</v>
      </c>
      <c r="AE60" s="17">
        <f t="array" aca="1" ref="AE60" ca="1">IF(R25=C25,SUM(IF(($BR$30:$BR$38=C25)*($BS$29:$CA$29=R$19),$BS$30:$CA$38)),0)</f>
        <v>0</v>
      </c>
      <c r="AF60" s="17">
        <f t="array" aca="1" ref="AF60" ca="1">IF(R25=C25,SUM(IF(($BR$30:$BR$38=C25)*($BS$29:$CA$29=R$20),$BS$30:$CA$38)),0)</f>
        <v>0</v>
      </c>
      <c r="AG60" s="17">
        <f t="array" aca="1" ref="AG60" ca="1">IF(R25=C25,SUM(IF(($BR$30:$BR$38=C25)*($BS$29:$CA$29=R$21),$BS$30:$CA$38)),0)</f>
        <v>0</v>
      </c>
      <c r="AH60" s="17">
        <f t="array" aca="1" ref="AH60" ca="1">IF(R25=C25,SUM(IF(($BR$30:$BR$38=C25)*($BS$29:$CA$29=R$22),$BS$30:$CA$38)),0)</f>
        <v>0</v>
      </c>
      <c r="AI60" s="17">
        <f t="array" aca="1" ref="AI60" ca="1">IF(R25=C25,SUM(IF(($BR$30:$BR$38=C25)*($BS$29:$CA$29=R$23),$BS$30:$CA$38)),0)</f>
        <v>0</v>
      </c>
      <c r="AJ60" s="17">
        <f t="array" aca="1" ref="AJ60" ca="1">IF(R25=C25,SUM(IF(($BR$30:$BR$38=C25)*($BS$29:$CA$29=R$24),$BS$30:$CA$38)),0)</f>
        <v>0</v>
      </c>
      <c r="AK60" s="18">
        <f t="array" aca="1" ref="AK60" ca="1">IF(S25=C25,SUM(IF(($BR$30:$BR$38=C25)*($BS$29:$CA$29=S$17),$BS$30:$CA$38)),0)</f>
        <v>0</v>
      </c>
      <c r="AL60" s="17">
        <f t="array" aca="1" ref="AL60" ca="1">IF(S25=C25,SUM(IF(($BR$30:$BR$38=C25)*($BS$29:$CA$29=S$18),$BS$30:$CA$38)),0)</f>
        <v>0</v>
      </c>
      <c r="AM60" s="17">
        <f t="array" aca="1" ref="AM60" ca="1">IF(S25=C25,SUM(IF(($BR$30:$BR$38=C25)*($BS$29:$CA$29=S$19),$BS$30:$CA$38)),0)</f>
        <v>0</v>
      </c>
      <c r="AN60" s="17">
        <f t="array" aca="1" ref="AN60" ca="1">IF(S25=C25,SUM(IF(($BR$30:$BR$38=C25)*($BS$29:$CA$29=S$20),$BS$30:$CA$38)),0)</f>
        <v>0</v>
      </c>
      <c r="AO60" s="17">
        <f t="array" aca="1" ref="AO60" ca="1">IF(S25=C25,SUM(IF(($BR$30:$BR$38=C25)*($BS$29:$CA$29=S$21),$BS$30:$CA$38)),0)</f>
        <v>0</v>
      </c>
      <c r="AP60" s="17">
        <f t="array" aca="1" ref="AP60" ca="1">IF(S25=C25,SUM(IF(($BR$30:$BR$38=C25)*($BS$29:$CA$29=S$22),$BS$30:$CA$38)),0)</f>
        <v>0</v>
      </c>
      <c r="AQ60" s="17">
        <f t="array" aca="1" ref="AQ60" ca="1">IF(S25=C25,SUM(IF(($BR$30:$BR$38=C25)*($BS$29:$CA$29=S$23),$BS$30:$CA$38)),0)</f>
        <v>0</v>
      </c>
      <c r="AR60" s="17">
        <f t="array" aca="1" ref="AR60" ca="1">IF(S25=C25,SUM(IF(($BR$30:$BR$38=C25)*($BS$29:$CA$29=S$24),$BS$30:$CA$38)),0)</f>
        <v>0</v>
      </c>
      <c r="AS60" s="18">
        <f t="array" aca="1" ref="AS60" ca="1">IF(T25=C25,SUM(IF(($BR$30:$BR$38=C25)*($BS$29:$CA$29=T$17),$BS$30:$CA$38)),0)</f>
        <v>0</v>
      </c>
      <c r="AT60" s="17">
        <f t="array" aca="1" ref="AT60" ca="1">IF(T25=C25,SUM(IF(($BR$30:$BR$38=C25)*($BS$29:$CA$29=T$18),$BS$30:$CA$38)),0)</f>
        <v>0</v>
      </c>
      <c r="AU60" s="17">
        <f t="array" aca="1" ref="AU60" ca="1">IF(T25=C25,SUM(IF(($BR$30:$BR$38=C25)*($BS$29:$CA$29=T$19),$BS$30:$CA$38)),0)</f>
        <v>0</v>
      </c>
      <c r="AV60" s="17">
        <f t="array" aca="1" ref="AV60" ca="1">IF(T25=C25,SUM(IF(($BR$30:$BR$38=C25)*($BS$29:$CA$29=T$20),$BS$30:$CA$38)),0)</f>
        <v>0</v>
      </c>
      <c r="AW60" s="17">
        <f t="array" aca="1" ref="AW60" ca="1">IF(T25=C25,SUM(IF(($BR$30:$BR$38=C25)*($BS$29:$CA$29=T$21),$BS$30:$CA$38)),0)</f>
        <v>0</v>
      </c>
      <c r="AX60" s="17">
        <f t="array" aca="1" ref="AX60" ca="1">IF(T25=C25,SUM(IF(($BR$30:$BR$38=C25)*($BS$29:$CA$29=T$22),$BS$30:$CA$38)),0)</f>
        <v>0</v>
      </c>
      <c r="AY60" s="17">
        <f t="array" aca="1" ref="AY60" ca="1">IF(T25=C25,SUM(IF(($BR$30:$BR$38=C25)*($BS$29:$CA$29=T$23),$BS$30:$CA$38)),0)</f>
        <v>0</v>
      </c>
      <c r="AZ60" s="17">
        <f t="array" aca="1" ref="AZ60" ca="1">IF(T25=C25,SUM(IF(($BR$30:$BR$38=C25)*($BS$29:$CA$29=T$24),$BS$30:$CA$38)),0)</f>
        <v>0</v>
      </c>
      <c r="BA60" s="18">
        <f t="array" aca="1" ref="BA60" ca="1">IF(U25=C25,SUM(IF(($BR$30:$BR$38=C25)*($BS$29:$CA$29=U$17),$BS$30:$CA$38)),0)</f>
        <v>0</v>
      </c>
      <c r="BB60" s="17">
        <f t="array" aca="1" ref="BB60" ca="1">IF(U25=C25,SUM(IF(($BR$30:$BR$38=C25)*($BS$29:$CA$29=U$18),$BS$30:$CA$38)),0)</f>
        <v>0</v>
      </c>
      <c r="BC60" s="17">
        <f t="array" aca="1" ref="BC60" ca="1">IF(U25=C25,SUM(IF(($BR$30:$BR$38=C25)*($BS$29:$CA$29=U$19),$BS$30:$CA$38)),0)</f>
        <v>0</v>
      </c>
      <c r="BD60" s="17">
        <f t="array" aca="1" ref="BD60" ca="1">IF(U25=C25,SUM(IF(($BR$30:$BR$38=C25)*($BS$29:$CA$29=U$20),$BS$30:$CA$38)),0)</f>
        <v>0</v>
      </c>
      <c r="BE60" s="17">
        <f t="array" aca="1" ref="BE60" ca="1">IF(U25=C25,SUM(IF(($BR$30:$BR$38=C25)*($BS$29:$CA$29=U$21),$BS$30:$CA$38)),0)</f>
        <v>0</v>
      </c>
      <c r="BF60" s="17">
        <f t="array" aca="1" ref="BF60" ca="1">IF(U25=C25,SUM(IF(($BR$30:$BR$38=C25)*($BS$29:$CA$29=U$22),$BS$30:$CA$38)),0)</f>
        <v>0</v>
      </c>
      <c r="BG60" s="17">
        <f t="array" aca="1" ref="BG60" ca="1">IF(U25=C25,SUM(IF(($BR$30:$BR$38=C25)*($BS$29:$CA$29=U$23),$BS$30:$CA$38)),0)</f>
        <v>0</v>
      </c>
      <c r="BH60" s="17">
        <f t="array" aca="1" ref="BH60" ca="1">IF(U25=C25,SUM(IF(($BR$30:$BR$38=C25)*($BS$29:$CA$29=U$24),$BS$30:$CA$38)),0)</f>
        <v>0</v>
      </c>
      <c r="BI60" s="18">
        <f t="array" aca="1" ref="BI60" ca="1">IF(V25=C25,SUM(IF(($BR$30:$BR$38=C25)*($BS$29:$CA$29=V$17),$BS$30:$CA$38)),0)</f>
        <v>0</v>
      </c>
      <c r="BJ60" s="17">
        <f t="array" aca="1" ref="BJ60" ca="1">IF(V25=C25,SUM(IF(($BR$30:$BR$38=C25)*($BS$29:$CA$29=V$18),$BS$30:$CA$38)),0)</f>
        <v>0</v>
      </c>
      <c r="BK60" s="17">
        <f t="array" aca="1" ref="BK60" ca="1">IF(V25=C25,SUM(IF(($BR$30:$BR$38=C25)*($BS$29:$CA$29=V$19),$BS$30:$CA$38)),0)</f>
        <v>0</v>
      </c>
      <c r="BL60" s="17">
        <f t="array" aca="1" ref="BL60" ca="1">IF(V25=C25,SUM(IF(($BR$30:$BR$38=C25)*($BS$29:$CA$29=V$20),$BS$30:$CA$38)),0)</f>
        <v>0</v>
      </c>
      <c r="BM60" s="17">
        <f t="array" aca="1" ref="BM60" ca="1">IF(V25=C25,SUM(IF(($BR$30:$BR$38=C25)*($BS$29:$CA$29=V$21),$BS$30:$CA$38)),0)</f>
        <v>0</v>
      </c>
      <c r="BN60" s="17">
        <f t="array" aca="1" ref="BN60" ca="1">IF(V25=C25,SUM(IF(($BR$30:$BR$38=C25)*($BS$29:$CA$29=V$22),$BS$30:$CA$38)),0)</f>
        <v>0</v>
      </c>
      <c r="BO60" s="17">
        <f t="array" aca="1" ref="BO60" ca="1">IF(V25=C25,SUM(IF(($BR$30:$BR$38=C25)*($BS$29:$CA$29=V$23),$BS$30:$CA$38)),0)</f>
        <v>0</v>
      </c>
      <c r="BP60" s="19">
        <f t="array" aca="1" ref="BP60" ca="1">IF(V25=C25,SUM(IF(($BR$30:$BR$38=C25)*($BS$29:$CA$29=V$24),$BS$30:$CA$38)),0)</f>
        <v>0</v>
      </c>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2:80" s="2" customFormat="1" ht="12.75" thickTop="1" x14ac:dyDescent="0.2">
      <c r="AC61" s="3"/>
      <c r="AD61" s="3"/>
      <c r="AE61" s="3"/>
      <c r="AF61" s="3"/>
      <c r="AG61" s="3"/>
      <c r="AH61" s="3"/>
      <c r="AI61" s="3"/>
      <c r="AJ61" s="3"/>
      <c r="AK61" s="3"/>
      <c r="AL61" s="3"/>
      <c r="AM61" s="3"/>
      <c r="AN61" s="3"/>
      <c r="AO61" s="3"/>
      <c r="AP61" s="3"/>
      <c r="AQ61" s="3"/>
      <c r="AR61" s="3"/>
    </row>
    <row r="62" spans="2:80" s="2" customFormat="1" x14ac:dyDescent="0.2">
      <c r="AC62" s="3"/>
      <c r="AD62" s="3"/>
      <c r="AE62" s="3"/>
      <c r="AF62" s="3"/>
      <c r="AG62" s="3"/>
      <c r="AH62" s="3"/>
      <c r="AI62" s="3"/>
      <c r="AJ62" s="3"/>
      <c r="AK62" s="3"/>
      <c r="AL62" s="3"/>
      <c r="AM62" s="3"/>
      <c r="AN62" s="3"/>
      <c r="AO62" s="3"/>
      <c r="AP62" s="3"/>
      <c r="AQ62" s="3"/>
      <c r="AR62" s="3"/>
    </row>
    <row r="63" spans="2: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2:80" s="2" customFormat="1" ht="14.25" thickTop="1" thickBot="1" x14ac:dyDescent="0.25">
      <c r="F64" s="192">
        <v>1000000</v>
      </c>
      <c r="G64" s="193" t="s">
        <v>110</v>
      </c>
      <c r="P64" s="44" t="s">
        <v>6</v>
      </c>
      <c r="Q64" s="59" t="str">
        <f ca="1">IF(PreliminaryRound!$R$17="","",PreliminaryRound!$R$17)</f>
        <v/>
      </c>
      <c r="U64" s="65" t="s">
        <v>6</v>
      </c>
      <c r="V64" s="39" t="str">
        <f ca="1">Planning!$L6</f>
        <v>VFB Essenheim</v>
      </c>
      <c r="W64" s="32" t="str">
        <f ca="1">Planning!$N6</f>
        <v>FC Barcelona</v>
      </c>
      <c r="X64" s="32">
        <f ca="1">IF($AA64=1,PreliminaryRound!$I12,"")</f>
        <v>19</v>
      </c>
      <c r="Y64" s="33">
        <f ca="1">IF($AA64=1,PreliminaryRound!$K12,"")</f>
        <v>25</v>
      </c>
      <c r="Z64" s="31" t="str">
        <f ca="1">V64&amp;W64</f>
        <v>VFB EssenheimFC Barcelona</v>
      </c>
      <c r="AA64" s="32">
        <f ca="1">IF(AND(PreliminaryRound!$I12&lt;&gt;"",PreliminaryRound!$K12&lt;&gt;"",PreliminaryRound!$I12&lt;&gt;PreliminaryRound!$K12,OR(AND(PreliminaryRound!$L12="",PreliminaryRound!$N12=""),AND(PreliminaryRound!$L12&lt;&gt;"",PreliminaryRound!$N12&lt;&gt;"",PreliminaryRound!$L12&lt;&gt;PreliminaryRound!$N12)),PreliminaryRound!$F12&lt;&gt;"",PreliminaryRound!$H12&lt;&gt;"",PreliminaryRound!$F12&lt;&gt;PreliminaryRound!$H12),1,0)</f>
        <v>1</v>
      </c>
      <c r="AB64" s="141" t="str">
        <f ca="1">IF(AA64&gt;0,(X64+AG64)&amp;Language!$E$96&amp;(Y64+AH64),"")</f>
        <v>37-50</v>
      </c>
      <c r="AD64" s="142"/>
      <c r="AE64" s="147">
        <f ca="1">IF($AA64=0,0,IF($X64&gt;$Y64,1,0)+IF($AG64&gt;$AH64,1,0))</f>
        <v>0</v>
      </c>
      <c r="AF64" s="142">
        <f ca="1">IF($AA64=0,0,IF($X64&lt;$Y64,1,0)+IF($AG64&lt;$AH64,1,0))</f>
        <v>2</v>
      </c>
      <c r="AG64" s="147">
        <f ca="1">IF($AA64=1,PreliminaryRound!$L12,"")</f>
        <v>18</v>
      </c>
      <c r="AH64" s="142">
        <f ca="1">IF($AA64=1,PreliminaryRound!$N12,"")</f>
        <v>25</v>
      </c>
      <c r="AI64" s="703" t="str">
        <f ca="1">IF(AA64&gt;0,AE64&amp;Language!$E$96&amp;AF64,"")</f>
        <v>0-2</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IF(PreliminaryRound!$R$27="","",PreliminaryRound!$R$27)</f>
        <v/>
      </c>
      <c r="U65" s="66" t="s">
        <v>7</v>
      </c>
      <c r="V65" s="40" t="str">
        <f ca="1">Planning!$L7</f>
        <v>FC Grönlingen</v>
      </c>
      <c r="W65" s="12" t="str">
        <f ca="1">Planning!$N7</f>
        <v>Inter Mailand</v>
      </c>
      <c r="X65" s="12">
        <f ca="1">IF($AA65=1,PreliminaryRound!$I13,"")</f>
        <v>25</v>
      </c>
      <c r="Y65" s="35">
        <f ca="1">IF($AA65=1,PreliminaryRound!$K13,"")</f>
        <v>20</v>
      </c>
      <c r="Z65" s="34" t="str">
        <f t="shared" ref="Z65:Z73" ca="1" si="43">V65&amp;W65</f>
        <v>FC GrönlingenInter Mailand</v>
      </c>
      <c r="AA65" s="12">
        <f ca="1">IF(AND(PreliminaryRound!$I13&lt;&gt;"",PreliminaryRound!$K13&lt;&gt;"",PreliminaryRound!$I13&lt;&gt;PreliminaryRound!$K13,OR(AND(PreliminaryRound!$L13="",PreliminaryRound!$N13=""),AND(PreliminaryRound!$L13&lt;&gt;"",PreliminaryRound!$N13&lt;&gt;"",PreliminaryRound!$L13&lt;&gt;PreliminaryRound!$N13)),PreliminaryRound!$F13&lt;&gt;"",PreliminaryRound!$H13&lt;&gt;"",PreliminaryRound!$F13&lt;&gt;PreliminaryRound!$H13),1,0)</f>
        <v>1</v>
      </c>
      <c r="AB65" s="12" t="str">
        <f ca="1">IF(AA65&gt;0,(X65+AG65)&amp;Language!$E$96&amp;(Y65+AH65),"")</f>
        <v>45-45</v>
      </c>
      <c r="AD65" s="143"/>
      <c r="AE65" s="148">
        <f t="shared" ref="AE65:AE108" ca="1" si="44">IF($AA65=0,0,IF($X65&gt;$Y65,1,0)+IF($AG65&gt;$AH65,1,0))</f>
        <v>1</v>
      </c>
      <c r="AF65" s="143">
        <f t="shared" ref="AF65:AF108" ca="1" si="45">IF($AA65=0,0,IF($X65&lt;$Y65,1,0)+IF($AG65&lt;$AH65,1,0))</f>
        <v>1</v>
      </c>
      <c r="AG65" s="148">
        <f ca="1">IF($AA65=1,PreliminaryRound!$L13,"")</f>
        <v>20</v>
      </c>
      <c r="AH65" s="143">
        <f ca="1">IF($AA65=1,PreliminaryRound!$N13,"")</f>
        <v>25</v>
      </c>
      <c r="AI65" s="690" t="str">
        <f ca="1">IF(AA65&gt;0,AE65&amp;Language!$E$96&amp;AF65,"")</f>
        <v>1-1</v>
      </c>
      <c r="AJ65" s="12"/>
      <c r="AK65" s="12"/>
      <c r="AL65" s="12"/>
      <c r="AM65" s="12"/>
      <c r="AN65" s="12"/>
      <c r="AO65" s="12"/>
      <c r="AP65" s="12"/>
      <c r="AQ65" s="12"/>
    </row>
    <row r="66" spans="2:43" s="2" customFormat="1" ht="13.5" thickBot="1" x14ac:dyDescent="0.25">
      <c r="F66" s="196">
        <v>1</v>
      </c>
      <c r="G66" s="197" t="s">
        <v>107</v>
      </c>
      <c r="P66" s="45" t="s">
        <v>8</v>
      </c>
      <c r="Q66" s="60" t="str">
        <f ca="1">IF(PreliminaryRound!$R$37="","",PreliminaryRound!$R$37)</f>
        <v/>
      </c>
      <c r="U66" s="66" t="s">
        <v>8</v>
      </c>
      <c r="V66" s="40" t="str">
        <f ca="1">Planning!$L8</f>
        <v>1. FC Nürnberg</v>
      </c>
      <c r="W66" s="12" t="str">
        <f ca="1">Planning!$N8</f>
        <v>Real Madrid</v>
      </c>
      <c r="X66" s="12">
        <f ca="1">IF($AA66=1,PreliminaryRound!$I14,"")</f>
        <v>25</v>
      </c>
      <c r="Y66" s="35">
        <f ca="1">IF($AA66=1,PreliminaryRound!$K14,"")</f>
        <v>21</v>
      </c>
      <c r="Z66" s="34" t="str">
        <f t="shared" ca="1" si="43"/>
        <v>1. FC NürnbergReal Madrid</v>
      </c>
      <c r="AA66" s="12">
        <f ca="1">IF(AND(PreliminaryRound!$I14&lt;&gt;"",PreliminaryRound!$K14&lt;&gt;"",PreliminaryRound!$I14&lt;&gt;PreliminaryRound!$K14,OR(AND(PreliminaryRound!$L14="",PreliminaryRound!$N14=""),AND(PreliminaryRound!$L14&lt;&gt;"",PreliminaryRound!$N14&lt;&gt;"",PreliminaryRound!$L14&lt;&gt;PreliminaryRound!$N14)),PreliminaryRound!$F14&lt;&gt;"",PreliminaryRound!$H14&lt;&gt;"",PreliminaryRound!$F14&lt;&gt;PreliminaryRound!$H14),1,0)</f>
        <v>1</v>
      </c>
      <c r="AB66" s="12" t="str">
        <f ca="1">IF(AA66&gt;0,(X66+AG66)&amp;Language!$E$96&amp;(Y66+AH66),"")</f>
        <v>50-40</v>
      </c>
      <c r="AD66" s="143"/>
      <c r="AE66" s="148">
        <f t="shared" ca="1" si="44"/>
        <v>2</v>
      </c>
      <c r="AF66" s="143">
        <f t="shared" ca="1" si="45"/>
        <v>0</v>
      </c>
      <c r="AG66" s="148">
        <f ca="1">IF($AA66=1,PreliminaryRound!$L14,"")</f>
        <v>25</v>
      </c>
      <c r="AH66" s="143">
        <f ca="1">IF($AA66=1,PreliminaryRound!$N14,"")</f>
        <v>19</v>
      </c>
      <c r="AI66" s="690" t="str">
        <f ca="1">IF(AA66&gt;0,AE66&amp;Language!$E$96&amp;AF66,"")</f>
        <v>2-0</v>
      </c>
      <c r="AJ66" s="3"/>
      <c r="AK66" s="12"/>
      <c r="AL66" s="12"/>
      <c r="AM66" s="12"/>
      <c r="AN66" s="12"/>
      <c r="AO66" s="12"/>
      <c r="AP66" s="12"/>
      <c r="AQ66" s="12"/>
    </row>
    <row r="67" spans="2:43" s="2" customFormat="1" x14ac:dyDescent="0.2">
      <c r="P67" s="45"/>
      <c r="Q67" s="60" t="str">
        <f>""</f>
        <v/>
      </c>
      <c r="U67" s="66" t="s">
        <v>9</v>
      </c>
      <c r="V67" s="40" t="str">
        <f ca="1">Planning!$L9</f>
        <v>Eintracht Frankfurt</v>
      </c>
      <c r="W67" s="12" t="str">
        <f ca="1">Planning!$N9</f>
        <v>Maibach 1822 eV</v>
      </c>
      <c r="X67" s="12">
        <f ca="1">IF($AA67=1,PreliminaryRound!$I15,"")</f>
        <v>25</v>
      </c>
      <c r="Y67" s="35">
        <f ca="1">IF($AA67=1,PreliminaryRound!$K15,"")</f>
        <v>22</v>
      </c>
      <c r="Z67" s="34" t="str">
        <f t="shared" ca="1" si="43"/>
        <v>Eintracht FrankfurtMaibach 1822 eV</v>
      </c>
      <c r="AA67" s="12">
        <f ca="1">IF(AND(PreliminaryRound!$I15&lt;&gt;"",PreliminaryRound!$K15&lt;&gt;"",PreliminaryRound!$I15&lt;&gt;PreliminaryRound!$K15,OR(AND(PreliminaryRound!$L15="",PreliminaryRound!$N15=""),AND(PreliminaryRound!$L15&lt;&gt;"",PreliminaryRound!$N15&lt;&gt;"",PreliminaryRound!$L15&lt;&gt;PreliminaryRound!$N15)),PreliminaryRound!$F15&lt;&gt;"",PreliminaryRound!$H15&lt;&gt;"",PreliminaryRound!$F15&lt;&gt;PreliminaryRound!$H15),1,0)</f>
        <v>1</v>
      </c>
      <c r="AB67" s="12" t="str">
        <f ca="1">IF(AA67&gt;0,(X67+AG67)&amp;Language!$E$96&amp;(Y67+AH67),"")</f>
        <v>50-42</v>
      </c>
      <c r="AD67" s="143"/>
      <c r="AE67" s="148">
        <f t="shared" ca="1" si="44"/>
        <v>2</v>
      </c>
      <c r="AF67" s="143">
        <f t="shared" ca="1" si="45"/>
        <v>0</v>
      </c>
      <c r="AG67" s="148">
        <f ca="1">IF($AA67=1,PreliminaryRound!$L15,"")</f>
        <v>25</v>
      </c>
      <c r="AH67" s="143">
        <f ca="1">IF($AA67=1,PreliminaryRound!$N15,"")</f>
        <v>20</v>
      </c>
      <c r="AI67" s="690"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Planning!$L10</f>
        <v>SSV Wildbach</v>
      </c>
      <c r="W68" s="12" t="str">
        <f ca="1">Planning!$N10</f>
        <v>Manchester City</v>
      </c>
      <c r="X68" s="12">
        <f ca="1">IF($AA68=1,PreliminaryRound!$I16,"")</f>
        <v>25</v>
      </c>
      <c r="Y68" s="35">
        <f ca="1">IF($AA68=1,PreliminaryRound!$K16,"")</f>
        <v>23</v>
      </c>
      <c r="Z68" s="34" t="str">
        <f t="shared" ca="1" si="43"/>
        <v>SSV WildbachManchester City</v>
      </c>
      <c r="AA68" s="12">
        <f ca="1">IF(AND(PreliminaryRound!$I16&lt;&gt;"",PreliminaryRound!$K16&lt;&gt;"",PreliminaryRound!$I16&lt;&gt;PreliminaryRound!$K16,OR(AND(PreliminaryRound!$L16="",PreliminaryRound!$N16=""),AND(PreliminaryRound!$L16&lt;&gt;"",PreliminaryRound!$N16&lt;&gt;"",PreliminaryRound!$L16&lt;&gt;PreliminaryRound!$N16)),PreliminaryRound!$F16&lt;&gt;"",PreliminaryRound!$H16&lt;&gt;"",PreliminaryRound!$F16&lt;&gt;PreliminaryRound!$H16),1,0)</f>
        <v>1</v>
      </c>
      <c r="AB68" s="12" t="str">
        <f ca="1">IF(AA68&gt;0,(X68+AG68)&amp;Language!$E$96&amp;(Y68+AH68),"")</f>
        <v>50-44</v>
      </c>
      <c r="AD68" s="143"/>
      <c r="AE68" s="148">
        <f t="shared" ca="1" si="44"/>
        <v>2</v>
      </c>
      <c r="AF68" s="143">
        <f t="shared" ca="1" si="45"/>
        <v>0</v>
      </c>
      <c r="AG68" s="148">
        <f ca="1">IF($AA68=1,PreliminaryRound!$L16,"")</f>
        <v>25</v>
      </c>
      <c r="AH68" s="143">
        <f ca="1">IF($AA68=1,PreliminaryRound!$N16,"")</f>
        <v>21</v>
      </c>
      <c r="AI68" s="690"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Planning!$L11</f>
        <v>Borussia Dortmund</v>
      </c>
      <c r="W69" s="12" t="str">
        <f ca="1">Planning!$N11</f>
        <v>FSV Rauen</v>
      </c>
      <c r="X69" s="12">
        <f ca="1">IF($AA69=1,PreliminaryRound!$I17,"")</f>
        <v>25</v>
      </c>
      <c r="Y69" s="35">
        <f ca="1">IF($AA69=1,PreliminaryRound!$K17,"")</f>
        <v>17</v>
      </c>
      <c r="Z69" s="34" t="str">
        <f t="shared" ca="1" si="43"/>
        <v>Borussia DortmundFSV Rauen</v>
      </c>
      <c r="AA69" s="12">
        <f ca="1">IF(AND(PreliminaryRound!$I17&lt;&gt;"",PreliminaryRound!$K17&lt;&gt;"",PreliminaryRound!$I17&lt;&gt;PreliminaryRound!$K17,OR(AND(PreliminaryRound!$L17="",PreliminaryRound!$N17=""),AND(PreliminaryRound!$L17&lt;&gt;"",PreliminaryRound!$N17&lt;&gt;"",PreliminaryRound!$L17&lt;&gt;PreliminaryRound!$N17)),PreliminaryRound!$F17&lt;&gt;"",PreliminaryRound!$H17&lt;&gt;"",PreliminaryRound!$F17&lt;&gt;PreliminaryRound!$H17),1,0)</f>
        <v>1</v>
      </c>
      <c r="AB69" s="12" t="str">
        <f ca="1">IF(AA69&gt;0,(X69+AG69)&amp;Language!$E$96&amp;(Y69+AH69),"")</f>
        <v>50-39</v>
      </c>
      <c r="AD69" s="143"/>
      <c r="AE69" s="148">
        <f t="shared" ca="1" si="44"/>
        <v>2</v>
      </c>
      <c r="AF69" s="143">
        <f t="shared" ca="1" si="45"/>
        <v>0</v>
      </c>
      <c r="AG69" s="148">
        <f ca="1">IF($AA69=1,PreliminaryRound!$L17,"")</f>
        <v>25</v>
      </c>
      <c r="AH69" s="143">
        <f ca="1">IF($AA69=1,PreliminaryRound!$N17,"")</f>
        <v>22</v>
      </c>
      <c r="AI69" s="690"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Planning!$L12</f>
        <v>VFB Essenheim</v>
      </c>
      <c r="W70" s="12" t="str">
        <f ca="1">Planning!$N12</f>
        <v>1. FC Riedwald</v>
      </c>
      <c r="X70" s="12">
        <f ca="1">IF($AA70=1,PreliminaryRound!$I18,"")</f>
        <v>23</v>
      </c>
      <c r="Y70" s="35">
        <f ca="1">IF($AA70=1,PreliminaryRound!$K18,"")</f>
        <v>25</v>
      </c>
      <c r="Z70" s="34" t="str">
        <f t="shared" ca="1" si="43"/>
        <v>VFB Essenheim1. FC Riedwald</v>
      </c>
      <c r="AA70" s="12">
        <f ca="1">IF(AND(PreliminaryRound!$I18&lt;&gt;"",PreliminaryRound!$K18&lt;&gt;"",PreliminaryRound!$I18&lt;&gt;PreliminaryRound!$K18,OR(AND(PreliminaryRound!$L18="",PreliminaryRound!$N18=""),AND(PreliminaryRound!$L18&lt;&gt;"",PreliminaryRound!$N18&lt;&gt;"",PreliminaryRound!$L18&lt;&gt;PreliminaryRound!$N18)),PreliminaryRound!$F18&lt;&gt;"",PreliminaryRound!$H18&lt;&gt;"",PreliminaryRound!$F18&lt;&gt;PreliminaryRound!$H18),1,0)</f>
        <v>1</v>
      </c>
      <c r="AB70" s="12" t="str">
        <f ca="1">IF(AA70&gt;0,(X70+AG70)&amp;Language!$E$96&amp;(Y70+AH70),"")</f>
        <v>48-48</v>
      </c>
      <c r="AD70" s="143"/>
      <c r="AE70" s="148">
        <f t="shared" ca="1" si="44"/>
        <v>1</v>
      </c>
      <c r="AF70" s="143">
        <f t="shared" ca="1" si="45"/>
        <v>1</v>
      </c>
      <c r="AG70" s="148">
        <f ca="1">IF($AA70=1,PreliminaryRound!$L18,"")</f>
        <v>25</v>
      </c>
      <c r="AH70" s="143">
        <f ca="1">IF($AA70=1,PreliminaryRound!$N18,"")</f>
        <v>23</v>
      </c>
      <c r="AI70" s="690" t="str">
        <f ca="1">IF(AA70&gt;0,AE70&amp;Language!$E$96&amp;AF70,"")</f>
        <v>1-1</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Planning!$L13</f>
        <v>FC Grönlingen</v>
      </c>
      <c r="W71" s="12" t="str">
        <f ca="1">Planning!$N13</f>
        <v>Mainz 05</v>
      </c>
      <c r="X71" s="12">
        <f ca="1">IF($AA71=1,PreliminaryRound!$I19,"")</f>
        <v>19</v>
      </c>
      <c r="Y71" s="35">
        <f ca="1">IF($AA71=1,PreliminaryRound!$K19,"")</f>
        <v>25</v>
      </c>
      <c r="Z71" s="34" t="str">
        <f t="shared" ca="1" si="43"/>
        <v>FC GrönlingenMainz 05</v>
      </c>
      <c r="AA71" s="12">
        <f ca="1">IF(AND(PreliminaryRound!$I19&lt;&gt;"",PreliminaryRound!$K19&lt;&gt;"",PreliminaryRound!$I19&lt;&gt;PreliminaryRound!$K19,OR(AND(PreliminaryRound!$L19="",PreliminaryRound!$N19=""),AND(PreliminaryRound!$L19&lt;&gt;"",PreliminaryRound!$N19&lt;&gt;"",PreliminaryRound!$L19&lt;&gt;PreliminaryRound!$N19)),PreliminaryRound!$F19&lt;&gt;"",PreliminaryRound!$H19&lt;&gt;"",PreliminaryRound!$F19&lt;&gt;PreliminaryRound!$H19),1,0)</f>
        <v>1</v>
      </c>
      <c r="AB71" s="12" t="str">
        <f ca="1">IF(AA71&gt;0,(X71+AG71)&amp;Language!$E$96&amp;(Y71+AH71),"")</f>
        <v>44-42</v>
      </c>
      <c r="AD71" s="143"/>
      <c r="AE71" s="148">
        <f t="shared" ca="1" si="44"/>
        <v>1</v>
      </c>
      <c r="AF71" s="143">
        <f t="shared" ca="1" si="45"/>
        <v>1</v>
      </c>
      <c r="AG71" s="148">
        <f ca="1">IF($AA71=1,PreliminaryRound!$L19,"")</f>
        <v>25</v>
      </c>
      <c r="AH71" s="143">
        <f ca="1">IF($AA71=1,PreliminaryRound!$N19,"")</f>
        <v>17</v>
      </c>
      <c r="AI71" s="690"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Planning!$L14</f>
        <v>1. FC Nürnberg</v>
      </c>
      <c r="W72" s="12" t="str">
        <f ca="1">Planning!$N14</f>
        <v>Kickers Rodendorf</v>
      </c>
      <c r="X72" s="12">
        <f ca="1">IF($AA72=1,PreliminaryRound!$I20,"")</f>
        <v>16</v>
      </c>
      <c r="Y72" s="35">
        <f ca="1">IF($AA72=1,PreliminaryRound!$K20,"")</f>
        <v>25</v>
      </c>
      <c r="Z72" s="34" t="str">
        <f t="shared" ca="1" si="43"/>
        <v>1. FC NürnbergKickers Rodendorf</v>
      </c>
      <c r="AA72" s="12">
        <f ca="1">IF(AND(PreliminaryRound!$I20&lt;&gt;"",PreliminaryRound!$K20&lt;&gt;"",PreliminaryRound!$I20&lt;&gt;PreliminaryRound!$K20,OR(AND(PreliminaryRound!$L20="",PreliminaryRound!$N20=""),AND(PreliminaryRound!$L20&lt;&gt;"",PreliminaryRound!$N20&lt;&gt;"",PreliminaryRound!$L20&lt;&gt;PreliminaryRound!$N20)),PreliminaryRound!$F20&lt;&gt;"",PreliminaryRound!$H20&lt;&gt;"",PreliminaryRound!$F20&lt;&gt;PreliminaryRound!$H20),1,0)</f>
        <v>1</v>
      </c>
      <c r="AB72" s="12" t="str">
        <f ca="1">IF(AA72&gt;0,(X72+AG72)&amp;Language!$E$96&amp;(Y72+AH72),"")</f>
        <v>41-43</v>
      </c>
      <c r="AD72" s="143"/>
      <c r="AE72" s="148">
        <f t="shared" ca="1" si="44"/>
        <v>1</v>
      </c>
      <c r="AF72" s="143">
        <f t="shared" ca="1" si="45"/>
        <v>1</v>
      </c>
      <c r="AG72" s="148">
        <f ca="1">IF($AA72=1,PreliminaryRound!$L20,"")</f>
        <v>25</v>
      </c>
      <c r="AH72" s="143">
        <f ca="1">IF($AA72=1,PreliminaryRound!$N20,"")</f>
        <v>18</v>
      </c>
      <c r="AI72" s="690"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Planning!$L15</f>
        <v>FC Barcelona</v>
      </c>
      <c r="W73" s="12" t="str">
        <f ca="1">Planning!$N15</f>
        <v>Eintracht Frankfurt</v>
      </c>
      <c r="X73" s="12">
        <f ca="1">IF($AA73=1,PreliminaryRound!$I21,"")</f>
        <v>14</v>
      </c>
      <c r="Y73" s="35">
        <f ca="1">IF($AA73=1,PreliminaryRound!$K21,"")</f>
        <v>25</v>
      </c>
      <c r="Z73" s="34" t="str">
        <f t="shared" ca="1" si="43"/>
        <v>FC BarcelonaEintracht Frankfurt</v>
      </c>
      <c r="AA73" s="12">
        <f ca="1">IF(AND(PreliminaryRound!$I21&lt;&gt;"",PreliminaryRound!$K21&lt;&gt;"",PreliminaryRound!$I21&lt;&gt;PreliminaryRound!$K21,OR(AND(PreliminaryRound!$L21="",PreliminaryRound!$N21=""),AND(PreliminaryRound!$L21&lt;&gt;"",PreliminaryRound!$N21&lt;&gt;"",PreliminaryRound!$L21&lt;&gt;PreliminaryRound!$N21)),PreliminaryRound!$F21&lt;&gt;"",PreliminaryRound!$H21&lt;&gt;"",PreliminaryRound!$F21&lt;&gt;PreliminaryRound!$H21),1,0)</f>
        <v>1</v>
      </c>
      <c r="AB73" s="12" t="str">
        <f ca="1">IF(AA73&gt;0,(X73+AG73)&amp;Language!$E$96&amp;(Y73+AH73),"")</f>
        <v>39-44</v>
      </c>
      <c r="AD73" s="143"/>
      <c r="AE73" s="148">
        <f t="shared" ca="1" si="44"/>
        <v>1</v>
      </c>
      <c r="AF73" s="143">
        <f t="shared" ca="1" si="45"/>
        <v>1</v>
      </c>
      <c r="AG73" s="148">
        <f ca="1">IF($AA73=1,PreliminaryRound!$L21,"")</f>
        <v>25</v>
      </c>
      <c r="AH73" s="143">
        <f ca="1">IF($AA73=1,PreliminaryRound!$N21,"")</f>
        <v>19</v>
      </c>
      <c r="AI73" s="690"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Planning!$L16</f>
        <v>Inter Mailand</v>
      </c>
      <c r="W74" s="12" t="str">
        <f ca="1">Planning!$N16</f>
        <v>SSV Wildbach</v>
      </c>
      <c r="X74" s="12">
        <f ca="1">IF($AA74=1,PreliminaryRound!$I22,"")</f>
        <v>22</v>
      </c>
      <c r="Y74" s="35">
        <f ca="1">IF($AA74=1,PreliminaryRound!$K22,"")</f>
        <v>25</v>
      </c>
      <c r="Z74" s="34" t="str">
        <f ca="1">V74&amp;W74</f>
        <v>Inter MailandSSV Wildbach</v>
      </c>
      <c r="AA74" s="12">
        <f ca="1">IF(AND(PreliminaryRound!$I22&lt;&gt;"",PreliminaryRound!$K22&lt;&gt;"",PreliminaryRound!$I22&lt;&gt;PreliminaryRound!$K22,OR(AND(PreliminaryRound!$L22="",PreliminaryRound!$N22=""),AND(PreliminaryRound!$L22&lt;&gt;"",PreliminaryRound!$N22&lt;&gt;"",PreliminaryRound!$L22&lt;&gt;PreliminaryRound!$N22)),PreliminaryRound!$F22&lt;&gt;"",PreliminaryRound!$H22&lt;&gt;"",PreliminaryRound!$F22&lt;&gt;PreliminaryRound!$H22),1,0)</f>
        <v>1</v>
      </c>
      <c r="AB74" s="12" t="str">
        <f ca="1">IF(AA74&gt;0,(X74+AG74)&amp;Language!$E$96&amp;(Y74+AH74),"")</f>
        <v>47-45</v>
      </c>
      <c r="AD74" s="143"/>
      <c r="AE74" s="148">
        <f t="shared" ca="1" si="44"/>
        <v>1</v>
      </c>
      <c r="AF74" s="143">
        <f t="shared" ca="1" si="45"/>
        <v>1</v>
      </c>
      <c r="AG74" s="148">
        <f ca="1">IF($AA74=1,PreliminaryRound!$L22,"")</f>
        <v>25</v>
      </c>
      <c r="AH74" s="143">
        <f ca="1">IF($AA74=1,PreliminaryRound!$N22,"")</f>
        <v>20</v>
      </c>
      <c r="AI74" s="690" t="str">
        <f ca="1">IF(AA74&gt;0,AE74&amp;Language!$E$96&amp;AF74,"")</f>
        <v>1-1</v>
      </c>
    </row>
    <row r="75" spans="2:43" s="2" customFormat="1" x14ac:dyDescent="0.2">
      <c r="B75" s="3"/>
      <c r="C75" s="3"/>
      <c r="D75" s="3"/>
      <c r="E75" s="3"/>
      <c r="F75" s="12"/>
      <c r="G75" s="12"/>
      <c r="H75" s="12"/>
      <c r="I75" s="12"/>
      <c r="J75" s="12"/>
      <c r="K75" s="12"/>
      <c r="L75" s="12"/>
      <c r="M75" s="12"/>
      <c r="U75" s="66" t="s">
        <v>26</v>
      </c>
      <c r="V75" s="40" t="str">
        <f ca="1">Planning!$L17</f>
        <v>Real Madrid</v>
      </c>
      <c r="W75" s="12" t="str">
        <f ca="1">Planning!$N17</f>
        <v>Borussia Dortmund</v>
      </c>
      <c r="X75" s="12">
        <f ca="1">IF($AA75=1,PreliminaryRound!$I23,"")</f>
        <v>19</v>
      </c>
      <c r="Y75" s="35">
        <f ca="1">IF($AA75=1,PreliminaryRound!$K23,"")</f>
        <v>25</v>
      </c>
      <c r="Z75" s="34" t="str">
        <f t="shared" ref="Z75:Z108" ca="1" si="46">V75&amp;W75</f>
        <v>Real MadridBorussia Dortmund</v>
      </c>
      <c r="AA75" s="12">
        <f ca="1">IF(AND(PreliminaryRound!$I23&lt;&gt;"",PreliminaryRound!$K23&lt;&gt;"",PreliminaryRound!$I23&lt;&gt;PreliminaryRound!$K23,OR(AND(PreliminaryRound!$L23="",PreliminaryRound!$N23=""),AND(PreliminaryRound!$L23&lt;&gt;"",PreliminaryRound!$N23&lt;&gt;"",PreliminaryRound!$L23&lt;&gt;PreliminaryRound!$N23)),PreliminaryRound!$F23&lt;&gt;"",PreliminaryRound!$H23&lt;&gt;"",PreliminaryRound!$F23&lt;&gt;PreliminaryRound!$H23),1,0)</f>
        <v>1</v>
      </c>
      <c r="AB75" s="12" t="str">
        <f ca="1">IF(AA75&gt;0,(X75+AG75)&amp;Language!$E$96&amp;(Y75+AH75),"")</f>
        <v>44-46</v>
      </c>
      <c r="AD75" s="143"/>
      <c r="AE75" s="148">
        <f t="shared" ca="1" si="44"/>
        <v>1</v>
      </c>
      <c r="AF75" s="143">
        <f t="shared" ca="1" si="45"/>
        <v>1</v>
      </c>
      <c r="AG75" s="148">
        <f ca="1">IF($AA75=1,PreliminaryRound!$L23,"")</f>
        <v>25</v>
      </c>
      <c r="AH75" s="143">
        <f ca="1">IF($AA75=1,PreliminaryRound!$N23,"")</f>
        <v>21</v>
      </c>
      <c r="AI75" s="690" t="str">
        <f ca="1">IF(AA75&gt;0,AE75&amp;Language!$E$96&amp;AF75,"")</f>
        <v>1-1</v>
      </c>
    </row>
    <row r="76" spans="2:43" s="2" customFormat="1" x14ac:dyDescent="0.2">
      <c r="B76" s="3"/>
      <c r="C76" s="3"/>
      <c r="D76" s="3"/>
      <c r="E76" s="3"/>
      <c r="F76" s="12"/>
      <c r="G76" s="12"/>
      <c r="H76" s="12"/>
      <c r="I76" s="12"/>
      <c r="J76" s="12"/>
      <c r="K76" s="12"/>
      <c r="L76" s="12"/>
      <c r="M76" s="12"/>
      <c r="U76" s="66" t="s">
        <v>27</v>
      </c>
      <c r="V76" s="40" t="str">
        <f ca="1">Planning!$L18</f>
        <v>1. FC Riedwald</v>
      </c>
      <c r="W76" s="12" t="str">
        <f ca="1">Planning!$N18</f>
        <v>Maibach 1822 eV</v>
      </c>
      <c r="X76" s="12">
        <f ca="1">IF($AA76=1,PreliminaryRound!$I24,"")</f>
        <v>17</v>
      </c>
      <c r="Y76" s="35">
        <f ca="1">IF($AA76=1,PreliminaryRound!$K24,"")</f>
        <v>25</v>
      </c>
      <c r="Z76" s="34" t="str">
        <f t="shared" ca="1" si="46"/>
        <v>1. FC RiedwaldMaibach 1822 eV</v>
      </c>
      <c r="AA76" s="12">
        <f ca="1">IF(AND(PreliminaryRound!$I24&lt;&gt;"",PreliminaryRound!$K24&lt;&gt;"",PreliminaryRound!$I24&lt;&gt;PreliminaryRound!$K24,OR(AND(PreliminaryRound!$L24="",PreliminaryRound!$N24=""),AND(PreliminaryRound!$L24&lt;&gt;"",PreliminaryRound!$N24&lt;&gt;"",PreliminaryRound!$L24&lt;&gt;PreliminaryRound!$N24)),PreliminaryRound!$F24&lt;&gt;"",PreliminaryRound!$H24&lt;&gt;"",PreliminaryRound!$F24&lt;&gt;PreliminaryRound!$H24),1,0)</f>
        <v>1</v>
      </c>
      <c r="AB76" s="12" t="str">
        <f ca="1">IF(AA76&gt;0,(X76+AG76)&amp;Language!$E$96&amp;(Y76+AH76),"")</f>
        <v>29-50</v>
      </c>
      <c r="AD76" s="143"/>
      <c r="AE76" s="148">
        <f t="shared" ca="1" si="44"/>
        <v>0</v>
      </c>
      <c r="AF76" s="143">
        <f t="shared" ca="1" si="45"/>
        <v>2</v>
      </c>
      <c r="AG76" s="148">
        <f ca="1">IF($AA76=1,PreliminaryRound!$L24,"")</f>
        <v>12</v>
      </c>
      <c r="AH76" s="143">
        <f ca="1">IF($AA76=1,PreliminaryRound!$N24,"")</f>
        <v>25</v>
      </c>
      <c r="AI76" s="690" t="str">
        <f ca="1">IF(AA76&gt;0,AE76&amp;Language!$E$96&amp;AF76,"")</f>
        <v>0-2</v>
      </c>
    </row>
    <row r="77" spans="2:43" s="2" customFormat="1" x14ac:dyDescent="0.2">
      <c r="B77" s="3"/>
      <c r="C77" s="3"/>
      <c r="D77" s="3"/>
      <c r="E77" s="3"/>
      <c r="F77" s="12"/>
      <c r="G77" s="12"/>
      <c r="H77" s="12"/>
      <c r="I77" s="12"/>
      <c r="J77" s="12"/>
      <c r="K77" s="12"/>
      <c r="L77" s="12"/>
      <c r="M77" s="12"/>
      <c r="U77" s="66" t="s">
        <v>28</v>
      </c>
      <c r="V77" s="40" t="str">
        <f ca="1">Planning!$L19</f>
        <v>Mainz 05</v>
      </c>
      <c r="W77" s="12" t="str">
        <f ca="1">Planning!$N19</f>
        <v>Manchester City</v>
      </c>
      <c r="X77" s="12">
        <f ca="1">IF($AA77=1,PreliminaryRound!$I25,"")</f>
        <v>14</v>
      </c>
      <c r="Y77" s="35">
        <f ca="1">IF($AA77=1,PreliminaryRound!$K25,"")</f>
        <v>25</v>
      </c>
      <c r="Z77" s="34" t="str">
        <f t="shared" ca="1" si="46"/>
        <v>Mainz 05Manchester City</v>
      </c>
      <c r="AA77" s="12">
        <f ca="1">IF(AND(PreliminaryRound!$I25&lt;&gt;"",PreliminaryRound!$K25&lt;&gt;"",PreliminaryRound!$I25&lt;&gt;PreliminaryRound!$K25,OR(AND(PreliminaryRound!$L25="",PreliminaryRound!$N25=""),AND(PreliminaryRound!$L25&lt;&gt;"",PreliminaryRound!$N25&lt;&gt;"",PreliminaryRound!$L25&lt;&gt;PreliminaryRound!$N25)),PreliminaryRound!$F25&lt;&gt;"",PreliminaryRound!$H25&lt;&gt;"",PreliminaryRound!$F25&lt;&gt;PreliminaryRound!$H25),1,0)</f>
        <v>1</v>
      </c>
      <c r="AB77" s="12" t="str">
        <f ca="1">IF(AA77&gt;0,(X77+AG77)&amp;Language!$E$96&amp;(Y77+AH77),"")</f>
        <v>39-48</v>
      </c>
      <c r="AD77" s="143"/>
      <c r="AE77" s="148">
        <f t="shared" ca="1" si="44"/>
        <v>1</v>
      </c>
      <c r="AF77" s="143">
        <f t="shared" ca="1" si="45"/>
        <v>1</v>
      </c>
      <c r="AG77" s="148">
        <f ca="1">IF($AA77=1,PreliminaryRound!$L25,"")</f>
        <v>25</v>
      </c>
      <c r="AH77" s="143">
        <f ca="1">IF($AA77=1,PreliminaryRound!$N25,"")</f>
        <v>23</v>
      </c>
      <c r="AI77" s="690" t="str">
        <f ca="1">IF(AA77&gt;0,AE77&amp;Language!$E$96&amp;AF77,"")</f>
        <v>1-1</v>
      </c>
    </row>
    <row r="78" spans="2:43" s="2" customFormat="1" x14ac:dyDescent="0.2">
      <c r="B78" s="3"/>
      <c r="C78" s="3"/>
      <c r="D78" s="3"/>
      <c r="E78" s="3"/>
      <c r="F78" s="12"/>
      <c r="G78" s="12"/>
      <c r="H78" s="12"/>
      <c r="I78" s="12"/>
      <c r="J78" s="12"/>
      <c r="K78" s="12"/>
      <c r="L78" s="12"/>
      <c r="M78" s="12"/>
      <c r="U78" s="66" t="s">
        <v>29</v>
      </c>
      <c r="V78" s="40" t="str">
        <f ca="1">Planning!$L20</f>
        <v>Kickers Rodendorf</v>
      </c>
      <c r="W78" s="12" t="str">
        <f ca="1">Planning!$N20</f>
        <v>FSV Rauen</v>
      </c>
      <c r="X78" s="12">
        <f ca="1">IF($AA78=1,PreliminaryRound!$I26,"")</f>
        <v>21</v>
      </c>
      <c r="Y78" s="35">
        <f ca="1">IF($AA78=1,PreliminaryRound!$K26,"")</f>
        <v>25</v>
      </c>
      <c r="Z78" s="34" t="str">
        <f t="shared" ca="1" si="46"/>
        <v>Kickers RodendorfFSV Rauen</v>
      </c>
      <c r="AA78" s="12">
        <f ca="1">IF(AND(PreliminaryRound!$I26&lt;&gt;"",PreliminaryRound!$K26&lt;&gt;"",PreliminaryRound!$I26&lt;&gt;PreliminaryRound!$K26,OR(AND(PreliminaryRound!$L26="",PreliminaryRound!$N26=""),AND(PreliminaryRound!$L26&lt;&gt;"",PreliminaryRound!$N26&lt;&gt;"",PreliminaryRound!$L26&lt;&gt;PreliminaryRound!$N26)),PreliminaryRound!$F26&lt;&gt;"",PreliminaryRound!$H26&lt;&gt;"",PreliminaryRound!$F26&lt;&gt;PreliminaryRound!$H26),1,0)</f>
        <v>1</v>
      </c>
      <c r="AB78" s="12" t="str">
        <f ca="1">IF(AA78&gt;0,(X78+AG78)&amp;Language!$E$96&amp;(Y78+AH78),"")</f>
        <v>46-42</v>
      </c>
      <c r="AD78" s="143"/>
      <c r="AE78" s="148">
        <f t="shared" ca="1" si="44"/>
        <v>1</v>
      </c>
      <c r="AF78" s="143">
        <f t="shared" ca="1" si="45"/>
        <v>1</v>
      </c>
      <c r="AG78" s="148">
        <f ca="1">IF($AA78=1,PreliminaryRound!$L26,"")</f>
        <v>25</v>
      </c>
      <c r="AH78" s="143">
        <f ca="1">IF($AA78=1,PreliminaryRound!$N26,"")</f>
        <v>17</v>
      </c>
      <c r="AI78" s="690" t="str">
        <f ca="1">IF(AA78&gt;0,AE78&amp;Language!$E$96&amp;AF78,"")</f>
        <v>1-1</v>
      </c>
    </row>
    <row r="79" spans="2:43" s="2" customFormat="1" x14ac:dyDescent="0.2">
      <c r="B79" s="3"/>
      <c r="C79" s="3"/>
      <c r="D79" s="3"/>
      <c r="E79" s="3"/>
      <c r="F79" s="12"/>
      <c r="G79" s="12"/>
      <c r="H79" s="12"/>
      <c r="I79" s="12"/>
      <c r="J79" s="12"/>
      <c r="K79" s="12"/>
      <c r="L79" s="12"/>
      <c r="M79" s="12"/>
      <c r="U79" s="66" t="s">
        <v>30</v>
      </c>
      <c r="V79" s="40" t="str">
        <f ca="1">Planning!$L21</f>
        <v>Eintracht Frankfurt</v>
      </c>
      <c r="W79" s="12" t="str">
        <f ca="1">Planning!$N21</f>
        <v>VFB Essenheim</v>
      </c>
      <c r="X79" s="12">
        <f ca="1">IF($AA79=1,PreliminaryRound!$I27,"")</f>
        <v>20</v>
      </c>
      <c r="Y79" s="35">
        <f ca="1">IF($AA79=1,PreliminaryRound!$K27,"")</f>
        <v>25</v>
      </c>
      <c r="Z79" s="34" t="str">
        <f t="shared" ca="1" si="46"/>
        <v>Eintracht FrankfurtVFB Essenheim</v>
      </c>
      <c r="AA79" s="12">
        <f ca="1">IF(AND(PreliminaryRound!$I27&lt;&gt;"",PreliminaryRound!$K27&lt;&gt;"",PreliminaryRound!$I27&lt;&gt;PreliminaryRound!$K27,OR(AND(PreliminaryRound!$L27="",PreliminaryRound!$N27=""),AND(PreliminaryRound!$L27&lt;&gt;"",PreliminaryRound!$N27&lt;&gt;"",PreliminaryRound!$L27&lt;&gt;PreliminaryRound!$N27)),PreliminaryRound!$F27&lt;&gt;"",PreliminaryRound!$H27&lt;&gt;"",PreliminaryRound!$F27&lt;&gt;PreliminaryRound!$H27),1,0)</f>
        <v>1</v>
      </c>
      <c r="AB79" s="12" t="str">
        <f ca="1">IF(AA79&gt;0,(X79+AG79)&amp;Language!$E$96&amp;(Y79+AH79),"")</f>
        <v>38-50</v>
      </c>
      <c r="AD79" s="143"/>
      <c r="AE79" s="148">
        <f t="shared" ca="1" si="44"/>
        <v>0</v>
      </c>
      <c r="AF79" s="143">
        <f t="shared" ca="1" si="45"/>
        <v>2</v>
      </c>
      <c r="AG79" s="148">
        <f ca="1">IF($AA79=1,PreliminaryRound!$L27,"")</f>
        <v>18</v>
      </c>
      <c r="AH79" s="143">
        <f ca="1">IF($AA79=1,PreliminaryRound!$N27,"")</f>
        <v>25</v>
      </c>
      <c r="AI79" s="690" t="str">
        <f ca="1">IF(AA79&gt;0,AE79&amp;Language!$E$96&amp;AF79,"")</f>
        <v>0-2</v>
      </c>
    </row>
    <row r="80" spans="2:43" s="2" customFormat="1" x14ac:dyDescent="0.2">
      <c r="B80" s="3"/>
      <c r="C80" s="3"/>
      <c r="D80" s="3"/>
      <c r="E80" s="3"/>
      <c r="F80" s="12"/>
      <c r="G80" s="12"/>
      <c r="H80" s="12"/>
      <c r="I80" s="12"/>
      <c r="J80" s="12"/>
      <c r="K80" s="12"/>
      <c r="L80" s="12"/>
      <c r="M80" s="12"/>
      <c r="U80" s="66" t="s">
        <v>31</v>
      </c>
      <c r="V80" s="40" t="str">
        <f ca="1">Planning!$L22</f>
        <v>SSV Wildbach</v>
      </c>
      <c r="W80" s="12" t="str">
        <f ca="1">Planning!$N22</f>
        <v>FC Grönlingen</v>
      </c>
      <c r="X80" s="12">
        <f ca="1">IF($AA80=1,PreliminaryRound!$I28,"")</f>
        <v>25</v>
      </c>
      <c r="Y80" s="35">
        <f ca="1">IF($AA80=1,PreliminaryRound!$K28,"")</f>
        <v>20</v>
      </c>
      <c r="Z80" s="34" t="str">
        <f t="shared" ca="1" si="46"/>
        <v>SSV WildbachFC Grönlingen</v>
      </c>
      <c r="AA80" s="12">
        <f ca="1">IF(AND(PreliminaryRound!$I28&lt;&gt;"",PreliminaryRound!$K28&lt;&gt;"",PreliminaryRound!$I28&lt;&gt;PreliminaryRound!$K28,OR(AND(PreliminaryRound!$L28="",PreliminaryRound!$N28=""),AND(PreliminaryRound!$L28&lt;&gt;"",PreliminaryRound!$N28&lt;&gt;"",PreliminaryRound!$L28&lt;&gt;PreliminaryRound!$N28)),PreliminaryRound!$F28&lt;&gt;"",PreliminaryRound!$H28&lt;&gt;"",PreliminaryRound!$F28&lt;&gt;PreliminaryRound!$H28),1,0)</f>
        <v>1</v>
      </c>
      <c r="AB80" s="12" t="str">
        <f ca="1">IF(AA80&gt;0,(X80+AG80)&amp;Language!$E$96&amp;(Y80+AH80),"")</f>
        <v>50-39</v>
      </c>
      <c r="AD80" s="143"/>
      <c r="AE80" s="148">
        <f t="shared" ca="1" si="44"/>
        <v>2</v>
      </c>
      <c r="AF80" s="143">
        <f t="shared" ca="1" si="45"/>
        <v>0</v>
      </c>
      <c r="AG80" s="148">
        <f ca="1">IF($AA80=1,PreliminaryRound!$L28,"")</f>
        <v>25</v>
      </c>
      <c r="AH80" s="143">
        <f ca="1">IF($AA80=1,PreliminaryRound!$N28,"")</f>
        <v>19</v>
      </c>
      <c r="AI80" s="690" t="str">
        <f ca="1">IF(AA80&gt;0,AE80&amp;Language!$E$96&amp;AF80,"")</f>
        <v>2-0</v>
      </c>
    </row>
    <row r="81" spans="2:35" s="2" customFormat="1" x14ac:dyDescent="0.2">
      <c r="B81" s="3"/>
      <c r="C81" s="3"/>
      <c r="D81" s="3"/>
      <c r="E81" s="3"/>
      <c r="F81" s="12"/>
      <c r="G81" s="12"/>
      <c r="H81" s="12"/>
      <c r="I81" s="12"/>
      <c r="J81" s="12"/>
      <c r="K81" s="12"/>
      <c r="L81" s="12"/>
      <c r="M81" s="12"/>
      <c r="U81" s="66" t="s">
        <v>32</v>
      </c>
      <c r="V81" s="40" t="str">
        <f ca="1">Planning!$L23</f>
        <v>Borussia Dortmund</v>
      </c>
      <c r="W81" s="12" t="str">
        <f ca="1">Planning!$N23</f>
        <v>1. FC Nürnberg</v>
      </c>
      <c r="X81" s="12">
        <f ca="1">IF($AA81=1,PreliminaryRound!$I29,"")</f>
        <v>25</v>
      </c>
      <c r="Y81" s="35">
        <f ca="1">IF($AA81=1,PreliminaryRound!$K29,"")</f>
        <v>2</v>
      </c>
      <c r="Z81" s="34" t="str">
        <f t="shared" ca="1" si="46"/>
        <v>Borussia Dortmund1. FC Nürnberg</v>
      </c>
      <c r="AA81" s="12">
        <f ca="1">IF(AND(PreliminaryRound!$I29&lt;&gt;"",PreliminaryRound!$K29&lt;&gt;"",PreliminaryRound!$I29&lt;&gt;PreliminaryRound!$K29,OR(AND(PreliminaryRound!$L29="",PreliminaryRound!$N29=""),AND(PreliminaryRound!$L29&lt;&gt;"",PreliminaryRound!$N29&lt;&gt;"",PreliminaryRound!$L29&lt;&gt;PreliminaryRound!$N29)),PreliminaryRound!$F29&lt;&gt;"",PreliminaryRound!$H29&lt;&gt;"",PreliminaryRound!$F29&lt;&gt;PreliminaryRound!$H29),1,0)</f>
        <v>1</v>
      </c>
      <c r="AB81" s="12" t="str">
        <f ca="1">IF(AA81&gt;0,(X81+AG81)&amp;Language!$E$96&amp;(Y81+AH81),"")</f>
        <v>50-22</v>
      </c>
      <c r="AD81" s="143"/>
      <c r="AE81" s="148">
        <f t="shared" ca="1" si="44"/>
        <v>2</v>
      </c>
      <c r="AF81" s="143">
        <f t="shared" ca="1" si="45"/>
        <v>0</v>
      </c>
      <c r="AG81" s="148">
        <f ca="1">IF($AA81=1,PreliminaryRound!$L29,"")</f>
        <v>25</v>
      </c>
      <c r="AH81" s="143">
        <f ca="1">IF($AA81=1,PreliminaryRound!$N29,"")</f>
        <v>20</v>
      </c>
      <c r="AI81" s="690" t="str">
        <f ca="1">IF(AA81&gt;0,AE81&amp;Language!$E$96&amp;AF81,"")</f>
        <v>2-0</v>
      </c>
    </row>
    <row r="82" spans="2:35" s="2" customFormat="1" x14ac:dyDescent="0.2">
      <c r="B82" s="3"/>
      <c r="C82" s="3"/>
      <c r="D82" s="3"/>
      <c r="E82" s="3"/>
      <c r="F82" s="12"/>
      <c r="G82" s="12"/>
      <c r="H82" s="12"/>
      <c r="I82" s="12"/>
      <c r="J82" s="12"/>
      <c r="K82" s="12"/>
      <c r="L82" s="12"/>
      <c r="M82" s="12"/>
      <c r="U82" s="66" t="s">
        <v>33</v>
      </c>
      <c r="V82" s="40" t="str">
        <f ca="1">Planning!$L24</f>
        <v>FC Barcelona</v>
      </c>
      <c r="W82" s="12" t="str">
        <f ca="1">Planning!$N24</f>
        <v>Maibach 1822 eV</v>
      </c>
      <c r="X82" s="12">
        <f ca="1">IF($AA82=1,PreliminaryRound!$I30,"")</f>
        <v>25</v>
      </c>
      <c r="Y82" s="35">
        <f ca="1">IF($AA82=1,PreliminaryRound!$K30,"")</f>
        <v>16</v>
      </c>
      <c r="Z82" s="34" t="str">
        <f t="shared" ca="1" si="46"/>
        <v>FC BarcelonaMaibach 1822 eV</v>
      </c>
      <c r="AA82" s="12">
        <f ca="1">IF(AND(PreliminaryRound!$I30&lt;&gt;"",PreliminaryRound!$K30&lt;&gt;"",PreliminaryRound!$I30&lt;&gt;PreliminaryRound!$K30,OR(AND(PreliminaryRound!$L30="",PreliminaryRound!$N30=""),AND(PreliminaryRound!$L30&lt;&gt;"",PreliminaryRound!$N30&lt;&gt;"",PreliminaryRound!$L30&lt;&gt;PreliminaryRound!$N30)),PreliminaryRound!$F30&lt;&gt;"",PreliminaryRound!$H30&lt;&gt;"",PreliminaryRound!$F30&lt;&gt;PreliminaryRound!$H30),1,0)</f>
        <v>1</v>
      </c>
      <c r="AB82" s="12" t="str">
        <f ca="1">IF(AA82&gt;0,(X82+AG82)&amp;Language!$E$96&amp;(Y82+AH82),"")</f>
        <v>50-37</v>
      </c>
      <c r="AD82" s="143"/>
      <c r="AE82" s="148">
        <f t="shared" ca="1" si="44"/>
        <v>2</v>
      </c>
      <c r="AF82" s="143">
        <f t="shared" ca="1" si="45"/>
        <v>0</v>
      </c>
      <c r="AG82" s="148">
        <f ca="1">IF($AA82=1,PreliminaryRound!$L30,"")</f>
        <v>25</v>
      </c>
      <c r="AH82" s="143">
        <f ca="1">IF($AA82=1,PreliminaryRound!$N30,"")</f>
        <v>21</v>
      </c>
      <c r="AI82" s="690" t="str">
        <f ca="1">IF(AA82&gt;0,AE82&amp;Language!$E$96&amp;AF82,"")</f>
        <v>2-0</v>
      </c>
    </row>
    <row r="83" spans="2:35" s="2" customFormat="1" x14ac:dyDescent="0.2">
      <c r="B83" s="3"/>
      <c r="C83" s="3"/>
      <c r="D83" s="3"/>
      <c r="E83" s="3"/>
      <c r="F83" s="12"/>
      <c r="G83" s="12"/>
      <c r="H83" s="12"/>
      <c r="I83" s="12"/>
      <c r="J83" s="12"/>
      <c r="K83" s="12"/>
      <c r="L83" s="12"/>
      <c r="M83" s="12"/>
      <c r="U83" s="66" t="s">
        <v>34</v>
      </c>
      <c r="V83" s="40" t="str">
        <f ca="1">Planning!$L25</f>
        <v>Inter Mailand</v>
      </c>
      <c r="W83" s="12" t="str">
        <f ca="1">Planning!$N25</f>
        <v>Manchester City</v>
      </c>
      <c r="X83" s="12">
        <f ca="1">IF($AA83=1,PreliminaryRound!$I31,"")</f>
        <v>25</v>
      </c>
      <c r="Y83" s="35">
        <f ca="1">IF($AA83=1,PreliminaryRound!$K31,"")</f>
        <v>2</v>
      </c>
      <c r="Z83" s="34" t="str">
        <f t="shared" ca="1" si="46"/>
        <v>Inter MailandManchester City</v>
      </c>
      <c r="AA83" s="12">
        <f ca="1">IF(AND(PreliminaryRound!$I31&lt;&gt;"",PreliminaryRound!$K31&lt;&gt;"",PreliminaryRound!$I31&lt;&gt;PreliminaryRound!$K31,OR(AND(PreliminaryRound!$L31="",PreliminaryRound!$N31=""),AND(PreliminaryRound!$L31&lt;&gt;"",PreliminaryRound!$N31&lt;&gt;"",PreliminaryRound!$L31&lt;&gt;PreliminaryRound!$N31)),PreliminaryRound!$F31&lt;&gt;"",PreliminaryRound!$H31&lt;&gt;"",PreliminaryRound!$F31&lt;&gt;PreliminaryRound!$H31),1,0)</f>
        <v>1</v>
      </c>
      <c r="AB83" s="12" t="str">
        <f ca="1">IF(AA83&gt;0,(X83+AG83)&amp;Language!$E$96&amp;(Y83+AH83),"")</f>
        <v>50-24</v>
      </c>
      <c r="AD83" s="143"/>
      <c r="AE83" s="148">
        <f t="shared" ca="1" si="44"/>
        <v>2</v>
      </c>
      <c r="AF83" s="143">
        <f t="shared" ca="1" si="45"/>
        <v>0</v>
      </c>
      <c r="AG83" s="148">
        <f ca="1">IF($AA83=1,PreliminaryRound!$L31,"")</f>
        <v>25</v>
      </c>
      <c r="AH83" s="143">
        <f ca="1">IF($AA83=1,PreliminaryRound!$N31,"")</f>
        <v>22</v>
      </c>
      <c r="AI83" s="690" t="str">
        <f ca="1">IF(AA83&gt;0,AE83&amp;Language!$E$96&amp;AF83,"")</f>
        <v>2-0</v>
      </c>
    </row>
    <row r="84" spans="2:35" s="2" customFormat="1" x14ac:dyDescent="0.2">
      <c r="B84" s="3"/>
      <c r="C84" s="3"/>
      <c r="D84" s="3"/>
      <c r="E84" s="3"/>
      <c r="F84" s="12"/>
      <c r="G84" s="12"/>
      <c r="H84" s="12"/>
      <c r="I84" s="12"/>
      <c r="J84" s="12"/>
      <c r="K84" s="12"/>
      <c r="L84" s="12"/>
      <c r="M84" s="12"/>
      <c r="U84" s="66" t="s">
        <v>35</v>
      </c>
      <c r="V84" s="40" t="str">
        <f ca="1">Planning!$L26</f>
        <v>Real Madrid</v>
      </c>
      <c r="W84" s="12" t="str">
        <f ca="1">Planning!$N26</f>
        <v>FSV Rauen</v>
      </c>
      <c r="X84" s="12">
        <f ca="1">IF($AA84=1,PreliminaryRound!$I32,"")</f>
        <v>13</v>
      </c>
      <c r="Y84" s="35">
        <f ca="1">IF($AA84=1,PreliminaryRound!$K32,"")</f>
        <v>25</v>
      </c>
      <c r="Z84" s="34" t="str">
        <f t="shared" ca="1" si="46"/>
        <v>Real MadridFSV Rauen</v>
      </c>
      <c r="AA84" s="12">
        <f ca="1">IF(AND(PreliminaryRound!$I32&lt;&gt;"",PreliminaryRound!$K32&lt;&gt;"",PreliminaryRound!$I32&lt;&gt;PreliminaryRound!$K32,OR(AND(PreliminaryRound!$L32="",PreliminaryRound!$N32=""),AND(PreliminaryRound!$L32&lt;&gt;"",PreliminaryRound!$N32&lt;&gt;"",PreliminaryRound!$L32&lt;&gt;PreliminaryRound!$N32)),PreliminaryRound!$F32&lt;&gt;"",PreliminaryRound!$H32&lt;&gt;"",PreliminaryRound!$F32&lt;&gt;PreliminaryRound!$H32),1,0)</f>
        <v>1</v>
      </c>
      <c r="AB84" s="12" t="str">
        <f ca="1">IF(AA84&gt;0,(X84+AG84)&amp;Language!$E$96&amp;(Y84+AH84),"")</f>
        <v>38-36</v>
      </c>
      <c r="AD84" s="143"/>
      <c r="AE84" s="148">
        <f t="shared" ca="1" si="44"/>
        <v>1</v>
      </c>
      <c r="AF84" s="143">
        <f t="shared" ca="1" si="45"/>
        <v>1</v>
      </c>
      <c r="AG84" s="148">
        <f ca="1">IF($AA84=1,PreliminaryRound!$L32,"")</f>
        <v>25</v>
      </c>
      <c r="AH84" s="143">
        <f ca="1">IF($AA84=1,PreliminaryRound!$N32,"")</f>
        <v>11</v>
      </c>
      <c r="AI84" s="690" t="str">
        <f ca="1">IF(AA84&gt;0,AE84&amp;Language!$E$96&amp;AF84,"")</f>
        <v>1-1</v>
      </c>
    </row>
    <row r="85" spans="2:35" s="2" customFormat="1" x14ac:dyDescent="0.2">
      <c r="B85" s="3"/>
      <c r="C85" s="3"/>
      <c r="D85" s="3"/>
      <c r="E85" s="3"/>
      <c r="F85" s="12"/>
      <c r="G85" s="12"/>
      <c r="H85" s="12"/>
      <c r="I85" s="12"/>
      <c r="J85" s="12"/>
      <c r="K85" s="12"/>
      <c r="L85" s="12"/>
      <c r="M85" s="12"/>
      <c r="U85" s="66" t="s">
        <v>36</v>
      </c>
      <c r="V85" s="40" t="str">
        <f ca="1">Planning!$L27</f>
        <v>Eintracht Frankfurt</v>
      </c>
      <c r="W85" s="12" t="str">
        <f ca="1">Planning!$N27</f>
        <v>1. FC Riedwald</v>
      </c>
      <c r="X85" s="12">
        <f ca="1">IF($AA85=1,PreliminaryRound!$I33,"")</f>
        <v>19</v>
      </c>
      <c r="Y85" s="35">
        <f ca="1">IF($AA85=1,PreliminaryRound!$K33,"")</f>
        <v>25</v>
      </c>
      <c r="Z85" s="34" t="str">
        <f t="shared" ca="1" si="46"/>
        <v>Eintracht Frankfurt1. FC Riedwald</v>
      </c>
      <c r="AA85" s="12">
        <f ca="1">IF(AND(PreliminaryRound!$I33&lt;&gt;"",PreliminaryRound!$K33&lt;&gt;"",PreliminaryRound!$I33&lt;&gt;PreliminaryRound!$K33,OR(AND(PreliminaryRound!$L33="",PreliminaryRound!$N33=""),AND(PreliminaryRound!$L33&lt;&gt;"",PreliminaryRound!$N33&lt;&gt;"",PreliminaryRound!$L33&lt;&gt;PreliminaryRound!$N33)),PreliminaryRound!$F33&lt;&gt;"",PreliminaryRound!$H33&lt;&gt;"",PreliminaryRound!$F33&lt;&gt;PreliminaryRound!$H33),1,0)</f>
        <v>1</v>
      </c>
      <c r="AB85" s="12" t="str">
        <f ca="1">IF(AA85&gt;0,(X85+AG85)&amp;Language!$E$96&amp;(Y85+AH85),"")</f>
        <v>44-42</v>
      </c>
      <c r="AD85" s="143"/>
      <c r="AE85" s="148">
        <f t="shared" ca="1" si="44"/>
        <v>1</v>
      </c>
      <c r="AF85" s="143">
        <f t="shared" ca="1" si="45"/>
        <v>1</v>
      </c>
      <c r="AG85" s="148">
        <f ca="1">IF($AA85=1,PreliminaryRound!$L33,"")</f>
        <v>25</v>
      </c>
      <c r="AH85" s="143">
        <f ca="1">IF($AA85=1,PreliminaryRound!$N33,"")</f>
        <v>17</v>
      </c>
      <c r="AI85" s="690" t="str">
        <f ca="1">IF(AA85&gt;0,AE85&amp;Language!$E$96&amp;AF85,"")</f>
        <v>1-1</v>
      </c>
    </row>
    <row r="86" spans="2:35" s="2" customFormat="1" x14ac:dyDescent="0.2">
      <c r="B86" s="3"/>
      <c r="C86" s="3"/>
      <c r="D86" s="3"/>
      <c r="E86" s="3"/>
      <c r="F86" s="12"/>
      <c r="G86" s="12"/>
      <c r="H86" s="12"/>
      <c r="I86" s="12"/>
      <c r="J86" s="12"/>
      <c r="K86" s="12"/>
      <c r="L86" s="12"/>
      <c r="M86" s="12"/>
      <c r="U86" s="66" t="s">
        <v>37</v>
      </c>
      <c r="V86" s="40" t="str">
        <f ca="1">Planning!$L28</f>
        <v>SSV Wildbach</v>
      </c>
      <c r="W86" s="12" t="str">
        <f ca="1">Planning!$N28</f>
        <v>Mainz 05</v>
      </c>
      <c r="X86" s="12">
        <f ca="1">IF($AA86=1,PreliminaryRound!$I34,"")</f>
        <v>17</v>
      </c>
      <c r="Y86" s="35">
        <f ca="1">IF($AA86=1,PreliminaryRound!$K34,"")</f>
        <v>25</v>
      </c>
      <c r="Z86" s="34" t="str">
        <f t="shared" ca="1" si="46"/>
        <v>SSV WildbachMainz 05</v>
      </c>
      <c r="AA86" s="12">
        <f ca="1">IF(AND(PreliminaryRound!$I34&lt;&gt;"",PreliminaryRound!$K34&lt;&gt;"",PreliminaryRound!$I34&lt;&gt;PreliminaryRound!$K34,OR(AND(PreliminaryRound!$L34="",PreliminaryRound!$N34=""),AND(PreliminaryRound!$L34&lt;&gt;"",PreliminaryRound!$N34&lt;&gt;"",PreliminaryRound!$L34&lt;&gt;PreliminaryRound!$N34)),PreliminaryRound!$F34&lt;&gt;"",PreliminaryRound!$H34&lt;&gt;"",PreliminaryRound!$F34&lt;&gt;PreliminaryRound!$H34),1,0)</f>
        <v>1</v>
      </c>
      <c r="AB86" s="12" t="str">
        <f ca="1">IF(AA86&gt;0,(X86+AG86)&amp;Language!$E$96&amp;(Y86+AH86),"")</f>
        <v>42-41</v>
      </c>
      <c r="AD86" s="143"/>
      <c r="AE86" s="148">
        <f t="shared" ca="1" si="44"/>
        <v>1</v>
      </c>
      <c r="AF86" s="143">
        <f t="shared" ca="1" si="45"/>
        <v>1</v>
      </c>
      <c r="AG86" s="148">
        <f ca="1">IF($AA86=1,PreliminaryRound!$L34,"")</f>
        <v>25</v>
      </c>
      <c r="AH86" s="143">
        <f ca="1">IF($AA86=1,PreliminaryRound!$N34,"")</f>
        <v>16</v>
      </c>
      <c r="AI86" s="690" t="str">
        <f ca="1">IF(AA86&gt;0,AE86&amp;Language!$E$96&amp;AF86,"")</f>
        <v>1-1</v>
      </c>
    </row>
    <row r="87" spans="2:35" s="2" customFormat="1" x14ac:dyDescent="0.2">
      <c r="B87" s="3"/>
      <c r="C87" s="3"/>
      <c r="D87" s="3"/>
      <c r="E87" s="3"/>
      <c r="F87" s="12"/>
      <c r="G87" s="12"/>
      <c r="H87" s="12"/>
      <c r="I87" s="12"/>
      <c r="J87" s="12"/>
      <c r="K87" s="12"/>
      <c r="L87" s="12"/>
      <c r="M87" s="12"/>
      <c r="U87" s="66" t="s">
        <v>38</v>
      </c>
      <c r="V87" s="40" t="str">
        <f ca="1">Planning!$L29</f>
        <v>Borussia Dortmund</v>
      </c>
      <c r="W87" s="12" t="str">
        <f ca="1">Planning!$N29</f>
        <v>Kickers Rodendorf</v>
      </c>
      <c r="X87" s="12">
        <f ca="1">IF($AA87=1,PreliminaryRound!$I35,"")</f>
        <v>25</v>
      </c>
      <c r="Y87" s="35">
        <f ca="1">IF($AA87=1,PreliminaryRound!$K35,"")</f>
        <v>14</v>
      </c>
      <c r="Z87" s="34" t="str">
        <f t="shared" ca="1" si="46"/>
        <v>Borussia DortmundKickers Rodendorf</v>
      </c>
      <c r="AA87" s="12">
        <f ca="1">IF(AND(PreliminaryRound!$I35&lt;&gt;"",PreliminaryRound!$K35&lt;&gt;"",PreliminaryRound!$I35&lt;&gt;PreliminaryRound!$K35,OR(AND(PreliminaryRound!$L35="",PreliminaryRound!$N35=""),AND(PreliminaryRound!$L35&lt;&gt;"",PreliminaryRound!$N35&lt;&gt;"",PreliminaryRound!$L35&lt;&gt;PreliminaryRound!$N35)),PreliminaryRound!$F35&lt;&gt;"",PreliminaryRound!$H35&lt;&gt;"",PreliminaryRound!$F35&lt;&gt;PreliminaryRound!$H35),1,0)</f>
        <v>1</v>
      </c>
      <c r="AB87" s="12" t="str">
        <f ca="1">IF(AA87&gt;0,(X87+AG87)&amp;Language!$E$96&amp;(Y87+AH87),"")</f>
        <v>50-33</v>
      </c>
      <c r="AD87" s="143"/>
      <c r="AE87" s="148">
        <f t="shared" ca="1" si="44"/>
        <v>2</v>
      </c>
      <c r="AF87" s="143">
        <f t="shared" ca="1" si="45"/>
        <v>0</v>
      </c>
      <c r="AG87" s="148">
        <f ca="1">IF($AA87=1,PreliminaryRound!$L35,"")</f>
        <v>25</v>
      </c>
      <c r="AH87" s="143">
        <f ca="1">IF($AA87=1,PreliminaryRound!$N35,"")</f>
        <v>19</v>
      </c>
      <c r="AI87" s="690" t="str">
        <f ca="1">IF(AA87&gt;0,AE87&amp;Language!$E$96&amp;AF87,"")</f>
        <v>2-0</v>
      </c>
    </row>
    <row r="88" spans="2:35" s="2" customFormat="1" x14ac:dyDescent="0.2">
      <c r="B88" s="3"/>
      <c r="C88" s="3"/>
      <c r="D88" s="3"/>
      <c r="E88" s="3"/>
      <c r="F88" s="12"/>
      <c r="G88" s="12"/>
      <c r="H88" s="12"/>
      <c r="I88" s="12"/>
      <c r="J88" s="12"/>
      <c r="K88" s="12"/>
      <c r="L88" s="12"/>
      <c r="M88" s="12"/>
      <c r="U88" s="66" t="s">
        <v>39</v>
      </c>
      <c r="V88" s="40" t="str">
        <f ca="1">Planning!$L30</f>
        <v>Maibach 1822 eV</v>
      </c>
      <c r="W88" s="12" t="str">
        <f ca="1">Planning!$N30</f>
        <v>VFB Essenheim</v>
      </c>
      <c r="X88" s="12">
        <f ca="1">IF($AA88=1,PreliminaryRound!$I36,"")</f>
        <v>20</v>
      </c>
      <c r="Y88" s="35">
        <f ca="1">IF($AA88=1,PreliminaryRound!$K36,"")</f>
        <v>25</v>
      </c>
      <c r="Z88" s="34" t="str">
        <f t="shared" ca="1" si="46"/>
        <v>Maibach 1822 eVVFB Essenheim</v>
      </c>
      <c r="AA88" s="12">
        <f ca="1">IF(AND(PreliminaryRound!$I36&lt;&gt;"",PreliminaryRound!$K36&lt;&gt;"",PreliminaryRound!$I36&lt;&gt;PreliminaryRound!$K36,OR(AND(PreliminaryRound!$L36="",PreliminaryRound!$N36=""),AND(PreliminaryRound!$L36&lt;&gt;"",PreliminaryRound!$N36&lt;&gt;"",PreliminaryRound!$L36&lt;&gt;PreliminaryRound!$N36)),PreliminaryRound!$F36&lt;&gt;"",PreliminaryRound!$H36&lt;&gt;"",PreliminaryRound!$F36&lt;&gt;PreliminaryRound!$H36),1,0)</f>
        <v>1</v>
      </c>
      <c r="AB88" s="12" t="str">
        <f ca="1">IF(AA88&gt;0,(X88+AG88)&amp;Language!$E$96&amp;(Y88+AH88),"")</f>
        <v>45-45</v>
      </c>
      <c r="AD88" s="143"/>
      <c r="AE88" s="148">
        <f t="shared" ca="1" si="44"/>
        <v>1</v>
      </c>
      <c r="AF88" s="143">
        <f t="shared" ca="1" si="45"/>
        <v>1</v>
      </c>
      <c r="AG88" s="148">
        <f ca="1">IF($AA88=1,PreliminaryRound!$L36,"")</f>
        <v>25</v>
      </c>
      <c r="AH88" s="143">
        <f ca="1">IF($AA88=1,PreliminaryRound!$N36,"")</f>
        <v>20</v>
      </c>
      <c r="AI88" s="690" t="str">
        <f ca="1">IF(AA88&gt;0,AE88&amp;Language!$E$96&amp;AF88,"")</f>
        <v>1-1</v>
      </c>
    </row>
    <row r="89" spans="2:35" s="2" customFormat="1" x14ac:dyDescent="0.2">
      <c r="B89" s="3"/>
      <c r="C89" s="3"/>
      <c r="D89" s="3"/>
      <c r="E89" s="3"/>
      <c r="F89" s="12"/>
      <c r="G89" s="12"/>
      <c r="H89" s="12"/>
      <c r="I89" s="12"/>
      <c r="J89" s="12"/>
      <c r="K89" s="12"/>
      <c r="L89" s="12"/>
      <c r="M89" s="12"/>
      <c r="U89" s="66" t="s">
        <v>40</v>
      </c>
      <c r="V89" s="40" t="str">
        <f ca="1">Planning!$L31</f>
        <v>Manchester City</v>
      </c>
      <c r="W89" s="12" t="str">
        <f ca="1">Planning!$N31</f>
        <v>FC Grönlingen</v>
      </c>
      <c r="X89" s="12">
        <f ca="1">IF($AA89=1,PreliminaryRound!$I37,"")</f>
        <v>19</v>
      </c>
      <c r="Y89" s="35">
        <f ca="1">IF($AA89=1,PreliminaryRound!$K37,"")</f>
        <v>25</v>
      </c>
      <c r="Z89" s="34" t="str">
        <f t="shared" ca="1" si="46"/>
        <v>Manchester CityFC Grönlingen</v>
      </c>
      <c r="AA89" s="12">
        <f ca="1">IF(AND(PreliminaryRound!$I37&lt;&gt;"",PreliminaryRound!$K37&lt;&gt;"",PreliminaryRound!$I37&lt;&gt;PreliminaryRound!$K37,OR(AND(PreliminaryRound!$L37="",PreliminaryRound!$N37=""),AND(PreliminaryRound!$L37&lt;&gt;"",PreliminaryRound!$N37&lt;&gt;"",PreliminaryRound!$L37&lt;&gt;PreliminaryRound!$N37)),PreliminaryRound!$F37&lt;&gt;"",PreliminaryRound!$H37&lt;&gt;"",PreliminaryRound!$F37&lt;&gt;PreliminaryRound!$H37),1,0)</f>
        <v>1</v>
      </c>
      <c r="AB89" s="12" t="str">
        <f ca="1">IF(AA89&gt;0,(X89+AG89)&amp;Language!$E$96&amp;(Y89+AH89),"")</f>
        <v>44-46</v>
      </c>
      <c r="AD89" s="143"/>
      <c r="AE89" s="148">
        <f t="shared" ca="1" si="44"/>
        <v>1</v>
      </c>
      <c r="AF89" s="143">
        <f t="shared" ca="1" si="45"/>
        <v>1</v>
      </c>
      <c r="AG89" s="148">
        <f ca="1">IF($AA89=1,PreliminaryRound!$L37,"")</f>
        <v>25</v>
      </c>
      <c r="AH89" s="143">
        <f ca="1">IF($AA89=1,PreliminaryRound!$N37,"")</f>
        <v>21</v>
      </c>
      <c r="AI89" s="690" t="str">
        <f ca="1">IF(AA89&gt;0,AE89&amp;Language!$E$96&amp;AF89,"")</f>
        <v>1-1</v>
      </c>
    </row>
    <row r="90" spans="2:35" s="2" customFormat="1" x14ac:dyDescent="0.2">
      <c r="B90" s="3"/>
      <c r="C90" s="3"/>
      <c r="D90" s="3"/>
      <c r="E90" s="3"/>
      <c r="F90" s="12"/>
      <c r="G90" s="12"/>
      <c r="H90" s="12"/>
      <c r="I90" s="12"/>
      <c r="J90" s="12"/>
      <c r="K90" s="12"/>
      <c r="L90" s="12"/>
      <c r="M90" s="12"/>
      <c r="U90" s="66" t="s">
        <v>41</v>
      </c>
      <c r="V90" s="40" t="str">
        <f ca="1">Planning!$L32</f>
        <v>FSV Rauen</v>
      </c>
      <c r="W90" s="12" t="str">
        <f ca="1">Planning!$N32</f>
        <v>1. FC Nürnberg</v>
      </c>
      <c r="X90" s="12">
        <f ca="1">IF($AA90=1,PreliminaryRound!$I38,"")</f>
        <v>17</v>
      </c>
      <c r="Y90" s="35">
        <f ca="1">IF($AA90=1,PreliminaryRound!$K38,"")</f>
        <v>25</v>
      </c>
      <c r="Z90" s="34" t="str">
        <f t="shared" ca="1" si="46"/>
        <v>FSV Rauen1. FC Nürnberg</v>
      </c>
      <c r="AA90" s="12">
        <f ca="1">IF(AND(PreliminaryRound!$I38&lt;&gt;"",PreliminaryRound!$K38&lt;&gt;"",PreliminaryRound!$I38&lt;&gt;PreliminaryRound!$K38,OR(AND(PreliminaryRound!$L38="",PreliminaryRound!$N38=""),AND(PreliminaryRound!$L38&lt;&gt;"",PreliminaryRound!$N38&lt;&gt;"",PreliminaryRound!$L38&lt;&gt;PreliminaryRound!$N38)),PreliminaryRound!$F38&lt;&gt;"",PreliminaryRound!$H38&lt;&gt;"",PreliminaryRound!$F38&lt;&gt;PreliminaryRound!$H38),1,0)</f>
        <v>1</v>
      </c>
      <c r="AB90" s="12" t="str">
        <f ca="1">IF(AA90&gt;0,(X90+AG90)&amp;Language!$E$96&amp;(Y90+AH90),"")</f>
        <v>42-47</v>
      </c>
      <c r="AD90" s="143"/>
      <c r="AE90" s="148">
        <f t="shared" ca="1" si="44"/>
        <v>1</v>
      </c>
      <c r="AF90" s="143">
        <f t="shared" ca="1" si="45"/>
        <v>1</v>
      </c>
      <c r="AG90" s="148">
        <f ca="1">IF($AA90=1,PreliminaryRound!$L38,"")</f>
        <v>25</v>
      </c>
      <c r="AH90" s="143">
        <f ca="1">IF($AA90=1,PreliminaryRound!$N38,"")</f>
        <v>22</v>
      </c>
      <c r="AI90" s="690" t="str">
        <f ca="1">IF(AA90&gt;0,AE90&amp;Language!$E$96&amp;AF90,"")</f>
        <v>1-1</v>
      </c>
    </row>
    <row r="91" spans="2:35" s="2" customFormat="1" x14ac:dyDescent="0.2">
      <c r="B91" s="3"/>
      <c r="C91" s="3"/>
      <c r="D91" s="3"/>
      <c r="E91" s="3"/>
      <c r="F91" s="12"/>
      <c r="G91" s="12"/>
      <c r="H91" s="12"/>
      <c r="I91" s="12"/>
      <c r="J91" s="12"/>
      <c r="K91" s="12"/>
      <c r="L91" s="12"/>
      <c r="M91" s="12"/>
      <c r="U91" s="66" t="s">
        <v>42</v>
      </c>
      <c r="V91" s="40" t="str">
        <f ca="1">Planning!$L33</f>
        <v>1. FC Riedwald</v>
      </c>
      <c r="W91" s="12" t="str">
        <f ca="1">Planning!$N33</f>
        <v>FC Barcelona</v>
      </c>
      <c r="X91" s="12">
        <f ca="1">IF($AA91=1,PreliminaryRound!$I39,"")</f>
        <v>19</v>
      </c>
      <c r="Y91" s="35">
        <f ca="1">IF($AA91=1,PreliminaryRound!$K39,"")</f>
        <v>25</v>
      </c>
      <c r="Z91" s="34" t="str">
        <f t="shared" ca="1" si="46"/>
        <v>1. FC RiedwaldFC Barcelona</v>
      </c>
      <c r="AA91" s="12">
        <f ca="1">IF(AND(PreliminaryRound!$I39&lt;&gt;"",PreliminaryRound!$K39&lt;&gt;"",PreliminaryRound!$I39&lt;&gt;PreliminaryRound!$K39,OR(AND(PreliminaryRound!$L39="",PreliminaryRound!$N39=""),AND(PreliminaryRound!$L39&lt;&gt;"",PreliminaryRound!$N39&lt;&gt;"",PreliminaryRound!$L39&lt;&gt;PreliminaryRound!$N39)),PreliminaryRound!$F39&lt;&gt;"",PreliminaryRound!$H39&lt;&gt;"",PreliminaryRound!$F39&lt;&gt;PreliminaryRound!$H39),1,0)</f>
        <v>1</v>
      </c>
      <c r="AB91" s="12" t="str">
        <f ca="1">IF(AA91&gt;0,(X91+AG91)&amp;Language!$E$96&amp;(Y91+AH91),"")</f>
        <v>44-48</v>
      </c>
      <c r="AD91" s="143"/>
      <c r="AE91" s="148">
        <f t="shared" ca="1" si="44"/>
        <v>1</v>
      </c>
      <c r="AF91" s="143">
        <f t="shared" ca="1" si="45"/>
        <v>1</v>
      </c>
      <c r="AG91" s="148">
        <f ca="1">IF($AA91=1,PreliminaryRound!$L39,"")</f>
        <v>25</v>
      </c>
      <c r="AH91" s="143">
        <f ca="1">IF($AA91=1,PreliminaryRound!$N39,"")</f>
        <v>23</v>
      </c>
      <c r="AI91" s="690" t="str">
        <f ca="1">IF(AA91&gt;0,AE91&amp;Language!$E$96&amp;AF91,"")</f>
        <v>1-1</v>
      </c>
    </row>
    <row r="92" spans="2:35" s="2" customFormat="1" x14ac:dyDescent="0.2">
      <c r="B92" s="3"/>
      <c r="C92" s="3"/>
      <c r="D92" s="3"/>
      <c r="E92" s="3"/>
      <c r="F92" s="12"/>
      <c r="G92" s="12"/>
      <c r="H92" s="12"/>
      <c r="I92" s="12"/>
      <c r="J92" s="12"/>
      <c r="K92" s="12"/>
      <c r="L92" s="12"/>
      <c r="M92" s="12"/>
      <c r="U92" s="66" t="s">
        <v>43</v>
      </c>
      <c r="V92" s="40" t="str">
        <f ca="1">Planning!$L34</f>
        <v>Mainz 05</v>
      </c>
      <c r="W92" s="12" t="str">
        <f ca="1">Planning!$N34</f>
        <v>Inter Mailand</v>
      </c>
      <c r="X92" s="12">
        <f ca="1">IF($AA92=1,PreliminaryRound!$I40,"")</f>
        <v>17</v>
      </c>
      <c r="Y92" s="35">
        <f ca="1">IF($AA92=1,PreliminaryRound!$K40,"")</f>
        <v>25</v>
      </c>
      <c r="Z92" s="34" t="str">
        <f t="shared" ca="1" si="46"/>
        <v>Mainz 05Inter Mailand</v>
      </c>
      <c r="AA92" s="12">
        <f ca="1">IF(AND(PreliminaryRound!$I40&lt;&gt;"",PreliminaryRound!$K40&lt;&gt;"",PreliminaryRound!$I40&lt;&gt;PreliminaryRound!$K40,OR(AND(PreliminaryRound!$L40="",PreliminaryRound!$N40=""),AND(PreliminaryRound!$L40&lt;&gt;"",PreliminaryRound!$N40&lt;&gt;"",PreliminaryRound!$L40&lt;&gt;PreliminaryRound!$N40)),PreliminaryRound!$F40&lt;&gt;"",PreliminaryRound!$H40&lt;&gt;"",PreliminaryRound!$F40&lt;&gt;PreliminaryRound!$H40),1,0)</f>
        <v>1</v>
      </c>
      <c r="AB92" s="12" t="str">
        <f ca="1">IF(AA92&gt;0,(X92+AG92)&amp;Language!$E$96&amp;(Y92+AH92),"")</f>
        <v>34-50</v>
      </c>
      <c r="AD92" s="143"/>
      <c r="AE92" s="148">
        <f t="shared" ca="1" si="44"/>
        <v>0</v>
      </c>
      <c r="AF92" s="143">
        <f t="shared" ca="1" si="45"/>
        <v>2</v>
      </c>
      <c r="AG92" s="148">
        <f ca="1">IF($AA92=1,PreliminaryRound!$L40,"")</f>
        <v>17</v>
      </c>
      <c r="AH92" s="143">
        <f ca="1">IF($AA92=1,PreliminaryRound!$N40,"")</f>
        <v>25</v>
      </c>
      <c r="AI92" s="690" t="str">
        <f ca="1">IF(AA92&gt;0,AE92&amp;Language!$E$96&amp;AF92,"")</f>
        <v>0-2</v>
      </c>
    </row>
    <row r="93" spans="2:35" s="2" customFormat="1" x14ac:dyDescent="0.2">
      <c r="B93" s="3"/>
      <c r="C93" s="3"/>
      <c r="D93" s="3"/>
      <c r="E93" s="3"/>
      <c r="F93" s="12"/>
      <c r="G93" s="12"/>
      <c r="H93" s="12"/>
      <c r="I93" s="12"/>
      <c r="J93" s="12"/>
      <c r="K93" s="12"/>
      <c r="L93" s="12"/>
      <c r="M93" s="12"/>
      <c r="U93" s="66" t="s">
        <v>44</v>
      </c>
      <c r="V93" s="40" t="str">
        <f ca="1">Planning!$L35</f>
        <v>Kickers Rodendorf</v>
      </c>
      <c r="W93" s="12" t="str">
        <f ca="1">Planning!$N35</f>
        <v>Real Madrid</v>
      </c>
      <c r="X93" s="12">
        <f ca="1">IF($AA93=1,PreliminaryRound!$I41,"")</f>
        <v>14</v>
      </c>
      <c r="Y93" s="35">
        <f ca="1">IF($AA93=1,PreliminaryRound!$K41,"")</f>
        <v>25</v>
      </c>
      <c r="Z93" s="34" t="str">
        <f t="shared" ca="1" si="46"/>
        <v>Kickers RodendorfReal Madrid</v>
      </c>
      <c r="AA93" s="12">
        <f ca="1">IF(AND(PreliminaryRound!$I41&lt;&gt;"",PreliminaryRound!$K41&lt;&gt;"",PreliminaryRound!$I41&lt;&gt;PreliminaryRound!$K41,OR(AND(PreliminaryRound!$L41="",PreliminaryRound!$N41=""),AND(PreliminaryRound!$L41&lt;&gt;"",PreliminaryRound!$N41&lt;&gt;"",PreliminaryRound!$L41&lt;&gt;PreliminaryRound!$N41)),PreliminaryRound!$F41&lt;&gt;"",PreliminaryRound!$H41&lt;&gt;"",PreliminaryRound!$F41&lt;&gt;PreliminaryRound!$H41),1,0)</f>
        <v>1</v>
      </c>
      <c r="AB93" s="12" t="str">
        <f ca="1">IF(AA93&gt;0,(X93+AG93)&amp;Language!$E$96&amp;(Y93+AH93),"")</f>
        <v>39-43</v>
      </c>
      <c r="AD93" s="143"/>
      <c r="AE93" s="148">
        <f t="shared" ca="1" si="44"/>
        <v>1</v>
      </c>
      <c r="AF93" s="143">
        <f t="shared" ca="1" si="45"/>
        <v>1</v>
      </c>
      <c r="AG93" s="148">
        <f ca="1">IF($AA93=1,PreliminaryRound!$L41,"")</f>
        <v>25</v>
      </c>
      <c r="AH93" s="143">
        <f ca="1">IF($AA93=1,PreliminaryRound!$N41,"")</f>
        <v>18</v>
      </c>
      <c r="AI93" s="690" t="str">
        <f ca="1">IF(AA93&gt;0,AE93&amp;Language!$E$96&amp;AF93,"")</f>
        <v>1-1</v>
      </c>
    </row>
    <row r="94" spans="2:35" s="2" customFormat="1" x14ac:dyDescent="0.2">
      <c r="B94" s="3"/>
      <c r="C94" s="3"/>
      <c r="D94" s="3"/>
      <c r="E94" s="3"/>
      <c r="F94" s="12"/>
      <c r="G94" s="12"/>
      <c r="H94" s="12"/>
      <c r="I94" s="12"/>
      <c r="J94" s="12"/>
      <c r="K94" s="12"/>
      <c r="L94" s="12"/>
      <c r="M94" s="12"/>
      <c r="U94" s="66" t="s">
        <v>45</v>
      </c>
      <c r="V94" s="40" t="str">
        <f ca="1">Planning!$L36</f>
        <v/>
      </c>
      <c r="W94" s="12" t="str">
        <f ca="1">Planning!$N36</f>
        <v/>
      </c>
      <c r="X94" s="12" t="str">
        <f ca="1">IF($AA94=1,PreliminaryRound!$I42,"")</f>
        <v/>
      </c>
      <c r="Y94" s="35" t="str">
        <f ca="1">IF($AA94=1,PreliminaryRound!$K42,"")</f>
        <v/>
      </c>
      <c r="Z94" s="34" t="str">
        <f t="shared" ca="1" si="46"/>
        <v/>
      </c>
      <c r="AA94" s="12">
        <f ca="1">IF(AND(PreliminaryRound!$I42&lt;&gt;"",PreliminaryRound!$K42&lt;&gt;"",PreliminaryRound!$I42&lt;&gt;PreliminaryRound!$K42,OR(AND(PreliminaryRound!$L42="",PreliminaryRound!$N42=""),AND(PreliminaryRound!$L42&lt;&gt;"",PreliminaryRound!$N42&lt;&gt;"",PreliminaryRound!$L42&lt;&gt;PreliminaryRound!$N42)),PreliminaryRound!$F42&lt;&gt;"",PreliminaryRound!$H42&lt;&gt;"",PreliminaryRound!$F42&lt;&gt;PreliminaryRound!$H42),1,0)</f>
        <v>0</v>
      </c>
      <c r="AB94" s="12" t="str">
        <f ca="1">IF(AA94&gt;0,(X94+AG94)&amp;Language!$E$96&amp;(Y94+AH94),"")</f>
        <v/>
      </c>
      <c r="AD94" s="143"/>
      <c r="AE94" s="148">
        <f t="shared" ca="1" si="44"/>
        <v>0</v>
      </c>
      <c r="AF94" s="143">
        <f t="shared" ca="1" si="45"/>
        <v>0</v>
      </c>
      <c r="AG94" s="148" t="str">
        <f ca="1">IF($AA94=1,PreliminaryRound!$L42,"")</f>
        <v/>
      </c>
      <c r="AH94" s="143" t="str">
        <f ca="1">IF($AA94=1,PreliminaryRound!$N42,"")</f>
        <v/>
      </c>
      <c r="AI94" s="690" t="str">
        <f ca="1">IF(AA94&gt;0,AE94&amp;Language!$E$96&amp;AF94,"")</f>
        <v/>
      </c>
    </row>
    <row r="95" spans="2:35" s="2" customFormat="1" x14ac:dyDescent="0.2">
      <c r="B95" s="3"/>
      <c r="C95" s="3"/>
      <c r="D95" s="3"/>
      <c r="E95" s="3"/>
      <c r="F95" s="12"/>
      <c r="G95" s="12"/>
      <c r="H95" s="12"/>
      <c r="I95" s="12"/>
      <c r="J95" s="12"/>
      <c r="K95" s="12"/>
      <c r="L95" s="12"/>
      <c r="M95" s="12"/>
      <c r="U95" s="66" t="s">
        <v>46</v>
      </c>
      <c r="V95" s="40" t="str">
        <f ca="1">Planning!$L37</f>
        <v/>
      </c>
      <c r="W95" s="12" t="str">
        <f ca="1">Planning!$N37</f>
        <v/>
      </c>
      <c r="X95" s="12" t="str">
        <f ca="1">IF($AA95=1,PreliminaryRound!$I43,"")</f>
        <v/>
      </c>
      <c r="Y95" s="35" t="str">
        <f ca="1">IF($AA95=1,PreliminaryRound!$K43,"")</f>
        <v/>
      </c>
      <c r="Z95" s="34" t="str">
        <f t="shared" ca="1" si="46"/>
        <v/>
      </c>
      <c r="AA95" s="12">
        <f ca="1">IF(AND(PreliminaryRound!$I43&lt;&gt;"",PreliminaryRound!$K43&lt;&gt;"",PreliminaryRound!$I43&lt;&gt;PreliminaryRound!$K43,OR(AND(PreliminaryRound!$L43="",PreliminaryRound!$N43=""),AND(PreliminaryRound!$L43&lt;&gt;"",PreliminaryRound!$N43&lt;&gt;"",PreliminaryRound!$L43&lt;&gt;PreliminaryRound!$N43)),PreliminaryRound!$F43&lt;&gt;"",PreliminaryRound!$H43&lt;&gt;"",PreliminaryRound!$F43&lt;&gt;PreliminaryRound!$H43),1,0)</f>
        <v>0</v>
      </c>
      <c r="AB95" s="12" t="str">
        <f ca="1">IF(AA95&gt;0,(X95+AG95)&amp;Language!$E$96&amp;(Y95+AH95),"")</f>
        <v/>
      </c>
      <c r="AD95" s="143"/>
      <c r="AE95" s="148">
        <f t="shared" ca="1" si="44"/>
        <v>0</v>
      </c>
      <c r="AF95" s="143">
        <f t="shared" ca="1" si="45"/>
        <v>0</v>
      </c>
      <c r="AG95" s="148" t="str">
        <f ca="1">IF($AA95=1,PreliminaryRound!$L43,"")</f>
        <v/>
      </c>
      <c r="AH95" s="143" t="str">
        <f ca="1">IF($AA95=1,PreliminaryRound!$N43,"")</f>
        <v/>
      </c>
      <c r="AI95" s="690" t="str">
        <f ca="1">IF(AA95&gt;0,AE95&amp;Language!$E$96&amp;AF95,"")</f>
        <v/>
      </c>
    </row>
    <row r="96" spans="2:35" s="2" customFormat="1" x14ac:dyDescent="0.2">
      <c r="B96" s="3"/>
      <c r="C96" s="3"/>
      <c r="D96" s="3"/>
      <c r="E96" s="3"/>
      <c r="F96" s="12"/>
      <c r="G96" s="12"/>
      <c r="H96" s="12"/>
      <c r="I96" s="12"/>
      <c r="J96" s="12"/>
      <c r="K96" s="12"/>
      <c r="L96" s="12"/>
      <c r="M96" s="12"/>
      <c r="U96" s="66" t="s">
        <v>47</v>
      </c>
      <c r="V96" s="40" t="str">
        <f ca="1">Planning!$L38</f>
        <v/>
      </c>
      <c r="W96" s="12" t="str">
        <f ca="1">Planning!$N38</f>
        <v/>
      </c>
      <c r="X96" s="12" t="str">
        <f ca="1">IF($AA96=1,PreliminaryRound!$I44,"")</f>
        <v/>
      </c>
      <c r="Y96" s="35" t="str">
        <f ca="1">IF($AA96=1,PreliminaryRound!$K44,"")</f>
        <v/>
      </c>
      <c r="Z96" s="34" t="str">
        <f t="shared" ca="1" si="46"/>
        <v/>
      </c>
      <c r="AA96" s="12">
        <f ca="1">IF(AND(PreliminaryRound!$I44&lt;&gt;"",PreliminaryRound!$K44&lt;&gt;"",PreliminaryRound!$I44&lt;&gt;PreliminaryRound!$K44,OR(AND(PreliminaryRound!$L44="",PreliminaryRound!$N44=""),AND(PreliminaryRound!$L44&lt;&gt;"",PreliminaryRound!$N44&lt;&gt;"",PreliminaryRound!$L44&lt;&gt;PreliminaryRound!$N44)),PreliminaryRound!$F44&lt;&gt;"",PreliminaryRound!$H44&lt;&gt;"",PreliminaryRound!$F44&lt;&gt;PreliminaryRound!$H44),1,0)</f>
        <v>0</v>
      </c>
      <c r="AB96" s="12" t="str">
        <f ca="1">IF(AA96&gt;0,(X96+AG96)&amp;Language!$E$96&amp;(Y96+AH96),"")</f>
        <v/>
      </c>
      <c r="AD96" s="143"/>
      <c r="AE96" s="148">
        <f t="shared" ca="1" si="44"/>
        <v>0</v>
      </c>
      <c r="AF96" s="143">
        <f t="shared" ca="1" si="45"/>
        <v>0</v>
      </c>
      <c r="AG96" s="148" t="str">
        <f ca="1">IF($AA96=1,PreliminaryRound!$L44,"")</f>
        <v/>
      </c>
      <c r="AH96" s="143" t="str">
        <f ca="1">IF($AA96=1,PreliminaryRound!$N44,"")</f>
        <v/>
      </c>
      <c r="AI96" s="690" t="str">
        <f ca="1">IF(AA96&gt;0,AE96&amp;Language!$E$96&amp;AF96,"")</f>
        <v/>
      </c>
    </row>
    <row r="97" spans="2:35" s="2" customFormat="1" x14ac:dyDescent="0.2">
      <c r="B97" s="3"/>
      <c r="C97" s="3"/>
      <c r="D97" s="3"/>
      <c r="E97" s="3"/>
      <c r="F97" s="12"/>
      <c r="G97" s="12"/>
      <c r="H97" s="12"/>
      <c r="I97" s="12"/>
      <c r="J97" s="12"/>
      <c r="K97" s="12"/>
      <c r="L97" s="12"/>
      <c r="M97" s="12"/>
      <c r="U97" s="66" t="s">
        <v>48</v>
      </c>
      <c r="V97" s="40" t="str">
        <f ca="1">Planning!$L39</f>
        <v/>
      </c>
      <c r="W97" s="12" t="str">
        <f ca="1">Planning!$N39</f>
        <v/>
      </c>
      <c r="X97" s="12" t="str">
        <f ca="1">IF($AA97=1,PreliminaryRound!$I45,"")</f>
        <v/>
      </c>
      <c r="Y97" s="35" t="str">
        <f ca="1">IF($AA97=1,PreliminaryRound!$K45,"")</f>
        <v/>
      </c>
      <c r="Z97" s="34" t="str">
        <f t="shared" ca="1" si="46"/>
        <v/>
      </c>
      <c r="AA97" s="12">
        <f ca="1">IF(AND(PreliminaryRound!$I45&lt;&gt;"",PreliminaryRound!$K45&lt;&gt;"",PreliminaryRound!$I45&lt;&gt;PreliminaryRound!$K45,OR(AND(PreliminaryRound!$L45="",PreliminaryRound!$N45=""),AND(PreliminaryRound!$L45&lt;&gt;"",PreliminaryRound!$N45&lt;&gt;"",PreliminaryRound!$L45&lt;&gt;PreliminaryRound!$N45)),PreliminaryRound!$F45&lt;&gt;"",PreliminaryRound!$H45&lt;&gt;"",PreliminaryRound!$F45&lt;&gt;PreliminaryRound!$H45),1,0)</f>
        <v>0</v>
      </c>
      <c r="AB97" s="12" t="str">
        <f ca="1">IF(AA97&gt;0,(X97+AG97)&amp;Language!$E$96&amp;(Y97+AH97),"")</f>
        <v/>
      </c>
      <c r="AD97" s="143"/>
      <c r="AE97" s="148">
        <f t="shared" ca="1" si="44"/>
        <v>0</v>
      </c>
      <c r="AF97" s="143">
        <f t="shared" ca="1" si="45"/>
        <v>0</v>
      </c>
      <c r="AG97" s="148" t="str">
        <f ca="1">IF($AA97=1,PreliminaryRound!$L45,"")</f>
        <v/>
      </c>
      <c r="AH97" s="143" t="str">
        <f ca="1">IF($AA97=1,PreliminaryRound!$N45,"")</f>
        <v/>
      </c>
      <c r="AI97" s="690" t="str">
        <f ca="1">IF(AA97&gt;0,AE97&amp;Language!$E$96&amp;AF97,"")</f>
        <v/>
      </c>
    </row>
    <row r="98" spans="2:35" s="2" customFormat="1" x14ac:dyDescent="0.2">
      <c r="B98" s="3"/>
      <c r="C98" s="3"/>
      <c r="D98" s="3"/>
      <c r="E98" s="3"/>
      <c r="F98" s="12"/>
      <c r="G98" s="12"/>
      <c r="H98" s="12"/>
      <c r="I98" s="12"/>
      <c r="J98" s="12"/>
      <c r="K98" s="12"/>
      <c r="L98" s="12"/>
      <c r="M98" s="12"/>
      <c r="U98" s="66" t="s">
        <v>49</v>
      </c>
      <c r="V98" s="40" t="str">
        <f ca="1">Planning!$L40</f>
        <v/>
      </c>
      <c r="W98" s="12" t="str">
        <f ca="1">Planning!$N40</f>
        <v/>
      </c>
      <c r="X98" s="12" t="str">
        <f ca="1">IF($AA98=1,PreliminaryRound!$I46,"")</f>
        <v/>
      </c>
      <c r="Y98" s="35" t="str">
        <f ca="1">IF($AA98=1,PreliminaryRound!$K46,"")</f>
        <v/>
      </c>
      <c r="Z98" s="34" t="str">
        <f t="shared" ca="1" si="46"/>
        <v/>
      </c>
      <c r="AA98" s="12">
        <f ca="1">IF(AND(PreliminaryRound!$I46&lt;&gt;"",PreliminaryRound!$K46&lt;&gt;"",PreliminaryRound!$I46&lt;&gt;PreliminaryRound!$K46,OR(AND(PreliminaryRound!$L46="",PreliminaryRound!$N46=""),AND(PreliminaryRound!$L46&lt;&gt;"",PreliminaryRound!$N46&lt;&gt;"",PreliminaryRound!$L46&lt;&gt;PreliminaryRound!$N46)),PreliminaryRound!$F46&lt;&gt;"",PreliminaryRound!$H46&lt;&gt;"",PreliminaryRound!$F46&lt;&gt;PreliminaryRound!$H46),1,0)</f>
        <v>0</v>
      </c>
      <c r="AB98" s="12" t="str">
        <f ca="1">IF(AA98&gt;0,(X98+AG98)&amp;Language!$E$96&amp;(Y98+AH98),"")</f>
        <v/>
      </c>
      <c r="AD98" s="143"/>
      <c r="AE98" s="148">
        <f t="shared" ca="1" si="44"/>
        <v>0</v>
      </c>
      <c r="AF98" s="143">
        <f t="shared" ca="1" si="45"/>
        <v>0</v>
      </c>
      <c r="AG98" s="148" t="str">
        <f ca="1">IF($AA98=1,PreliminaryRound!$L46,"")</f>
        <v/>
      </c>
      <c r="AH98" s="143" t="str">
        <f ca="1">IF($AA98=1,PreliminaryRound!$N46,"")</f>
        <v/>
      </c>
      <c r="AI98" s="690" t="str">
        <f ca="1">IF(AA98&gt;0,AE98&amp;Language!$E$96&amp;AF98,"")</f>
        <v/>
      </c>
    </row>
    <row r="99" spans="2:35" s="2" customFormat="1" x14ac:dyDescent="0.2">
      <c r="B99" s="3"/>
      <c r="C99" s="3"/>
      <c r="D99" s="3"/>
      <c r="E99" s="3"/>
      <c r="F99" s="12"/>
      <c r="G99" s="12"/>
      <c r="H99" s="12"/>
      <c r="I99" s="12"/>
      <c r="J99" s="12"/>
      <c r="K99" s="12"/>
      <c r="L99" s="12"/>
      <c r="M99" s="12"/>
      <c r="U99" s="66" t="s">
        <v>50</v>
      </c>
      <c r="V99" s="40" t="str">
        <f ca="1">Planning!$L41</f>
        <v/>
      </c>
      <c r="W99" s="12" t="str">
        <f ca="1">Planning!$N41</f>
        <v/>
      </c>
      <c r="X99" s="12" t="str">
        <f ca="1">IF($AA99=1,PreliminaryRound!$I47,"")</f>
        <v/>
      </c>
      <c r="Y99" s="35" t="str">
        <f ca="1">IF($AA99=1,PreliminaryRound!$K47,"")</f>
        <v/>
      </c>
      <c r="Z99" s="34" t="str">
        <f t="shared" ca="1" si="46"/>
        <v/>
      </c>
      <c r="AA99" s="12">
        <f ca="1">IF(AND(PreliminaryRound!$I47&lt;&gt;"",PreliminaryRound!$K47&lt;&gt;"",PreliminaryRound!$I47&lt;&gt;PreliminaryRound!$K47,OR(AND(PreliminaryRound!$L47="",PreliminaryRound!$N47=""),AND(PreliminaryRound!$L47&lt;&gt;"",PreliminaryRound!$N47&lt;&gt;"",PreliminaryRound!$L47&lt;&gt;PreliminaryRound!$N47)),PreliminaryRound!$F47&lt;&gt;"",PreliminaryRound!$H47&lt;&gt;"",PreliminaryRound!$F47&lt;&gt;PreliminaryRound!$H47),1,0)</f>
        <v>0</v>
      </c>
      <c r="AB99" s="12" t="str">
        <f ca="1">IF(AA99&gt;0,(X99+AG99)&amp;Language!$E$96&amp;(Y99+AH99),"")</f>
        <v/>
      </c>
      <c r="AD99" s="143"/>
      <c r="AE99" s="148">
        <f t="shared" ca="1" si="44"/>
        <v>0</v>
      </c>
      <c r="AF99" s="143">
        <f t="shared" ca="1" si="45"/>
        <v>0</v>
      </c>
      <c r="AG99" s="148" t="str">
        <f ca="1">IF($AA99=1,PreliminaryRound!$L47,"")</f>
        <v/>
      </c>
      <c r="AH99" s="143" t="str">
        <f ca="1">IF($AA99=1,PreliminaryRound!$N47,"")</f>
        <v/>
      </c>
      <c r="AI99" s="690" t="str">
        <f ca="1">IF(AA99&gt;0,AE99&amp;Language!$E$96&amp;AF99,"")</f>
        <v/>
      </c>
    </row>
    <row r="100" spans="2:35" s="2" customFormat="1" x14ac:dyDescent="0.2">
      <c r="B100" s="3"/>
      <c r="C100" s="3"/>
      <c r="D100" s="3"/>
      <c r="E100" s="3"/>
      <c r="F100" s="12"/>
      <c r="G100" s="12"/>
      <c r="H100" s="12"/>
      <c r="I100" s="12"/>
      <c r="J100" s="12"/>
      <c r="K100" s="12"/>
      <c r="L100" s="12"/>
      <c r="M100" s="12"/>
      <c r="U100" s="66" t="s">
        <v>58</v>
      </c>
      <c r="V100" s="40" t="str">
        <f ca="1">Planning!$L42</f>
        <v/>
      </c>
      <c r="W100" s="12" t="str">
        <f ca="1">Planning!$N42</f>
        <v/>
      </c>
      <c r="X100" s="12" t="str">
        <f ca="1">IF($AA100=1,PreliminaryRound!$I48,"")</f>
        <v/>
      </c>
      <c r="Y100" s="35" t="str">
        <f ca="1">IF($AA100=1,PreliminaryRound!$K48,"")</f>
        <v/>
      </c>
      <c r="Z100" s="34" t="str">
        <f t="shared" ca="1" si="46"/>
        <v/>
      </c>
      <c r="AA100" s="12">
        <f ca="1">IF(AND(PreliminaryRound!$I48&lt;&gt;"",PreliminaryRound!$K48&lt;&gt;"",PreliminaryRound!$I48&lt;&gt;PreliminaryRound!$K48,OR(AND(PreliminaryRound!$L48="",PreliminaryRound!$N48=""),AND(PreliminaryRound!$L48&lt;&gt;"",PreliminaryRound!$N48&lt;&gt;"",PreliminaryRound!$L48&lt;&gt;PreliminaryRound!$N48)),PreliminaryRound!$F48&lt;&gt;"",PreliminaryRound!$H48&lt;&gt;"",PreliminaryRound!$F48&lt;&gt;PreliminaryRound!$H48),1,0)</f>
        <v>0</v>
      </c>
      <c r="AB100" s="12" t="str">
        <f ca="1">IF(AA100&gt;0,(X100+AG100)&amp;Language!$E$96&amp;(Y100+AH100),"")</f>
        <v/>
      </c>
      <c r="AD100" s="143"/>
      <c r="AE100" s="148">
        <f t="shared" ca="1" si="44"/>
        <v>0</v>
      </c>
      <c r="AF100" s="143">
        <f t="shared" ca="1" si="45"/>
        <v>0</v>
      </c>
      <c r="AG100" s="148" t="str">
        <f ca="1">IF($AA100=1,PreliminaryRound!$L48,"")</f>
        <v/>
      </c>
      <c r="AH100" s="143" t="str">
        <f ca="1">IF($AA100=1,PreliminaryRound!$N48,"")</f>
        <v/>
      </c>
      <c r="AI100" s="690" t="str">
        <f ca="1">IF(AA100&gt;0,AE100&amp;Language!$E$96&amp;AF100,"")</f>
        <v/>
      </c>
    </row>
    <row r="101" spans="2:35" s="2" customFormat="1" x14ac:dyDescent="0.2">
      <c r="B101" s="3"/>
      <c r="C101" s="3"/>
      <c r="D101" s="3"/>
      <c r="E101" s="3"/>
      <c r="F101" s="12"/>
      <c r="G101" s="12"/>
      <c r="H101" s="12"/>
      <c r="I101" s="12"/>
      <c r="J101" s="12"/>
      <c r="K101" s="12"/>
      <c r="L101" s="12"/>
      <c r="M101" s="12"/>
      <c r="U101" s="66" t="s">
        <v>59</v>
      </c>
      <c r="V101" s="40" t="str">
        <f ca="1">Planning!$L43</f>
        <v/>
      </c>
      <c r="W101" s="12" t="str">
        <f ca="1">Planning!$N43</f>
        <v/>
      </c>
      <c r="X101" s="12" t="str">
        <f ca="1">IF($AA101=1,PreliminaryRound!$I49,"")</f>
        <v/>
      </c>
      <c r="Y101" s="35" t="str">
        <f ca="1">IF($AA101=1,PreliminaryRound!$K49,"")</f>
        <v/>
      </c>
      <c r="Z101" s="34" t="str">
        <f t="shared" ca="1" si="46"/>
        <v/>
      </c>
      <c r="AA101" s="12">
        <f ca="1">IF(AND(PreliminaryRound!$I49&lt;&gt;"",PreliminaryRound!$K49&lt;&gt;"",PreliminaryRound!$I49&lt;&gt;PreliminaryRound!$K49,OR(AND(PreliminaryRound!$L49="",PreliminaryRound!$N49=""),AND(PreliminaryRound!$L49&lt;&gt;"",PreliminaryRound!$N49&lt;&gt;"",PreliminaryRound!$L49&lt;&gt;PreliminaryRound!$N49)),PreliminaryRound!$F49&lt;&gt;"",PreliminaryRound!$H49&lt;&gt;"",PreliminaryRound!$F49&lt;&gt;PreliminaryRound!$H49),1,0)</f>
        <v>0</v>
      </c>
      <c r="AB101" s="12" t="str">
        <f ca="1">IF(AA101&gt;0,(X101+AG101)&amp;Language!$E$96&amp;(Y101+AH101),"")</f>
        <v/>
      </c>
      <c r="AD101" s="143"/>
      <c r="AE101" s="148">
        <f t="shared" ca="1" si="44"/>
        <v>0</v>
      </c>
      <c r="AF101" s="143">
        <f t="shared" ca="1" si="45"/>
        <v>0</v>
      </c>
      <c r="AG101" s="148" t="str">
        <f ca="1">IF($AA101=1,PreliminaryRound!$L49,"")</f>
        <v/>
      </c>
      <c r="AH101" s="143" t="str">
        <f ca="1">IF($AA101=1,PreliminaryRound!$N49,"")</f>
        <v/>
      </c>
      <c r="AI101" s="690" t="str">
        <f ca="1">IF(AA101&gt;0,AE101&amp;Language!$E$96&amp;AF101,"")</f>
        <v/>
      </c>
    </row>
    <row r="102" spans="2:35" s="2" customFormat="1" x14ac:dyDescent="0.2">
      <c r="B102" s="3"/>
      <c r="C102" s="3"/>
      <c r="D102" s="3"/>
      <c r="E102" s="3"/>
      <c r="F102" s="12"/>
      <c r="G102" s="12"/>
      <c r="H102" s="12"/>
      <c r="I102" s="12"/>
      <c r="J102" s="12"/>
      <c r="K102" s="12"/>
      <c r="L102" s="12"/>
      <c r="M102" s="12"/>
      <c r="U102" s="66" t="s">
        <v>60</v>
      </c>
      <c r="V102" s="40" t="str">
        <f ca="1">Planning!$L44</f>
        <v/>
      </c>
      <c r="W102" s="12" t="str">
        <f ca="1">Planning!$N44</f>
        <v/>
      </c>
      <c r="X102" s="12" t="str">
        <f ca="1">IF($AA102=1,PreliminaryRound!$I50,"")</f>
        <v/>
      </c>
      <c r="Y102" s="35" t="str">
        <f ca="1">IF($AA102=1,PreliminaryRound!$K50,"")</f>
        <v/>
      </c>
      <c r="Z102" s="34" t="str">
        <f t="shared" ca="1" si="46"/>
        <v/>
      </c>
      <c r="AA102" s="12">
        <f ca="1">IF(AND(PreliminaryRound!$I50&lt;&gt;"",PreliminaryRound!$K50&lt;&gt;"",PreliminaryRound!$I50&lt;&gt;PreliminaryRound!$K50,OR(AND(PreliminaryRound!$L50="",PreliminaryRound!$N50=""),AND(PreliminaryRound!$L50&lt;&gt;"",PreliminaryRound!$N50&lt;&gt;"",PreliminaryRound!$L50&lt;&gt;PreliminaryRound!$N50)),PreliminaryRound!$F50&lt;&gt;"",PreliminaryRound!$H50&lt;&gt;"",PreliminaryRound!$F50&lt;&gt;PreliminaryRound!$H50),1,0)</f>
        <v>0</v>
      </c>
      <c r="AB102" s="12" t="str">
        <f ca="1">IF(AA102&gt;0,(X102+AG102)&amp;Language!$E$96&amp;(Y102+AH102),"")</f>
        <v/>
      </c>
      <c r="AD102" s="143"/>
      <c r="AE102" s="148">
        <f t="shared" ca="1" si="44"/>
        <v>0</v>
      </c>
      <c r="AF102" s="143">
        <f t="shared" ca="1" si="45"/>
        <v>0</v>
      </c>
      <c r="AG102" s="148" t="str">
        <f ca="1">IF($AA102=1,PreliminaryRound!$L50,"")</f>
        <v/>
      </c>
      <c r="AH102" s="143" t="str">
        <f ca="1">IF($AA102=1,PreliminaryRound!$N50,"")</f>
        <v/>
      </c>
      <c r="AI102" s="690" t="str">
        <f ca="1">IF(AA102&gt;0,AE102&amp;Language!$E$96&amp;AF102,"")</f>
        <v/>
      </c>
    </row>
    <row r="103" spans="2:35" s="2" customFormat="1" x14ac:dyDescent="0.2">
      <c r="B103" s="3"/>
      <c r="C103" s="3"/>
      <c r="D103" s="3"/>
      <c r="E103" s="3"/>
      <c r="F103" s="12"/>
      <c r="G103" s="12"/>
      <c r="H103" s="12"/>
      <c r="I103" s="12"/>
      <c r="J103" s="12"/>
      <c r="K103" s="12"/>
      <c r="L103" s="12"/>
      <c r="M103" s="12"/>
      <c r="U103" s="66" t="s">
        <v>61</v>
      </c>
      <c r="V103" s="40" t="str">
        <f ca="1">Planning!$L45</f>
        <v/>
      </c>
      <c r="W103" s="12" t="str">
        <f ca="1">Planning!$N45</f>
        <v/>
      </c>
      <c r="X103" s="12" t="str">
        <f ca="1">IF($AA103=1,PreliminaryRound!$I51,"")</f>
        <v/>
      </c>
      <c r="Y103" s="35" t="str">
        <f ca="1">IF($AA103=1,PreliminaryRound!$K51,"")</f>
        <v/>
      </c>
      <c r="Z103" s="34" t="str">
        <f t="shared" ca="1" si="46"/>
        <v/>
      </c>
      <c r="AA103" s="12">
        <f ca="1">IF(AND(PreliminaryRound!$I51&lt;&gt;"",PreliminaryRound!$K51&lt;&gt;"",PreliminaryRound!$I51&lt;&gt;PreliminaryRound!$K51,OR(AND(PreliminaryRound!$L51="",PreliminaryRound!$N51=""),AND(PreliminaryRound!$L51&lt;&gt;"",PreliminaryRound!$N51&lt;&gt;"",PreliminaryRound!$L51&lt;&gt;PreliminaryRound!$N51)),PreliminaryRound!$F51&lt;&gt;"",PreliminaryRound!$H51&lt;&gt;"",PreliminaryRound!$F51&lt;&gt;PreliminaryRound!$H51),1,0)</f>
        <v>0</v>
      </c>
      <c r="AB103" s="12" t="str">
        <f ca="1">IF(AA103&gt;0,(X103+AG103)&amp;Language!$E$96&amp;(Y103+AH103),"")</f>
        <v/>
      </c>
      <c r="AD103" s="143"/>
      <c r="AE103" s="148">
        <f t="shared" ca="1" si="44"/>
        <v>0</v>
      </c>
      <c r="AF103" s="143">
        <f t="shared" ca="1" si="45"/>
        <v>0</v>
      </c>
      <c r="AG103" s="148" t="str">
        <f ca="1">IF($AA103=1,PreliminaryRound!$L51,"")</f>
        <v/>
      </c>
      <c r="AH103" s="143" t="str">
        <f ca="1">IF($AA103=1,PreliminaryRound!$N51,"")</f>
        <v/>
      </c>
      <c r="AI103" s="690" t="str">
        <f ca="1">IF(AA103&gt;0,AE103&amp;Language!$E$96&amp;AF103,"")</f>
        <v/>
      </c>
    </row>
    <row r="104" spans="2:35" s="2" customFormat="1" x14ac:dyDescent="0.2">
      <c r="B104" s="3"/>
      <c r="C104" s="3"/>
      <c r="D104" s="3"/>
      <c r="E104" s="3"/>
      <c r="F104" s="12"/>
      <c r="G104" s="12"/>
      <c r="H104" s="12"/>
      <c r="I104" s="12"/>
      <c r="J104" s="12"/>
      <c r="K104" s="12"/>
      <c r="L104" s="12"/>
      <c r="M104" s="12"/>
      <c r="U104" s="66" t="s">
        <v>62</v>
      </c>
      <c r="V104" s="40" t="str">
        <f ca="1">Planning!$L46</f>
        <v/>
      </c>
      <c r="W104" s="12" t="str">
        <f ca="1">Planning!$N46</f>
        <v/>
      </c>
      <c r="X104" s="12" t="str">
        <f ca="1">IF($AA104=1,PreliminaryRound!$I52,"")</f>
        <v/>
      </c>
      <c r="Y104" s="35" t="str">
        <f ca="1">IF($AA104=1,PreliminaryRound!$K52,"")</f>
        <v/>
      </c>
      <c r="Z104" s="34" t="str">
        <f t="shared" ca="1" si="46"/>
        <v/>
      </c>
      <c r="AA104" s="12">
        <f ca="1">IF(AND(PreliminaryRound!$I52&lt;&gt;"",PreliminaryRound!$K52&lt;&gt;"",PreliminaryRound!$I52&lt;&gt;PreliminaryRound!$K52,OR(AND(PreliminaryRound!$L52="",PreliminaryRound!$N52=""),AND(PreliminaryRound!$L52&lt;&gt;"",PreliminaryRound!$N52&lt;&gt;"",PreliminaryRound!$L52&lt;&gt;PreliminaryRound!$N52)),PreliminaryRound!$F52&lt;&gt;"",PreliminaryRound!$H52&lt;&gt;"",PreliminaryRound!$F52&lt;&gt;PreliminaryRound!$H52),1,0)</f>
        <v>0</v>
      </c>
      <c r="AB104" s="12" t="str">
        <f ca="1">IF(AA104&gt;0,(X104+AG104)&amp;Language!$E$96&amp;(Y104+AH104),"")</f>
        <v/>
      </c>
      <c r="AD104" s="143"/>
      <c r="AE104" s="148">
        <f t="shared" ca="1" si="44"/>
        <v>0</v>
      </c>
      <c r="AF104" s="143">
        <f t="shared" ca="1" si="45"/>
        <v>0</v>
      </c>
      <c r="AG104" s="148" t="str">
        <f ca="1">IF($AA104=1,PreliminaryRound!$L52,"")</f>
        <v/>
      </c>
      <c r="AH104" s="143" t="str">
        <f ca="1">IF($AA104=1,PreliminaryRound!$N52,"")</f>
        <v/>
      </c>
      <c r="AI104" s="690" t="str">
        <f ca="1">IF(AA104&gt;0,AE104&amp;Language!$E$96&amp;AF104,"")</f>
        <v/>
      </c>
    </row>
    <row r="105" spans="2:35" s="2" customFormat="1" x14ac:dyDescent="0.2">
      <c r="B105" s="3"/>
      <c r="C105" s="3"/>
      <c r="D105" s="3"/>
      <c r="E105" s="3"/>
      <c r="F105" s="12"/>
      <c r="G105" s="12"/>
      <c r="H105" s="12"/>
      <c r="I105" s="12"/>
      <c r="J105" s="12"/>
      <c r="K105" s="12"/>
      <c r="L105" s="12"/>
      <c r="M105" s="12"/>
      <c r="U105" s="66" t="s">
        <v>63</v>
      </c>
      <c r="V105" s="40" t="str">
        <f ca="1">Planning!$L47</f>
        <v/>
      </c>
      <c r="W105" s="12" t="str">
        <f ca="1">Planning!$N47</f>
        <v/>
      </c>
      <c r="X105" s="12" t="str">
        <f ca="1">IF($AA105=1,PreliminaryRound!$I53,"")</f>
        <v/>
      </c>
      <c r="Y105" s="35" t="str">
        <f ca="1">IF($AA105=1,PreliminaryRound!$K53,"")</f>
        <v/>
      </c>
      <c r="Z105" s="34" t="str">
        <f t="shared" ca="1" si="46"/>
        <v/>
      </c>
      <c r="AA105" s="12">
        <f ca="1">IF(AND(PreliminaryRound!$I53&lt;&gt;"",PreliminaryRound!$K53&lt;&gt;"",PreliminaryRound!$I53&lt;&gt;PreliminaryRound!$K53,OR(AND(PreliminaryRound!$L53="",PreliminaryRound!$N53=""),AND(PreliminaryRound!$L53&lt;&gt;"",PreliminaryRound!$N53&lt;&gt;"",PreliminaryRound!$L53&lt;&gt;PreliminaryRound!$N53)),PreliminaryRound!$F53&lt;&gt;"",PreliminaryRound!$H53&lt;&gt;"",PreliminaryRound!$F53&lt;&gt;PreliminaryRound!$H53),1,0)</f>
        <v>0</v>
      </c>
      <c r="AB105" s="12" t="str">
        <f ca="1">IF(AA105&gt;0,(X105+AG105)&amp;Language!$E$96&amp;(Y105+AH105),"")</f>
        <v/>
      </c>
      <c r="AD105" s="143"/>
      <c r="AE105" s="148">
        <f t="shared" ca="1" si="44"/>
        <v>0</v>
      </c>
      <c r="AF105" s="143">
        <f t="shared" ca="1" si="45"/>
        <v>0</v>
      </c>
      <c r="AG105" s="148" t="str">
        <f ca="1">IF($AA105=1,PreliminaryRound!$L53,"")</f>
        <v/>
      </c>
      <c r="AH105" s="143" t="str">
        <f ca="1">IF($AA105=1,PreliminaryRound!$N53,"")</f>
        <v/>
      </c>
      <c r="AI105" s="690" t="str">
        <f ca="1">IF(AA105&gt;0,AE105&amp;Language!$E$96&amp;AF105,"")</f>
        <v/>
      </c>
    </row>
    <row r="106" spans="2:35" s="2" customFormat="1" x14ac:dyDescent="0.2">
      <c r="B106" s="3"/>
      <c r="C106" s="3"/>
      <c r="D106" s="3"/>
      <c r="E106" s="3"/>
      <c r="F106" s="12"/>
      <c r="G106" s="12"/>
      <c r="H106" s="12"/>
      <c r="I106" s="12"/>
      <c r="J106" s="12"/>
      <c r="K106" s="12"/>
      <c r="L106" s="12"/>
      <c r="M106" s="12"/>
      <c r="U106" s="66" t="s">
        <v>64</v>
      </c>
      <c r="V106" s="40" t="str">
        <f ca="1">Planning!$L48</f>
        <v/>
      </c>
      <c r="W106" s="12" t="str">
        <f ca="1">Planning!$N48</f>
        <v/>
      </c>
      <c r="X106" s="12" t="str">
        <f ca="1">IF($AA106=1,PreliminaryRound!$I54,"")</f>
        <v/>
      </c>
      <c r="Y106" s="35" t="str">
        <f ca="1">IF($AA106=1,PreliminaryRound!$K54,"")</f>
        <v/>
      </c>
      <c r="Z106" s="34" t="str">
        <f t="shared" ca="1" si="46"/>
        <v/>
      </c>
      <c r="AA106" s="12">
        <f ca="1">IF(AND(PreliminaryRound!$I54&lt;&gt;"",PreliminaryRound!$K54&lt;&gt;"",PreliminaryRound!$I54&lt;&gt;PreliminaryRound!$K54,OR(AND(PreliminaryRound!$L54="",PreliminaryRound!$N54=""),AND(PreliminaryRound!$L54&lt;&gt;"",PreliminaryRound!$N54&lt;&gt;"",PreliminaryRound!$L54&lt;&gt;PreliminaryRound!$N54)),PreliminaryRound!$F54&lt;&gt;"",PreliminaryRound!$H54&lt;&gt;"",PreliminaryRound!$F54&lt;&gt;PreliminaryRound!$H54),1,0)</f>
        <v>0</v>
      </c>
      <c r="AB106" s="12" t="str">
        <f ca="1">IF(AA106&gt;0,(X106+AG106)&amp;Language!$E$96&amp;(Y106+AH106),"")</f>
        <v/>
      </c>
      <c r="AD106" s="143"/>
      <c r="AE106" s="148">
        <f t="shared" ca="1" si="44"/>
        <v>0</v>
      </c>
      <c r="AF106" s="143">
        <f t="shared" ca="1" si="45"/>
        <v>0</v>
      </c>
      <c r="AG106" s="148" t="str">
        <f ca="1">IF($AA106=1,PreliminaryRound!$L54,"")</f>
        <v/>
      </c>
      <c r="AH106" s="143" t="str">
        <f ca="1">IF($AA106=1,PreliminaryRound!$N54,"")</f>
        <v/>
      </c>
      <c r="AI106" s="690" t="str">
        <f ca="1">IF(AA106&gt;0,AE106&amp;Language!$E$96&amp;AF106,"")</f>
        <v/>
      </c>
    </row>
    <row r="107" spans="2:35" s="2" customFormat="1" x14ac:dyDescent="0.2">
      <c r="B107" s="3"/>
      <c r="C107" s="3"/>
      <c r="D107" s="3"/>
      <c r="E107" s="3"/>
      <c r="F107" s="12"/>
      <c r="G107" s="12"/>
      <c r="H107" s="12"/>
      <c r="I107" s="12"/>
      <c r="J107" s="12"/>
      <c r="K107" s="12"/>
      <c r="L107" s="12"/>
      <c r="M107" s="12"/>
      <c r="U107" s="66" t="s">
        <v>65</v>
      </c>
      <c r="V107" s="40" t="str">
        <f ca="1">Planning!$L49</f>
        <v/>
      </c>
      <c r="W107" s="12" t="str">
        <f ca="1">Planning!$N49</f>
        <v/>
      </c>
      <c r="X107" s="12" t="str">
        <f ca="1">IF($AA107=1,PreliminaryRound!$I55,"")</f>
        <v/>
      </c>
      <c r="Y107" s="35" t="str">
        <f ca="1">IF($AA107=1,PreliminaryRound!$K55,"")</f>
        <v/>
      </c>
      <c r="Z107" s="34" t="str">
        <f t="shared" ca="1" si="46"/>
        <v/>
      </c>
      <c r="AA107" s="12">
        <f ca="1">IF(AND(PreliminaryRound!$I55&lt;&gt;"",PreliminaryRound!$K55&lt;&gt;"",PreliminaryRound!$I55&lt;&gt;PreliminaryRound!$K55,OR(AND(PreliminaryRound!$L55="",PreliminaryRound!$N55=""),AND(PreliminaryRound!$L55&lt;&gt;"",PreliminaryRound!$N55&lt;&gt;"",PreliminaryRound!$L55&lt;&gt;PreliminaryRound!$N55)),PreliminaryRound!$F55&lt;&gt;"",PreliminaryRound!$H55&lt;&gt;"",PreliminaryRound!$F55&lt;&gt;PreliminaryRound!$H55),1,0)</f>
        <v>0</v>
      </c>
      <c r="AB107" s="12" t="str">
        <f ca="1">IF(AA107&gt;0,(X107+AG107)&amp;Language!$E$96&amp;(Y107+AH107),"")</f>
        <v/>
      </c>
      <c r="AD107" s="143"/>
      <c r="AE107" s="148">
        <f t="shared" ca="1" si="44"/>
        <v>0</v>
      </c>
      <c r="AF107" s="143">
        <f t="shared" ca="1" si="45"/>
        <v>0</v>
      </c>
      <c r="AG107" s="148" t="str">
        <f ca="1">IF($AA107=1,PreliminaryRound!$L55,"")</f>
        <v/>
      </c>
      <c r="AH107" s="143" t="str">
        <f ca="1">IF($AA107=1,PreliminaryRound!$N55,"")</f>
        <v/>
      </c>
      <c r="AI107" s="690" t="str">
        <f ca="1">IF(AA107&gt;0,AE107&amp;Language!$E$96&amp;AF107,"")</f>
        <v/>
      </c>
    </row>
    <row r="108" spans="2:35" s="2" customFormat="1" ht="12.75" thickBot="1" x14ac:dyDescent="0.25">
      <c r="B108" s="3"/>
      <c r="C108" s="3"/>
      <c r="D108" s="3"/>
      <c r="E108" s="3"/>
      <c r="F108" s="12"/>
      <c r="G108" s="12"/>
      <c r="H108" s="12"/>
      <c r="I108" s="12"/>
      <c r="J108" s="12"/>
      <c r="K108" s="12"/>
      <c r="L108" s="12"/>
      <c r="M108" s="12"/>
      <c r="U108" s="66" t="s">
        <v>66</v>
      </c>
      <c r="V108" s="40" t="str">
        <f ca="1">Planning!$L50</f>
        <v/>
      </c>
      <c r="W108" s="12" t="str">
        <f ca="1">Planning!$N50</f>
        <v/>
      </c>
      <c r="X108" s="12" t="str">
        <f ca="1">IF($AA108=1,PreliminaryRound!$I56,"")</f>
        <v/>
      </c>
      <c r="Y108" s="35" t="str">
        <f ca="1">IF($AA108=1,PreliminaryRound!$K56,"")</f>
        <v/>
      </c>
      <c r="Z108" s="34" t="str">
        <f t="shared" ca="1" si="46"/>
        <v/>
      </c>
      <c r="AA108" s="12">
        <f ca="1">IF(AND(PreliminaryRound!$I56&lt;&gt;"",PreliminaryRound!$K56&lt;&gt;"",PreliminaryRound!$I56&lt;&gt;PreliminaryRound!$K56,OR(AND(PreliminaryRound!$L56="",PreliminaryRound!$N56=""),AND(PreliminaryRound!$L56&lt;&gt;"",PreliminaryRound!$N56&lt;&gt;"",PreliminaryRound!$L56&lt;&gt;PreliminaryRound!$N56)),PreliminaryRound!$F56&lt;&gt;"",PreliminaryRound!$H56&lt;&gt;"",PreliminaryRound!$F56&lt;&gt;PreliminaryRound!$H56),1,0)</f>
        <v>0</v>
      </c>
      <c r="AB108" s="12" t="str">
        <f ca="1">IF(AA108&gt;0,(X108+AG108)&amp;Language!$E$96&amp;(Y108+AH108),"")</f>
        <v/>
      </c>
      <c r="AD108" s="143"/>
      <c r="AE108" s="148">
        <f t="shared" ca="1" si="44"/>
        <v>0</v>
      </c>
      <c r="AF108" s="143">
        <f t="shared" ca="1" si="45"/>
        <v>0</v>
      </c>
      <c r="AG108" s="148" t="str">
        <f ca="1">IF($AA108=1,PreliminaryRound!$L56,"")</f>
        <v/>
      </c>
      <c r="AH108" s="143" t="str">
        <f ca="1">IF($AA108=1,PreliminaryRound!$N56,"")</f>
        <v/>
      </c>
      <c r="AI108" s="143" t="str">
        <f ca="1">IF(AA108&gt;0,AE108&amp;Language!$E$96&amp;AF108,"")</f>
        <v/>
      </c>
    </row>
    <row r="109" spans="2:35" s="2" customFormat="1" ht="12.75" thickTop="1" x14ac:dyDescent="0.2">
      <c r="B109" s="3"/>
      <c r="C109" s="3"/>
      <c r="D109" s="3"/>
      <c r="E109" s="3"/>
      <c r="F109" s="12"/>
      <c r="G109" s="12"/>
      <c r="H109" s="12"/>
      <c r="I109" s="12"/>
      <c r="J109" s="12"/>
      <c r="K109" s="12"/>
      <c r="L109" s="12"/>
      <c r="M109" s="12"/>
      <c r="U109" s="304" t="s">
        <v>67</v>
      </c>
      <c r="V109" s="305" t="str">
        <f>""</f>
        <v/>
      </c>
      <c r="W109" s="306" t="str">
        <f>""</f>
        <v/>
      </c>
      <c r="X109" s="306" t="str">
        <f>""</f>
        <v/>
      </c>
      <c r="Y109" s="307" t="str">
        <f>""</f>
        <v/>
      </c>
      <c r="Z109" s="308" t="str">
        <f>""</f>
        <v/>
      </c>
      <c r="AA109" s="306">
        <v>0</v>
      </c>
      <c r="AB109" s="306" t="str">
        <f>""</f>
        <v/>
      </c>
      <c r="AC109" s="309"/>
      <c r="AD109" s="310"/>
      <c r="AE109" s="311"/>
      <c r="AF109" s="310"/>
      <c r="AG109" s="311" t="str">
        <f>""</f>
        <v/>
      </c>
      <c r="AH109" s="310" t="str">
        <f>""</f>
        <v/>
      </c>
      <c r="AI109" s="310"/>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148" t="str">
        <f>""</f>
        <v/>
      </c>
      <c r="AH110" s="143" t="str">
        <f>""</f>
        <v/>
      </c>
      <c r="AI110" s="690"/>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148" t="str">
        <f>""</f>
        <v/>
      </c>
      <c r="AH111" s="143" t="str">
        <f>""</f>
        <v/>
      </c>
      <c r="AI111" s="690"/>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148" t="str">
        <f>""</f>
        <v/>
      </c>
      <c r="AH112" s="143" t="str">
        <f>""</f>
        <v/>
      </c>
      <c r="AI112" s="690"/>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148" t="str">
        <f>""</f>
        <v/>
      </c>
      <c r="AH113" s="143" t="str">
        <f>""</f>
        <v/>
      </c>
      <c r="AI113" s="690"/>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148" t="str">
        <f>""</f>
        <v/>
      </c>
      <c r="AH114" s="143" t="str">
        <f>""</f>
        <v/>
      </c>
      <c r="AI114" s="690"/>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148" t="str">
        <f>""</f>
        <v/>
      </c>
      <c r="AH115" s="143" t="str">
        <f>""</f>
        <v/>
      </c>
      <c r="AI115" s="690"/>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148" t="str">
        <f>""</f>
        <v/>
      </c>
      <c r="AH116" s="143" t="str">
        <f>""</f>
        <v/>
      </c>
      <c r="AI116" s="690"/>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148" t="str">
        <f>""</f>
        <v/>
      </c>
      <c r="AH117" s="143" t="str">
        <f>""</f>
        <v/>
      </c>
      <c r="AI117" s="690"/>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148" t="str">
        <f>""</f>
        <v/>
      </c>
      <c r="AH118" s="143" t="str">
        <f>""</f>
        <v/>
      </c>
      <c r="AI118" s="690"/>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148" t="str">
        <f>""</f>
        <v/>
      </c>
      <c r="AH119" s="143" t="str">
        <f>""</f>
        <v/>
      </c>
      <c r="AI119" s="690"/>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148" t="str">
        <f>""</f>
        <v/>
      </c>
      <c r="AH120" s="143" t="str">
        <f>""</f>
        <v/>
      </c>
      <c r="AI120" s="690"/>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148" t="str">
        <f>""</f>
        <v/>
      </c>
      <c r="AH121" s="143" t="str">
        <f>""</f>
        <v/>
      </c>
      <c r="AI121" s="690"/>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148" t="str">
        <f>""</f>
        <v/>
      </c>
      <c r="AH122" s="143" t="str">
        <f>""</f>
        <v/>
      </c>
      <c r="AI122" s="690"/>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148" t="str">
        <f>""</f>
        <v/>
      </c>
      <c r="AH123" s="143" t="str">
        <f>""</f>
        <v/>
      </c>
      <c r="AI123" s="690"/>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148" t="str">
        <f>""</f>
        <v/>
      </c>
      <c r="AH124" s="143" t="str">
        <f>""</f>
        <v/>
      </c>
      <c r="AI124" s="690"/>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148" t="str">
        <f>""</f>
        <v/>
      </c>
      <c r="AH125" s="143" t="str">
        <f>""</f>
        <v/>
      </c>
      <c r="AI125" s="690"/>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148" t="str">
        <f>""</f>
        <v/>
      </c>
      <c r="AH126" s="143" t="str">
        <f>""</f>
        <v/>
      </c>
      <c r="AI126" s="690"/>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148" t="str">
        <f>""</f>
        <v/>
      </c>
      <c r="AH127" s="143" t="str">
        <f>""</f>
        <v/>
      </c>
      <c r="AI127" s="690"/>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148" t="str">
        <f>""</f>
        <v/>
      </c>
      <c r="AH128" s="143" t="str">
        <f>""</f>
        <v/>
      </c>
      <c r="AI128" s="690"/>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148" t="str">
        <f>""</f>
        <v/>
      </c>
      <c r="AH129" s="143" t="str">
        <f>""</f>
        <v/>
      </c>
      <c r="AI129" s="690"/>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148" t="str">
        <f>""</f>
        <v/>
      </c>
      <c r="AH130" s="143" t="str">
        <f>""</f>
        <v/>
      </c>
      <c r="AI130" s="690"/>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148" t="str">
        <f>""</f>
        <v/>
      </c>
      <c r="AH131" s="143" t="str">
        <f>""</f>
        <v/>
      </c>
      <c r="AI131" s="690"/>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148" t="str">
        <f>""</f>
        <v/>
      </c>
      <c r="AH132" s="143" t="str">
        <f>""</f>
        <v/>
      </c>
      <c r="AI132" s="690"/>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148" t="str">
        <f>""</f>
        <v/>
      </c>
      <c r="AH133" s="143" t="str">
        <f>""</f>
        <v/>
      </c>
      <c r="AI133" s="690"/>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148" t="str">
        <f>""</f>
        <v/>
      </c>
      <c r="AH134" s="143" t="str">
        <f>""</f>
        <v/>
      </c>
      <c r="AI134" s="690"/>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149" t="str">
        <f>""</f>
        <v/>
      </c>
      <c r="AH135" s="145" t="str">
        <f>""</f>
        <v/>
      </c>
      <c r="AI135" s="704"/>
    </row>
    <row r="136" spans="2:35" s="2" customFormat="1" ht="12.75" thickTop="1" x14ac:dyDescent="0.2">
      <c r="B136" s="3"/>
      <c r="C136" s="3"/>
      <c r="D136" s="3"/>
      <c r="E136" s="3"/>
      <c r="F136" s="12"/>
      <c r="G136" s="12"/>
      <c r="H136" s="12"/>
      <c r="I136" s="12"/>
      <c r="J136" s="12"/>
      <c r="K136" s="12"/>
      <c r="L136" s="12"/>
      <c r="M136" s="12"/>
      <c r="Y136" s="65" t="s">
        <v>6</v>
      </c>
      <c r="Z136" s="31" t="str">
        <f ca="1">W64&amp;V64</f>
        <v>FC BarcelonaVFB Essenheim</v>
      </c>
      <c r="AA136" s="32">
        <f ca="1">AA64</f>
        <v>1</v>
      </c>
      <c r="AB136" s="12" t="str">
        <f ca="1">IF(AA136&gt;0,(Y64+AH64)&amp;Language!$E$96&amp;(X64+AG64),"")</f>
        <v>50-37</v>
      </c>
      <c r="AD136" s="143"/>
      <c r="AE136" s="707"/>
      <c r="AF136" s="708"/>
      <c r="AG136" s="708"/>
      <c r="AH136" s="708"/>
      <c r="AI136" s="142" t="str">
        <f ca="1">IF(AA64&gt;0,AF64&amp;Language!$E$96&amp;AE64,"")</f>
        <v>2-0</v>
      </c>
    </row>
    <row r="137" spans="2:35" x14ac:dyDescent="0.2">
      <c r="Y137" s="66" t="s">
        <v>7</v>
      </c>
      <c r="Z137" s="34" t="str">
        <f ca="1">W65&amp;V65</f>
        <v>Inter MailandFC Grönlingen</v>
      </c>
      <c r="AA137" s="12">
        <f t="shared" ref="AA137:AA180" ca="1" si="47">AA65</f>
        <v>1</v>
      </c>
      <c r="AB137" s="12" t="str">
        <f ca="1">IF(AA137&gt;0,(Y65+AH65)&amp;Language!$E$96&amp;(X65+AG65),"")</f>
        <v>45-45</v>
      </c>
      <c r="AC137" s="2"/>
      <c r="AD137" s="143"/>
      <c r="AE137" s="709"/>
      <c r="AF137" s="710"/>
      <c r="AG137" s="710"/>
      <c r="AH137" s="710"/>
      <c r="AI137" s="711" t="str">
        <f ca="1">IF(AA65&gt;0,AF65&amp;Language!$E$96&amp;AE65,"")</f>
        <v>1-1</v>
      </c>
    </row>
    <row r="138" spans="2:35" x14ac:dyDescent="0.2">
      <c r="Y138" s="66" t="s">
        <v>8</v>
      </c>
      <c r="Z138" s="34" t="str">
        <f t="shared" ref="Z138:Z180" ca="1" si="48">W66&amp;V66</f>
        <v>Real Madrid1. FC Nürnberg</v>
      </c>
      <c r="AA138" s="12">
        <f t="shared" ca="1" si="47"/>
        <v>1</v>
      </c>
      <c r="AB138" s="12" t="str">
        <f ca="1">IF(AA138&gt;0,(Y66+AH66)&amp;Language!$E$96&amp;(X66+AG66),"")</f>
        <v>40-50</v>
      </c>
      <c r="AC138" s="2"/>
      <c r="AD138" s="143"/>
      <c r="AE138" s="709"/>
      <c r="AF138" s="710"/>
      <c r="AG138" s="710"/>
      <c r="AH138" s="710"/>
      <c r="AI138" s="711" t="str">
        <f ca="1">IF(AA66&gt;0,AF66&amp;Language!$E$96&amp;AE66,"")</f>
        <v>0-2</v>
      </c>
    </row>
    <row r="139" spans="2:35" x14ac:dyDescent="0.2">
      <c r="Y139" s="66" t="s">
        <v>9</v>
      </c>
      <c r="Z139" s="34" t="str">
        <f t="shared" ca="1" si="48"/>
        <v>Maibach 1822 eVEintracht Frankfurt</v>
      </c>
      <c r="AA139" s="12">
        <f t="shared" ca="1" si="47"/>
        <v>1</v>
      </c>
      <c r="AB139" s="12" t="str">
        <f ca="1">IF(AA139&gt;0,(Y67+AH67)&amp;Language!$E$96&amp;(X67+AG67),"")</f>
        <v>42-50</v>
      </c>
      <c r="AC139" s="2"/>
      <c r="AD139" s="143"/>
      <c r="AE139" s="709"/>
      <c r="AF139" s="710"/>
      <c r="AG139" s="710"/>
      <c r="AH139" s="710"/>
      <c r="AI139" s="711" t="str">
        <f ca="1">IF(AA67&gt;0,AF67&amp;Language!$E$96&amp;AE67,"")</f>
        <v>0-2</v>
      </c>
    </row>
    <row r="140" spans="2:35" x14ac:dyDescent="0.2">
      <c r="Y140" s="66" t="s">
        <v>10</v>
      </c>
      <c r="Z140" s="34" t="str">
        <f t="shared" ca="1" si="48"/>
        <v>Manchester CitySSV Wildbach</v>
      </c>
      <c r="AA140" s="12">
        <f t="shared" ca="1" si="47"/>
        <v>1</v>
      </c>
      <c r="AB140" s="12" t="str">
        <f ca="1">IF(AA140&gt;0,(Y68+AH68)&amp;Language!$E$96&amp;(X68+AG68),"")</f>
        <v>44-50</v>
      </c>
      <c r="AC140" s="2"/>
      <c r="AD140" s="143"/>
      <c r="AE140" s="709"/>
      <c r="AF140" s="710"/>
      <c r="AG140" s="710"/>
      <c r="AH140" s="710"/>
      <c r="AI140" s="711" t="str">
        <f ca="1">IF(AA68&gt;0,AF68&amp;Language!$E$96&amp;AE68,"")</f>
        <v>0-2</v>
      </c>
    </row>
    <row r="141" spans="2:35" x14ac:dyDescent="0.2">
      <c r="Y141" s="66" t="s">
        <v>11</v>
      </c>
      <c r="Z141" s="34" t="str">
        <f t="shared" ca="1" si="48"/>
        <v>FSV RauenBorussia Dortmund</v>
      </c>
      <c r="AA141" s="12">
        <f t="shared" ca="1" si="47"/>
        <v>1</v>
      </c>
      <c r="AB141" s="12" t="str">
        <f ca="1">IF(AA141&gt;0,(Y69+AH69)&amp;Language!$E$96&amp;(X69+AG69),"")</f>
        <v>39-50</v>
      </c>
      <c r="AC141" s="2"/>
      <c r="AD141" s="143"/>
      <c r="AE141" s="709"/>
      <c r="AF141" s="710"/>
      <c r="AG141" s="710"/>
      <c r="AH141" s="710"/>
      <c r="AI141" s="711" t="str">
        <f ca="1">IF(AA69&gt;0,AF69&amp;Language!$E$96&amp;AE69,"")</f>
        <v>0-2</v>
      </c>
    </row>
    <row r="142" spans="2:35" x14ac:dyDescent="0.2">
      <c r="Y142" s="66" t="s">
        <v>16</v>
      </c>
      <c r="Z142" s="34" t="str">
        <f t="shared" ca="1" si="48"/>
        <v>1. FC RiedwaldVFB Essenheim</v>
      </c>
      <c r="AA142" s="12">
        <f t="shared" ca="1" si="47"/>
        <v>1</v>
      </c>
      <c r="AB142" s="12" t="str">
        <f ca="1">IF(AA142&gt;0,(Y70+AH70)&amp;Language!$E$96&amp;(X70+AG70),"")</f>
        <v>48-48</v>
      </c>
      <c r="AC142" s="2"/>
      <c r="AD142" s="143"/>
      <c r="AE142" s="709"/>
      <c r="AF142" s="710"/>
      <c r="AG142" s="710"/>
      <c r="AH142" s="710"/>
      <c r="AI142" s="711" t="str">
        <f ca="1">IF(AA70&gt;0,AF70&amp;Language!$E$96&amp;AE70,"")</f>
        <v>1-1</v>
      </c>
    </row>
    <row r="143" spans="2:35" x14ac:dyDescent="0.2">
      <c r="Y143" s="66" t="s">
        <v>17</v>
      </c>
      <c r="Z143" s="34" t="str">
        <f t="shared" ca="1" si="48"/>
        <v>Mainz 05FC Grönlingen</v>
      </c>
      <c r="AA143" s="12">
        <f t="shared" ca="1" si="47"/>
        <v>1</v>
      </c>
      <c r="AB143" s="12" t="str">
        <f ca="1">IF(AA143&gt;0,(Y71+AH71)&amp;Language!$E$96&amp;(X71+AG71),"")</f>
        <v>42-44</v>
      </c>
      <c r="AC143" s="2"/>
      <c r="AD143" s="143"/>
      <c r="AE143" s="709"/>
      <c r="AF143" s="710"/>
      <c r="AG143" s="710"/>
      <c r="AH143" s="710"/>
      <c r="AI143" s="711" t="str">
        <f ca="1">IF(AA71&gt;0,AF71&amp;Language!$E$96&amp;AE71,"")</f>
        <v>1-1</v>
      </c>
    </row>
    <row r="144" spans="2:35" x14ac:dyDescent="0.2">
      <c r="Y144" s="66" t="s">
        <v>18</v>
      </c>
      <c r="Z144" s="34" t="str">
        <f t="shared" ca="1" si="48"/>
        <v>Kickers Rodendorf1. FC Nürnberg</v>
      </c>
      <c r="AA144" s="12">
        <f t="shared" ca="1" si="47"/>
        <v>1</v>
      </c>
      <c r="AB144" s="12" t="str">
        <f ca="1">IF(AA144&gt;0,(Y72+AH72)&amp;Language!$E$96&amp;(X72+AG72),"")</f>
        <v>43-41</v>
      </c>
      <c r="AC144" s="2"/>
      <c r="AD144" s="143"/>
      <c r="AE144" s="709"/>
      <c r="AF144" s="710"/>
      <c r="AG144" s="710"/>
      <c r="AH144" s="710"/>
      <c r="AI144" s="711" t="str">
        <f ca="1">IF(AA72&gt;0,AF72&amp;Language!$E$96&amp;AE72,"")</f>
        <v>1-1</v>
      </c>
    </row>
    <row r="145" spans="25:35" x14ac:dyDescent="0.2">
      <c r="Y145" s="66" t="s">
        <v>24</v>
      </c>
      <c r="Z145" s="34" t="str">
        <f t="shared" ca="1" si="48"/>
        <v>Eintracht FrankfurtFC Barcelona</v>
      </c>
      <c r="AA145" s="12">
        <f t="shared" ca="1" si="47"/>
        <v>1</v>
      </c>
      <c r="AB145" s="12" t="str">
        <f ca="1">IF(AA145&gt;0,(Y73+AH73)&amp;Language!$E$96&amp;(X73+AG73),"")</f>
        <v>44-39</v>
      </c>
      <c r="AC145" s="2"/>
      <c r="AD145" s="143"/>
      <c r="AE145" s="709"/>
      <c r="AF145" s="710"/>
      <c r="AG145" s="710"/>
      <c r="AH145" s="710"/>
      <c r="AI145" s="711" t="str">
        <f ca="1">IF(AA73&gt;0,AF73&amp;Language!$E$96&amp;AE73,"")</f>
        <v>1-1</v>
      </c>
    </row>
    <row r="146" spans="25:35" x14ac:dyDescent="0.2">
      <c r="Y146" s="66" t="s">
        <v>25</v>
      </c>
      <c r="Z146" s="34" t="str">
        <f t="shared" ca="1" si="48"/>
        <v>SSV WildbachInter Mailand</v>
      </c>
      <c r="AA146" s="12">
        <f t="shared" ca="1" si="47"/>
        <v>1</v>
      </c>
      <c r="AB146" s="12" t="str">
        <f ca="1">IF(AA146&gt;0,(Y74+AH74)&amp;Language!$E$96&amp;(X74+AG74),"")</f>
        <v>45-47</v>
      </c>
      <c r="AC146" s="2"/>
      <c r="AD146" s="143"/>
      <c r="AE146" s="709"/>
      <c r="AF146" s="710"/>
      <c r="AG146" s="710"/>
      <c r="AH146" s="710"/>
      <c r="AI146" s="711" t="str">
        <f ca="1">IF(AA74&gt;0,AF74&amp;Language!$E$96&amp;AE74,"")</f>
        <v>1-1</v>
      </c>
    </row>
    <row r="147" spans="25:35" x14ac:dyDescent="0.2">
      <c r="Y147" s="66" t="s">
        <v>26</v>
      </c>
      <c r="Z147" s="34" t="str">
        <f t="shared" ca="1" si="48"/>
        <v>Borussia DortmundReal Madrid</v>
      </c>
      <c r="AA147" s="12">
        <f t="shared" ca="1" si="47"/>
        <v>1</v>
      </c>
      <c r="AB147" s="12" t="str">
        <f ca="1">IF(AA147&gt;0,(Y75+AH75)&amp;Language!$E$96&amp;(X75+AG75),"")</f>
        <v>46-44</v>
      </c>
      <c r="AC147" s="2"/>
      <c r="AD147" s="143"/>
      <c r="AE147" s="709"/>
      <c r="AF147" s="710"/>
      <c r="AG147" s="710"/>
      <c r="AH147" s="710"/>
      <c r="AI147" s="711" t="str">
        <f ca="1">IF(AA75&gt;0,AF75&amp;Language!$E$96&amp;AE75,"")</f>
        <v>1-1</v>
      </c>
    </row>
    <row r="148" spans="25:35" x14ac:dyDescent="0.2">
      <c r="Y148" s="66" t="s">
        <v>27</v>
      </c>
      <c r="Z148" s="34" t="str">
        <f t="shared" ca="1" si="48"/>
        <v>Maibach 1822 eV1. FC Riedwald</v>
      </c>
      <c r="AA148" s="12">
        <f t="shared" ca="1" si="47"/>
        <v>1</v>
      </c>
      <c r="AB148" s="12" t="str">
        <f ca="1">IF(AA148&gt;0,(Y76+AH76)&amp;Language!$E$96&amp;(X76+AG76),"")</f>
        <v>50-29</v>
      </c>
      <c r="AC148" s="2"/>
      <c r="AD148" s="143"/>
      <c r="AE148" s="709"/>
      <c r="AF148" s="710"/>
      <c r="AG148" s="710"/>
      <c r="AH148" s="710"/>
      <c r="AI148" s="711" t="str">
        <f ca="1">IF(AA76&gt;0,AF76&amp;Language!$E$96&amp;AE76,"")</f>
        <v>2-0</v>
      </c>
    </row>
    <row r="149" spans="25:35" x14ac:dyDescent="0.2">
      <c r="Y149" s="66" t="s">
        <v>28</v>
      </c>
      <c r="Z149" s="34" t="str">
        <f t="shared" ca="1" si="48"/>
        <v>Manchester CityMainz 05</v>
      </c>
      <c r="AA149" s="12">
        <f t="shared" ca="1" si="47"/>
        <v>1</v>
      </c>
      <c r="AB149" s="12" t="str">
        <f ca="1">IF(AA149&gt;0,(Y77+AH77)&amp;Language!$E$96&amp;(X77+AG77),"")</f>
        <v>48-39</v>
      </c>
      <c r="AC149" s="2"/>
      <c r="AD149" s="143"/>
      <c r="AE149" s="709"/>
      <c r="AF149" s="710"/>
      <c r="AG149" s="710"/>
      <c r="AH149" s="710"/>
      <c r="AI149" s="711" t="str">
        <f ca="1">IF(AA77&gt;0,AF77&amp;Language!$E$96&amp;AE77,"")</f>
        <v>1-1</v>
      </c>
    </row>
    <row r="150" spans="25:35" x14ac:dyDescent="0.2">
      <c r="Y150" s="66" t="s">
        <v>29</v>
      </c>
      <c r="Z150" s="34" t="str">
        <f t="shared" ca="1" si="48"/>
        <v>FSV RauenKickers Rodendorf</v>
      </c>
      <c r="AA150" s="12">
        <f t="shared" ca="1" si="47"/>
        <v>1</v>
      </c>
      <c r="AB150" s="12" t="str">
        <f ca="1">IF(AA150&gt;0,(Y78+AH78)&amp;Language!$E$96&amp;(X78+AG78),"")</f>
        <v>42-46</v>
      </c>
      <c r="AC150" s="2"/>
      <c r="AD150" s="143"/>
      <c r="AE150" s="709"/>
      <c r="AF150" s="710"/>
      <c r="AG150" s="710"/>
      <c r="AH150" s="710"/>
      <c r="AI150" s="711" t="str">
        <f ca="1">IF(AA78&gt;0,AF78&amp;Language!$E$96&amp;AE78,"")</f>
        <v>1-1</v>
      </c>
    </row>
    <row r="151" spans="25:35" x14ac:dyDescent="0.2">
      <c r="Y151" s="66" t="s">
        <v>30</v>
      </c>
      <c r="Z151" s="34" t="str">
        <f t="shared" ca="1" si="48"/>
        <v>VFB EssenheimEintracht Frankfurt</v>
      </c>
      <c r="AA151" s="12">
        <f t="shared" ca="1" si="47"/>
        <v>1</v>
      </c>
      <c r="AB151" s="12" t="str">
        <f ca="1">IF(AA151&gt;0,(Y79+AH79)&amp;Language!$E$96&amp;(X79+AG79),"")</f>
        <v>50-38</v>
      </c>
      <c r="AC151" s="2"/>
      <c r="AD151" s="143"/>
      <c r="AE151" s="709"/>
      <c r="AF151" s="710"/>
      <c r="AG151" s="710"/>
      <c r="AH151" s="710"/>
      <c r="AI151" s="711" t="str">
        <f ca="1">IF(AA79&gt;0,AF79&amp;Language!$E$96&amp;AE79,"")</f>
        <v>2-0</v>
      </c>
    </row>
    <row r="152" spans="25:35" x14ac:dyDescent="0.2">
      <c r="Y152" s="66" t="s">
        <v>31</v>
      </c>
      <c r="Z152" s="34" t="str">
        <f t="shared" ca="1" si="48"/>
        <v>FC GrönlingenSSV Wildbach</v>
      </c>
      <c r="AA152" s="12">
        <f t="shared" ca="1" si="47"/>
        <v>1</v>
      </c>
      <c r="AB152" s="12" t="str">
        <f ca="1">IF(AA152&gt;0,(Y80+AH80)&amp;Language!$E$96&amp;(X80+AG80),"")</f>
        <v>39-50</v>
      </c>
      <c r="AC152" s="2"/>
      <c r="AD152" s="143"/>
      <c r="AE152" s="709"/>
      <c r="AF152" s="710"/>
      <c r="AG152" s="710"/>
      <c r="AH152" s="710"/>
      <c r="AI152" s="711" t="str">
        <f ca="1">IF(AA80&gt;0,AF80&amp;Language!$E$96&amp;AE80,"")</f>
        <v>0-2</v>
      </c>
    </row>
    <row r="153" spans="25:35" x14ac:dyDescent="0.2">
      <c r="Y153" s="66" t="s">
        <v>32</v>
      </c>
      <c r="Z153" s="34" t="str">
        <f t="shared" ca="1" si="48"/>
        <v>1. FC NürnbergBorussia Dortmund</v>
      </c>
      <c r="AA153" s="12">
        <f t="shared" ca="1" si="47"/>
        <v>1</v>
      </c>
      <c r="AB153" s="12" t="str">
        <f ca="1">IF(AA153&gt;0,(Y81+AH81)&amp;Language!$E$96&amp;(X81+AG81),"")</f>
        <v>22-50</v>
      </c>
      <c r="AC153" s="2"/>
      <c r="AD153" s="143"/>
      <c r="AE153" s="709"/>
      <c r="AF153" s="710"/>
      <c r="AG153" s="710"/>
      <c r="AH153" s="710"/>
      <c r="AI153" s="711" t="str">
        <f ca="1">IF(AA81&gt;0,AF81&amp;Language!$E$96&amp;AE81,"")</f>
        <v>0-2</v>
      </c>
    </row>
    <row r="154" spans="25:35" x14ac:dyDescent="0.2">
      <c r="Y154" s="66" t="s">
        <v>33</v>
      </c>
      <c r="Z154" s="34" t="str">
        <f t="shared" ca="1" si="48"/>
        <v>Maibach 1822 eVFC Barcelona</v>
      </c>
      <c r="AA154" s="12">
        <f t="shared" ca="1" si="47"/>
        <v>1</v>
      </c>
      <c r="AB154" s="12" t="str">
        <f ca="1">IF(AA154&gt;0,(Y82+AH82)&amp;Language!$E$96&amp;(X82+AG82),"")</f>
        <v>37-50</v>
      </c>
      <c r="AC154" s="2"/>
      <c r="AD154" s="143"/>
      <c r="AE154" s="709"/>
      <c r="AF154" s="710"/>
      <c r="AG154" s="710"/>
      <c r="AH154" s="710"/>
      <c r="AI154" s="711" t="str">
        <f ca="1">IF(AA82&gt;0,AF82&amp;Language!$E$96&amp;AE82,"")</f>
        <v>0-2</v>
      </c>
    </row>
    <row r="155" spans="25:35" x14ac:dyDescent="0.2">
      <c r="Y155" s="66" t="s">
        <v>34</v>
      </c>
      <c r="Z155" s="34" t="str">
        <f t="shared" ca="1" si="48"/>
        <v>Manchester CityInter Mailand</v>
      </c>
      <c r="AA155" s="12">
        <f t="shared" ca="1" si="47"/>
        <v>1</v>
      </c>
      <c r="AB155" s="12" t="str">
        <f ca="1">IF(AA155&gt;0,(Y83+AH83)&amp;Language!$E$96&amp;(X83+AG83),"")</f>
        <v>24-50</v>
      </c>
      <c r="AC155" s="2"/>
      <c r="AD155" s="143"/>
      <c r="AE155" s="709"/>
      <c r="AF155" s="710"/>
      <c r="AG155" s="710"/>
      <c r="AH155" s="710"/>
      <c r="AI155" s="711" t="str">
        <f ca="1">IF(AA83&gt;0,AF83&amp;Language!$E$96&amp;AE83,"")</f>
        <v>0-2</v>
      </c>
    </row>
    <row r="156" spans="25:35" x14ac:dyDescent="0.2">
      <c r="Y156" s="66" t="s">
        <v>35</v>
      </c>
      <c r="Z156" s="34" t="str">
        <f t="shared" ca="1" si="48"/>
        <v>FSV RauenReal Madrid</v>
      </c>
      <c r="AA156" s="12">
        <f t="shared" ca="1" si="47"/>
        <v>1</v>
      </c>
      <c r="AB156" s="12" t="str">
        <f ca="1">IF(AA156&gt;0,(Y84+AH84)&amp;Language!$E$96&amp;(X84+AG84),"")</f>
        <v>36-38</v>
      </c>
      <c r="AC156" s="2"/>
      <c r="AD156" s="143"/>
      <c r="AE156" s="709"/>
      <c r="AF156" s="710"/>
      <c r="AG156" s="710"/>
      <c r="AH156" s="710"/>
      <c r="AI156" s="711" t="str">
        <f ca="1">IF(AA84&gt;0,AF84&amp;Language!$E$96&amp;AE84,"")</f>
        <v>1-1</v>
      </c>
    </row>
    <row r="157" spans="25:35" x14ac:dyDescent="0.2">
      <c r="Y157" s="66" t="s">
        <v>36</v>
      </c>
      <c r="Z157" s="34" t="str">
        <f t="shared" ca="1" si="48"/>
        <v>1. FC RiedwaldEintracht Frankfurt</v>
      </c>
      <c r="AA157" s="12">
        <f t="shared" ca="1" si="47"/>
        <v>1</v>
      </c>
      <c r="AB157" s="12" t="str">
        <f ca="1">IF(AA157&gt;0,(Y85+AH85)&amp;Language!$E$96&amp;(X85+AG85),"")</f>
        <v>42-44</v>
      </c>
      <c r="AC157" s="2"/>
      <c r="AD157" s="143"/>
      <c r="AE157" s="709"/>
      <c r="AF157" s="710"/>
      <c r="AG157" s="710"/>
      <c r="AH157" s="710"/>
      <c r="AI157" s="711" t="str">
        <f ca="1">IF(AA85&gt;0,AF85&amp;Language!$E$96&amp;AE85,"")</f>
        <v>1-1</v>
      </c>
    </row>
    <row r="158" spans="25:35" x14ac:dyDescent="0.2">
      <c r="Y158" s="66" t="s">
        <v>37</v>
      </c>
      <c r="Z158" s="34" t="str">
        <f t="shared" ca="1" si="48"/>
        <v>Mainz 05SSV Wildbach</v>
      </c>
      <c r="AA158" s="12">
        <f t="shared" ca="1" si="47"/>
        <v>1</v>
      </c>
      <c r="AB158" s="12" t="str">
        <f ca="1">IF(AA158&gt;0,(Y86+AH86)&amp;Language!$E$96&amp;(X86+AG86),"")</f>
        <v>41-42</v>
      </c>
      <c r="AC158" s="2"/>
      <c r="AD158" s="143"/>
      <c r="AE158" s="709"/>
      <c r="AF158" s="710"/>
      <c r="AG158" s="710"/>
      <c r="AH158" s="710"/>
      <c r="AI158" s="711" t="str">
        <f ca="1">IF(AA86&gt;0,AF86&amp;Language!$E$96&amp;AE86,"")</f>
        <v>1-1</v>
      </c>
    </row>
    <row r="159" spans="25:35" x14ac:dyDescent="0.2">
      <c r="Y159" s="66" t="s">
        <v>38</v>
      </c>
      <c r="Z159" s="34" t="str">
        <f t="shared" ca="1" si="48"/>
        <v>Kickers RodendorfBorussia Dortmund</v>
      </c>
      <c r="AA159" s="12">
        <f t="shared" ca="1" si="47"/>
        <v>1</v>
      </c>
      <c r="AB159" s="12" t="str">
        <f ca="1">IF(AA159&gt;0,(Y87+AH87)&amp;Language!$E$96&amp;(X87+AG87),"")</f>
        <v>33-50</v>
      </c>
      <c r="AC159" s="2"/>
      <c r="AD159" s="143"/>
      <c r="AE159" s="709"/>
      <c r="AF159" s="710"/>
      <c r="AG159" s="710"/>
      <c r="AH159" s="710"/>
      <c r="AI159" s="711" t="str">
        <f ca="1">IF(AA87&gt;0,AF87&amp;Language!$E$96&amp;AE87,"")</f>
        <v>0-2</v>
      </c>
    </row>
    <row r="160" spans="25:35" x14ac:dyDescent="0.2">
      <c r="Y160" s="66" t="s">
        <v>39</v>
      </c>
      <c r="Z160" s="34" t="str">
        <f t="shared" ca="1" si="48"/>
        <v>VFB EssenheimMaibach 1822 eV</v>
      </c>
      <c r="AA160" s="12">
        <f t="shared" ca="1" si="47"/>
        <v>1</v>
      </c>
      <c r="AB160" s="12" t="str">
        <f ca="1">IF(AA160&gt;0,(Y88+AH88)&amp;Language!$E$96&amp;(X88+AG88),"")</f>
        <v>45-45</v>
      </c>
      <c r="AC160" s="2"/>
      <c r="AD160" s="143"/>
      <c r="AE160" s="709"/>
      <c r="AF160" s="710"/>
      <c r="AG160" s="710"/>
      <c r="AH160" s="710"/>
      <c r="AI160" s="711" t="str">
        <f ca="1">IF(AA88&gt;0,AF88&amp;Language!$E$96&amp;AE88,"")</f>
        <v>1-1</v>
      </c>
    </row>
    <row r="161" spans="25:35" x14ac:dyDescent="0.2">
      <c r="Y161" s="66" t="s">
        <v>40</v>
      </c>
      <c r="Z161" s="34" t="str">
        <f t="shared" ca="1" si="48"/>
        <v>FC GrönlingenManchester City</v>
      </c>
      <c r="AA161" s="12">
        <f t="shared" ca="1" si="47"/>
        <v>1</v>
      </c>
      <c r="AB161" s="12" t="str">
        <f ca="1">IF(AA161&gt;0,(Y89+AH89)&amp;Language!$E$96&amp;(X89+AG89),"")</f>
        <v>46-44</v>
      </c>
      <c r="AC161" s="2"/>
      <c r="AD161" s="143"/>
      <c r="AE161" s="709"/>
      <c r="AF161" s="710"/>
      <c r="AG161" s="710"/>
      <c r="AH161" s="710"/>
      <c r="AI161" s="711" t="str">
        <f ca="1">IF(AA89&gt;0,AF89&amp;Language!$E$96&amp;AE89,"")</f>
        <v>1-1</v>
      </c>
    </row>
    <row r="162" spans="25:35" x14ac:dyDescent="0.2">
      <c r="Y162" s="66" t="s">
        <v>41</v>
      </c>
      <c r="Z162" s="34" t="str">
        <f t="shared" ca="1" si="48"/>
        <v>1. FC NürnbergFSV Rauen</v>
      </c>
      <c r="AA162" s="12">
        <f t="shared" ca="1" si="47"/>
        <v>1</v>
      </c>
      <c r="AB162" s="12" t="str">
        <f ca="1">IF(AA162&gt;0,(Y90+AH90)&amp;Language!$E$96&amp;(X90+AG90),"")</f>
        <v>47-42</v>
      </c>
      <c r="AC162" s="2"/>
      <c r="AD162" s="143"/>
      <c r="AE162" s="709"/>
      <c r="AF162" s="710"/>
      <c r="AG162" s="710"/>
      <c r="AH162" s="710"/>
      <c r="AI162" s="711" t="str">
        <f ca="1">IF(AA90&gt;0,AF90&amp;Language!$E$96&amp;AE90,"")</f>
        <v>1-1</v>
      </c>
    </row>
    <row r="163" spans="25:35" x14ac:dyDescent="0.2">
      <c r="Y163" s="66" t="s">
        <v>42</v>
      </c>
      <c r="Z163" s="34" t="str">
        <f t="shared" ca="1" si="48"/>
        <v>FC Barcelona1. FC Riedwald</v>
      </c>
      <c r="AA163" s="12">
        <f t="shared" ca="1" si="47"/>
        <v>1</v>
      </c>
      <c r="AB163" s="12" t="str">
        <f ca="1">IF(AA163&gt;0,(Y91+AH91)&amp;Language!$E$96&amp;(X91+AG91),"")</f>
        <v>48-44</v>
      </c>
      <c r="AC163" s="2"/>
      <c r="AD163" s="143"/>
      <c r="AE163" s="709"/>
      <c r="AF163" s="710"/>
      <c r="AG163" s="710"/>
      <c r="AH163" s="710"/>
      <c r="AI163" s="711" t="str">
        <f ca="1">IF(AA91&gt;0,AF91&amp;Language!$E$96&amp;AE91,"")</f>
        <v>1-1</v>
      </c>
    </row>
    <row r="164" spans="25:35" x14ac:dyDescent="0.2">
      <c r="Y164" s="66" t="s">
        <v>43</v>
      </c>
      <c r="Z164" s="34" t="str">
        <f t="shared" ca="1" si="48"/>
        <v>Inter MailandMainz 05</v>
      </c>
      <c r="AA164" s="12">
        <f t="shared" ca="1" si="47"/>
        <v>1</v>
      </c>
      <c r="AB164" s="12" t="str">
        <f ca="1">IF(AA164&gt;0,(Y92+AH92)&amp;Language!$E$96&amp;(X92+AG92),"")</f>
        <v>50-34</v>
      </c>
      <c r="AC164" s="2"/>
      <c r="AD164" s="143"/>
      <c r="AE164" s="709"/>
      <c r="AF164" s="710"/>
      <c r="AG164" s="710"/>
      <c r="AH164" s="710"/>
      <c r="AI164" s="711" t="str">
        <f ca="1">IF(AA92&gt;0,AF92&amp;Language!$E$96&amp;AE92,"")</f>
        <v>2-0</v>
      </c>
    </row>
    <row r="165" spans="25:35" x14ac:dyDescent="0.2">
      <c r="Y165" s="66" t="s">
        <v>44</v>
      </c>
      <c r="Z165" s="34" t="str">
        <f t="shared" ca="1" si="48"/>
        <v>Real MadridKickers Rodendorf</v>
      </c>
      <c r="AA165" s="12">
        <f t="shared" ca="1" si="47"/>
        <v>1</v>
      </c>
      <c r="AB165" s="12" t="str">
        <f ca="1">IF(AA165&gt;0,(Y93+AH93)&amp;Language!$E$96&amp;(X93+AG93),"")</f>
        <v>43-39</v>
      </c>
      <c r="AC165" s="2"/>
      <c r="AD165" s="143"/>
      <c r="AE165" s="709"/>
      <c r="AF165" s="710"/>
      <c r="AG165" s="710"/>
      <c r="AH165" s="710"/>
      <c r="AI165" s="711" t="str">
        <f ca="1">IF(AA93&gt;0,AF93&amp;Language!$E$96&amp;AE93,"")</f>
        <v>1-1</v>
      </c>
    </row>
    <row r="166" spans="25:35" x14ac:dyDescent="0.2">
      <c r="Y166" s="66" t="s">
        <v>45</v>
      </c>
      <c r="Z166" s="34" t="str">
        <f t="shared" ca="1" si="48"/>
        <v/>
      </c>
      <c r="AA166" s="12">
        <f t="shared" ca="1" si="47"/>
        <v>0</v>
      </c>
      <c r="AB166" s="12" t="str">
        <f ca="1">IF(AA166&gt;0,(Y94+AH94)&amp;Language!$E$96&amp;(X94+AG94),"")</f>
        <v/>
      </c>
      <c r="AC166" s="2"/>
      <c r="AD166" s="143"/>
      <c r="AE166" s="709"/>
      <c r="AF166" s="710"/>
      <c r="AG166" s="710"/>
      <c r="AH166" s="710"/>
      <c r="AI166" s="711" t="str">
        <f ca="1">IF(AA94&gt;0,AF94&amp;Language!$E$96&amp;AE94,"")</f>
        <v/>
      </c>
    </row>
    <row r="167" spans="25:35" x14ac:dyDescent="0.2">
      <c r="Y167" s="66" t="s">
        <v>46</v>
      </c>
      <c r="Z167" s="34" t="str">
        <f t="shared" ca="1" si="48"/>
        <v/>
      </c>
      <c r="AA167" s="12">
        <f t="shared" ca="1" si="47"/>
        <v>0</v>
      </c>
      <c r="AB167" s="12" t="str">
        <f ca="1">IF(AA167&gt;0,(Y95+AH95)&amp;Language!$E$96&amp;(X95+AG95),"")</f>
        <v/>
      </c>
      <c r="AC167" s="2"/>
      <c r="AD167" s="143"/>
      <c r="AE167" s="709"/>
      <c r="AF167" s="710"/>
      <c r="AG167" s="710"/>
      <c r="AH167" s="710"/>
      <c r="AI167" s="711" t="str">
        <f ca="1">IF(AA95&gt;0,AF95&amp;Language!$E$96&amp;AE95,"")</f>
        <v/>
      </c>
    </row>
    <row r="168" spans="25:35" x14ac:dyDescent="0.2">
      <c r="Y168" s="66" t="s">
        <v>47</v>
      </c>
      <c r="Z168" s="34" t="str">
        <f t="shared" ca="1" si="48"/>
        <v/>
      </c>
      <c r="AA168" s="12">
        <f t="shared" ca="1" si="47"/>
        <v>0</v>
      </c>
      <c r="AB168" s="12" t="str">
        <f ca="1">IF(AA168&gt;0,(Y96+AH96)&amp;Language!$E$96&amp;(X96+AG96),"")</f>
        <v/>
      </c>
      <c r="AC168" s="2"/>
      <c r="AD168" s="143"/>
      <c r="AE168" s="709"/>
      <c r="AF168" s="710"/>
      <c r="AG168" s="710"/>
      <c r="AH168" s="710"/>
      <c r="AI168" s="711" t="str">
        <f ca="1">IF(AA96&gt;0,AF96&amp;Language!$E$96&amp;AE96,"")</f>
        <v/>
      </c>
    </row>
    <row r="169" spans="25:35" x14ac:dyDescent="0.2">
      <c r="Y169" s="66" t="s">
        <v>48</v>
      </c>
      <c r="Z169" s="34" t="str">
        <f t="shared" ca="1" si="48"/>
        <v/>
      </c>
      <c r="AA169" s="12">
        <f t="shared" ca="1" si="47"/>
        <v>0</v>
      </c>
      <c r="AB169" s="12" t="str">
        <f ca="1">IF(AA169&gt;0,(Y97+AH97)&amp;Language!$E$96&amp;(X97+AG97),"")</f>
        <v/>
      </c>
      <c r="AC169" s="2"/>
      <c r="AD169" s="143"/>
      <c r="AE169" s="709"/>
      <c r="AF169" s="710"/>
      <c r="AG169" s="710"/>
      <c r="AH169" s="710"/>
      <c r="AI169" s="711" t="str">
        <f ca="1">IF(AA97&gt;0,AF97&amp;Language!$E$96&amp;AE97,"")</f>
        <v/>
      </c>
    </row>
    <row r="170" spans="25:35" x14ac:dyDescent="0.2">
      <c r="Y170" s="66" t="s">
        <v>49</v>
      </c>
      <c r="Z170" s="34" t="str">
        <f t="shared" ca="1" si="48"/>
        <v/>
      </c>
      <c r="AA170" s="12">
        <f t="shared" ca="1" si="47"/>
        <v>0</v>
      </c>
      <c r="AB170" s="12" t="str">
        <f ca="1">IF(AA170&gt;0,(Y98+AH98)&amp;Language!$E$96&amp;(X98+AG98),"")</f>
        <v/>
      </c>
      <c r="AC170" s="2"/>
      <c r="AD170" s="143"/>
      <c r="AE170" s="709"/>
      <c r="AF170" s="710"/>
      <c r="AG170" s="710"/>
      <c r="AH170" s="710"/>
      <c r="AI170" s="711" t="str">
        <f ca="1">IF(AA98&gt;0,AF98&amp;Language!$E$96&amp;AE98,"")</f>
        <v/>
      </c>
    </row>
    <row r="171" spans="25:35" x14ac:dyDescent="0.2">
      <c r="Y171" s="66" t="s">
        <v>50</v>
      </c>
      <c r="Z171" s="34" t="str">
        <f t="shared" ca="1" si="48"/>
        <v/>
      </c>
      <c r="AA171" s="12">
        <f t="shared" ca="1" si="47"/>
        <v>0</v>
      </c>
      <c r="AB171" s="12" t="str">
        <f ca="1">IF(AA171&gt;0,(Y99+AH99)&amp;Language!$E$96&amp;(X99+AG99),"")</f>
        <v/>
      </c>
      <c r="AC171" s="2"/>
      <c r="AD171" s="143"/>
      <c r="AE171" s="709"/>
      <c r="AF171" s="710"/>
      <c r="AG171" s="710"/>
      <c r="AH171" s="710"/>
      <c r="AI171" s="711" t="str">
        <f ca="1">IF(AA99&gt;0,AF99&amp;Language!$E$96&amp;AE99,"")</f>
        <v/>
      </c>
    </row>
    <row r="172" spans="25:35" x14ac:dyDescent="0.2">
      <c r="Y172" s="66" t="s">
        <v>58</v>
      </c>
      <c r="Z172" s="34" t="str">
        <f t="shared" ca="1" si="48"/>
        <v/>
      </c>
      <c r="AA172" s="12">
        <f t="shared" ca="1" si="47"/>
        <v>0</v>
      </c>
      <c r="AB172" s="12" t="str">
        <f ca="1">IF(AA172&gt;0,(Y100+AH100)&amp;Language!$E$96&amp;(X100+AG100),"")</f>
        <v/>
      </c>
      <c r="AC172" s="2"/>
      <c r="AD172" s="143"/>
      <c r="AE172" s="709"/>
      <c r="AF172" s="710"/>
      <c r="AG172" s="710"/>
      <c r="AH172" s="710"/>
      <c r="AI172" s="711" t="str">
        <f ca="1">IF(AA100&gt;0,AF100&amp;Language!$E$96&amp;AE100,"")</f>
        <v/>
      </c>
    </row>
    <row r="173" spans="25:35" x14ac:dyDescent="0.2">
      <c r="Y173" s="66" t="s">
        <v>59</v>
      </c>
      <c r="Z173" s="34" t="str">
        <f t="shared" ca="1" si="48"/>
        <v/>
      </c>
      <c r="AA173" s="12">
        <f t="shared" ca="1" si="47"/>
        <v>0</v>
      </c>
      <c r="AB173" s="12" t="str">
        <f ca="1">IF(AA173&gt;0,(Y101+AH101)&amp;Language!$E$96&amp;(X101+AG101),"")</f>
        <v/>
      </c>
      <c r="AC173" s="2"/>
      <c r="AD173" s="143"/>
      <c r="AE173" s="709"/>
      <c r="AF173" s="710"/>
      <c r="AG173" s="710"/>
      <c r="AH173" s="710"/>
      <c r="AI173" s="711" t="str">
        <f ca="1">IF(AA101&gt;0,AF101&amp;Language!$E$96&amp;AE101,"")</f>
        <v/>
      </c>
    </row>
    <row r="174" spans="25:35" x14ac:dyDescent="0.2">
      <c r="Y174" s="66" t="s">
        <v>60</v>
      </c>
      <c r="Z174" s="34" t="str">
        <f t="shared" ca="1" si="48"/>
        <v/>
      </c>
      <c r="AA174" s="12">
        <f t="shared" ca="1" si="47"/>
        <v>0</v>
      </c>
      <c r="AB174" s="12" t="str">
        <f ca="1">IF(AA174&gt;0,(Y102+AH102)&amp;Language!$E$96&amp;(X102+AG102),"")</f>
        <v/>
      </c>
      <c r="AC174" s="2"/>
      <c r="AD174" s="143"/>
      <c r="AE174" s="709"/>
      <c r="AF174" s="710"/>
      <c r="AG174" s="710"/>
      <c r="AH174" s="710"/>
      <c r="AI174" s="711" t="str">
        <f ca="1">IF(AA102&gt;0,AF102&amp;Language!$E$96&amp;AE102,"")</f>
        <v/>
      </c>
    </row>
    <row r="175" spans="25:35" x14ac:dyDescent="0.2">
      <c r="Y175" s="66" t="s">
        <v>61</v>
      </c>
      <c r="Z175" s="34" t="str">
        <f t="shared" ca="1" si="48"/>
        <v/>
      </c>
      <c r="AA175" s="12">
        <f t="shared" ca="1" si="47"/>
        <v>0</v>
      </c>
      <c r="AB175" s="12" t="str">
        <f ca="1">IF(AA175&gt;0,(Y103+AH103)&amp;Language!$E$96&amp;(X103+AG103),"")</f>
        <v/>
      </c>
      <c r="AC175" s="2"/>
      <c r="AD175" s="143"/>
      <c r="AE175" s="709"/>
      <c r="AF175" s="710"/>
      <c r="AG175" s="710"/>
      <c r="AH175" s="710"/>
      <c r="AI175" s="711" t="str">
        <f ca="1">IF(AA103&gt;0,AF103&amp;Language!$E$96&amp;AE103,"")</f>
        <v/>
      </c>
    </row>
    <row r="176" spans="25:35" x14ac:dyDescent="0.2">
      <c r="Y176" s="66" t="s">
        <v>62</v>
      </c>
      <c r="Z176" s="34" t="str">
        <f t="shared" ca="1" si="48"/>
        <v/>
      </c>
      <c r="AA176" s="12">
        <f t="shared" ca="1" si="47"/>
        <v>0</v>
      </c>
      <c r="AB176" s="12" t="str">
        <f ca="1">IF(AA176&gt;0,(Y104+AH104)&amp;Language!$E$96&amp;(X104+AG104),"")</f>
        <v/>
      </c>
      <c r="AC176" s="2"/>
      <c r="AD176" s="143"/>
      <c r="AE176" s="709"/>
      <c r="AF176" s="710"/>
      <c r="AG176" s="710"/>
      <c r="AH176" s="710"/>
      <c r="AI176" s="711" t="str">
        <f ca="1">IF(AA104&gt;0,AF104&amp;Language!$E$96&amp;AE104,"")</f>
        <v/>
      </c>
    </row>
    <row r="177" spans="25:35" x14ac:dyDescent="0.2">
      <c r="Y177" s="66" t="s">
        <v>63</v>
      </c>
      <c r="Z177" s="34" t="str">
        <f t="shared" ca="1" si="48"/>
        <v/>
      </c>
      <c r="AA177" s="12">
        <f t="shared" ca="1" si="47"/>
        <v>0</v>
      </c>
      <c r="AB177" s="12" t="str">
        <f ca="1">IF(AA177&gt;0,(Y105+AH105)&amp;Language!$E$96&amp;(X105+AG105),"")</f>
        <v/>
      </c>
      <c r="AC177" s="2"/>
      <c r="AD177" s="143"/>
      <c r="AE177" s="709"/>
      <c r="AF177" s="710"/>
      <c r="AG177" s="710"/>
      <c r="AH177" s="710"/>
      <c r="AI177" s="711" t="str">
        <f ca="1">IF(AA105&gt;0,AF105&amp;Language!$E$96&amp;AE105,"")</f>
        <v/>
      </c>
    </row>
    <row r="178" spans="25:35" x14ac:dyDescent="0.2">
      <c r="Y178" s="66" t="s">
        <v>64</v>
      </c>
      <c r="Z178" s="34" t="str">
        <f t="shared" ca="1" si="48"/>
        <v/>
      </c>
      <c r="AA178" s="12">
        <f t="shared" ca="1" si="47"/>
        <v>0</v>
      </c>
      <c r="AB178" s="12" t="str">
        <f ca="1">IF(AA178&gt;0,(Y106+AH106)&amp;Language!$E$96&amp;(X106+AG106),"")</f>
        <v/>
      </c>
      <c r="AC178" s="2"/>
      <c r="AD178" s="143"/>
      <c r="AE178" s="709"/>
      <c r="AF178" s="710"/>
      <c r="AG178" s="710"/>
      <c r="AH178" s="710"/>
      <c r="AI178" s="711" t="str">
        <f ca="1">IF(AA106&gt;0,AF106&amp;Language!$E$96&amp;AE106,"")</f>
        <v/>
      </c>
    </row>
    <row r="179" spans="25:35" x14ac:dyDescent="0.2">
      <c r="Y179" s="66" t="s">
        <v>65</v>
      </c>
      <c r="Z179" s="34" t="str">
        <f t="shared" ca="1" si="48"/>
        <v/>
      </c>
      <c r="AA179" s="12">
        <f t="shared" ca="1" si="47"/>
        <v>0</v>
      </c>
      <c r="AB179" s="12" t="str">
        <f ca="1">IF(AA179&gt;0,(Y107+AH107)&amp;Language!$E$96&amp;(X107+AG107),"")</f>
        <v/>
      </c>
      <c r="AC179" s="2"/>
      <c r="AD179" s="143"/>
      <c r="AE179" s="709"/>
      <c r="AF179" s="710"/>
      <c r="AG179" s="710"/>
      <c r="AH179" s="710"/>
      <c r="AI179" s="711" t="str">
        <f ca="1">IF(AA107&gt;0,AF107&amp;Language!$E$96&amp;AE107,"")</f>
        <v/>
      </c>
    </row>
    <row r="180" spans="25:35" ht="12.75" thickBot="1" x14ac:dyDescent="0.25">
      <c r="Y180" s="684" t="s">
        <v>66</v>
      </c>
      <c r="Z180" s="685" t="str">
        <f t="shared" ca="1" si="48"/>
        <v/>
      </c>
      <c r="AA180" s="686">
        <f t="shared" ca="1" si="47"/>
        <v>0</v>
      </c>
      <c r="AB180" s="686" t="str">
        <f ca="1">IF(AA180&gt;0,(Y108+AH108)&amp;Language!$E$96&amp;(X108+AG108),"")</f>
        <v/>
      </c>
      <c r="AC180" s="687"/>
      <c r="AD180" s="688"/>
      <c r="AE180" s="705"/>
      <c r="AF180" s="706"/>
      <c r="AG180" s="706"/>
      <c r="AH180" s="706"/>
      <c r="AI180" s="712" t="str">
        <f ca="1">IF(AA108&gt;0,AF108&amp;Language!$E$96&amp;AE108,"")</f>
        <v/>
      </c>
    </row>
    <row r="181" spans="25:35" ht="12.75" thickTop="1"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697" t="s">
        <v>109</v>
      </c>
      <c r="J3" s="697" t="s">
        <v>110</v>
      </c>
      <c r="K3" s="69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FC Barcelona</v>
      </c>
      <c r="G4" s="1">
        <f ca="1">SUMIFS($X$64:$X$135,$V$64:$V$135,$F4)+SUMIFS($Y$64:$Y$135,$W$64:$W$135,$F4)+SUMIFS($AG$64:$AG$135,$V$64:$V$135,$F4)+SUMIFS($AH$64:$AH$135,$W$64:$W$135,$F4)</f>
        <v>96</v>
      </c>
      <c r="H4" s="1">
        <f ca="1">SUMIFS($Y$64:$Y$135,$V$64:$V$135,$F4)+SUMIFS($X$64:$X$135,$W$64:$W$135,$F4)+SUMIFS($AH$64:$AH$135,$V$64:$V$135,$F4)+SUMIFS($AG$64:$AG$135,$W$64:$W$135,$F4)</f>
        <v>89</v>
      </c>
      <c r="I4" s="12">
        <f ca="1">IF(Settings!$G$7,G4-H4,IF(H4=0,IF(G4=0,0,Settings!$F$7),G4/H4))</f>
        <v>7</v>
      </c>
      <c r="J4" s="1">
        <f ca="1">SUMPRODUCT(($V$64:$V$135=F4)*$AE$64:$AE$135*$AA$64:$AA$135)+SUMPRODUCT(($W$64:$W$135=F4)*$AF$64:$AF$135*$AA$64:$AA$135)</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7</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Inter Mailand</v>
      </c>
      <c r="G5" s="1">
        <f t="shared" ref="G5:G12" ca="1" si="4">SUMIFS($X$64:$X$135,$V$64:$V$135,$F5)+SUMIFS($Y$64:$Y$135,$W$64:$W$135,$F5)+SUMIFS($AG$64:$AG$135,$V$64:$V$135,$F5)+SUMIFS($AH$64:$AH$135,$W$64:$W$135,$F5)</f>
        <v>95</v>
      </c>
      <c r="H5" s="1">
        <f t="shared" ref="H5:H12" ca="1" si="5">SUMIFS($Y$64:$Y$135,$V$64:$V$135,$F5)+SUMIFS($X$64:$X$135,$W$64:$W$135,$F5)+SUMIFS($AH$64:$AH$135,$V$64:$V$135,$F5)+SUMIFS($AG$64:$AG$135,$W$64:$W$135,$F5)</f>
        <v>72</v>
      </c>
      <c r="I5" s="12">
        <f ca="1">IF(Settings!$G$7,G5-H5,IF(H5=0,IF(G5=0,0,Settings!$F$7),G5/H5))</f>
        <v>23</v>
      </c>
      <c r="J5" s="1">
        <f t="shared" ref="J5:J12" ca="1" si="6">SUMPRODUCT(($V$64:$V$135=F5)*$AE$64:$AE$135*$AA$64:$AA$135)+SUMPRODUCT(($W$64:$W$135=F5)*$AF$64:$AF$135*$AA$64:$AA$135)</f>
        <v>2</v>
      </c>
      <c r="K5" s="1">
        <f t="shared" ref="K5:K12" ca="1" si="7">SUMPRODUCT(($V$64:$V$135=F5)*$AA$64:$AA$135)+SUMPRODUCT(($W$64:$W$135=F5)*$AA$64:$AA$135)</f>
        <v>2</v>
      </c>
      <c r="L5" s="1">
        <f t="shared" ref="L5:L12" ca="1" si="8">K5-M5-N5</f>
        <v>1</v>
      </c>
      <c r="M5" s="1">
        <f t="shared" ref="M5:M12" ca="1" si="9">SUMPRODUCT(($V$64:$W$135=F5)*($AE$64:$AE$135=$AF$64:$AF$135)*$AA$64:$AA$135)</f>
        <v>0</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23</v>
      </c>
    </row>
    <row r="6" spans="1:44" s="2" customFormat="1" x14ac:dyDescent="0.2">
      <c r="A6" s="254"/>
      <c r="B6" s="1">
        <v>3</v>
      </c>
      <c r="C6" s="21">
        <f t="shared" ca="1" si="0"/>
        <v>3</v>
      </c>
      <c r="D6" s="12">
        <f t="shared" ca="1" si="1"/>
        <v>3.0059999999999998</v>
      </c>
      <c r="E6" s="266">
        <f t="shared" ca="1" si="2"/>
        <v>3</v>
      </c>
      <c r="F6" s="1" t="str">
        <f t="shared" ca="1" si="3"/>
        <v>Borussia Dortmund</v>
      </c>
      <c r="G6" s="1">
        <f t="shared" ca="1" si="4"/>
        <v>66</v>
      </c>
      <c r="H6" s="1">
        <f t="shared" ca="1" si="5"/>
        <v>96</v>
      </c>
      <c r="I6" s="12">
        <f ca="1">IF(Settings!$G$7,G6-H6,IF(H6=0,IF(G6=0,0,Settings!$F$7),G6/H6))</f>
        <v>-30</v>
      </c>
      <c r="J6" s="1">
        <f t="shared" ca="1" si="6"/>
        <v>1</v>
      </c>
      <c r="K6" s="1">
        <f t="shared" ca="1" si="7"/>
        <v>2</v>
      </c>
      <c r="L6" s="1">
        <f t="shared" ca="1" si="8"/>
        <v>0</v>
      </c>
      <c r="M6" s="1">
        <f t="shared" ca="1" si="9"/>
        <v>1</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-30</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FC Barcelona</v>
      </c>
      <c r="D17" s="1">
        <f t="shared" ref="D17:G25" ca="1" si="11">K4</f>
        <v>2</v>
      </c>
      <c r="E17" s="1">
        <f t="shared" ca="1" si="11"/>
        <v>1</v>
      </c>
      <c r="F17" s="1">
        <f t="shared" ca="1" si="11"/>
        <v>1</v>
      </c>
      <c r="G17" s="1">
        <f t="shared" ca="1" si="11"/>
        <v>0</v>
      </c>
      <c r="H17" s="1">
        <f t="shared" ref="H17:K25" ca="1" si="12">G4</f>
        <v>96</v>
      </c>
      <c r="I17" s="1">
        <f t="shared" ca="1" si="12"/>
        <v>89</v>
      </c>
      <c r="J17" s="12">
        <f t="shared" ca="1" si="12"/>
        <v>7</v>
      </c>
      <c r="K17" s="1">
        <f t="shared" ca="1" si="12"/>
        <v>3</v>
      </c>
      <c r="L17" s="29">
        <f ca="1">K17*$F$64+(J17+$H$65)*$F$65</f>
        <v>3507000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1.0108999999999999</v>
      </c>
      <c r="Y17" s="12">
        <f ca="1">'Finals 1'!$AJ12</f>
        <v>0</v>
      </c>
      <c r="Z17" s="1">
        <f ca="1">RANK($W17,$W$17:$W$25)+(9-$Y17)/10</f>
        <v>1.9</v>
      </c>
      <c r="AA17" s="1">
        <f ca="1">SUM(E30:BP30)</f>
        <v>0</v>
      </c>
      <c r="AB17" s="1">
        <f ca="1">SUM(E41:BP41)</f>
        <v>0</v>
      </c>
      <c r="AC17" s="1"/>
      <c r="AD17" s="260">
        <f ca="1">RANK($K17,$K$17:$K$25)</f>
        <v>1</v>
      </c>
      <c r="AE17" s="29">
        <f ca="1">(J17+$H$65)*$F$65</f>
        <v>507000</v>
      </c>
      <c r="AF17" s="1">
        <f ca="1">RANK($AE17,$AE$17:$AE$25)</f>
        <v>2</v>
      </c>
      <c r="AG17" s="1">
        <f ca="1">RANK($W17,$W$17:$W$25)</f>
        <v>1</v>
      </c>
      <c r="AH17" s="262">
        <f ca="1">AD17+AG17/100+AF17/10000+(10-Y17)/1000000</f>
        <v>1.0102100000000001</v>
      </c>
      <c r="AI17" s="1"/>
    </row>
    <row r="18" spans="2:80" s="2" customFormat="1" x14ac:dyDescent="0.2">
      <c r="C18" s="2" t="str">
        <f t="shared" ref="C18:C25" ca="1" si="21">$Q65</f>
        <v>Inter Mailand</v>
      </c>
      <c r="D18" s="1">
        <f t="shared" ca="1" si="11"/>
        <v>2</v>
      </c>
      <c r="E18" s="1">
        <f t="shared" ca="1" si="11"/>
        <v>1</v>
      </c>
      <c r="F18" s="1">
        <f t="shared" ca="1" si="11"/>
        <v>0</v>
      </c>
      <c r="G18" s="1">
        <f t="shared" ca="1" si="11"/>
        <v>1</v>
      </c>
      <c r="H18" s="1">
        <f t="shared" ca="1" si="12"/>
        <v>95</v>
      </c>
      <c r="I18" s="1">
        <f t="shared" ca="1" si="12"/>
        <v>72</v>
      </c>
      <c r="J18" s="12">
        <f t="shared" ca="1" si="12"/>
        <v>23</v>
      </c>
      <c r="K18" s="1">
        <f t="shared" ca="1" si="12"/>
        <v>2</v>
      </c>
      <c r="L18" s="29">
        <f t="shared" ref="L18:L25" ca="1" si="22">K18*$F$64+(J18+$H$65)*$F$65</f>
        <v>2523000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2.0108999999999999</v>
      </c>
      <c r="Y18" s="12">
        <f ca="1">'Finals 1'!$AJ13</f>
        <v>0</v>
      </c>
      <c r="Z18" s="1">
        <f t="shared" ref="Z18:Z25" ca="1" si="26">RANK($W18,$W$17:$W$25)+(9-$Y18)/10</f>
        <v>1.9</v>
      </c>
      <c r="AA18" s="1">
        <f t="shared" ref="AA18:AA25" ca="1" si="27">SUM(E31:BP31)</f>
        <v>0</v>
      </c>
      <c r="AB18" s="1">
        <f t="shared" ref="AB18:AB25" ca="1" si="28">SUM(E42:BP42)</f>
        <v>0</v>
      </c>
      <c r="AC18" s="1"/>
      <c r="AD18" s="260">
        <f t="shared" ref="AD18:AD25" ca="1" si="29">RANK($K18,$K$17:$K$25)</f>
        <v>2</v>
      </c>
      <c r="AE18" s="29">
        <f t="shared" ref="AE18:AE25" ca="1" si="30">(J18+$H$65)*$F$65</f>
        <v>523000</v>
      </c>
      <c r="AF18" s="1">
        <f t="shared" ref="AF18:AF25" ca="1" si="31">RANK($AE18,$AE$17:$AE$25)</f>
        <v>1</v>
      </c>
      <c r="AG18" s="1">
        <f t="shared" ref="AG18:AG25" ca="1" si="32">RANK($W18,$W$17:$W$25)</f>
        <v>1</v>
      </c>
      <c r="AH18" s="263">
        <f t="shared" ref="AH18:AH25" ca="1" si="33">AD18+AG18/100+AF18/10000+(10-Y18)/1000000</f>
        <v>2.0101100000000001</v>
      </c>
      <c r="AI18" s="1"/>
    </row>
    <row r="19" spans="2:80" s="2" customFormat="1" x14ac:dyDescent="0.2">
      <c r="C19" s="2" t="str">
        <f t="shared" ca="1" si="21"/>
        <v>Borussia Dortmund</v>
      </c>
      <c r="D19" s="1">
        <f t="shared" ca="1" si="11"/>
        <v>2</v>
      </c>
      <c r="E19" s="1">
        <f t="shared" ca="1" si="11"/>
        <v>0</v>
      </c>
      <c r="F19" s="1">
        <f t="shared" ca="1" si="11"/>
        <v>1</v>
      </c>
      <c r="G19" s="1">
        <f t="shared" ca="1" si="11"/>
        <v>1</v>
      </c>
      <c r="H19" s="1">
        <f t="shared" ca="1" si="12"/>
        <v>66</v>
      </c>
      <c r="I19" s="1">
        <f t="shared" ca="1" si="12"/>
        <v>96</v>
      </c>
      <c r="J19" s="12">
        <f t="shared" ca="1" si="12"/>
        <v>-30</v>
      </c>
      <c r="K19" s="1">
        <f t="shared" ca="1" si="12"/>
        <v>1</v>
      </c>
      <c r="L19" s="29">
        <f t="shared" ca="1" si="22"/>
        <v>1470000</v>
      </c>
      <c r="M19" s="13">
        <f t="shared" ca="1" si="23"/>
        <v>1</v>
      </c>
      <c r="N19" s="13">
        <f t="array" aca="1" ref="N19" ca="1">IF($AI$15,SUM(($K$17:$K$25&gt;=K19)/COUNTIF($K$17:$K$25,$K$17:$K$25)),SUM(($L$17:$L$25&gt;=L19)/COUNTIF($L$17:$L$25,$L$17:$L$25)))</f>
        <v>3</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3.0108999999999999</v>
      </c>
      <c r="Y19" s="12">
        <f ca="1">'Finals 1'!$AJ14</f>
        <v>0</v>
      </c>
      <c r="Z19" s="1">
        <f t="shared" ca="1" si="26"/>
        <v>1.9</v>
      </c>
      <c r="AA19" s="1">
        <f t="shared" ca="1" si="27"/>
        <v>0</v>
      </c>
      <c r="AB19" s="1">
        <f t="shared" ca="1" si="28"/>
        <v>0</v>
      </c>
      <c r="AC19" s="1"/>
      <c r="AD19" s="260">
        <f t="shared" ca="1" si="29"/>
        <v>3</v>
      </c>
      <c r="AE19" s="29">
        <f t="shared" ca="1" si="30"/>
        <v>470000</v>
      </c>
      <c r="AF19" s="1">
        <f t="shared" ca="1" si="31"/>
        <v>9</v>
      </c>
      <c r="AG19" s="1">
        <f t="shared" ca="1" si="32"/>
        <v>1</v>
      </c>
      <c r="AH19" s="263">
        <f t="shared" ca="1" si="33"/>
        <v>3.01091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4.0108999999999995</v>
      </c>
      <c r="Y20" s="12">
        <v>0</v>
      </c>
      <c r="Z20" s="1">
        <f t="shared" ca="1" si="26"/>
        <v>1.9</v>
      </c>
      <c r="AA20" s="1">
        <f t="shared" ca="1" si="27"/>
        <v>0</v>
      </c>
      <c r="AB20" s="1">
        <f t="shared" ca="1" si="28"/>
        <v>0</v>
      </c>
      <c r="AC20" s="1"/>
      <c r="AD20" s="260">
        <f t="shared" ca="1" si="29"/>
        <v>4</v>
      </c>
      <c r="AE20" s="29">
        <f t="shared" ca="1" si="30"/>
        <v>500000</v>
      </c>
      <c r="AF20" s="1">
        <f t="shared" ca="1" si="31"/>
        <v>3</v>
      </c>
      <c r="AG20" s="1">
        <f t="shared" ca="1" si="32"/>
        <v>1</v>
      </c>
      <c r="AH20" s="263">
        <f t="shared" ca="1" si="33"/>
        <v>4.0103099999999996</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4.0108999999999995</v>
      </c>
      <c r="Y21" s="12">
        <v>0</v>
      </c>
      <c r="Z21" s="1">
        <f t="shared" ca="1" si="26"/>
        <v>1.9</v>
      </c>
      <c r="AA21" s="1">
        <f t="shared" ca="1" si="27"/>
        <v>0</v>
      </c>
      <c r="AB21" s="1">
        <f t="shared" ca="1" si="28"/>
        <v>0</v>
      </c>
      <c r="AC21" s="1"/>
      <c r="AD21" s="260">
        <f t="shared" ca="1" si="29"/>
        <v>4</v>
      </c>
      <c r="AE21" s="29">
        <f t="shared" ca="1" si="30"/>
        <v>500000</v>
      </c>
      <c r="AF21" s="1">
        <f t="shared" ca="1" si="31"/>
        <v>3</v>
      </c>
      <c r="AG21" s="1">
        <f t="shared" ca="1" si="32"/>
        <v>1</v>
      </c>
      <c r="AH21" s="263">
        <f t="shared" ca="1" si="33"/>
        <v>4.0103099999999996</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4.0108999999999995</v>
      </c>
      <c r="Y22" s="12">
        <v>0</v>
      </c>
      <c r="Z22" s="1">
        <f t="shared" ca="1" si="26"/>
        <v>1.9</v>
      </c>
      <c r="AA22" s="1">
        <f t="shared" ca="1" si="27"/>
        <v>0</v>
      </c>
      <c r="AB22" s="1">
        <f t="shared" ca="1" si="28"/>
        <v>0</v>
      </c>
      <c r="AC22" s="1"/>
      <c r="AD22" s="260">
        <f t="shared" ca="1" si="29"/>
        <v>4</v>
      </c>
      <c r="AE22" s="29">
        <f t="shared" ca="1" si="30"/>
        <v>500000</v>
      </c>
      <c r="AF22" s="1">
        <f t="shared" ca="1" si="31"/>
        <v>3</v>
      </c>
      <c r="AG22" s="1">
        <f t="shared" ca="1" si="32"/>
        <v>1</v>
      </c>
      <c r="AH22" s="263">
        <f t="shared" ca="1" si="33"/>
        <v>4.0103099999999996</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4.0108999999999995</v>
      </c>
      <c r="Y23" s="12">
        <v>0</v>
      </c>
      <c r="Z23" s="1">
        <f t="shared" ca="1" si="26"/>
        <v>1.9</v>
      </c>
      <c r="AA23" s="1">
        <f t="shared" ca="1" si="27"/>
        <v>0</v>
      </c>
      <c r="AB23" s="1">
        <f t="shared" ca="1" si="28"/>
        <v>0</v>
      </c>
      <c r="AC23" s="1"/>
      <c r="AD23" s="260">
        <f t="shared" ca="1" si="29"/>
        <v>4</v>
      </c>
      <c r="AE23" s="29">
        <f t="shared" ca="1" si="30"/>
        <v>500000</v>
      </c>
      <c r="AF23" s="1">
        <f t="shared" ca="1" si="31"/>
        <v>3</v>
      </c>
      <c r="AG23" s="1">
        <f t="shared" ca="1" si="32"/>
        <v>1</v>
      </c>
      <c r="AH23" s="263">
        <f t="shared" ca="1" si="33"/>
        <v>4.0103099999999996</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4.0108999999999995</v>
      </c>
      <c r="Y24" s="12">
        <v>0</v>
      </c>
      <c r="Z24" s="1">
        <f t="shared" ca="1" si="26"/>
        <v>1.9</v>
      </c>
      <c r="AA24" s="1">
        <f t="shared" ca="1" si="27"/>
        <v>0</v>
      </c>
      <c r="AB24" s="1">
        <f t="shared" ca="1" si="28"/>
        <v>0</v>
      </c>
      <c r="AC24" s="1"/>
      <c r="AD24" s="260">
        <f t="shared" ca="1" si="29"/>
        <v>4</v>
      </c>
      <c r="AE24" s="29">
        <f t="shared" ca="1" si="30"/>
        <v>500000</v>
      </c>
      <c r="AF24" s="1">
        <f t="shared" ca="1" si="31"/>
        <v>3</v>
      </c>
      <c r="AG24" s="1">
        <f t="shared" ca="1" si="32"/>
        <v>1</v>
      </c>
      <c r="AH24" s="263">
        <f t="shared" ca="1" si="33"/>
        <v>4.0103099999999996</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4.0108999999999995</v>
      </c>
      <c r="Y25" s="12">
        <v>0</v>
      </c>
      <c r="Z25" s="1">
        <f t="shared" ca="1" si="26"/>
        <v>1.9</v>
      </c>
      <c r="AA25" s="1">
        <f t="shared" ca="1" si="27"/>
        <v>0</v>
      </c>
      <c r="AB25" s="1">
        <f t="shared" ca="1" si="28"/>
        <v>0</v>
      </c>
      <c r="AC25" s="1"/>
      <c r="AD25" s="260">
        <f t="shared" ca="1" si="29"/>
        <v>4</v>
      </c>
      <c r="AE25" s="29">
        <f t="shared" ca="1" si="30"/>
        <v>500000</v>
      </c>
      <c r="AF25" s="1">
        <f t="shared" ca="1" si="31"/>
        <v>3</v>
      </c>
      <c r="AG25" s="1">
        <f t="shared" ca="1" si="32"/>
        <v>1</v>
      </c>
      <c r="AH25" s="264">
        <f t="shared" ca="1" si="33"/>
        <v>4.0103099999999996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FC Barcelona</v>
      </c>
      <c r="BT29" s="2" t="str">
        <f ca="1">$F$5</f>
        <v>Inter Mailand</v>
      </c>
      <c r="BU29" s="2" t="str">
        <f ca="1">$F$6</f>
        <v>Borussia Dortmund</v>
      </c>
      <c r="BV29" s="2" t="str">
        <f>$F$7</f>
        <v/>
      </c>
      <c r="BW29" s="2" t="str">
        <f>$F$8</f>
        <v/>
      </c>
      <c r="BX29" s="2" t="str">
        <f>$F$9</f>
        <v/>
      </c>
      <c r="BY29" s="2" t="str">
        <f>$F$10</f>
        <v/>
      </c>
      <c r="BZ29" s="2" t="str">
        <f>$F$11</f>
        <v/>
      </c>
      <c r="CA29" s="2" t="str">
        <f>$F$12</f>
        <v/>
      </c>
      <c r="CB29" s="51"/>
    </row>
    <row r="30" spans="2:80" s="2" customFormat="1" x14ac:dyDescent="0.2">
      <c r="C30" s="2" t="str">
        <f ca="1">$Q64</f>
        <v>FC Barcelona</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FC Barcelona</v>
      </c>
      <c r="BS30" s="6"/>
      <c r="BT30" s="7">
        <f t="shared" ref="BT30:CA37" ca="1" si="35">SUMIFS($X$64:$X$135,$V$64:$V$135,$BR30,$W$64:$W$135,BT$29)+SUMIFS($Y$64:$Y$135,$W$64:$W$135,$BR30,$V$64:$V$135,BT$29)+SUMIFS($AG$64:$AG$135,$V$64:$V$135,$BR30,$W$64:$W$135,BT$29)+SUMIFS($AH$64:$AH$135,$W$64:$W$135,$BR30,$V$64:$V$135,BT$29)</f>
        <v>50</v>
      </c>
      <c r="BU30" s="7">
        <f t="shared" ca="1" si="35"/>
        <v>46</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Inter Mailand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Inter Mailand</v>
      </c>
      <c r="BS31" s="8">
        <f ca="1">SUMIFS($X$64:$X$135,$V$64:$V$135,$BR31,$W$64:$W$135,BS$29)+SUMIFS($Y$64:$Y$135,$W$64:$W$135,$BR31,$V$64:$V$135,BS$29)+SUMIFS($AG$64:$AG$135,$V$64:$V$135,$BR31,$W$64:$W$135,BS$29)+SUMIFS($AH$64:$AH$135,$W$64:$W$135,$BR31,$V$64:$V$135,BS$29)</f>
        <v>45</v>
      </c>
      <c r="BT31" s="6"/>
      <c r="BU31" s="7">
        <f ca="1">SUMIFS($X$64:$X$135,$V$64:$V$135,$BR31,$W$64:$W$135,BU$29)+SUMIFS($Y$64:$Y$135,$W$64:$W$135,$BR31,$V$64:$V$135,BU$29)+SUMIFS($AG$64:$AG$135,$V$64:$V$135,$BR31,$W$64:$W$135,BU$29)+SUMIFS($AH$64:$AH$135,$W$64:$W$135,$BR31,$V$64:$V$135,BU$29)</f>
        <v>50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Borussia Dortmund</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Borussia Dortmund</v>
      </c>
      <c r="BS32" s="8">
        <f t="shared" ref="BS32:BY38" ca="1" si="37">SUMIFS($X$64:$X$135,$V$64:$V$135,$BR32,$W$64:$W$135,BS$29)+SUMIFS($Y$64:$Y$135,$W$64:$W$135,$BR32,$V$64:$V$135,BS$29)+SUMIFS($AG$64:$AG$135,$V$64:$V$135,$BR32,$W$64:$W$135,BS$29)+SUMIFS($AH$64:$AH$135,$W$64:$W$135,$BR32,$V$64:$V$135,BS$29)</f>
        <v>44</v>
      </c>
      <c r="BT32" s="8">
        <f t="shared" ca="1" si="37"/>
        <v>22</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FC Barcelona</v>
      </c>
      <c r="BT40" s="2" t="str">
        <f ca="1">$F$5</f>
        <v>Inter Mailand</v>
      </c>
      <c r="BU40" s="2" t="str">
        <f ca="1">$F$6</f>
        <v>Borussia Dortmund</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FC Barcelona</v>
      </c>
      <c r="BS41" s="6"/>
      <c r="BT41" s="7">
        <f ca="1">BT30-BS31</f>
        <v>5</v>
      </c>
      <c r="BU41" s="7">
        <f ca="1">BU30-BS32</f>
        <v>2</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Inter Mailand</v>
      </c>
      <c r="BS42" s="8">
        <f ca="1">IF(BT41="","",-1*BT41)</f>
        <v>-5</v>
      </c>
      <c r="BT42" s="6"/>
      <c r="BU42" s="7">
        <f ca="1">BU31-BT32</f>
        <v>28</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Borussia Dortmund</v>
      </c>
      <c r="BS43" s="8">
        <f ca="1">IF(BU41="","",-1*BU41)</f>
        <v>-2</v>
      </c>
      <c r="BT43" s="8">
        <f ca="1">IF(BU42="","",-1*BU42)</f>
        <v>-28</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FC Barcelona</v>
      </c>
      <c r="BT51" s="2" t="str">
        <f ca="1">$F$5</f>
        <v>Inter Mailand</v>
      </c>
      <c r="BU51" s="2" t="str">
        <f ca="1">$F$6</f>
        <v>Borussia Dortmund</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FC Barcelona</v>
      </c>
      <c r="BS52" s="6"/>
      <c r="BT52" s="7">
        <f t="shared" ref="BT52:CA58" ca="1" si="41">SUMIFS($AE$64:$AE$135,$V$64:$V$135,$BR52,$W$64:$W$135,BT$51)+SUMIFS($AF$64:$AF$135,$W$64:$W$135,$BR52,$V$64:$V$135,BT$51)</f>
        <v>2</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Inter Mailand</v>
      </c>
      <c r="BS53" s="8">
        <f t="shared" ref="BS53:BU60" ca="1" si="42">SUMIFS($AE$64:$AE$135,$V$64:$V$135,$BR53,$W$64:$W$135,BS$51)+SUMIFS($AF$64:$AF$135,$W$64:$W$135,$BR53,$V$64:$V$135,BS$51)</f>
        <v>0</v>
      </c>
      <c r="BT53" s="6"/>
      <c r="BU53" s="7">
        <f ca="1">SUMIFS($AE$64:$AE$135,$V$64:$V$135,$BR53,$W$64:$W$135,BU$51)+SUMIFS($AF$64:$AF$135,$W$64:$W$135,$BR53,$V$64:$V$135,BU$51)</f>
        <v>2</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Borussia Dortmund</v>
      </c>
      <c r="BS54" s="8">
        <f t="shared" ca="1" si="42"/>
        <v>1</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1'!$AH12="","",'Finals 1'!$AH12)</f>
        <v>FC Barcelona</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1'!$AH13="","",'Finals 1'!$AH13)</f>
        <v>Inter Mailand</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1'!$AH14="","",'Finals 1'!$AH14)</f>
        <v>Borussia Dortmund</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Eintracht Frankfurt</v>
      </c>
      <c r="G4" s="1">
        <f ca="1">SUMIFS($X$64:$X$135,$V$64:$V$135,$F4)+SUMIFS($Y$64:$Y$135,$W$64:$W$135,$F4)+SUMIFS($AG$64:$AG$135,$V$64:$V$135,$F4)+SUMIFS($AH$64:$AH$135,$W$64:$W$135,$F4)</f>
        <v>95</v>
      </c>
      <c r="H4" s="1">
        <f ca="1">SUMIFS($Y$64:$Y$135,$V$64:$V$135,$F4)+SUMIFS($X$64:$X$135,$W$64:$W$135,$F4)+SUMIFS($AH$64:$AH$135,$V$64:$V$135,$F4)+SUMIFS($AG$64:$AG$135,$W$64:$W$135,$F4)</f>
        <v>91</v>
      </c>
      <c r="I4" s="12">
        <f ca="1">IF(Settings!$G$7,G4-H4,IF(H4=0,IF(G4=0,0,Settings!$F$7),G4/H4))</f>
        <v>4</v>
      </c>
      <c r="J4" s="1">
        <f ca="1">SUMPRODUCT(($V$64:$V$135=F4)*$AE$64:$AE$135*$AA$64:$AA$135)+SUMPRODUCT(($W$64:$W$135=F4)*$AF$64:$AF$135*$AA$64:$AA$135)</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4</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SSV Wildbach</v>
      </c>
      <c r="G5" s="1">
        <f t="shared" ref="G5:G12" ca="1" si="4">SUMIFS($X$64:$X$135,$V$64:$V$135,$F5)+SUMIFS($Y$64:$Y$135,$W$64:$W$135,$F5)+SUMIFS($AG$64:$AG$135,$V$64:$V$135,$F5)+SUMIFS($AH$64:$AH$135,$W$64:$W$135,$F5)</f>
        <v>94</v>
      </c>
      <c r="H5" s="1">
        <f t="shared" ref="H5:H12" ca="1" si="5">SUMIFS($Y$64:$Y$135,$V$64:$V$135,$F5)+SUMIFS($X$64:$X$135,$W$64:$W$135,$F5)+SUMIFS($AH$64:$AH$135,$V$64:$V$135,$F5)+SUMIFS($AG$64:$AG$135,$W$64:$W$135,$F5)</f>
        <v>89</v>
      </c>
      <c r="I5" s="12">
        <f ca="1">IF(Settings!$G$7,G5-H5,IF(H5=0,IF(G5=0,0,Settings!$F$7),G5/H5))</f>
        <v>5</v>
      </c>
      <c r="J5" s="1">
        <f t="shared" ref="J5:J12" ca="1" si="6">SUMPRODUCT(($V$64:$V$135=F5)*$AE$64:$AE$135*$AA$64:$AA$135)+SUMPRODUCT(($W$64:$W$135=F5)*$AF$64:$AF$135*$AA$64:$AA$135)</f>
        <v>2</v>
      </c>
      <c r="K5" s="1">
        <f t="shared" ref="K5:K12" ca="1" si="7">SUMPRODUCT(($V$64:$V$135=F5)*$AA$64:$AA$135)+SUMPRODUCT(($W$64:$W$135=F5)*$AA$64:$AA$135)</f>
        <v>2</v>
      </c>
      <c r="L5" s="1">
        <f t="shared" ref="L5:L12" ca="1" si="8">K5-M5-N5</f>
        <v>1</v>
      </c>
      <c r="M5" s="1">
        <f t="shared" ref="M5:M12" ca="1" si="9">SUMPRODUCT(($V$64:$W$135=F5)*($AE$64:$AE$135=$AF$64:$AF$135)*$AA$64:$AA$135)</f>
        <v>0</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5</v>
      </c>
    </row>
    <row r="6" spans="1:44" s="2" customFormat="1" x14ac:dyDescent="0.2">
      <c r="A6" s="254"/>
      <c r="B6" s="1">
        <v>3</v>
      </c>
      <c r="C6" s="21">
        <f t="shared" ca="1" si="0"/>
        <v>3</v>
      </c>
      <c r="D6" s="12">
        <f t="shared" ca="1" si="1"/>
        <v>3.0059999999999998</v>
      </c>
      <c r="E6" s="266">
        <f t="shared" ca="1" si="2"/>
        <v>3</v>
      </c>
      <c r="F6" s="1" t="str">
        <f t="shared" ca="1" si="3"/>
        <v>1. FC Nürnberg</v>
      </c>
      <c r="G6" s="1">
        <f t="shared" ca="1" si="4"/>
        <v>86</v>
      </c>
      <c r="H6" s="1">
        <f t="shared" ca="1" si="5"/>
        <v>95</v>
      </c>
      <c r="I6" s="12">
        <f ca="1">IF(Settings!$G$7,G6-H6,IF(H6=0,IF(G6=0,0,Settings!$F$7),G6/H6))</f>
        <v>-9</v>
      </c>
      <c r="J6" s="1">
        <f t="shared" ca="1" si="6"/>
        <v>1</v>
      </c>
      <c r="K6" s="1">
        <f t="shared" ca="1" si="7"/>
        <v>2</v>
      </c>
      <c r="L6" s="1">
        <f t="shared" ca="1" si="8"/>
        <v>0</v>
      </c>
      <c r="M6" s="1">
        <f t="shared" ca="1" si="9"/>
        <v>1</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-9</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Eintracht Frankfurt</v>
      </c>
      <c r="D17" s="1">
        <f t="shared" ref="D17:G25" ca="1" si="11">K4</f>
        <v>2</v>
      </c>
      <c r="E17" s="1">
        <f t="shared" ca="1" si="11"/>
        <v>1</v>
      </c>
      <c r="F17" s="1">
        <f t="shared" ca="1" si="11"/>
        <v>1</v>
      </c>
      <c r="G17" s="1">
        <f t="shared" ca="1" si="11"/>
        <v>0</v>
      </c>
      <c r="H17" s="1">
        <f t="shared" ref="H17:K25" ca="1" si="12">G4</f>
        <v>95</v>
      </c>
      <c r="I17" s="1">
        <f t="shared" ca="1" si="12"/>
        <v>91</v>
      </c>
      <c r="J17" s="12">
        <f t="shared" ca="1" si="12"/>
        <v>4</v>
      </c>
      <c r="K17" s="1">
        <f t="shared" ca="1" si="12"/>
        <v>3</v>
      </c>
      <c r="L17" s="29">
        <f ca="1">K17*$F$64+(J17+$H$65)*$F$65</f>
        <v>3504000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1.0108999999999999</v>
      </c>
      <c r="Y17" s="12">
        <f ca="1">'Finals 1'!$AJ19</f>
        <v>0</v>
      </c>
      <c r="Z17" s="1">
        <f ca="1">RANK($W17,$W$17:$W$25)+(9-$Y17)/10</f>
        <v>1.9</v>
      </c>
      <c r="AA17" s="1">
        <f ca="1">SUM(E30:BP30)</f>
        <v>0</v>
      </c>
      <c r="AB17" s="1">
        <f ca="1">SUM(E41:BP41)</f>
        <v>0</v>
      </c>
      <c r="AC17" s="1"/>
      <c r="AD17" s="260">
        <f ca="1">RANK($K17,$K$17:$K$25)</f>
        <v>1</v>
      </c>
      <c r="AE17" s="29">
        <f ca="1">(J17+$H$65)*$F$65</f>
        <v>504000</v>
      </c>
      <c r="AF17" s="1">
        <f ca="1">RANK($AE17,$AE$17:$AE$25)</f>
        <v>2</v>
      </c>
      <c r="AG17" s="1">
        <f ca="1">RANK($W17,$W$17:$W$25)</f>
        <v>1</v>
      </c>
      <c r="AH17" s="262">
        <f ca="1">AD17+AG17/100+AF17/10000+(10-Y17)/1000000</f>
        <v>1.0102100000000001</v>
      </c>
      <c r="AI17" s="1"/>
    </row>
    <row r="18" spans="2:80" s="2" customFormat="1" x14ac:dyDescent="0.2">
      <c r="C18" s="2" t="str">
        <f t="shared" ref="C18:C25" ca="1" si="21">$Q65</f>
        <v>SSV Wildbach</v>
      </c>
      <c r="D18" s="1">
        <f t="shared" ca="1" si="11"/>
        <v>2</v>
      </c>
      <c r="E18" s="1">
        <f t="shared" ca="1" si="11"/>
        <v>1</v>
      </c>
      <c r="F18" s="1">
        <f t="shared" ca="1" si="11"/>
        <v>0</v>
      </c>
      <c r="G18" s="1">
        <f t="shared" ca="1" si="11"/>
        <v>1</v>
      </c>
      <c r="H18" s="1">
        <f t="shared" ca="1" si="12"/>
        <v>94</v>
      </c>
      <c r="I18" s="1">
        <f t="shared" ca="1" si="12"/>
        <v>89</v>
      </c>
      <c r="J18" s="12">
        <f t="shared" ca="1" si="12"/>
        <v>5</v>
      </c>
      <c r="K18" s="1">
        <f t="shared" ca="1" si="12"/>
        <v>2</v>
      </c>
      <c r="L18" s="29">
        <f t="shared" ref="L18:L25" ca="1" si="22">K18*$F$64+(J18+$H$65)*$F$65</f>
        <v>2505000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2.0108999999999999</v>
      </c>
      <c r="Y18" s="12">
        <f ca="1">'Finals 1'!$AJ20</f>
        <v>0</v>
      </c>
      <c r="Z18" s="1">
        <f t="shared" ref="Z18:Z25" ca="1" si="26">RANK($W18,$W$17:$W$25)+(9-$Y18)/10</f>
        <v>1.9</v>
      </c>
      <c r="AA18" s="1">
        <f t="shared" ref="AA18:AA25" ca="1" si="27">SUM(E31:BP31)</f>
        <v>0</v>
      </c>
      <c r="AB18" s="1">
        <f t="shared" ref="AB18:AB25" ca="1" si="28">SUM(E42:BP42)</f>
        <v>0</v>
      </c>
      <c r="AC18" s="1"/>
      <c r="AD18" s="260">
        <f t="shared" ref="AD18:AD25" ca="1" si="29">RANK($K18,$K$17:$K$25)</f>
        <v>2</v>
      </c>
      <c r="AE18" s="29">
        <f t="shared" ref="AE18:AE25" ca="1" si="30">(J18+$H$65)*$F$65</f>
        <v>505000</v>
      </c>
      <c r="AF18" s="1">
        <f t="shared" ref="AF18:AF25" ca="1" si="31">RANK($AE18,$AE$17:$AE$25)</f>
        <v>1</v>
      </c>
      <c r="AG18" s="1">
        <f t="shared" ref="AG18:AG25" ca="1" si="32">RANK($W18,$W$17:$W$25)</f>
        <v>1</v>
      </c>
      <c r="AH18" s="263">
        <f t="shared" ref="AH18:AH25" ca="1" si="33">AD18+AG18/100+AF18/10000+(10-Y18)/1000000</f>
        <v>2.0101100000000001</v>
      </c>
      <c r="AI18" s="1"/>
    </row>
    <row r="19" spans="2:80" s="2" customFormat="1" x14ac:dyDescent="0.2">
      <c r="C19" s="2" t="str">
        <f t="shared" ca="1" si="21"/>
        <v>1. FC Nürnberg</v>
      </c>
      <c r="D19" s="1">
        <f t="shared" ca="1" si="11"/>
        <v>2</v>
      </c>
      <c r="E19" s="1">
        <f t="shared" ca="1" si="11"/>
        <v>0</v>
      </c>
      <c r="F19" s="1">
        <f t="shared" ca="1" si="11"/>
        <v>1</v>
      </c>
      <c r="G19" s="1">
        <f t="shared" ca="1" si="11"/>
        <v>1</v>
      </c>
      <c r="H19" s="1">
        <f t="shared" ca="1" si="12"/>
        <v>86</v>
      </c>
      <c r="I19" s="1">
        <f t="shared" ca="1" si="12"/>
        <v>95</v>
      </c>
      <c r="J19" s="12">
        <f t="shared" ca="1" si="12"/>
        <v>-9</v>
      </c>
      <c r="K19" s="1">
        <f t="shared" ca="1" si="12"/>
        <v>1</v>
      </c>
      <c r="L19" s="29">
        <f t="shared" ca="1" si="22"/>
        <v>1491000</v>
      </c>
      <c r="M19" s="13">
        <f t="shared" ca="1" si="23"/>
        <v>1</v>
      </c>
      <c r="N19" s="13">
        <f t="array" aca="1" ref="N19" ca="1">IF($AI$15,SUM(($K$17:$K$25&gt;=K19)/COUNTIF($K$17:$K$25,$K$17:$K$25)),SUM(($L$17:$L$25&gt;=L19)/COUNTIF($L$17:$L$25,$L$17:$L$25)))</f>
        <v>3</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3.0108999999999999</v>
      </c>
      <c r="Y19" s="12">
        <f ca="1">'Finals 1'!$AJ21</f>
        <v>0</v>
      </c>
      <c r="Z19" s="1">
        <f t="shared" ca="1" si="26"/>
        <v>1.9</v>
      </c>
      <c r="AA19" s="1">
        <f t="shared" ca="1" si="27"/>
        <v>0</v>
      </c>
      <c r="AB19" s="1">
        <f t="shared" ca="1" si="28"/>
        <v>0</v>
      </c>
      <c r="AC19" s="1"/>
      <c r="AD19" s="260">
        <f t="shared" ca="1" si="29"/>
        <v>3</v>
      </c>
      <c r="AE19" s="29">
        <f t="shared" ca="1" si="30"/>
        <v>491000</v>
      </c>
      <c r="AF19" s="1">
        <f t="shared" ca="1" si="31"/>
        <v>9</v>
      </c>
      <c r="AG19" s="1">
        <f t="shared" ca="1" si="32"/>
        <v>1</v>
      </c>
      <c r="AH19" s="263">
        <f t="shared" ca="1" si="33"/>
        <v>3.01091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4.0108999999999995</v>
      </c>
      <c r="Y20" s="12">
        <v>0</v>
      </c>
      <c r="Z20" s="1">
        <f t="shared" ca="1" si="26"/>
        <v>1.9</v>
      </c>
      <c r="AA20" s="1">
        <f t="shared" ca="1" si="27"/>
        <v>0</v>
      </c>
      <c r="AB20" s="1">
        <f t="shared" ca="1" si="28"/>
        <v>0</v>
      </c>
      <c r="AC20" s="1"/>
      <c r="AD20" s="260">
        <f t="shared" ca="1" si="29"/>
        <v>4</v>
      </c>
      <c r="AE20" s="29">
        <f t="shared" ca="1" si="30"/>
        <v>500000</v>
      </c>
      <c r="AF20" s="1">
        <f t="shared" ca="1" si="31"/>
        <v>3</v>
      </c>
      <c r="AG20" s="1">
        <f t="shared" ca="1" si="32"/>
        <v>1</v>
      </c>
      <c r="AH20" s="263">
        <f t="shared" ca="1" si="33"/>
        <v>4.0103099999999996</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4.0108999999999995</v>
      </c>
      <c r="Y21" s="12">
        <v>0</v>
      </c>
      <c r="Z21" s="1">
        <f t="shared" ca="1" si="26"/>
        <v>1.9</v>
      </c>
      <c r="AA21" s="1">
        <f t="shared" ca="1" si="27"/>
        <v>0</v>
      </c>
      <c r="AB21" s="1">
        <f t="shared" ca="1" si="28"/>
        <v>0</v>
      </c>
      <c r="AC21" s="1"/>
      <c r="AD21" s="260">
        <f t="shared" ca="1" si="29"/>
        <v>4</v>
      </c>
      <c r="AE21" s="29">
        <f t="shared" ca="1" si="30"/>
        <v>500000</v>
      </c>
      <c r="AF21" s="1">
        <f t="shared" ca="1" si="31"/>
        <v>3</v>
      </c>
      <c r="AG21" s="1">
        <f t="shared" ca="1" si="32"/>
        <v>1</v>
      </c>
      <c r="AH21" s="263">
        <f t="shared" ca="1" si="33"/>
        <v>4.0103099999999996</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4.0108999999999995</v>
      </c>
      <c r="Y22" s="12">
        <v>0</v>
      </c>
      <c r="Z22" s="1">
        <f t="shared" ca="1" si="26"/>
        <v>1.9</v>
      </c>
      <c r="AA22" s="1">
        <f t="shared" ca="1" si="27"/>
        <v>0</v>
      </c>
      <c r="AB22" s="1">
        <f t="shared" ca="1" si="28"/>
        <v>0</v>
      </c>
      <c r="AC22" s="1"/>
      <c r="AD22" s="260">
        <f t="shared" ca="1" si="29"/>
        <v>4</v>
      </c>
      <c r="AE22" s="29">
        <f t="shared" ca="1" si="30"/>
        <v>500000</v>
      </c>
      <c r="AF22" s="1">
        <f t="shared" ca="1" si="31"/>
        <v>3</v>
      </c>
      <c r="AG22" s="1">
        <f t="shared" ca="1" si="32"/>
        <v>1</v>
      </c>
      <c r="AH22" s="263">
        <f t="shared" ca="1" si="33"/>
        <v>4.0103099999999996</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4.0108999999999995</v>
      </c>
      <c r="Y23" s="12">
        <v>0</v>
      </c>
      <c r="Z23" s="1">
        <f t="shared" ca="1" si="26"/>
        <v>1.9</v>
      </c>
      <c r="AA23" s="1">
        <f t="shared" ca="1" si="27"/>
        <v>0</v>
      </c>
      <c r="AB23" s="1">
        <f t="shared" ca="1" si="28"/>
        <v>0</v>
      </c>
      <c r="AC23" s="1"/>
      <c r="AD23" s="260">
        <f t="shared" ca="1" si="29"/>
        <v>4</v>
      </c>
      <c r="AE23" s="29">
        <f t="shared" ca="1" si="30"/>
        <v>500000</v>
      </c>
      <c r="AF23" s="1">
        <f t="shared" ca="1" si="31"/>
        <v>3</v>
      </c>
      <c r="AG23" s="1">
        <f t="shared" ca="1" si="32"/>
        <v>1</v>
      </c>
      <c r="AH23" s="263">
        <f t="shared" ca="1" si="33"/>
        <v>4.0103099999999996</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4.0108999999999995</v>
      </c>
      <c r="Y24" s="12">
        <v>0</v>
      </c>
      <c r="Z24" s="1">
        <f t="shared" ca="1" si="26"/>
        <v>1.9</v>
      </c>
      <c r="AA24" s="1">
        <f t="shared" ca="1" si="27"/>
        <v>0</v>
      </c>
      <c r="AB24" s="1">
        <f t="shared" ca="1" si="28"/>
        <v>0</v>
      </c>
      <c r="AC24" s="1"/>
      <c r="AD24" s="260">
        <f t="shared" ca="1" si="29"/>
        <v>4</v>
      </c>
      <c r="AE24" s="29">
        <f t="shared" ca="1" si="30"/>
        <v>500000</v>
      </c>
      <c r="AF24" s="1">
        <f t="shared" ca="1" si="31"/>
        <v>3</v>
      </c>
      <c r="AG24" s="1">
        <f t="shared" ca="1" si="32"/>
        <v>1</v>
      </c>
      <c r="AH24" s="263">
        <f t="shared" ca="1" si="33"/>
        <v>4.0103099999999996</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4.0108999999999995</v>
      </c>
      <c r="Y25" s="12">
        <v>0</v>
      </c>
      <c r="Z25" s="1">
        <f t="shared" ca="1" si="26"/>
        <v>1.9</v>
      </c>
      <c r="AA25" s="1">
        <f t="shared" ca="1" si="27"/>
        <v>0</v>
      </c>
      <c r="AB25" s="1">
        <f t="shared" ca="1" si="28"/>
        <v>0</v>
      </c>
      <c r="AC25" s="1"/>
      <c r="AD25" s="260">
        <f t="shared" ca="1" si="29"/>
        <v>4</v>
      </c>
      <c r="AE25" s="29">
        <f t="shared" ca="1" si="30"/>
        <v>500000</v>
      </c>
      <c r="AF25" s="1">
        <f t="shared" ca="1" si="31"/>
        <v>3</v>
      </c>
      <c r="AG25" s="1">
        <f t="shared" ca="1" si="32"/>
        <v>1</v>
      </c>
      <c r="AH25" s="264">
        <f t="shared" ca="1" si="33"/>
        <v>4.0103099999999996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Eintracht Frankfurt</v>
      </c>
      <c r="BT29" s="2" t="str">
        <f ca="1">$F$5</f>
        <v>SSV Wildbach</v>
      </c>
      <c r="BU29" s="2" t="str">
        <f ca="1">$F$6</f>
        <v>1. FC Nürnberg</v>
      </c>
      <c r="BV29" s="2" t="str">
        <f>$F$7</f>
        <v/>
      </c>
      <c r="BW29" s="2" t="str">
        <f>$F$8</f>
        <v/>
      </c>
      <c r="BX29" s="2" t="str">
        <f>$F$9</f>
        <v/>
      </c>
      <c r="BY29" s="2" t="str">
        <f>$F$10</f>
        <v/>
      </c>
      <c r="BZ29" s="2" t="str">
        <f>$F$11</f>
        <v/>
      </c>
      <c r="CA29" s="2" t="str">
        <f>$F$12</f>
        <v/>
      </c>
      <c r="CB29" s="51"/>
    </row>
    <row r="30" spans="2:80" s="2" customFormat="1" x14ac:dyDescent="0.2">
      <c r="C30" s="2" t="str">
        <f ca="1">$Q64</f>
        <v>Eintracht Frankfurt</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Eintracht Frankfurt</v>
      </c>
      <c r="BS30" s="6"/>
      <c r="BT30" s="7">
        <f t="shared" ref="BT30:CA37" ca="1" si="35">SUMIFS($X$64:$X$135,$V$64:$V$135,$BR30,$W$64:$W$135,BT$29)+SUMIFS($Y$64:$Y$135,$W$64:$W$135,$BR30,$V$64:$V$135,BT$29)+SUMIFS($AG$64:$AG$135,$V$64:$V$135,$BR30,$W$64:$W$135,BT$29)+SUMIFS($AH$64:$AH$135,$W$64:$W$135,$BR30,$V$64:$V$135,BT$29)</f>
        <v>50</v>
      </c>
      <c r="BU30" s="7">
        <f t="shared" ca="1" si="35"/>
        <v>45</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SSV Wildbach</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SSV Wildbach</v>
      </c>
      <c r="BS31" s="8">
        <f ca="1">SUMIFS($X$64:$X$135,$V$64:$V$135,$BR31,$W$64:$W$135,BS$29)+SUMIFS($Y$64:$Y$135,$W$64:$W$135,$BR31,$V$64:$V$135,BS$29)+SUMIFS($AG$64:$AG$135,$V$64:$V$135,$BR31,$W$64:$W$135,BS$29)+SUMIFS($AH$64:$AH$135,$W$64:$W$135,$BR31,$V$64:$V$135,BS$29)</f>
        <v>44</v>
      </c>
      <c r="BT31" s="6"/>
      <c r="BU31" s="7">
        <f ca="1">SUMIFS($X$64:$X$135,$V$64:$V$135,$BR31,$W$64:$W$135,BU$29)+SUMIFS($Y$64:$Y$135,$W$64:$W$135,$BR31,$V$64:$V$135,BU$29)+SUMIFS($AG$64:$AG$135,$V$64:$V$135,$BR31,$W$64:$W$135,BU$29)+SUMIFS($AH$64:$AH$135,$W$64:$W$135,$BR31,$V$64:$V$135,BU$29)</f>
        <v>50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1. FC Nürnberg</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1. FC Nürnberg</v>
      </c>
      <c r="BS32" s="8">
        <f t="shared" ref="BS32:BY38" ca="1" si="37">SUMIFS($X$64:$X$135,$V$64:$V$135,$BR32,$W$64:$W$135,BS$29)+SUMIFS($Y$64:$Y$135,$W$64:$W$135,$BR32,$V$64:$V$135,BS$29)+SUMIFS($AG$64:$AG$135,$V$64:$V$135,$BR32,$W$64:$W$135,BS$29)+SUMIFS($AH$64:$AH$135,$W$64:$W$135,$BR32,$V$64:$V$135,BS$29)</f>
        <v>47</v>
      </c>
      <c r="BT32" s="8">
        <f t="shared" ca="1" si="37"/>
        <v>39</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Eintracht Frankfurt</v>
      </c>
      <c r="BT40" s="2" t="str">
        <f ca="1">$F$5</f>
        <v>SSV Wildbach</v>
      </c>
      <c r="BU40" s="2" t="str">
        <f ca="1">$F$6</f>
        <v>1. FC Nürnberg</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Eintracht Frankfurt</v>
      </c>
      <c r="BS41" s="6"/>
      <c r="BT41" s="7">
        <f ca="1">BT30-BS31</f>
        <v>6</v>
      </c>
      <c r="BU41" s="7">
        <f ca="1">BU30-BS32</f>
        <v>-2</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SSV Wildbach</v>
      </c>
      <c r="BS42" s="8">
        <f ca="1">IF(BT41="","",-1*BT41)</f>
        <v>-6</v>
      </c>
      <c r="BT42" s="6"/>
      <c r="BU42" s="7">
        <f ca="1">BU31-BT32</f>
        <v>11</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1. FC Nürnberg</v>
      </c>
      <c r="BS43" s="8">
        <f ca="1">IF(BU41="","",-1*BU41)</f>
        <v>2</v>
      </c>
      <c r="BT43" s="8">
        <f ca="1">IF(BU42="","",-1*BU42)</f>
        <v>-11</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Eintracht Frankfurt</v>
      </c>
      <c r="BT51" s="2" t="str">
        <f ca="1">$F$5</f>
        <v>SSV Wildbach</v>
      </c>
      <c r="BU51" s="2" t="str">
        <f ca="1">$F$6</f>
        <v>1. FC Nürnberg</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Eintracht Frankfurt</v>
      </c>
      <c r="BS52" s="6"/>
      <c r="BT52" s="7">
        <f t="shared" ref="BT52:CA58" ca="1" si="41">SUMIFS($AE$64:$AE$135,$V$64:$V$135,$BR52,$W$64:$W$135,BT$51)+SUMIFS($AF$64:$AF$135,$W$64:$W$135,$BR52,$V$64:$V$135,BT$51)</f>
        <v>2</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SSV Wildbach</v>
      </c>
      <c r="BS53" s="8">
        <f t="shared" ref="BS53:BU60" ca="1" si="42">SUMIFS($AE$64:$AE$135,$V$64:$V$135,$BR53,$W$64:$W$135,BS$51)+SUMIFS($AF$64:$AF$135,$W$64:$W$135,$BR53,$V$64:$V$135,BS$51)</f>
        <v>0</v>
      </c>
      <c r="BT53" s="6"/>
      <c r="BU53" s="7">
        <f ca="1">SUMIFS($AE$64:$AE$135,$V$64:$V$135,$BR53,$W$64:$W$135,BU$51)+SUMIFS($AF$64:$AF$135,$W$64:$W$135,$BR53,$V$64:$V$135,BU$51)</f>
        <v>2</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1. FC Nürnberg</v>
      </c>
      <c r="BS54" s="8">
        <f t="shared" ca="1" si="42"/>
        <v>1</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1'!$AH19="","",'Finals 1'!$AH19)</f>
        <v>Eintracht Frankfurt</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1'!$AH20="","",'Finals 1'!$AH20)</f>
        <v>SSV Wildbach</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1'!$AH21="","",'Finals 1'!$AH21)</f>
        <v>1. FC Nürnberg</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VFB Essenheim</v>
      </c>
      <c r="G4" s="1">
        <f ca="1">SUMIFS($X$64:$X$135,$V$64:$V$135,$F4)+SUMIFS($Y$64:$Y$135,$W$64:$W$135,$F4)+SUMIFS($AG$64:$AG$135,$V$64:$V$135,$F4)+SUMIFS($AH$64:$AH$135,$W$64:$W$135,$F4)</f>
        <v>94</v>
      </c>
      <c r="H4" s="1">
        <f ca="1">SUMIFS($Y$64:$Y$135,$V$64:$V$135,$F4)+SUMIFS($X$64:$X$135,$W$64:$W$135,$F4)+SUMIFS($AH$64:$AH$135,$V$64:$V$135,$F4)+SUMIFS($AG$64:$AG$135,$W$64:$W$135,$F4)</f>
        <v>81</v>
      </c>
      <c r="I4" s="12">
        <f ca="1">IF(Settings!$G$7,G4-H4,IF(H4=0,IF(G4=0,0,Settings!$F$7),G4/H4))</f>
        <v>13</v>
      </c>
      <c r="J4" s="1">
        <f ca="1">SUMPRODUCT(($V$64:$V$135=F4)*$AE$64:$AE$135*$AA$64:$AA$135)+SUMPRODUCT(($W$64:$W$135=F4)*$AF$64:$AF$135*$AA$64:$AA$135)</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13</v>
      </c>
    </row>
    <row r="5" spans="1:44" s="2" customFormat="1" x14ac:dyDescent="0.2">
      <c r="A5" s="254"/>
      <c r="B5" s="1">
        <v>2</v>
      </c>
      <c r="C5" s="21">
        <f t="shared" ref="C5:C12" ca="1" si="0">RANK(D5,$D$4:$D$12,1)</f>
        <v>3</v>
      </c>
      <c r="D5" s="12">
        <f t="shared" ref="D5:D12" ca="1" si="1">E5+ROW()/1000+(F5="")*10</f>
        <v>9.0050000000000008</v>
      </c>
      <c r="E5" s="266">
        <f t="shared" ref="E5:E12" ca="1" si="2">IF($AI$15,RANK(AH18,AH$17:AH$25,1),RANK(X18,X$17:X$25,1))</f>
        <v>9</v>
      </c>
      <c r="F5" s="1" t="str">
        <f t="shared" ref="F5:F12" ca="1" si="3">$Q65</f>
        <v>FC Grönlingen</v>
      </c>
      <c r="G5" s="1">
        <f t="shared" ref="G5:G12" ca="1" si="4">SUMIFS($X$64:$X$135,$V$64:$V$135,$F5)+SUMIFS($Y$64:$Y$135,$W$64:$W$135,$F5)+SUMIFS($AG$64:$AG$135,$V$64:$V$135,$F5)+SUMIFS($AH$64:$AH$135,$W$64:$W$135,$F5)</f>
        <v>80</v>
      </c>
      <c r="H5" s="1">
        <f t="shared" ref="H5:H12" ca="1" si="5">SUMIFS($Y$64:$Y$135,$V$64:$V$135,$F5)+SUMIFS($X$64:$X$135,$W$64:$W$135,$F5)+SUMIFS($AH$64:$AH$135,$V$64:$V$135,$F5)+SUMIFS($AG$64:$AG$135,$W$64:$W$135,$F5)</f>
        <v>100</v>
      </c>
      <c r="I5" s="12">
        <f ca="1">IF(Settings!$G$7,G5-H5,IF(H5=0,IF(G5=0,0,Settings!$F$7),G5/H5))</f>
        <v>-20</v>
      </c>
      <c r="J5" s="1">
        <f t="shared" ref="J5:J12" ca="1" si="6">SUMPRODUCT(($V$64:$V$135=F5)*$AE$64:$AE$135*$AA$64:$AA$135)+SUMPRODUCT(($W$64:$W$135=F5)*$AF$64:$AF$135*$AA$64:$AA$135)</f>
        <v>0</v>
      </c>
      <c r="K5" s="1">
        <f t="shared" ref="K5:K12" ca="1" si="7">SUMPRODUCT(($V$64:$V$135=F5)*$AA$64:$AA$135)+SUMPRODUCT(($W$64:$W$135=F5)*$AA$64:$AA$135)</f>
        <v>2</v>
      </c>
      <c r="L5" s="1">
        <f t="shared" ref="L5:L12" ca="1" si="8">K5-M5-N5</f>
        <v>0</v>
      </c>
      <c r="M5" s="1">
        <f t="shared" ref="M5:M12" ca="1" si="9">SUMPRODUCT(($V$64:$W$135=F5)*($AE$64:$AE$135=$AF$64:$AF$135)*$AA$64:$AA$135)</f>
        <v>0</v>
      </c>
      <c r="N5" s="1">
        <f t="shared" ref="N5:N12" ca="1" si="10">SUMPRODUCT(($V$64:$V$135=F5)*($AE$64:$AE$135&lt;$AF$64:$AF$135)*$AA$64:$AA$135)+SUMPRODUCT(($W$64:$W$135=F5)*($AE$64:$AE$135&gt;$AF$64:$AF$135)*$AA$64:$AA$135)</f>
        <v>2</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-20</v>
      </c>
    </row>
    <row r="6" spans="1:44" s="2" customFormat="1" x14ac:dyDescent="0.2">
      <c r="A6" s="254"/>
      <c r="B6" s="1">
        <v>3</v>
      </c>
      <c r="C6" s="21">
        <f t="shared" ca="1" si="0"/>
        <v>2</v>
      </c>
      <c r="D6" s="12">
        <f t="shared" ca="1" si="1"/>
        <v>2.0059999999999998</v>
      </c>
      <c r="E6" s="266">
        <f t="shared" ca="1" si="2"/>
        <v>2</v>
      </c>
      <c r="F6" s="1" t="str">
        <f t="shared" ca="1" si="3"/>
        <v>Real Madrid</v>
      </c>
      <c r="G6" s="1">
        <f t="shared" ca="1" si="4"/>
        <v>89</v>
      </c>
      <c r="H6" s="1">
        <f t="shared" ca="1" si="5"/>
        <v>82</v>
      </c>
      <c r="I6" s="12">
        <f ca="1">IF(Settings!$G$7,G6-H6,IF(H6=0,IF(G6=0,0,Settings!$F$7),G6/H6))</f>
        <v>7</v>
      </c>
      <c r="J6" s="1">
        <f t="shared" ca="1" si="6"/>
        <v>3</v>
      </c>
      <c r="K6" s="1">
        <f t="shared" ca="1" si="7"/>
        <v>2</v>
      </c>
      <c r="L6" s="1">
        <f t="shared" ca="1" si="8"/>
        <v>1</v>
      </c>
      <c r="M6" s="1">
        <f t="shared" ca="1" si="9"/>
        <v>1</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7</v>
      </c>
    </row>
    <row r="7" spans="1:44" s="2" customFormat="1" x14ac:dyDescent="0.2">
      <c r="A7" s="254"/>
      <c r="B7" s="1">
        <v>4</v>
      </c>
      <c r="C7" s="21">
        <f t="shared" ca="1" si="0"/>
        <v>4</v>
      </c>
      <c r="D7" s="12">
        <f t="shared" ca="1" si="1"/>
        <v>13.007</v>
      </c>
      <c r="E7" s="266">
        <f t="shared" ca="1" si="2"/>
        <v>3</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13.007999999999999</v>
      </c>
      <c r="E8" s="266">
        <f t="shared" ca="1" si="2"/>
        <v>3</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13.009</v>
      </c>
      <c r="E9" s="266">
        <f t="shared" ca="1" si="2"/>
        <v>3</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13.01</v>
      </c>
      <c r="E10" s="266">
        <f t="shared" ca="1" si="2"/>
        <v>3</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13.010999999999999</v>
      </c>
      <c r="E11" s="266">
        <f t="shared" ca="1" si="2"/>
        <v>3</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13.012</v>
      </c>
      <c r="E12" s="266">
        <f t="shared" ca="1" si="2"/>
        <v>3</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VFB Essenheim</v>
      </c>
      <c r="D17" s="1">
        <f t="shared" ref="D17:G25" ca="1" si="11">K4</f>
        <v>2</v>
      </c>
      <c r="E17" s="1">
        <f t="shared" ca="1" si="11"/>
        <v>1</v>
      </c>
      <c r="F17" s="1">
        <f t="shared" ca="1" si="11"/>
        <v>1</v>
      </c>
      <c r="G17" s="1">
        <f t="shared" ca="1" si="11"/>
        <v>0</v>
      </c>
      <c r="H17" s="1">
        <f t="shared" ref="H17:K25" ca="1" si="12">G4</f>
        <v>94</v>
      </c>
      <c r="I17" s="1">
        <f t="shared" ca="1" si="12"/>
        <v>81</v>
      </c>
      <c r="J17" s="12">
        <f t="shared" ca="1" si="12"/>
        <v>13</v>
      </c>
      <c r="K17" s="1">
        <f t="shared" ca="1" si="12"/>
        <v>3</v>
      </c>
      <c r="L17" s="29">
        <f ca="1">K17*$F$64+(J17+$H$65)*$F$65</f>
        <v>3513000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1.0108999999999999</v>
      </c>
      <c r="Y17" s="12">
        <f ca="1">'Finals 1'!$AJ26</f>
        <v>0</v>
      </c>
      <c r="Z17" s="1">
        <f ca="1">RANK($W17,$W$17:$W$25)+(9-$Y17)/10</f>
        <v>1.9</v>
      </c>
      <c r="AA17" s="1">
        <f ca="1">SUM(E30:BP30)</f>
        <v>0</v>
      </c>
      <c r="AB17" s="1">
        <f ca="1">SUM(E41:BP41)</f>
        <v>0</v>
      </c>
      <c r="AC17" s="1"/>
      <c r="AD17" s="260">
        <f ca="1">RANK($K17,$K$17:$K$25)</f>
        <v>1</v>
      </c>
      <c r="AE17" s="29">
        <f ca="1">(J17+$H$65)*$F$65</f>
        <v>513000</v>
      </c>
      <c r="AF17" s="1">
        <f ca="1">RANK($AE17,$AE$17:$AE$25)</f>
        <v>1</v>
      </c>
      <c r="AG17" s="1">
        <f ca="1">RANK($W17,$W$17:$W$25)</f>
        <v>1</v>
      </c>
      <c r="AH17" s="262">
        <f ca="1">AD17+AG17/100+AF17/10000+(10-Y17)/1000000</f>
        <v>1.0101100000000001</v>
      </c>
      <c r="AI17" s="1"/>
    </row>
    <row r="18" spans="2:80" s="2" customFormat="1" x14ac:dyDescent="0.2">
      <c r="C18" s="2" t="str">
        <f t="shared" ref="C18:C25" ca="1" si="21">$Q65</f>
        <v>FC Grönlingen</v>
      </c>
      <c r="D18" s="1">
        <f t="shared" ca="1" si="11"/>
        <v>2</v>
      </c>
      <c r="E18" s="1">
        <f t="shared" ca="1" si="11"/>
        <v>0</v>
      </c>
      <c r="F18" s="1">
        <f t="shared" ca="1" si="11"/>
        <v>0</v>
      </c>
      <c r="G18" s="1">
        <f t="shared" ca="1" si="11"/>
        <v>2</v>
      </c>
      <c r="H18" s="1">
        <f t="shared" ca="1" si="12"/>
        <v>80</v>
      </c>
      <c r="I18" s="1">
        <f t="shared" ca="1" si="12"/>
        <v>100</v>
      </c>
      <c r="J18" s="12">
        <f t="shared" ca="1" si="12"/>
        <v>-20</v>
      </c>
      <c r="K18" s="1">
        <f t="shared" ca="1" si="12"/>
        <v>0</v>
      </c>
      <c r="L18" s="29">
        <f t="shared" ref="L18:L25" ca="1" si="22">K18*$F$64+(J18+$H$65)*$F$65</f>
        <v>480000</v>
      </c>
      <c r="M18" s="13">
        <f t="shared" ref="M18:M25" ca="1" si="23">IF($AI$15,COUNTIF($K$17:$K$25,K18),COUNTIF($L$17:$L$25,L18))</f>
        <v>1</v>
      </c>
      <c r="N18" s="13">
        <f t="array" aca="1" ref="N18" ca="1">IF($AI$15,SUM(($K$17:$K$25&gt;=K18)/COUNTIF($K$17:$K$25,$K$17:$K$25)),SUM(($L$17:$L$25&gt;=L18)/COUNTIF($L$17:$L$25,$L$17:$L$25)))</f>
        <v>3.9999999999999991</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9.0108999999999995</v>
      </c>
      <c r="Y18" s="12">
        <f ca="1">'Finals 1'!$AJ27</f>
        <v>0</v>
      </c>
      <c r="Z18" s="1">
        <f t="shared" ref="Z18:Z25" ca="1" si="26">RANK($W18,$W$17:$W$25)+(9-$Y18)/10</f>
        <v>1.9</v>
      </c>
      <c r="AA18" s="1">
        <f t="shared" ref="AA18:AA25" ca="1" si="27">SUM(E31:BP31)</f>
        <v>0</v>
      </c>
      <c r="AB18" s="1">
        <f t="shared" ref="AB18:AB25" ca="1" si="28">SUM(E42:BP42)</f>
        <v>0</v>
      </c>
      <c r="AC18" s="1"/>
      <c r="AD18" s="260">
        <f t="shared" ref="AD18:AD25" ca="1" si="29">RANK($K18,$K$17:$K$25)</f>
        <v>3</v>
      </c>
      <c r="AE18" s="29">
        <f t="shared" ref="AE18:AE25" ca="1" si="30">(J18+$H$65)*$F$65</f>
        <v>480000</v>
      </c>
      <c r="AF18" s="1">
        <f t="shared" ref="AF18:AF25" ca="1" si="31">RANK($AE18,$AE$17:$AE$25)</f>
        <v>9</v>
      </c>
      <c r="AG18" s="1">
        <f t="shared" ref="AG18:AG25" ca="1" si="32">RANK($W18,$W$17:$W$25)</f>
        <v>1</v>
      </c>
      <c r="AH18" s="263">
        <f t="shared" ref="AH18:AH25" ca="1" si="33">AD18+AG18/100+AF18/10000+(10-Y18)/1000000</f>
        <v>3.01091</v>
      </c>
      <c r="AI18" s="1"/>
    </row>
    <row r="19" spans="2:80" s="2" customFormat="1" x14ac:dyDescent="0.2">
      <c r="C19" s="2" t="str">
        <f t="shared" ca="1" si="21"/>
        <v>Real Madrid</v>
      </c>
      <c r="D19" s="1">
        <f t="shared" ca="1" si="11"/>
        <v>2</v>
      </c>
      <c r="E19" s="1">
        <f t="shared" ca="1" si="11"/>
        <v>1</v>
      </c>
      <c r="F19" s="1">
        <f t="shared" ca="1" si="11"/>
        <v>1</v>
      </c>
      <c r="G19" s="1">
        <f t="shared" ca="1" si="11"/>
        <v>0</v>
      </c>
      <c r="H19" s="1">
        <f t="shared" ca="1" si="12"/>
        <v>89</v>
      </c>
      <c r="I19" s="1">
        <f t="shared" ca="1" si="12"/>
        <v>82</v>
      </c>
      <c r="J19" s="12">
        <f t="shared" ca="1" si="12"/>
        <v>7</v>
      </c>
      <c r="K19" s="1">
        <f t="shared" ca="1" si="12"/>
        <v>3</v>
      </c>
      <c r="L19" s="29">
        <f t="shared" ca="1" si="22"/>
        <v>3507000</v>
      </c>
      <c r="M19" s="13">
        <f t="shared" ca="1" si="23"/>
        <v>1</v>
      </c>
      <c r="N19" s="13">
        <f t="array" aca="1" ref="N19" ca="1">IF($AI$15,SUM(($K$17:$K$25&gt;=K19)/COUNTIF($K$17:$K$25,$K$17:$K$25)),SUM(($L$17:$L$25&gt;=L19)/COUNTIF($L$17:$L$25,$L$17:$L$25)))</f>
        <v>2</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2.0108999999999999</v>
      </c>
      <c r="Y19" s="12">
        <f ca="1">'Finals 1'!$AJ28</f>
        <v>0</v>
      </c>
      <c r="Z19" s="1">
        <f t="shared" ca="1" si="26"/>
        <v>1.9</v>
      </c>
      <c r="AA19" s="1">
        <f t="shared" ca="1" si="27"/>
        <v>0</v>
      </c>
      <c r="AB19" s="1">
        <f t="shared" ca="1" si="28"/>
        <v>0</v>
      </c>
      <c r="AC19" s="1"/>
      <c r="AD19" s="260">
        <f t="shared" ca="1" si="29"/>
        <v>1</v>
      </c>
      <c r="AE19" s="29">
        <f t="shared" ca="1" si="30"/>
        <v>507000</v>
      </c>
      <c r="AF19" s="1">
        <f t="shared" ca="1" si="31"/>
        <v>2</v>
      </c>
      <c r="AG19" s="1">
        <f t="shared" ca="1" si="32"/>
        <v>1</v>
      </c>
      <c r="AH19" s="263">
        <f t="shared" ca="1" si="33"/>
        <v>1.0102100000000001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2.9999999999999991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3.0108999999999999</v>
      </c>
      <c r="Y20" s="12">
        <v>0</v>
      </c>
      <c r="Z20" s="1">
        <f t="shared" ca="1" si="26"/>
        <v>1.9</v>
      </c>
      <c r="AA20" s="1">
        <f t="shared" ca="1" si="27"/>
        <v>0</v>
      </c>
      <c r="AB20" s="1">
        <f t="shared" ca="1" si="28"/>
        <v>0</v>
      </c>
      <c r="AC20" s="1"/>
      <c r="AD20" s="260">
        <f t="shared" ca="1" si="29"/>
        <v>3</v>
      </c>
      <c r="AE20" s="29">
        <f t="shared" ca="1" si="30"/>
        <v>500000</v>
      </c>
      <c r="AF20" s="1">
        <f t="shared" ca="1" si="31"/>
        <v>3</v>
      </c>
      <c r="AG20" s="1">
        <f t="shared" ca="1" si="32"/>
        <v>1</v>
      </c>
      <c r="AH20" s="263">
        <f t="shared" ca="1" si="33"/>
        <v>3.01031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2.9999999999999991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3.0108999999999999</v>
      </c>
      <c r="Y21" s="12">
        <v>0</v>
      </c>
      <c r="Z21" s="1">
        <f t="shared" ca="1" si="26"/>
        <v>1.9</v>
      </c>
      <c r="AA21" s="1">
        <f t="shared" ca="1" si="27"/>
        <v>0</v>
      </c>
      <c r="AB21" s="1">
        <f t="shared" ca="1" si="28"/>
        <v>0</v>
      </c>
      <c r="AC21" s="1"/>
      <c r="AD21" s="260">
        <f t="shared" ca="1" si="29"/>
        <v>3</v>
      </c>
      <c r="AE21" s="29">
        <f t="shared" ca="1" si="30"/>
        <v>500000</v>
      </c>
      <c r="AF21" s="1">
        <f t="shared" ca="1" si="31"/>
        <v>3</v>
      </c>
      <c r="AG21" s="1">
        <f t="shared" ca="1" si="32"/>
        <v>1</v>
      </c>
      <c r="AH21" s="263">
        <f t="shared" ca="1" si="33"/>
        <v>3.01031</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2.9999999999999991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3.0108999999999999</v>
      </c>
      <c r="Y22" s="12">
        <v>0</v>
      </c>
      <c r="Z22" s="1">
        <f t="shared" ca="1" si="26"/>
        <v>1.9</v>
      </c>
      <c r="AA22" s="1">
        <f t="shared" ca="1" si="27"/>
        <v>0</v>
      </c>
      <c r="AB22" s="1">
        <f t="shared" ca="1" si="28"/>
        <v>0</v>
      </c>
      <c r="AC22" s="1"/>
      <c r="AD22" s="260">
        <f t="shared" ca="1" si="29"/>
        <v>3</v>
      </c>
      <c r="AE22" s="29">
        <f t="shared" ca="1" si="30"/>
        <v>500000</v>
      </c>
      <c r="AF22" s="1">
        <f t="shared" ca="1" si="31"/>
        <v>3</v>
      </c>
      <c r="AG22" s="1">
        <f t="shared" ca="1" si="32"/>
        <v>1</v>
      </c>
      <c r="AH22" s="263">
        <f t="shared" ca="1" si="33"/>
        <v>3.01031</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2.9999999999999991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3.0108999999999999</v>
      </c>
      <c r="Y23" s="12">
        <v>0</v>
      </c>
      <c r="Z23" s="1">
        <f t="shared" ca="1" si="26"/>
        <v>1.9</v>
      </c>
      <c r="AA23" s="1">
        <f t="shared" ca="1" si="27"/>
        <v>0</v>
      </c>
      <c r="AB23" s="1">
        <f t="shared" ca="1" si="28"/>
        <v>0</v>
      </c>
      <c r="AC23" s="1"/>
      <c r="AD23" s="260">
        <f t="shared" ca="1" si="29"/>
        <v>3</v>
      </c>
      <c r="AE23" s="29">
        <f t="shared" ca="1" si="30"/>
        <v>500000</v>
      </c>
      <c r="AF23" s="1">
        <f t="shared" ca="1" si="31"/>
        <v>3</v>
      </c>
      <c r="AG23" s="1">
        <f t="shared" ca="1" si="32"/>
        <v>1</v>
      </c>
      <c r="AH23" s="263">
        <f t="shared" ca="1" si="33"/>
        <v>3.01031</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2.9999999999999991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3.0108999999999999</v>
      </c>
      <c r="Y24" s="12">
        <v>0</v>
      </c>
      <c r="Z24" s="1">
        <f t="shared" ca="1" si="26"/>
        <v>1.9</v>
      </c>
      <c r="AA24" s="1">
        <f t="shared" ca="1" si="27"/>
        <v>0</v>
      </c>
      <c r="AB24" s="1">
        <f t="shared" ca="1" si="28"/>
        <v>0</v>
      </c>
      <c r="AC24" s="1"/>
      <c r="AD24" s="260">
        <f t="shared" ca="1" si="29"/>
        <v>3</v>
      </c>
      <c r="AE24" s="29">
        <f t="shared" ca="1" si="30"/>
        <v>500000</v>
      </c>
      <c r="AF24" s="1">
        <f t="shared" ca="1" si="31"/>
        <v>3</v>
      </c>
      <c r="AG24" s="1">
        <f t="shared" ca="1" si="32"/>
        <v>1</v>
      </c>
      <c r="AH24" s="263">
        <f t="shared" ca="1" si="33"/>
        <v>3.01031</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2.9999999999999991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3.0108999999999999</v>
      </c>
      <c r="Y25" s="12">
        <v>0</v>
      </c>
      <c r="Z25" s="1">
        <f t="shared" ca="1" si="26"/>
        <v>1.9</v>
      </c>
      <c r="AA25" s="1">
        <f t="shared" ca="1" si="27"/>
        <v>0</v>
      </c>
      <c r="AB25" s="1">
        <f t="shared" ca="1" si="28"/>
        <v>0</v>
      </c>
      <c r="AC25" s="1"/>
      <c r="AD25" s="260">
        <f t="shared" ca="1" si="29"/>
        <v>3</v>
      </c>
      <c r="AE25" s="29">
        <f t="shared" ca="1" si="30"/>
        <v>500000</v>
      </c>
      <c r="AF25" s="1">
        <f t="shared" ca="1" si="31"/>
        <v>3</v>
      </c>
      <c r="AG25" s="1">
        <f t="shared" ca="1" si="32"/>
        <v>1</v>
      </c>
      <c r="AH25" s="264">
        <f t="shared" ca="1" si="33"/>
        <v>3.01031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VFB Essenheim</v>
      </c>
      <c r="BT29" s="2" t="str">
        <f ca="1">$F$5</f>
        <v>FC Grönlingen</v>
      </c>
      <c r="BU29" s="2" t="str">
        <f ca="1">$F$6</f>
        <v>Real Madrid</v>
      </c>
      <c r="BV29" s="2" t="str">
        <f>$F$7</f>
        <v/>
      </c>
      <c r="BW29" s="2" t="str">
        <f>$F$8</f>
        <v/>
      </c>
      <c r="BX29" s="2" t="str">
        <f>$F$9</f>
        <v/>
      </c>
      <c r="BY29" s="2" t="str">
        <f>$F$10</f>
        <v/>
      </c>
      <c r="BZ29" s="2" t="str">
        <f>$F$11</f>
        <v/>
      </c>
      <c r="CA29" s="2" t="str">
        <f>$F$12</f>
        <v/>
      </c>
      <c r="CB29" s="51"/>
    </row>
    <row r="30" spans="2:80" s="2" customFormat="1" x14ac:dyDescent="0.2">
      <c r="C30" s="2" t="str">
        <f ca="1">$Q64</f>
        <v>VFB Essenheim</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VFB Essenheim</v>
      </c>
      <c r="BS30" s="6"/>
      <c r="BT30" s="7">
        <f t="shared" ref="BT30:CA37" ca="1" si="35">SUMIFS($X$64:$X$135,$V$64:$V$135,$BR30,$W$64:$W$135,BT$29)+SUMIFS($Y$64:$Y$135,$W$64:$W$135,$BR30,$V$64:$V$135,BT$29)+SUMIFS($AG$64:$AG$135,$V$64:$V$135,$BR30,$W$64:$W$135,BT$29)+SUMIFS($AH$64:$AH$135,$W$64:$W$135,$BR30,$V$64:$V$135,BT$29)</f>
        <v>50</v>
      </c>
      <c r="BU30" s="7">
        <f t="shared" ca="1" si="35"/>
        <v>44</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FC Grönlingen</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FC Grönlingen</v>
      </c>
      <c r="BS31" s="8">
        <f ca="1">SUMIFS($X$64:$X$135,$V$64:$V$135,$BR31,$W$64:$W$135,BS$29)+SUMIFS($Y$64:$Y$135,$W$64:$W$135,$BR31,$V$64:$V$135,BS$29)+SUMIFS($AG$64:$AG$135,$V$64:$V$135,$BR31,$W$64:$W$135,BS$29)+SUMIFS($AH$64:$AH$135,$W$64:$W$135,$BR31,$V$64:$V$135,BS$29)</f>
        <v>42</v>
      </c>
      <c r="BT31" s="6"/>
      <c r="BU31" s="7">
        <f ca="1">SUMIFS($X$64:$X$135,$V$64:$V$135,$BR31,$W$64:$W$135,BU$29)+SUMIFS($Y$64:$Y$135,$W$64:$W$135,$BR31,$V$64:$V$135,BU$29)+SUMIFS($AG$64:$AG$135,$V$64:$V$135,$BR31,$W$64:$W$135,BU$29)+SUMIFS($AH$64:$AH$135,$W$64:$W$135,$BR31,$V$64:$V$135,BU$29)</f>
        <v>38</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Real Madrid</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Real Madrid</v>
      </c>
      <c r="BS32" s="8">
        <f t="shared" ref="BS32:BY38" ca="1" si="37">SUMIFS($X$64:$X$135,$V$64:$V$135,$BR32,$W$64:$W$135,BS$29)+SUMIFS($Y$64:$Y$135,$W$64:$W$135,$BR32,$V$64:$V$135,BS$29)+SUMIFS($AG$64:$AG$135,$V$64:$V$135,$BR32,$W$64:$W$135,BS$29)+SUMIFS($AH$64:$AH$135,$W$64:$W$135,$BR32,$V$64:$V$135,BS$29)</f>
        <v>39</v>
      </c>
      <c r="BT32" s="8">
        <f t="shared" ca="1" si="37"/>
        <v>50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VFB Essenheim</v>
      </c>
      <c r="BT40" s="2" t="str">
        <f ca="1">$F$5</f>
        <v>FC Grönlingen</v>
      </c>
      <c r="BU40" s="2" t="str">
        <f ca="1">$F$6</f>
        <v>Real Madrid</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VFB Essenheim</v>
      </c>
      <c r="BS41" s="6"/>
      <c r="BT41" s="7">
        <f ca="1">BT30-BS31</f>
        <v>8</v>
      </c>
      <c r="BU41" s="7">
        <f ca="1">BU30-BS32</f>
        <v>5</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FC Grönlingen</v>
      </c>
      <c r="BS42" s="8">
        <f ca="1">IF(BT41="","",-1*BT41)</f>
        <v>-8</v>
      </c>
      <c r="BT42" s="6"/>
      <c r="BU42" s="7">
        <f ca="1">BU31-BT32</f>
        <v>-12</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Real Madrid</v>
      </c>
      <c r="BS43" s="8">
        <f ca="1">IF(BU41="","",-1*BU41)</f>
        <v>-5</v>
      </c>
      <c r="BT43" s="8">
        <f ca="1">IF(BU42="","",-1*BU42)</f>
        <v>12</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VFB Essenheim</v>
      </c>
      <c r="BT51" s="2" t="str">
        <f ca="1">$F$5</f>
        <v>FC Grönlingen</v>
      </c>
      <c r="BU51" s="2" t="str">
        <f ca="1">$F$6</f>
        <v>Real Madrid</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VFB Essenheim</v>
      </c>
      <c r="BS52" s="6"/>
      <c r="BT52" s="7">
        <f t="shared" ref="BT52:CA58" ca="1" si="41">SUMIFS($AE$64:$AE$135,$V$64:$V$135,$BR52,$W$64:$W$135,BT$51)+SUMIFS($AF$64:$AF$135,$W$64:$W$135,$BR52,$V$64:$V$135,BT$51)</f>
        <v>2</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FC Grönlingen</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Real Madrid</v>
      </c>
      <c r="BS54" s="8">
        <f t="shared" ca="1" si="42"/>
        <v>1</v>
      </c>
      <c r="BT54" s="8">
        <f t="shared" ca="1" si="42"/>
        <v>2</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1'!$AH26="","",'Finals 1'!$AH26)</f>
        <v>VFB Essenheim</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1'!$AH27="","",'Finals 1'!$AH27)</f>
        <v>FC Grönlingen</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1'!$AH28="","",'Finals 1'!$AH28)</f>
        <v>Real Madrid</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Maibach 1822 eV</v>
      </c>
      <c r="G4" s="1">
        <f ca="1">SUMIFS($X$64:$X$135,$V$64:$V$135,$F4)+SUMIFS($Y$64:$Y$135,$W$64:$W$135,$F4)+SUMIFS($AG$64:$AG$135,$V$64:$V$135,$F4)+SUMIFS($AH$64:$AH$135,$W$64:$W$135,$F4)</f>
        <v>93</v>
      </c>
      <c r="H4" s="1">
        <f ca="1">SUMIFS($Y$64:$Y$135,$V$64:$V$135,$F4)+SUMIFS($X$64:$X$135,$W$64:$W$135,$F4)+SUMIFS($AH$64:$AH$135,$V$64:$V$135,$F4)+SUMIFS($AG$64:$AG$135,$W$64:$W$135,$F4)</f>
        <v>81</v>
      </c>
      <c r="I4" s="12">
        <f ca="1">IF(Settings!$G$7,G4-H4,IF(H4=0,IF(G4=0,0,Settings!$F$7),G4/H4))</f>
        <v>12</v>
      </c>
      <c r="J4" s="1">
        <f ca="1">SUMPRODUCT(($V$64:$V$135=F4)*$AE$64:$AE$135*$AA$64:$AA$135)+SUMPRODUCT(($W$64:$W$135=F4)*$AF$64:$AF$135*$AA$64:$AA$135)</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12</v>
      </c>
    </row>
    <row r="5" spans="1:44" s="2" customFormat="1" x14ac:dyDescent="0.2">
      <c r="A5" s="254"/>
      <c r="B5" s="1">
        <v>2</v>
      </c>
      <c r="C5" s="21">
        <f t="shared" ref="C5:C12" ca="1" si="0">RANK(D5,$D$4:$D$12,1)</f>
        <v>3</v>
      </c>
      <c r="D5" s="12">
        <f t="shared" ref="D5:D12" ca="1" si="1">E5+ROW()/1000+(F5="")*10</f>
        <v>3.0049999999999999</v>
      </c>
      <c r="E5" s="266">
        <f t="shared" ref="E5:E12" ca="1" si="2">IF($AI$15,RANK(AH18,AH$17:AH$25,1),RANK(X18,X$17:X$25,1))</f>
        <v>3</v>
      </c>
      <c r="F5" s="1" t="str">
        <f t="shared" ref="F5:F12" ca="1" si="3">$Q65</f>
        <v>Mainz 05</v>
      </c>
      <c r="G5" s="1">
        <f t="shared" ref="G5:G12" ca="1" si="4">SUMIFS($X$64:$X$135,$V$64:$V$135,$F5)+SUMIFS($Y$64:$Y$135,$W$64:$W$135,$F5)+SUMIFS($AG$64:$AG$135,$V$64:$V$135,$F5)+SUMIFS($AH$64:$AH$135,$W$64:$W$135,$F5)</f>
        <v>86</v>
      </c>
      <c r="H5" s="1">
        <f t="shared" ref="H5:H12" ca="1" si="5">SUMIFS($Y$64:$Y$135,$V$64:$V$135,$F5)+SUMIFS($X$64:$X$135,$W$64:$W$135,$F5)+SUMIFS($AH$64:$AH$135,$V$64:$V$135,$F5)+SUMIFS($AG$64:$AG$135,$W$64:$W$135,$F5)</f>
        <v>92</v>
      </c>
      <c r="I5" s="12">
        <f ca="1">IF(Settings!$G$7,G5-H5,IF(H5=0,IF(G5=0,0,Settings!$F$7),G5/H5))</f>
        <v>-6</v>
      </c>
      <c r="J5" s="1">
        <f t="shared" ref="J5:J12" ca="1" si="6">SUMPRODUCT(($V$64:$V$135=F5)*$AE$64:$AE$135*$AA$64:$AA$135)+SUMPRODUCT(($W$64:$W$135=F5)*$AF$64:$AF$135*$AA$64:$AA$135)</f>
        <v>1</v>
      </c>
      <c r="K5" s="1">
        <f t="shared" ref="K5:K12" ca="1" si="7">SUMPRODUCT(($V$64:$V$135=F5)*$AA$64:$AA$135)+SUMPRODUCT(($W$64:$W$135=F5)*$AA$64:$AA$135)</f>
        <v>2</v>
      </c>
      <c r="L5" s="1">
        <f t="shared" ref="L5:L12" ca="1" si="8">K5-M5-N5</f>
        <v>0</v>
      </c>
      <c r="M5" s="1">
        <f t="shared" ref="M5:M12" ca="1" si="9">SUMPRODUCT(($V$64:$W$135=F5)*($AE$64:$AE$135=$AF$64:$AF$135)*$AA$64:$AA$135)</f>
        <v>1</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-6</v>
      </c>
    </row>
    <row r="6" spans="1:44" s="2" customFormat="1" x14ac:dyDescent="0.2">
      <c r="A6" s="254"/>
      <c r="B6" s="1">
        <v>3</v>
      </c>
      <c r="C6" s="21">
        <f t="shared" ca="1" si="0"/>
        <v>2</v>
      </c>
      <c r="D6" s="12">
        <f t="shared" ca="1" si="1"/>
        <v>2.0059999999999998</v>
      </c>
      <c r="E6" s="266">
        <f t="shared" ca="1" si="2"/>
        <v>2</v>
      </c>
      <c r="F6" s="1" t="str">
        <f t="shared" ca="1" si="3"/>
        <v>Kickers Rodendorf</v>
      </c>
      <c r="G6" s="1">
        <f t="shared" ca="1" si="4"/>
        <v>83</v>
      </c>
      <c r="H6" s="1">
        <f t="shared" ca="1" si="5"/>
        <v>89</v>
      </c>
      <c r="I6" s="12">
        <f ca="1">IF(Settings!$G$7,G6-H6,IF(H6=0,IF(G6=0,0,Settings!$F$7),G6/H6))</f>
        <v>-6</v>
      </c>
      <c r="J6" s="1">
        <f t="shared" ca="1" si="6"/>
        <v>2</v>
      </c>
      <c r="K6" s="1">
        <f t="shared" ca="1" si="7"/>
        <v>2</v>
      </c>
      <c r="L6" s="1">
        <f t="shared" ca="1" si="8"/>
        <v>0</v>
      </c>
      <c r="M6" s="1">
        <f t="shared" ca="1" si="9"/>
        <v>2</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-6</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Maibach 1822 eV</v>
      </c>
      <c r="D17" s="1">
        <f t="shared" ref="D17:G25" ca="1" si="11">K4</f>
        <v>2</v>
      </c>
      <c r="E17" s="1">
        <f t="shared" ca="1" si="11"/>
        <v>1</v>
      </c>
      <c r="F17" s="1">
        <f t="shared" ca="1" si="11"/>
        <v>1</v>
      </c>
      <c r="G17" s="1">
        <f t="shared" ca="1" si="11"/>
        <v>0</v>
      </c>
      <c r="H17" s="1">
        <f t="shared" ref="H17:K25" ca="1" si="12">G4</f>
        <v>93</v>
      </c>
      <c r="I17" s="1">
        <f t="shared" ca="1" si="12"/>
        <v>81</v>
      </c>
      <c r="J17" s="12">
        <f t="shared" ca="1" si="12"/>
        <v>12</v>
      </c>
      <c r="K17" s="1">
        <f t="shared" ca="1" si="12"/>
        <v>3</v>
      </c>
      <c r="L17" s="29">
        <f ca="1">K17*$F$64+(J17+$H$65)*$F$65</f>
        <v>3512000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1.0108999999999999</v>
      </c>
      <c r="Y17" s="12">
        <f ca="1">'Finals 1'!$AJ33</f>
        <v>0</v>
      </c>
      <c r="Z17" s="1">
        <f ca="1">RANK($W17,$W$17:$W$25)+(9-$Y17)/10</f>
        <v>1.9</v>
      </c>
      <c r="AA17" s="1">
        <f ca="1">SUM(E30:BP30)</f>
        <v>0</v>
      </c>
      <c r="AB17" s="1">
        <f ca="1">SUM(E41:BP41)</f>
        <v>0</v>
      </c>
      <c r="AC17" s="1"/>
      <c r="AD17" s="260">
        <f ca="1">RANK($K17,$K$17:$K$25)</f>
        <v>1</v>
      </c>
      <c r="AE17" s="29">
        <f ca="1">(J17+$H$65)*$F$65</f>
        <v>512000</v>
      </c>
      <c r="AF17" s="1">
        <f ca="1">RANK($AE17,$AE$17:$AE$25)</f>
        <v>1</v>
      </c>
      <c r="AG17" s="1">
        <f ca="1">RANK($W17,$W$17:$W$25)</f>
        <v>1</v>
      </c>
      <c r="AH17" s="262">
        <f ca="1">AD17+AG17/100+AF17/10000+(10-Y17)/1000000</f>
        <v>1.0101100000000001</v>
      </c>
      <c r="AI17" s="1"/>
    </row>
    <row r="18" spans="2:80" s="2" customFormat="1" x14ac:dyDescent="0.2">
      <c r="C18" s="2" t="str">
        <f t="shared" ref="C18:C25" ca="1" si="21">$Q65</f>
        <v>Mainz 05</v>
      </c>
      <c r="D18" s="1">
        <f t="shared" ca="1" si="11"/>
        <v>2</v>
      </c>
      <c r="E18" s="1">
        <f t="shared" ca="1" si="11"/>
        <v>0</v>
      </c>
      <c r="F18" s="1">
        <f t="shared" ca="1" si="11"/>
        <v>1</v>
      </c>
      <c r="G18" s="1">
        <f t="shared" ca="1" si="11"/>
        <v>1</v>
      </c>
      <c r="H18" s="1">
        <f t="shared" ca="1" si="12"/>
        <v>86</v>
      </c>
      <c r="I18" s="1">
        <f t="shared" ca="1" si="12"/>
        <v>92</v>
      </c>
      <c r="J18" s="12">
        <f t="shared" ca="1" si="12"/>
        <v>-6</v>
      </c>
      <c r="K18" s="1">
        <f t="shared" ca="1" si="12"/>
        <v>1</v>
      </c>
      <c r="L18" s="29">
        <f t="shared" ref="L18:L25" ca="1" si="22">K18*$F$64+(J18+$H$65)*$F$65</f>
        <v>1494000</v>
      </c>
      <c r="M18" s="13">
        <f t="shared" ref="M18:M25" ca="1" si="23">IF($AI$15,COUNTIF($K$17:$K$25,K18),COUNTIF($L$17:$L$25,L18))</f>
        <v>1</v>
      </c>
      <c r="N18" s="13">
        <f t="array" aca="1" ref="N18" ca="1">IF($AI$15,SUM(($K$17:$K$25&gt;=K18)/COUNTIF($K$17:$K$25,$K$17:$K$25)),SUM(($L$17:$L$25&gt;=L18)/COUNTIF($L$17:$L$25,$L$17:$L$25)))</f>
        <v>3</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3.0108999999999999</v>
      </c>
      <c r="Y18" s="12">
        <f ca="1">'Finals 1'!$AJ34</f>
        <v>0</v>
      </c>
      <c r="Z18" s="1">
        <f t="shared" ref="Z18:Z25" ca="1" si="26">RANK($W18,$W$17:$W$25)+(9-$Y18)/10</f>
        <v>1.9</v>
      </c>
      <c r="AA18" s="1">
        <f t="shared" ref="AA18:AA25" ca="1" si="27">SUM(E31:BP31)</f>
        <v>0</v>
      </c>
      <c r="AB18" s="1">
        <f t="shared" ref="AB18:AB25" ca="1" si="28">SUM(E42:BP42)</f>
        <v>0</v>
      </c>
      <c r="AC18" s="1"/>
      <c r="AD18" s="260">
        <f t="shared" ref="AD18:AD25" ca="1" si="29">RANK($K18,$K$17:$K$25)</f>
        <v>3</v>
      </c>
      <c r="AE18" s="29">
        <f t="shared" ref="AE18:AE25" ca="1" si="30">(J18+$H$65)*$F$65</f>
        <v>494000</v>
      </c>
      <c r="AF18" s="1">
        <f t="shared" ref="AF18:AF25" ca="1" si="31">RANK($AE18,$AE$17:$AE$25)</f>
        <v>8</v>
      </c>
      <c r="AG18" s="1">
        <f t="shared" ref="AG18:AG25" ca="1" si="32">RANK($W18,$W$17:$W$25)</f>
        <v>1</v>
      </c>
      <c r="AH18" s="263">
        <f t="shared" ref="AH18:AH25" ca="1" si="33">AD18+AG18/100+AF18/10000+(10-Y18)/1000000</f>
        <v>3.0108099999999998</v>
      </c>
      <c r="AI18" s="1"/>
    </row>
    <row r="19" spans="2:80" s="2" customFormat="1" x14ac:dyDescent="0.2">
      <c r="C19" s="2" t="str">
        <f t="shared" ca="1" si="21"/>
        <v>Kickers Rodendorf</v>
      </c>
      <c r="D19" s="1">
        <f t="shared" ca="1" si="11"/>
        <v>2</v>
      </c>
      <c r="E19" s="1">
        <f t="shared" ca="1" si="11"/>
        <v>0</v>
      </c>
      <c r="F19" s="1">
        <f t="shared" ca="1" si="11"/>
        <v>2</v>
      </c>
      <c r="G19" s="1">
        <f t="shared" ca="1" si="11"/>
        <v>0</v>
      </c>
      <c r="H19" s="1">
        <f t="shared" ca="1" si="12"/>
        <v>83</v>
      </c>
      <c r="I19" s="1">
        <f t="shared" ca="1" si="12"/>
        <v>89</v>
      </c>
      <c r="J19" s="12">
        <f t="shared" ca="1" si="12"/>
        <v>-6</v>
      </c>
      <c r="K19" s="1">
        <f t="shared" ca="1" si="12"/>
        <v>2</v>
      </c>
      <c r="L19" s="29">
        <f t="shared" ca="1" si="22"/>
        <v>2494000</v>
      </c>
      <c r="M19" s="13">
        <f t="shared" ca="1" si="23"/>
        <v>1</v>
      </c>
      <c r="N19" s="13">
        <f t="array" aca="1" ref="N19" ca="1">IF($AI$15,SUM(($K$17:$K$25&gt;=K19)/COUNTIF($K$17:$K$25,$K$17:$K$25)),SUM(($L$17:$L$25&gt;=L19)/COUNTIF($L$17:$L$25,$L$17:$L$25)))</f>
        <v>2</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2.0108999999999999</v>
      </c>
      <c r="Y19" s="12">
        <f ca="1">'Finals 1'!$AJ35</f>
        <v>0</v>
      </c>
      <c r="Z19" s="1">
        <f t="shared" ca="1" si="26"/>
        <v>1.9</v>
      </c>
      <c r="AA19" s="1">
        <f t="shared" ca="1" si="27"/>
        <v>0</v>
      </c>
      <c r="AB19" s="1">
        <f t="shared" ca="1" si="28"/>
        <v>0</v>
      </c>
      <c r="AC19" s="1"/>
      <c r="AD19" s="260">
        <f t="shared" ca="1" si="29"/>
        <v>2</v>
      </c>
      <c r="AE19" s="29">
        <f t="shared" ca="1" si="30"/>
        <v>494000</v>
      </c>
      <c r="AF19" s="1">
        <f t="shared" ca="1" si="31"/>
        <v>8</v>
      </c>
      <c r="AG19" s="1">
        <f t="shared" ca="1" si="32"/>
        <v>1</v>
      </c>
      <c r="AH19" s="263">
        <f t="shared" ca="1" si="33"/>
        <v>2.0108099999999998</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4.0108999999999995</v>
      </c>
      <c r="Y20" s="12">
        <v>0</v>
      </c>
      <c r="Z20" s="1">
        <f t="shared" ca="1" si="26"/>
        <v>1.9</v>
      </c>
      <c r="AA20" s="1">
        <f t="shared" ca="1" si="27"/>
        <v>0</v>
      </c>
      <c r="AB20" s="1">
        <f t="shared" ca="1" si="28"/>
        <v>0</v>
      </c>
      <c r="AC20" s="1"/>
      <c r="AD20" s="260">
        <f t="shared" ca="1" si="29"/>
        <v>4</v>
      </c>
      <c r="AE20" s="29">
        <f t="shared" ca="1" si="30"/>
        <v>500000</v>
      </c>
      <c r="AF20" s="1">
        <f t="shared" ca="1" si="31"/>
        <v>2</v>
      </c>
      <c r="AG20" s="1">
        <f t="shared" ca="1" si="32"/>
        <v>1</v>
      </c>
      <c r="AH20" s="263">
        <f t="shared" ca="1" si="33"/>
        <v>4.0102099999999998</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4.0108999999999995</v>
      </c>
      <c r="Y21" s="12">
        <v>0</v>
      </c>
      <c r="Z21" s="1">
        <f t="shared" ca="1" si="26"/>
        <v>1.9</v>
      </c>
      <c r="AA21" s="1">
        <f t="shared" ca="1" si="27"/>
        <v>0</v>
      </c>
      <c r="AB21" s="1">
        <f t="shared" ca="1" si="28"/>
        <v>0</v>
      </c>
      <c r="AC21" s="1"/>
      <c r="AD21" s="260">
        <f t="shared" ca="1" si="29"/>
        <v>4</v>
      </c>
      <c r="AE21" s="29">
        <f t="shared" ca="1" si="30"/>
        <v>500000</v>
      </c>
      <c r="AF21" s="1">
        <f t="shared" ca="1" si="31"/>
        <v>2</v>
      </c>
      <c r="AG21" s="1">
        <f t="shared" ca="1" si="32"/>
        <v>1</v>
      </c>
      <c r="AH21" s="263">
        <f t="shared" ca="1" si="33"/>
        <v>4.0102099999999998</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4.0108999999999995</v>
      </c>
      <c r="Y22" s="12">
        <v>0</v>
      </c>
      <c r="Z22" s="1">
        <f t="shared" ca="1" si="26"/>
        <v>1.9</v>
      </c>
      <c r="AA22" s="1">
        <f t="shared" ca="1" si="27"/>
        <v>0</v>
      </c>
      <c r="AB22" s="1">
        <f t="shared" ca="1" si="28"/>
        <v>0</v>
      </c>
      <c r="AC22" s="1"/>
      <c r="AD22" s="260">
        <f t="shared" ca="1" si="29"/>
        <v>4</v>
      </c>
      <c r="AE22" s="29">
        <f t="shared" ca="1" si="30"/>
        <v>500000</v>
      </c>
      <c r="AF22" s="1">
        <f t="shared" ca="1" si="31"/>
        <v>2</v>
      </c>
      <c r="AG22" s="1">
        <f t="shared" ca="1" si="32"/>
        <v>1</v>
      </c>
      <c r="AH22" s="263">
        <f t="shared" ca="1" si="33"/>
        <v>4.0102099999999998</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4.0108999999999995</v>
      </c>
      <c r="Y23" s="12">
        <v>0</v>
      </c>
      <c r="Z23" s="1">
        <f t="shared" ca="1" si="26"/>
        <v>1.9</v>
      </c>
      <c r="AA23" s="1">
        <f t="shared" ca="1" si="27"/>
        <v>0</v>
      </c>
      <c r="AB23" s="1">
        <f t="shared" ca="1" si="28"/>
        <v>0</v>
      </c>
      <c r="AC23" s="1"/>
      <c r="AD23" s="260">
        <f t="shared" ca="1" si="29"/>
        <v>4</v>
      </c>
      <c r="AE23" s="29">
        <f t="shared" ca="1" si="30"/>
        <v>500000</v>
      </c>
      <c r="AF23" s="1">
        <f t="shared" ca="1" si="31"/>
        <v>2</v>
      </c>
      <c r="AG23" s="1">
        <f t="shared" ca="1" si="32"/>
        <v>1</v>
      </c>
      <c r="AH23" s="263">
        <f t="shared" ca="1" si="33"/>
        <v>4.0102099999999998</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4.0108999999999995</v>
      </c>
      <c r="Y24" s="12">
        <v>0</v>
      </c>
      <c r="Z24" s="1">
        <f t="shared" ca="1" si="26"/>
        <v>1.9</v>
      </c>
      <c r="AA24" s="1">
        <f t="shared" ca="1" si="27"/>
        <v>0</v>
      </c>
      <c r="AB24" s="1">
        <f t="shared" ca="1" si="28"/>
        <v>0</v>
      </c>
      <c r="AC24" s="1"/>
      <c r="AD24" s="260">
        <f t="shared" ca="1" si="29"/>
        <v>4</v>
      </c>
      <c r="AE24" s="29">
        <f t="shared" ca="1" si="30"/>
        <v>500000</v>
      </c>
      <c r="AF24" s="1">
        <f t="shared" ca="1" si="31"/>
        <v>2</v>
      </c>
      <c r="AG24" s="1">
        <f t="shared" ca="1" si="32"/>
        <v>1</v>
      </c>
      <c r="AH24" s="263">
        <f t="shared" ca="1" si="33"/>
        <v>4.0102099999999998</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4.0108999999999995</v>
      </c>
      <c r="Y25" s="12">
        <v>0</v>
      </c>
      <c r="Z25" s="1">
        <f t="shared" ca="1" si="26"/>
        <v>1.9</v>
      </c>
      <c r="AA25" s="1">
        <f t="shared" ca="1" si="27"/>
        <v>0</v>
      </c>
      <c r="AB25" s="1">
        <f t="shared" ca="1" si="28"/>
        <v>0</v>
      </c>
      <c r="AC25" s="1"/>
      <c r="AD25" s="260">
        <f t="shared" ca="1" si="29"/>
        <v>4</v>
      </c>
      <c r="AE25" s="29">
        <f t="shared" ca="1" si="30"/>
        <v>500000</v>
      </c>
      <c r="AF25" s="1">
        <f t="shared" ca="1" si="31"/>
        <v>2</v>
      </c>
      <c r="AG25" s="1">
        <f t="shared" ca="1" si="32"/>
        <v>1</v>
      </c>
      <c r="AH25" s="264">
        <f t="shared" ca="1" si="33"/>
        <v>4.0102099999999998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Maibach 1822 eV</v>
      </c>
      <c r="BT29" s="2" t="str">
        <f ca="1">$F$5</f>
        <v>Mainz 05</v>
      </c>
      <c r="BU29" s="2" t="str">
        <f ca="1">$F$6</f>
        <v>Kickers Rodendorf</v>
      </c>
      <c r="BV29" s="2" t="str">
        <f>$F$7</f>
        <v/>
      </c>
      <c r="BW29" s="2" t="str">
        <f>$F$8</f>
        <v/>
      </c>
      <c r="BX29" s="2" t="str">
        <f>$F$9</f>
        <v/>
      </c>
      <c r="BY29" s="2" t="str">
        <f>$F$10</f>
        <v/>
      </c>
      <c r="BZ29" s="2" t="str">
        <f>$F$11</f>
        <v/>
      </c>
      <c r="CA29" s="2" t="str">
        <f>$F$12</f>
        <v/>
      </c>
      <c r="CB29" s="51"/>
    </row>
    <row r="30" spans="2:80" s="2" customFormat="1" x14ac:dyDescent="0.2">
      <c r="C30" s="2" t="str">
        <f ca="1">$Q64</f>
        <v>Maibach 1822 eV</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Maibach 1822 eV</v>
      </c>
      <c r="BS30" s="6"/>
      <c r="BT30" s="7">
        <f t="shared" ref="BT30:CA37" ca="1" si="35">SUMIFS($X$64:$X$135,$V$64:$V$135,$BR30,$W$64:$W$135,BT$29)+SUMIFS($Y$64:$Y$135,$W$64:$W$135,$BR30,$V$64:$V$135,BT$29)+SUMIFS($AG$64:$AG$135,$V$64:$V$135,$BR30,$W$64:$W$135,BT$29)+SUMIFS($AH$64:$AH$135,$W$64:$W$135,$BR30,$V$64:$V$135,BT$29)</f>
        <v>50</v>
      </c>
      <c r="BU30" s="7">
        <f t="shared" ca="1" si="35"/>
        <v>43</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Mainz 05</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Mainz 05</v>
      </c>
      <c r="BS31" s="8">
        <f ca="1">SUMIFS($X$64:$X$135,$V$64:$V$135,$BR31,$W$64:$W$135,BS$29)+SUMIFS($Y$64:$Y$135,$W$64:$W$135,$BR31,$V$64:$V$135,BS$29)+SUMIFS($AG$64:$AG$135,$V$64:$V$135,$BR31,$W$64:$W$135,BS$29)+SUMIFS($AH$64:$AH$135,$W$64:$W$135,$BR31,$V$64:$V$135,BS$29)</f>
        <v>40</v>
      </c>
      <c r="BT31" s="6"/>
      <c r="BU31" s="7">
        <f ca="1">SUMIFS($X$64:$X$135,$V$64:$V$135,$BR31,$W$64:$W$135,BU$29)+SUMIFS($Y$64:$Y$135,$W$64:$W$135,$BR31,$V$64:$V$135,BU$29)+SUMIFS($AG$64:$AG$135,$V$64:$V$135,$BR31,$W$64:$W$135,BU$29)+SUMIFS($AH$64:$AH$135,$W$64:$W$135,$BR31,$V$64:$V$135,BU$29)</f>
        <v>46</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Kickers Rodendorf</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Kickers Rodendorf</v>
      </c>
      <c r="BS32" s="8">
        <f t="shared" ref="BS32:BY38" ca="1" si="37">SUMIFS($X$64:$X$135,$V$64:$V$135,$BR32,$W$64:$W$135,BS$29)+SUMIFS($Y$64:$Y$135,$W$64:$W$135,$BR32,$V$64:$V$135,BS$29)+SUMIFS($AG$64:$AG$135,$V$64:$V$135,$BR32,$W$64:$W$135,BS$29)+SUMIFS($AH$64:$AH$135,$W$64:$W$135,$BR32,$V$64:$V$135,BS$29)</f>
        <v>41</v>
      </c>
      <c r="BT32" s="8">
        <f t="shared" ca="1" si="37"/>
        <v>42</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Maibach 1822 eV</v>
      </c>
      <c r="BT40" s="2" t="str">
        <f ca="1">$F$5</f>
        <v>Mainz 05</v>
      </c>
      <c r="BU40" s="2" t="str">
        <f ca="1">$F$6</f>
        <v>Kickers Rodendorf</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Maibach 1822 eV</v>
      </c>
      <c r="BS41" s="6"/>
      <c r="BT41" s="7">
        <f ca="1">BT30-BS31</f>
        <v>10</v>
      </c>
      <c r="BU41" s="7">
        <f ca="1">BU30-BS32</f>
        <v>2</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Mainz 05</v>
      </c>
      <c r="BS42" s="8">
        <f ca="1">IF(BT41="","",-1*BT41)</f>
        <v>-10</v>
      </c>
      <c r="BT42" s="6"/>
      <c r="BU42" s="7">
        <f ca="1">BU31-BT32</f>
        <v>4</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Kickers Rodendorf</v>
      </c>
      <c r="BS43" s="8">
        <f ca="1">IF(BU41="","",-1*BU41)</f>
        <v>-2</v>
      </c>
      <c r="BT43" s="8">
        <f ca="1">IF(BU42="","",-1*BU42)</f>
        <v>-4</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Maibach 1822 eV</v>
      </c>
      <c r="BT51" s="2" t="str">
        <f ca="1">$F$5</f>
        <v>Mainz 05</v>
      </c>
      <c r="BU51" s="2" t="str">
        <f ca="1">$F$6</f>
        <v>Kickers Rodendorf</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Maibach 1822 eV</v>
      </c>
      <c r="BS52" s="6"/>
      <c r="BT52" s="7">
        <f t="shared" ref="BT52:CA58" ca="1" si="41">SUMIFS($AE$64:$AE$135,$V$64:$V$135,$BR52,$W$64:$W$135,BT$51)+SUMIFS($AF$64:$AF$135,$W$64:$W$135,$BR52,$V$64:$V$135,BT$51)</f>
        <v>2</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Mainz 05</v>
      </c>
      <c r="BS53" s="8">
        <f t="shared" ref="BS53:BU60" ca="1" si="42">SUMIFS($AE$64:$AE$135,$V$64:$V$135,$BR53,$W$64:$W$135,BS$51)+SUMIFS($AF$64:$AF$135,$W$64:$W$135,$BR53,$V$64:$V$135,BS$51)</f>
        <v>0</v>
      </c>
      <c r="BT53" s="6"/>
      <c r="BU53" s="7">
        <f ca="1">SUMIFS($AE$64:$AE$135,$V$64:$V$135,$BR53,$W$64:$W$135,BU$51)+SUMIFS($AF$64:$AF$135,$W$64:$W$135,$BR53,$V$64:$V$135,BU$51)</f>
        <v>1</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Kickers Rodendorf</v>
      </c>
      <c r="BS54" s="8">
        <f t="shared" ca="1" si="42"/>
        <v>1</v>
      </c>
      <c r="BT54" s="8">
        <f t="shared" ca="1" si="42"/>
        <v>1</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1'!$AH33="","",'Finals 1'!$AH33)</f>
        <v>Maibach 1822 eV</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1'!$AH34="","",'Finals 1'!$AH34)</f>
        <v>Mainz 05</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1'!$AH35="","",'Finals 1'!$AH35)</f>
        <v>Kickers Rodendorf</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3</v>
      </c>
      <c r="D4" s="12">
        <f ca="1">E4+ROW()/1000+(F4="")*10</f>
        <v>3.004</v>
      </c>
      <c r="E4" s="266">
        <f ca="1">IF($AI$15,RANK(AH17,AH$17:AH$25,1),RANK(X17,X$17:X$25,1))</f>
        <v>3</v>
      </c>
      <c r="F4" s="1" t="str">
        <f ca="1">$Q64</f>
        <v>1. FC Riedwald</v>
      </c>
      <c r="G4" s="1">
        <f ca="1">SUMIFS($X$64:$X$135,$V$64:$V$135,$F4)+SUMIFS($Y$64:$Y$135,$W$64:$W$135,$F4)+SUMIFS($AG$64:$AG$135,$V$64:$V$135,$F4)+SUMIFS($AH$64:$AH$135,$W$64:$W$135,$F4)</f>
        <v>81</v>
      </c>
      <c r="H4" s="1">
        <f ca="1">SUMIFS($Y$64:$Y$135,$V$64:$V$135,$F4)+SUMIFS($X$64:$X$135,$W$64:$W$135,$F4)+SUMIFS($AH$64:$AH$135,$V$64:$V$135,$F4)+SUMIFS($AG$64:$AG$135,$W$64:$W$135,$F4)</f>
        <v>94</v>
      </c>
      <c r="I4" s="12">
        <f ca="1">IF(Settings!$G$7,G4-H4,IF(H4=0,IF(G4=0,0,Settings!$F$7),G4/H4))</f>
        <v>-13</v>
      </c>
      <c r="J4" s="1">
        <f ca="1">SUMPRODUCT(($V$64:$V$135=F4)*$AE$64:$AE$135*$AA$64:$AA$135)+SUMPRODUCT(($W$64:$W$135=F4)*$AF$64:$AF$135*$AA$64:$AA$135)</f>
        <v>1</v>
      </c>
      <c r="K4" s="1">
        <f ca="1">SUMPRODUCT(($V$64:$V$135=F4)*$AA$64:$AA$135)+SUMPRODUCT(($W$64:$W$135=F4)*$AA$64:$AA$135)</f>
        <v>2</v>
      </c>
      <c r="L4" s="1">
        <f ca="1">K4-M4-N4</f>
        <v>0</v>
      </c>
      <c r="M4" s="1">
        <f ca="1">SUMPRODUCT(($V$64:$W$135=F4)*($AE$64:$AE$135=$AF$64:$AF$135)*$AA$64:$AA$135)</f>
        <v>1</v>
      </c>
      <c r="N4" s="1">
        <f ca="1">SUMPRODUCT(($V$64:$V$135=F4)*($AE$64:$AE$135&lt;$AF$64:$AF$135)*$AA$64:$AA$135)+SUMPRODUCT(($W$64:$W$135=F4)*($AE$64:$AE$135&gt;$AF$64:$AF$135)*$AA$64:$AA$135)</f>
        <v>1</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-13</v>
      </c>
    </row>
    <row r="5" spans="1:44" s="2" customFormat="1" x14ac:dyDescent="0.2">
      <c r="A5" s="254"/>
      <c r="B5" s="1">
        <v>2</v>
      </c>
      <c r="C5" s="21">
        <f t="shared" ref="C5:C12" ca="1" si="0">RANK(D5,$D$4:$D$12,1)</f>
        <v>1</v>
      </c>
      <c r="D5" s="12">
        <f t="shared" ref="D5:D12" ca="1" si="1">E5+ROW()/1000+(F5="")*10</f>
        <v>1.0049999999999999</v>
      </c>
      <c r="E5" s="266">
        <f t="shared" ref="E5:E12" ca="1" si="2">IF($AI$15,RANK(AH18,AH$17:AH$25,1),RANK(X18,X$17:X$25,1))</f>
        <v>1</v>
      </c>
      <c r="F5" s="1" t="str">
        <f t="shared" ref="F5:F12" ca="1" si="3">$Q65</f>
        <v>Manchester City</v>
      </c>
      <c r="G5" s="1">
        <f t="shared" ref="G5:G12" ca="1" si="4">SUMIFS($X$64:$X$135,$V$64:$V$135,$F5)+SUMIFS($Y$64:$Y$135,$W$64:$W$135,$F5)+SUMIFS($AG$64:$AG$135,$V$64:$V$135,$F5)+SUMIFS($AH$64:$AH$135,$W$64:$W$135,$F5)</f>
        <v>89</v>
      </c>
      <c r="H5" s="1">
        <f t="shared" ref="H5:H12" ca="1" si="5">SUMIFS($Y$64:$Y$135,$V$64:$V$135,$F5)+SUMIFS($X$64:$X$135,$W$64:$W$135,$F5)+SUMIFS($AH$64:$AH$135,$V$64:$V$135,$F5)+SUMIFS($AG$64:$AG$135,$W$64:$W$135,$F5)</f>
        <v>87</v>
      </c>
      <c r="I5" s="12">
        <f ca="1">IF(Settings!$G$7,G5-H5,IF(H5=0,IF(G5=0,0,Settings!$F$7),G5/H5))</f>
        <v>2</v>
      </c>
      <c r="J5" s="1">
        <f t="shared" ref="J5:J12" ca="1" si="6">SUMPRODUCT(($V$64:$V$135=F5)*$AE$64:$AE$135*$AA$64:$AA$135)+SUMPRODUCT(($W$64:$W$135=F5)*$AF$64:$AF$135*$AA$64:$AA$135)</f>
        <v>3</v>
      </c>
      <c r="K5" s="1">
        <f t="shared" ref="K5:K12" ca="1" si="7">SUMPRODUCT(($V$64:$V$135=F5)*$AA$64:$AA$135)+SUMPRODUCT(($W$64:$W$135=F5)*$AA$64:$AA$135)</f>
        <v>2</v>
      </c>
      <c r="L5" s="1">
        <f t="shared" ref="L5:L12" ca="1" si="8">K5-M5-N5</f>
        <v>1</v>
      </c>
      <c r="M5" s="1">
        <f t="shared" ref="M5:M12" ca="1" si="9">SUMPRODUCT(($V$64:$W$135=F5)*($AE$64:$AE$135=$AF$64:$AF$135)*$AA$64:$AA$135)</f>
        <v>1</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2</v>
      </c>
    </row>
    <row r="6" spans="1:44" s="2" customFormat="1" x14ac:dyDescent="0.2">
      <c r="A6" s="254"/>
      <c r="B6" s="1">
        <v>3</v>
      </c>
      <c r="C6" s="21">
        <f t="shared" ca="1" si="0"/>
        <v>2</v>
      </c>
      <c r="D6" s="12">
        <f t="shared" ca="1" si="1"/>
        <v>2.0059999999999998</v>
      </c>
      <c r="E6" s="266">
        <f t="shared" ca="1" si="2"/>
        <v>2</v>
      </c>
      <c r="F6" s="1" t="str">
        <f t="shared" ca="1" si="3"/>
        <v>FSV Rauen</v>
      </c>
      <c r="G6" s="1">
        <f t="shared" ca="1" si="4"/>
        <v>92</v>
      </c>
      <c r="H6" s="1">
        <f t="shared" ca="1" si="5"/>
        <v>81</v>
      </c>
      <c r="I6" s="12">
        <f ca="1">IF(Settings!$G$7,G6-H6,IF(H6=0,IF(G6=0,0,Settings!$F$7),G6/H6))</f>
        <v>11</v>
      </c>
      <c r="J6" s="1">
        <f t="shared" ca="1" si="6"/>
        <v>2</v>
      </c>
      <c r="K6" s="1">
        <f t="shared" ca="1" si="7"/>
        <v>2</v>
      </c>
      <c r="L6" s="1">
        <f t="shared" ca="1" si="8"/>
        <v>0</v>
      </c>
      <c r="M6" s="1">
        <f t="shared" ca="1" si="9"/>
        <v>2</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11</v>
      </c>
    </row>
    <row r="7" spans="1:44" s="2" customFormat="1" x14ac:dyDescent="0.2">
      <c r="A7" s="254"/>
      <c r="B7" s="1">
        <v>4</v>
      </c>
      <c r="C7" s="21">
        <f t="shared" ca="1" si="0"/>
        <v>4</v>
      </c>
      <c r="D7" s="12">
        <f t="shared" ca="1" si="1"/>
        <v>14.007</v>
      </c>
      <c r="E7" s="266">
        <f t="shared" ca="1" si="2"/>
        <v>4</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1. FC Riedwald</v>
      </c>
      <c r="D17" s="1">
        <f t="shared" ref="D17:G25" ca="1" si="11">K4</f>
        <v>2</v>
      </c>
      <c r="E17" s="1">
        <f t="shared" ca="1" si="11"/>
        <v>0</v>
      </c>
      <c r="F17" s="1">
        <f t="shared" ca="1" si="11"/>
        <v>1</v>
      </c>
      <c r="G17" s="1">
        <f t="shared" ca="1" si="11"/>
        <v>1</v>
      </c>
      <c r="H17" s="1">
        <f t="shared" ref="H17:K25" ca="1" si="12">G4</f>
        <v>81</v>
      </c>
      <c r="I17" s="1">
        <f t="shared" ca="1" si="12"/>
        <v>94</v>
      </c>
      <c r="J17" s="12">
        <f t="shared" ca="1" si="12"/>
        <v>-13</v>
      </c>
      <c r="K17" s="1">
        <f t="shared" ca="1" si="12"/>
        <v>1</v>
      </c>
      <c r="L17" s="29">
        <f ca="1">K17*$F$64+(J17+$H$65)*$F$65</f>
        <v>1487000</v>
      </c>
      <c r="M17" s="13">
        <f ca="1">IF($AI$15,COUNTIF($K$17:$K$25,K17),COUNTIF($L$17:$L$25,L17))</f>
        <v>1</v>
      </c>
      <c r="N17" s="13">
        <f t="array" aca="1" ref="N17" ca="1">IF($AI$15,SUM(($K$17:$K$25&gt;=K17)/COUNTIF($K$17:$K$25,$K$17:$K$25)),SUM(($L$17:$L$25&gt;=L17)/COUNTIF($L$17:$L$25,$L$17:$L$25)))</f>
        <v>3</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3.0108999999999999</v>
      </c>
      <c r="Y17" s="12">
        <f ca="1">'Finals 1'!$AJ40</f>
        <v>0</v>
      </c>
      <c r="Z17" s="1">
        <f ca="1">RANK($W17,$W$17:$W$25)+(9-$Y17)/10</f>
        <v>1.9</v>
      </c>
      <c r="AA17" s="1">
        <f ca="1">SUM(E30:BP30)</f>
        <v>0</v>
      </c>
      <c r="AB17" s="1">
        <f ca="1">SUM(E41:BP41)</f>
        <v>0</v>
      </c>
      <c r="AC17" s="1"/>
      <c r="AD17" s="260">
        <f ca="1">RANK($K17,$K$17:$K$25)</f>
        <v>3</v>
      </c>
      <c r="AE17" s="29">
        <f ca="1">(J17+$H$65)*$F$65</f>
        <v>487000</v>
      </c>
      <c r="AF17" s="1">
        <f ca="1">RANK($AE17,$AE$17:$AE$25)</f>
        <v>9</v>
      </c>
      <c r="AG17" s="1">
        <f ca="1">RANK($W17,$W$17:$W$25)</f>
        <v>1</v>
      </c>
      <c r="AH17" s="262">
        <f ca="1">AD17+AG17/100+AF17/10000+(10-Y17)/1000000</f>
        <v>3.01091</v>
      </c>
      <c r="AI17" s="1"/>
    </row>
    <row r="18" spans="2:80" s="2" customFormat="1" x14ac:dyDescent="0.2">
      <c r="C18" s="2" t="str">
        <f t="shared" ref="C18:C25" ca="1" si="21">$Q65</f>
        <v>Manchester City</v>
      </c>
      <c r="D18" s="1">
        <f t="shared" ca="1" si="11"/>
        <v>2</v>
      </c>
      <c r="E18" s="1">
        <f t="shared" ca="1" si="11"/>
        <v>1</v>
      </c>
      <c r="F18" s="1">
        <f t="shared" ca="1" si="11"/>
        <v>1</v>
      </c>
      <c r="G18" s="1">
        <f t="shared" ca="1" si="11"/>
        <v>0</v>
      </c>
      <c r="H18" s="1">
        <f t="shared" ca="1" si="12"/>
        <v>89</v>
      </c>
      <c r="I18" s="1">
        <f t="shared" ca="1" si="12"/>
        <v>87</v>
      </c>
      <c r="J18" s="12">
        <f t="shared" ca="1" si="12"/>
        <v>2</v>
      </c>
      <c r="K18" s="1">
        <f t="shared" ca="1" si="12"/>
        <v>3</v>
      </c>
      <c r="L18" s="29">
        <f t="shared" ref="L18:L25" ca="1" si="22">K18*$F$64+(J18+$H$65)*$F$65</f>
        <v>3502000</v>
      </c>
      <c r="M18" s="13">
        <f t="shared" ref="M18:M25" ca="1" si="23">IF($AI$15,COUNTIF($K$17:$K$25,K18),COUNTIF($L$17:$L$25,L18))</f>
        <v>1</v>
      </c>
      <c r="N18" s="13">
        <f t="array" aca="1" ref="N18" ca="1">IF($AI$15,SUM(($K$17:$K$25&gt;=K18)/COUNTIF($K$17:$K$25,$K$17:$K$25)),SUM(($L$17:$L$25&gt;=L18)/COUNTIF($L$17:$L$25,$L$17:$L$25)))</f>
        <v>1</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1.0108999999999999</v>
      </c>
      <c r="Y18" s="12">
        <f ca="1">'Finals 1'!$AJ41</f>
        <v>0</v>
      </c>
      <c r="Z18" s="1">
        <f t="shared" ref="Z18:Z25" ca="1" si="26">RANK($W18,$W$17:$W$25)+(9-$Y18)/10</f>
        <v>1.9</v>
      </c>
      <c r="AA18" s="1">
        <f t="shared" ref="AA18:AA25" ca="1" si="27">SUM(E31:BP31)</f>
        <v>0</v>
      </c>
      <c r="AB18" s="1">
        <f t="shared" ref="AB18:AB25" ca="1" si="28">SUM(E42:BP42)</f>
        <v>0</v>
      </c>
      <c r="AC18" s="1"/>
      <c r="AD18" s="260">
        <f t="shared" ref="AD18:AD25" ca="1" si="29">RANK($K18,$K$17:$K$25)</f>
        <v>1</v>
      </c>
      <c r="AE18" s="29">
        <f t="shared" ref="AE18:AE25" ca="1" si="30">(J18+$H$65)*$F$65</f>
        <v>502000</v>
      </c>
      <c r="AF18" s="1">
        <f t="shared" ref="AF18:AF25" ca="1" si="31">RANK($AE18,$AE$17:$AE$25)</f>
        <v>2</v>
      </c>
      <c r="AG18" s="1">
        <f t="shared" ref="AG18:AG25" ca="1" si="32">RANK($W18,$W$17:$W$25)</f>
        <v>1</v>
      </c>
      <c r="AH18" s="263">
        <f t="shared" ref="AH18:AH25" ca="1" si="33">AD18+AG18/100+AF18/10000+(10-Y18)/1000000</f>
        <v>1.0102100000000001</v>
      </c>
      <c r="AI18" s="1"/>
    </row>
    <row r="19" spans="2:80" s="2" customFormat="1" x14ac:dyDescent="0.2">
      <c r="C19" s="2" t="str">
        <f t="shared" ca="1" si="21"/>
        <v>FSV Rauen</v>
      </c>
      <c r="D19" s="1">
        <f t="shared" ca="1" si="11"/>
        <v>2</v>
      </c>
      <c r="E19" s="1">
        <f t="shared" ca="1" si="11"/>
        <v>0</v>
      </c>
      <c r="F19" s="1">
        <f t="shared" ca="1" si="11"/>
        <v>2</v>
      </c>
      <c r="G19" s="1">
        <f t="shared" ca="1" si="11"/>
        <v>0</v>
      </c>
      <c r="H19" s="1">
        <f t="shared" ca="1" si="12"/>
        <v>92</v>
      </c>
      <c r="I19" s="1">
        <f t="shared" ca="1" si="12"/>
        <v>81</v>
      </c>
      <c r="J19" s="12">
        <f t="shared" ca="1" si="12"/>
        <v>11</v>
      </c>
      <c r="K19" s="1">
        <f t="shared" ca="1" si="12"/>
        <v>2</v>
      </c>
      <c r="L19" s="29">
        <f t="shared" ca="1" si="22"/>
        <v>2511000</v>
      </c>
      <c r="M19" s="13">
        <f t="shared" ca="1" si="23"/>
        <v>1</v>
      </c>
      <c r="N19" s="13">
        <f t="array" aca="1" ref="N19" ca="1">IF($AI$15,SUM(($K$17:$K$25&gt;=K19)/COUNTIF($K$17:$K$25,$K$17:$K$25)),SUM(($L$17:$L$25&gt;=L19)/COUNTIF($L$17:$L$25,$L$17:$L$25)))</f>
        <v>2</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2.0108999999999999</v>
      </c>
      <c r="Y19" s="12">
        <f ca="1">'Finals 1'!$AJ42</f>
        <v>0</v>
      </c>
      <c r="Z19" s="1">
        <f t="shared" ca="1" si="26"/>
        <v>1.9</v>
      </c>
      <c r="AA19" s="1">
        <f t="shared" ca="1" si="27"/>
        <v>0</v>
      </c>
      <c r="AB19" s="1">
        <f t="shared" ca="1" si="28"/>
        <v>0</v>
      </c>
      <c r="AC19" s="1"/>
      <c r="AD19" s="260">
        <f t="shared" ca="1" si="29"/>
        <v>2</v>
      </c>
      <c r="AE19" s="29">
        <f t="shared" ca="1" si="30"/>
        <v>511000</v>
      </c>
      <c r="AF19" s="1">
        <f t="shared" ca="1" si="31"/>
        <v>1</v>
      </c>
      <c r="AG19" s="1">
        <f t="shared" ca="1" si="32"/>
        <v>1</v>
      </c>
      <c r="AH19" s="263">
        <f t="shared" ca="1" si="33"/>
        <v>2.0101100000000001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4.0108999999999995</v>
      </c>
      <c r="Y20" s="12">
        <v>0</v>
      </c>
      <c r="Z20" s="1">
        <f t="shared" ca="1" si="26"/>
        <v>1.9</v>
      </c>
      <c r="AA20" s="1">
        <f t="shared" ca="1" si="27"/>
        <v>0</v>
      </c>
      <c r="AB20" s="1">
        <f t="shared" ca="1" si="28"/>
        <v>0</v>
      </c>
      <c r="AC20" s="1"/>
      <c r="AD20" s="260">
        <f t="shared" ca="1" si="29"/>
        <v>4</v>
      </c>
      <c r="AE20" s="29">
        <f t="shared" ca="1" si="30"/>
        <v>500000</v>
      </c>
      <c r="AF20" s="1">
        <f t="shared" ca="1" si="31"/>
        <v>3</v>
      </c>
      <c r="AG20" s="1">
        <f t="shared" ca="1" si="32"/>
        <v>1</v>
      </c>
      <c r="AH20" s="263">
        <f t="shared" ca="1" si="33"/>
        <v>4.0103099999999996</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4.0108999999999995</v>
      </c>
      <c r="Y21" s="12">
        <v>0</v>
      </c>
      <c r="Z21" s="1">
        <f t="shared" ca="1" si="26"/>
        <v>1.9</v>
      </c>
      <c r="AA21" s="1">
        <f t="shared" ca="1" si="27"/>
        <v>0</v>
      </c>
      <c r="AB21" s="1">
        <f t="shared" ca="1" si="28"/>
        <v>0</v>
      </c>
      <c r="AC21" s="1"/>
      <c r="AD21" s="260">
        <f t="shared" ca="1" si="29"/>
        <v>4</v>
      </c>
      <c r="AE21" s="29">
        <f t="shared" ca="1" si="30"/>
        <v>500000</v>
      </c>
      <c r="AF21" s="1">
        <f t="shared" ca="1" si="31"/>
        <v>3</v>
      </c>
      <c r="AG21" s="1">
        <f t="shared" ca="1" si="32"/>
        <v>1</v>
      </c>
      <c r="AH21" s="263">
        <f t="shared" ca="1" si="33"/>
        <v>4.0103099999999996</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4.0108999999999995</v>
      </c>
      <c r="Y22" s="12">
        <v>0</v>
      </c>
      <c r="Z22" s="1">
        <f t="shared" ca="1" si="26"/>
        <v>1.9</v>
      </c>
      <c r="AA22" s="1">
        <f t="shared" ca="1" si="27"/>
        <v>0</v>
      </c>
      <c r="AB22" s="1">
        <f t="shared" ca="1" si="28"/>
        <v>0</v>
      </c>
      <c r="AC22" s="1"/>
      <c r="AD22" s="260">
        <f t="shared" ca="1" si="29"/>
        <v>4</v>
      </c>
      <c r="AE22" s="29">
        <f t="shared" ca="1" si="30"/>
        <v>500000</v>
      </c>
      <c r="AF22" s="1">
        <f t="shared" ca="1" si="31"/>
        <v>3</v>
      </c>
      <c r="AG22" s="1">
        <f t="shared" ca="1" si="32"/>
        <v>1</v>
      </c>
      <c r="AH22" s="263">
        <f t="shared" ca="1" si="33"/>
        <v>4.0103099999999996</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4.0108999999999995</v>
      </c>
      <c r="Y23" s="12">
        <v>0</v>
      </c>
      <c r="Z23" s="1">
        <f t="shared" ca="1" si="26"/>
        <v>1.9</v>
      </c>
      <c r="AA23" s="1">
        <f t="shared" ca="1" si="27"/>
        <v>0</v>
      </c>
      <c r="AB23" s="1">
        <f t="shared" ca="1" si="28"/>
        <v>0</v>
      </c>
      <c r="AC23" s="1"/>
      <c r="AD23" s="260">
        <f t="shared" ca="1" si="29"/>
        <v>4</v>
      </c>
      <c r="AE23" s="29">
        <f t="shared" ca="1" si="30"/>
        <v>500000</v>
      </c>
      <c r="AF23" s="1">
        <f t="shared" ca="1" si="31"/>
        <v>3</v>
      </c>
      <c r="AG23" s="1">
        <f t="shared" ca="1" si="32"/>
        <v>1</v>
      </c>
      <c r="AH23" s="263">
        <f t="shared" ca="1" si="33"/>
        <v>4.0103099999999996</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4.0108999999999995</v>
      </c>
      <c r="Y24" s="12">
        <v>0</v>
      </c>
      <c r="Z24" s="1">
        <f t="shared" ca="1" si="26"/>
        <v>1.9</v>
      </c>
      <c r="AA24" s="1">
        <f t="shared" ca="1" si="27"/>
        <v>0</v>
      </c>
      <c r="AB24" s="1">
        <f t="shared" ca="1" si="28"/>
        <v>0</v>
      </c>
      <c r="AC24" s="1"/>
      <c r="AD24" s="260">
        <f t="shared" ca="1" si="29"/>
        <v>4</v>
      </c>
      <c r="AE24" s="29">
        <f t="shared" ca="1" si="30"/>
        <v>500000</v>
      </c>
      <c r="AF24" s="1">
        <f t="shared" ca="1" si="31"/>
        <v>3</v>
      </c>
      <c r="AG24" s="1">
        <f t="shared" ca="1" si="32"/>
        <v>1</v>
      </c>
      <c r="AH24" s="263">
        <f t="shared" ca="1" si="33"/>
        <v>4.0103099999999996</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4.0108999999999995</v>
      </c>
      <c r="Y25" s="12">
        <v>0</v>
      </c>
      <c r="Z25" s="1">
        <f t="shared" ca="1" si="26"/>
        <v>1.9</v>
      </c>
      <c r="AA25" s="1">
        <f t="shared" ca="1" si="27"/>
        <v>0</v>
      </c>
      <c r="AB25" s="1">
        <f t="shared" ca="1" si="28"/>
        <v>0</v>
      </c>
      <c r="AC25" s="1"/>
      <c r="AD25" s="260">
        <f t="shared" ca="1" si="29"/>
        <v>4</v>
      </c>
      <c r="AE25" s="29">
        <f t="shared" ca="1" si="30"/>
        <v>500000</v>
      </c>
      <c r="AF25" s="1">
        <f t="shared" ca="1" si="31"/>
        <v>3</v>
      </c>
      <c r="AG25" s="1">
        <f t="shared" ca="1" si="32"/>
        <v>1</v>
      </c>
      <c r="AH25" s="264">
        <f t="shared" ca="1" si="33"/>
        <v>4.0103099999999996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1. FC Riedwald</v>
      </c>
      <c r="BT29" s="2" t="str">
        <f ca="1">$F$5</f>
        <v>Manchester City</v>
      </c>
      <c r="BU29" s="2" t="str">
        <f ca="1">$F$6</f>
        <v>FSV Rauen</v>
      </c>
      <c r="BV29" s="2" t="str">
        <f>$F$7</f>
        <v/>
      </c>
      <c r="BW29" s="2" t="str">
        <f>$F$8</f>
        <v/>
      </c>
      <c r="BX29" s="2" t="str">
        <f>$F$9</f>
        <v/>
      </c>
      <c r="BY29" s="2" t="str">
        <f>$F$10</f>
        <v/>
      </c>
      <c r="BZ29" s="2" t="str">
        <f>$F$11</f>
        <v/>
      </c>
      <c r="CA29" s="2" t="str">
        <f>$F$12</f>
        <v/>
      </c>
      <c r="CB29" s="51"/>
    </row>
    <row r="30" spans="2:80" s="2" customFormat="1" x14ac:dyDescent="0.2">
      <c r="C30" s="2" t="str">
        <f ca="1">$Q64</f>
        <v>1. FC Riedwald</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1. FC Riedwald</v>
      </c>
      <c r="BS30" s="6"/>
      <c r="BT30" s="7">
        <f t="shared" ref="BT30:CA37" ca="1" si="35">SUMIFS($X$64:$X$135,$V$64:$V$135,$BR30,$W$64:$W$135,BT$29)+SUMIFS($Y$64:$Y$135,$W$64:$W$135,$BR30,$V$64:$V$135,BT$29)+SUMIFS($AG$64:$AG$135,$V$64:$V$135,$BR30,$W$64:$W$135,BT$29)+SUMIFS($AH$64:$AH$135,$W$64:$W$135,$BR30,$V$64:$V$135,BT$29)</f>
        <v>39</v>
      </c>
      <c r="BU30" s="7">
        <f t="shared" ca="1" si="35"/>
        <v>42</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Manchester City</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Manchester City</v>
      </c>
      <c r="BS31" s="8">
        <f ca="1">SUMIFS($X$64:$X$135,$V$64:$V$135,$BR31,$W$64:$W$135,BS$29)+SUMIFS($Y$64:$Y$135,$W$64:$W$135,$BR31,$V$64:$V$135,BS$29)+SUMIFS($AG$64:$AG$135,$V$64:$V$135,$BR31,$W$64:$W$135,BS$29)+SUMIFS($AH$64:$AH$135,$W$64:$W$135,$BR31,$V$64:$V$135,BS$29)</f>
        <v>50</v>
      </c>
      <c r="BT31" s="6"/>
      <c r="BU31" s="7">
        <f ca="1">SUMIFS($X$64:$X$135,$V$64:$V$135,$BR31,$W$64:$W$135,BU$29)+SUMIFS($Y$64:$Y$135,$W$64:$W$135,$BR31,$V$64:$V$135,BU$29)+SUMIFS($AG$64:$AG$135,$V$64:$V$135,$BR31,$W$64:$W$135,BU$29)+SUMIFS($AH$64:$AH$135,$W$64:$W$135,$BR31,$V$64:$V$135,BU$29)</f>
        <v>39</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FSV Rauen</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FSV Rauen</v>
      </c>
      <c r="BS32" s="8">
        <f t="shared" ref="BS32:BY38" ca="1" si="37">SUMIFS($X$64:$X$135,$V$64:$V$135,$BR32,$W$64:$W$135,BS$29)+SUMIFS($Y$64:$Y$135,$W$64:$W$135,$BR32,$V$64:$V$135,BS$29)+SUMIFS($AG$64:$AG$135,$V$64:$V$135,$BR32,$W$64:$W$135,BS$29)+SUMIFS($AH$64:$AH$135,$W$64:$W$135,$BR32,$V$64:$V$135,BS$29)</f>
        <v>44</v>
      </c>
      <c r="BT32" s="8">
        <f t="shared" ca="1" si="37"/>
        <v>48</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1. FC Riedwald</v>
      </c>
      <c r="BT40" s="2" t="str">
        <f ca="1">$F$5</f>
        <v>Manchester City</v>
      </c>
      <c r="BU40" s="2" t="str">
        <f ca="1">$F$6</f>
        <v>FSV Rauen</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1. FC Riedwald</v>
      </c>
      <c r="BS41" s="6"/>
      <c r="BT41" s="7">
        <f ca="1">BT30-BS31</f>
        <v>-11</v>
      </c>
      <c r="BU41" s="7">
        <f ca="1">BU30-BS32</f>
        <v>-2</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Manchester City</v>
      </c>
      <c r="BS42" s="8">
        <f ca="1">IF(BT41="","",-1*BT41)</f>
        <v>11</v>
      </c>
      <c r="BT42" s="6"/>
      <c r="BU42" s="7">
        <f ca="1">BU31-BT32</f>
        <v>-9</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FSV Rauen</v>
      </c>
      <c r="BS43" s="8">
        <f ca="1">IF(BU41="","",-1*BU41)</f>
        <v>2</v>
      </c>
      <c r="BT43" s="8">
        <f ca="1">IF(BU42="","",-1*BU42)</f>
        <v>9</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1. FC Riedwald</v>
      </c>
      <c r="BT51" s="2" t="str">
        <f ca="1">$F$5</f>
        <v>Manchester City</v>
      </c>
      <c r="BU51" s="2" t="str">
        <f ca="1">$F$6</f>
        <v>FSV Rauen</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1. FC Riedwald</v>
      </c>
      <c r="BS52" s="6"/>
      <c r="BT52" s="7">
        <f t="shared" ref="BT52:CA58" ca="1" si="41">SUMIFS($AE$64:$AE$135,$V$64:$V$135,$BR52,$W$64:$W$135,BT$51)+SUMIFS($AF$64:$AF$135,$W$64:$W$135,$BR52,$V$64:$V$135,BT$51)</f>
        <v>0</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Manchester City</v>
      </c>
      <c r="BS53" s="8">
        <f t="shared" ref="BS53:BU60" ca="1" si="42">SUMIFS($AE$64:$AE$135,$V$64:$V$135,$BR53,$W$64:$W$135,BS$51)+SUMIFS($AF$64:$AF$135,$W$64:$W$135,$BR53,$V$64:$V$135,BS$51)</f>
        <v>2</v>
      </c>
      <c r="BT53" s="6"/>
      <c r="BU53" s="7">
        <f ca="1">SUMIFS($AE$64:$AE$135,$V$64:$V$135,$BR53,$W$64:$W$135,BU$51)+SUMIFS($AF$64:$AF$135,$W$64:$W$135,$BR53,$V$64:$V$135,BU$51)</f>
        <v>1</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FSV Rauen</v>
      </c>
      <c r="BS54" s="8">
        <f t="shared" ca="1" si="42"/>
        <v>1</v>
      </c>
      <c r="BT54" s="8">
        <f t="shared" ca="1" si="42"/>
        <v>1</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1'!$AH40="","",'Finals 1'!$AH40)</f>
        <v>1. FC Riedwald</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1'!$AH41="","",'Finals 1'!$AH41)</f>
        <v>Manchester City</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1'!$AH42="","",'Finals 1'!$AH42)</f>
        <v>FSV Rauen</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838" t="str">
        <f>Language!$E$50</f>
        <v>Matchups</v>
      </c>
      <c r="C1" s="253" t="s">
        <v>181</v>
      </c>
      <c r="D1" s="258" t="s">
        <v>194</v>
      </c>
      <c r="E1" s="258" t="s">
        <v>198</v>
      </c>
      <c r="G1" s="253" t="s">
        <v>172</v>
      </c>
      <c r="H1" s="74" t="s">
        <v>196</v>
      </c>
      <c r="I1" s="74" t="s">
        <v>200</v>
      </c>
      <c r="K1" s="253" t="s">
        <v>173</v>
      </c>
      <c r="L1" s="74" t="s">
        <v>202</v>
      </c>
      <c r="M1" s="74" t="s">
        <v>198</v>
      </c>
      <c r="O1" s="253" t="s">
        <v>174</v>
      </c>
      <c r="P1" s="74" t="s">
        <v>196</v>
      </c>
      <c r="Q1" s="74" t="s">
        <v>204</v>
      </c>
    </row>
    <row r="2" spans="1:17" x14ac:dyDescent="0.2">
      <c r="A2" s="838"/>
      <c r="C2" s="317"/>
      <c r="D2" s="258" t="s">
        <v>195</v>
      </c>
      <c r="E2" s="258" t="s">
        <v>199</v>
      </c>
      <c r="G2" s="317"/>
      <c r="H2" s="74" t="s">
        <v>197</v>
      </c>
      <c r="I2" s="74" t="s">
        <v>201</v>
      </c>
      <c r="K2" s="317"/>
      <c r="L2" s="74" t="s">
        <v>203</v>
      </c>
      <c r="M2" s="74" t="s">
        <v>199</v>
      </c>
      <c r="O2" s="317"/>
      <c r="P2" s="74" t="s">
        <v>197</v>
      </c>
      <c r="Q2" s="74" t="s">
        <v>205</v>
      </c>
    </row>
    <row r="3" spans="1:17" x14ac:dyDescent="0.2">
      <c r="A3" s="838"/>
      <c r="C3" s="317"/>
      <c r="D3" s="258" t="s">
        <v>266</v>
      </c>
      <c r="E3" s="258" t="s">
        <v>267</v>
      </c>
      <c r="G3" s="317"/>
      <c r="H3" s="74" t="s">
        <v>268</v>
      </c>
      <c r="I3" s="74" t="s">
        <v>269</v>
      </c>
      <c r="K3" s="317"/>
      <c r="L3" s="74" t="s">
        <v>270</v>
      </c>
      <c r="M3" s="74" t="s">
        <v>267</v>
      </c>
      <c r="O3" s="317"/>
      <c r="P3" s="74" t="s">
        <v>268</v>
      </c>
      <c r="Q3" s="74" t="s">
        <v>271</v>
      </c>
    </row>
    <row r="4" spans="1:17" ht="12.75" customHeight="1" x14ac:dyDescent="0.2">
      <c r="A4" s="838"/>
      <c r="C4" s="314"/>
      <c r="D4" s="258" t="s">
        <v>194</v>
      </c>
      <c r="E4" s="258" t="s">
        <v>196</v>
      </c>
      <c r="G4" s="314"/>
      <c r="H4" s="74" t="s">
        <v>194</v>
      </c>
      <c r="I4" s="74" t="s">
        <v>198</v>
      </c>
      <c r="K4" s="315"/>
      <c r="L4" s="74" t="s">
        <v>194</v>
      </c>
      <c r="M4" s="74" t="s">
        <v>200</v>
      </c>
      <c r="N4" s="74"/>
      <c r="O4" s="167"/>
      <c r="P4" s="74" t="s">
        <v>202</v>
      </c>
      <c r="Q4" s="74" t="s">
        <v>198</v>
      </c>
    </row>
    <row r="5" spans="1:17" ht="12.75" customHeight="1" x14ac:dyDescent="0.2">
      <c r="A5" s="838"/>
      <c r="C5" s="314"/>
      <c r="D5" s="258" t="s">
        <v>195</v>
      </c>
      <c r="E5" s="258" t="s">
        <v>197</v>
      </c>
      <c r="G5" s="314"/>
      <c r="H5" s="74" t="s">
        <v>195</v>
      </c>
      <c r="I5" s="74" t="s">
        <v>199</v>
      </c>
      <c r="K5" s="315"/>
      <c r="L5" s="74" t="s">
        <v>195</v>
      </c>
      <c r="M5" s="74" t="s">
        <v>201</v>
      </c>
      <c r="O5" s="167"/>
      <c r="P5" s="74" t="s">
        <v>203</v>
      </c>
      <c r="Q5" s="74" t="s">
        <v>199</v>
      </c>
    </row>
    <row r="6" spans="1:17" ht="12.75" customHeight="1" x14ac:dyDescent="0.2">
      <c r="A6" s="838"/>
      <c r="C6" s="314"/>
      <c r="D6" s="258" t="s">
        <v>266</v>
      </c>
      <c r="E6" s="258" t="s">
        <v>268</v>
      </c>
      <c r="G6" s="314"/>
      <c r="H6" s="74" t="s">
        <v>266</v>
      </c>
      <c r="I6" s="74" t="s">
        <v>267</v>
      </c>
      <c r="K6" s="315"/>
      <c r="L6" s="74" t="s">
        <v>266</v>
      </c>
      <c r="M6" s="74" t="s">
        <v>269</v>
      </c>
      <c r="O6" s="167"/>
      <c r="P6" s="74" t="s">
        <v>270</v>
      </c>
      <c r="Q6" s="74" t="s">
        <v>267</v>
      </c>
    </row>
    <row r="7" spans="1:17" x14ac:dyDescent="0.2">
      <c r="A7" s="838"/>
      <c r="C7" s="314"/>
      <c r="D7" s="258" t="s">
        <v>196</v>
      </c>
      <c r="E7" s="258" t="s">
        <v>198</v>
      </c>
      <c r="G7" s="314"/>
      <c r="H7" s="74" t="s">
        <v>194</v>
      </c>
      <c r="I7" s="74" t="s">
        <v>196</v>
      </c>
      <c r="K7" s="316"/>
      <c r="L7" s="74" t="s">
        <v>202</v>
      </c>
      <c r="M7" s="74" t="s">
        <v>196</v>
      </c>
      <c r="P7" s="74" t="s">
        <v>194</v>
      </c>
      <c r="Q7" s="74" t="s">
        <v>200</v>
      </c>
    </row>
    <row r="8" spans="1:17" x14ac:dyDescent="0.2">
      <c r="A8" s="838"/>
      <c r="C8" s="314"/>
      <c r="D8" s="258" t="s">
        <v>197</v>
      </c>
      <c r="E8" s="258" t="s">
        <v>199</v>
      </c>
      <c r="G8" s="314"/>
      <c r="H8" s="74" t="s">
        <v>195</v>
      </c>
      <c r="I8" s="74" t="s">
        <v>197</v>
      </c>
      <c r="K8" s="316"/>
      <c r="L8" s="74" t="s">
        <v>203</v>
      </c>
      <c r="M8" s="74" t="s">
        <v>197</v>
      </c>
      <c r="P8" s="74" t="s">
        <v>195</v>
      </c>
      <c r="Q8" s="74" t="s">
        <v>201</v>
      </c>
    </row>
    <row r="9" spans="1:17" x14ac:dyDescent="0.2">
      <c r="A9" s="838"/>
      <c r="C9" s="314"/>
      <c r="D9" s="258" t="s">
        <v>268</v>
      </c>
      <c r="E9" s="258" t="s">
        <v>267</v>
      </c>
      <c r="G9" s="314"/>
      <c r="H9" s="74" t="s">
        <v>266</v>
      </c>
      <c r="I9" s="74" t="s">
        <v>268</v>
      </c>
      <c r="K9" s="316"/>
      <c r="L9" s="74" t="s">
        <v>270</v>
      </c>
      <c r="M9" s="74" t="s">
        <v>268</v>
      </c>
      <c r="P9" s="74" t="s">
        <v>266</v>
      </c>
      <c r="Q9" s="74" t="s">
        <v>269</v>
      </c>
    </row>
    <row r="10" spans="1:17" ht="12.75" customHeight="1" x14ac:dyDescent="0.2">
      <c r="A10" s="838"/>
      <c r="C10" s="314"/>
      <c r="D10" s="258"/>
      <c r="E10" s="258"/>
      <c r="G10" s="314"/>
      <c r="H10" s="74" t="s">
        <v>198</v>
      </c>
      <c r="I10" s="74" t="s">
        <v>200</v>
      </c>
      <c r="K10" s="316"/>
      <c r="L10" s="74" t="s">
        <v>198</v>
      </c>
      <c r="M10" s="74" t="s">
        <v>194</v>
      </c>
      <c r="P10" s="74" t="s">
        <v>202</v>
      </c>
      <c r="Q10" s="74" t="s">
        <v>196</v>
      </c>
    </row>
    <row r="11" spans="1:17" ht="12.75" customHeight="1" x14ac:dyDescent="0.2">
      <c r="A11" s="838"/>
      <c r="C11" s="314"/>
      <c r="D11" s="258"/>
      <c r="E11" s="258"/>
      <c r="G11" s="314"/>
      <c r="H11" s="74" t="s">
        <v>199</v>
      </c>
      <c r="I11" s="74" t="s">
        <v>201</v>
      </c>
      <c r="K11" s="316"/>
      <c r="L11" s="74" t="s">
        <v>199</v>
      </c>
      <c r="M11" s="74" t="s">
        <v>195</v>
      </c>
      <c r="P11" s="74" t="s">
        <v>203</v>
      </c>
      <c r="Q11" s="74" t="s">
        <v>197</v>
      </c>
    </row>
    <row r="12" spans="1:17" ht="12.75" customHeight="1" x14ac:dyDescent="0.2">
      <c r="A12" s="838"/>
      <c r="C12" s="314"/>
      <c r="D12" s="258"/>
      <c r="E12" s="258"/>
      <c r="G12" s="314"/>
      <c r="H12" s="74" t="s">
        <v>267</v>
      </c>
      <c r="I12" s="74" t="s">
        <v>269</v>
      </c>
      <c r="K12" s="316"/>
      <c r="L12" s="74" t="s">
        <v>267</v>
      </c>
      <c r="M12" s="74" t="s">
        <v>266</v>
      </c>
      <c r="P12" s="74" t="s">
        <v>270</v>
      </c>
      <c r="Q12" s="74" t="s">
        <v>268</v>
      </c>
    </row>
    <row r="13" spans="1:17" x14ac:dyDescent="0.2">
      <c r="A13" s="838"/>
      <c r="C13" s="314"/>
      <c r="D13" s="258"/>
      <c r="E13" s="258"/>
      <c r="G13" s="314"/>
      <c r="H13" s="74" t="s">
        <v>196</v>
      </c>
      <c r="I13" s="74" t="s">
        <v>198</v>
      </c>
      <c r="K13" s="316"/>
      <c r="L13" s="74" t="s">
        <v>196</v>
      </c>
      <c r="M13" s="74" t="s">
        <v>200</v>
      </c>
      <c r="P13" s="74" t="s">
        <v>200</v>
      </c>
      <c r="Q13" s="74" t="s">
        <v>204</v>
      </c>
    </row>
    <row r="14" spans="1:17" x14ac:dyDescent="0.2">
      <c r="A14" s="838"/>
      <c r="C14" s="314"/>
      <c r="D14" s="258"/>
      <c r="E14" s="258"/>
      <c r="G14" s="314"/>
      <c r="H14" s="74" t="s">
        <v>197</v>
      </c>
      <c r="I14" s="74" t="s">
        <v>199</v>
      </c>
      <c r="K14" s="316"/>
      <c r="L14" s="74" t="s">
        <v>197</v>
      </c>
      <c r="M14" s="74" t="s">
        <v>201</v>
      </c>
      <c r="P14" s="74" t="s">
        <v>201</v>
      </c>
      <c r="Q14" s="74" t="s">
        <v>205</v>
      </c>
    </row>
    <row r="15" spans="1:17" x14ac:dyDescent="0.2">
      <c r="A15" s="838"/>
      <c r="C15" s="314"/>
      <c r="D15" s="258"/>
      <c r="E15" s="258"/>
      <c r="G15" s="314"/>
      <c r="H15" s="74" t="s">
        <v>268</v>
      </c>
      <c r="I15" s="74" t="s">
        <v>267</v>
      </c>
      <c r="K15" s="316"/>
      <c r="L15" s="74" t="s">
        <v>268</v>
      </c>
      <c r="M15" s="74" t="s">
        <v>269</v>
      </c>
      <c r="P15" s="74" t="s">
        <v>269</v>
      </c>
      <c r="Q15" s="74" t="s">
        <v>271</v>
      </c>
    </row>
    <row r="16" spans="1:17" ht="13.5" customHeight="1" x14ac:dyDescent="0.2">
      <c r="A16" s="838"/>
      <c r="C16" s="314"/>
      <c r="D16" s="258"/>
      <c r="E16" s="258"/>
      <c r="G16" s="314"/>
      <c r="H16" s="74" t="s">
        <v>200</v>
      </c>
      <c r="I16" s="74" t="s">
        <v>194</v>
      </c>
      <c r="K16" s="314"/>
      <c r="L16" s="74" t="s">
        <v>194</v>
      </c>
      <c r="M16" s="74" t="s">
        <v>202</v>
      </c>
      <c r="P16" s="74" t="s">
        <v>198</v>
      </c>
      <c r="Q16" s="74" t="s">
        <v>194</v>
      </c>
    </row>
    <row r="17" spans="1:17" ht="13.5" customHeight="1" x14ac:dyDescent="0.2">
      <c r="A17" s="838"/>
      <c r="C17" s="314"/>
      <c r="D17" s="258"/>
      <c r="E17" s="258"/>
      <c r="G17" s="314"/>
      <c r="H17" s="74" t="s">
        <v>201</v>
      </c>
      <c r="I17" s="74" t="s">
        <v>195</v>
      </c>
      <c r="K17" s="314"/>
      <c r="L17" s="74" t="s">
        <v>195</v>
      </c>
      <c r="M17" s="74" t="s">
        <v>203</v>
      </c>
      <c r="P17" s="74" t="s">
        <v>199</v>
      </c>
      <c r="Q17" s="74" t="s">
        <v>195</v>
      </c>
    </row>
    <row r="18" spans="1:17" ht="13.5" customHeight="1" x14ac:dyDescent="0.2">
      <c r="A18" s="838"/>
      <c r="C18" s="314"/>
      <c r="D18" s="258"/>
      <c r="E18" s="258"/>
      <c r="G18" s="314"/>
      <c r="H18" s="74" t="s">
        <v>269</v>
      </c>
      <c r="I18" s="74" t="s">
        <v>266</v>
      </c>
      <c r="K18" s="314"/>
      <c r="L18" s="74" t="s">
        <v>266</v>
      </c>
      <c r="M18" s="74" t="s">
        <v>270</v>
      </c>
      <c r="P18" s="74" t="s">
        <v>267</v>
      </c>
      <c r="Q18" s="74" t="s">
        <v>266</v>
      </c>
    </row>
    <row r="19" spans="1:17" ht="12.75" customHeight="1" x14ac:dyDescent="0.2">
      <c r="A19" s="838"/>
      <c r="D19" s="74"/>
      <c r="E19" s="74"/>
      <c r="G19" s="314"/>
      <c r="H19" s="74"/>
      <c r="I19" s="74"/>
      <c r="K19" s="314"/>
      <c r="L19" s="74" t="s">
        <v>198</v>
      </c>
      <c r="M19" s="74" t="s">
        <v>200</v>
      </c>
      <c r="P19" s="74" t="s">
        <v>196</v>
      </c>
      <c r="Q19" s="74" t="s">
        <v>200</v>
      </c>
    </row>
    <row r="20" spans="1:17" ht="12.75" customHeight="1" x14ac:dyDescent="0.2">
      <c r="A20" s="838"/>
      <c r="D20" s="74"/>
      <c r="E20" s="74"/>
      <c r="G20" s="314"/>
      <c r="H20" s="74"/>
      <c r="I20" s="74"/>
      <c r="K20" s="314"/>
      <c r="L20" s="74" t="s">
        <v>199</v>
      </c>
      <c r="M20" s="74" t="s">
        <v>201</v>
      </c>
      <c r="P20" s="74" t="s">
        <v>197</v>
      </c>
      <c r="Q20" s="74" t="s">
        <v>201</v>
      </c>
    </row>
    <row r="21" spans="1:17" ht="12.75" customHeight="1" x14ac:dyDescent="0.2">
      <c r="A21" s="838"/>
      <c r="D21" s="74"/>
      <c r="E21" s="74"/>
      <c r="G21" s="314"/>
      <c r="H21" s="74"/>
      <c r="I21" s="74"/>
      <c r="K21" s="314"/>
      <c r="L21" s="74" t="s">
        <v>267</v>
      </c>
      <c r="M21" s="74" t="s">
        <v>269</v>
      </c>
      <c r="P21" s="74" t="s">
        <v>268</v>
      </c>
      <c r="Q21" s="74" t="s">
        <v>269</v>
      </c>
    </row>
    <row r="22" spans="1:17" x14ac:dyDescent="0.2">
      <c r="A22" s="838"/>
      <c r="C22" s="259"/>
      <c r="D22" s="74"/>
      <c r="E22" s="74"/>
      <c r="G22" s="314"/>
      <c r="H22" s="74"/>
      <c r="I22" s="74"/>
      <c r="K22" s="314"/>
      <c r="L22" s="74" t="s">
        <v>194</v>
      </c>
      <c r="M22" s="74" t="s">
        <v>196</v>
      </c>
      <c r="P22" s="74" t="s">
        <v>194</v>
      </c>
      <c r="Q22" s="74" t="s">
        <v>202</v>
      </c>
    </row>
    <row r="23" spans="1:17" x14ac:dyDescent="0.2">
      <c r="A23" s="838"/>
      <c r="C23" s="259"/>
      <c r="D23" s="74"/>
      <c r="E23" s="74"/>
      <c r="G23" s="314"/>
      <c r="H23" s="74"/>
      <c r="I23" s="74"/>
      <c r="K23" s="314"/>
      <c r="L23" s="74" t="s">
        <v>195</v>
      </c>
      <c r="M23" s="74" t="s">
        <v>197</v>
      </c>
      <c r="P23" s="74" t="s">
        <v>195</v>
      </c>
      <c r="Q23" s="74" t="s">
        <v>203</v>
      </c>
    </row>
    <row r="24" spans="1:17" x14ac:dyDescent="0.2">
      <c r="A24" s="838"/>
      <c r="C24" s="259"/>
      <c r="D24" s="74"/>
      <c r="E24" s="74"/>
      <c r="G24" s="314"/>
      <c r="H24" s="74"/>
      <c r="I24" s="74"/>
      <c r="K24" s="314"/>
      <c r="L24" s="74" t="s">
        <v>266</v>
      </c>
      <c r="M24" s="74" t="s">
        <v>268</v>
      </c>
      <c r="P24" s="74" t="s">
        <v>266</v>
      </c>
      <c r="Q24" s="74" t="s">
        <v>270</v>
      </c>
    </row>
    <row r="25" spans="1:17" x14ac:dyDescent="0.2">
      <c r="A25" s="838"/>
      <c r="C25" s="259"/>
      <c r="D25" s="74"/>
      <c r="E25" s="74"/>
      <c r="G25" s="314"/>
      <c r="H25" s="74"/>
      <c r="I25" s="74"/>
      <c r="K25" s="314"/>
      <c r="L25" s="74" t="s">
        <v>200</v>
      </c>
      <c r="M25" s="74" t="s">
        <v>202</v>
      </c>
      <c r="P25" s="74" t="s">
        <v>204</v>
      </c>
      <c r="Q25" s="74" t="s">
        <v>198</v>
      </c>
    </row>
    <row r="26" spans="1:17" x14ac:dyDescent="0.2">
      <c r="A26" s="838"/>
      <c r="C26" s="259"/>
      <c r="D26" s="74"/>
      <c r="E26" s="74"/>
      <c r="G26" s="314"/>
      <c r="H26" s="74"/>
      <c r="I26" s="74"/>
      <c r="K26" s="314"/>
      <c r="L26" s="74" t="s">
        <v>201</v>
      </c>
      <c r="M26" s="74" t="s">
        <v>203</v>
      </c>
      <c r="P26" s="74" t="s">
        <v>205</v>
      </c>
      <c r="Q26" s="74" t="s">
        <v>199</v>
      </c>
    </row>
    <row r="27" spans="1:17" x14ac:dyDescent="0.2">
      <c r="A27" s="838"/>
      <c r="C27" s="259"/>
      <c r="D27" s="74"/>
      <c r="E27" s="74"/>
      <c r="G27" s="314"/>
      <c r="H27" s="74"/>
      <c r="I27" s="74"/>
      <c r="K27" s="314"/>
      <c r="L27" s="74" t="s">
        <v>269</v>
      </c>
      <c r="M27" s="74" t="s">
        <v>270</v>
      </c>
      <c r="P27" s="74" t="s">
        <v>271</v>
      </c>
      <c r="Q27" s="74" t="s">
        <v>267</v>
      </c>
    </row>
    <row r="28" spans="1:17" x14ac:dyDescent="0.2">
      <c r="A28" s="838"/>
      <c r="C28" s="259"/>
      <c r="D28" s="74"/>
      <c r="E28" s="74"/>
      <c r="G28" s="314"/>
      <c r="H28" s="74"/>
      <c r="I28" s="74"/>
      <c r="K28" s="314"/>
      <c r="L28" s="74" t="s">
        <v>196</v>
      </c>
      <c r="M28" s="74" t="s">
        <v>198</v>
      </c>
      <c r="P28" s="74" t="s">
        <v>194</v>
      </c>
      <c r="Q28" s="74" t="s">
        <v>196</v>
      </c>
    </row>
    <row r="29" spans="1:17" x14ac:dyDescent="0.2">
      <c r="A29" s="838"/>
      <c r="C29" s="259"/>
      <c r="D29" s="74"/>
      <c r="E29" s="74"/>
      <c r="G29" s="314"/>
      <c r="H29" s="74"/>
      <c r="I29" s="74"/>
      <c r="K29" s="314"/>
      <c r="L29" s="74" t="s">
        <v>197</v>
      </c>
      <c r="M29" s="74" t="s">
        <v>199</v>
      </c>
      <c r="P29" s="74" t="s">
        <v>195</v>
      </c>
      <c r="Q29" s="74" t="s">
        <v>197</v>
      </c>
    </row>
    <row r="30" spans="1:17" x14ac:dyDescent="0.2">
      <c r="A30" s="838"/>
      <c r="C30" s="259"/>
      <c r="D30" s="74"/>
      <c r="E30" s="74"/>
      <c r="G30" s="314"/>
      <c r="H30" s="74"/>
      <c r="I30" s="74"/>
      <c r="K30" s="314"/>
      <c r="L30" s="74" t="s">
        <v>268</v>
      </c>
      <c r="M30" s="74" t="s">
        <v>267</v>
      </c>
      <c r="P30" s="74" t="s">
        <v>266</v>
      </c>
      <c r="Q30" s="74" t="s">
        <v>268</v>
      </c>
    </row>
    <row r="31" spans="1:17" x14ac:dyDescent="0.2">
      <c r="A31" s="838"/>
      <c r="C31" s="259"/>
      <c r="D31" s="74"/>
      <c r="E31" s="74"/>
      <c r="G31" s="314"/>
      <c r="H31" s="74"/>
      <c r="I31" s="74"/>
      <c r="K31" s="314"/>
      <c r="L31" s="74"/>
      <c r="M31" s="74"/>
      <c r="O31" s="314"/>
      <c r="P31" s="74" t="s">
        <v>198</v>
      </c>
      <c r="Q31" s="74" t="s">
        <v>200</v>
      </c>
    </row>
    <row r="32" spans="1:17" x14ac:dyDescent="0.2">
      <c r="A32" s="838"/>
      <c r="C32" s="259"/>
      <c r="D32" s="74"/>
      <c r="E32" s="74"/>
      <c r="G32" s="314"/>
      <c r="H32" s="74"/>
      <c r="I32" s="74"/>
      <c r="K32" s="314"/>
      <c r="L32" s="74"/>
      <c r="M32" s="74"/>
      <c r="O32" s="314"/>
      <c r="P32" s="74" t="s">
        <v>199</v>
      </c>
      <c r="Q32" s="74" t="s">
        <v>201</v>
      </c>
    </row>
    <row r="33" spans="1:17" x14ac:dyDescent="0.2">
      <c r="A33" s="838"/>
      <c r="C33" s="259"/>
      <c r="D33" s="74"/>
      <c r="E33" s="74"/>
      <c r="G33" s="314"/>
      <c r="H33" s="74"/>
      <c r="I33" s="74"/>
      <c r="K33" s="314"/>
      <c r="L33" s="74"/>
      <c r="M33" s="74"/>
      <c r="O33" s="314"/>
      <c r="P33" s="74" t="s">
        <v>267</v>
      </c>
      <c r="Q33" s="74" t="s">
        <v>269</v>
      </c>
    </row>
    <row r="34" spans="1:17" x14ac:dyDescent="0.2">
      <c r="A34" s="838"/>
      <c r="D34" s="74"/>
      <c r="E34" s="74"/>
      <c r="H34" s="74"/>
      <c r="I34" s="74"/>
      <c r="K34" s="314"/>
      <c r="L34" s="74"/>
      <c r="M34" s="74"/>
      <c r="O34" s="314"/>
      <c r="P34" s="74" t="s">
        <v>202</v>
      </c>
      <c r="Q34" s="74" t="s">
        <v>204</v>
      </c>
    </row>
    <row r="35" spans="1:17" x14ac:dyDescent="0.2">
      <c r="A35" s="838"/>
      <c r="D35" s="74"/>
      <c r="E35" s="74"/>
      <c r="H35" s="74"/>
      <c r="I35" s="74"/>
      <c r="K35" s="314"/>
      <c r="L35" s="74"/>
      <c r="M35" s="74"/>
      <c r="O35" s="314"/>
      <c r="P35" s="74" t="s">
        <v>203</v>
      </c>
      <c r="Q35" s="74" t="s">
        <v>205</v>
      </c>
    </row>
    <row r="36" spans="1:17" x14ac:dyDescent="0.2">
      <c r="A36" s="838"/>
      <c r="D36" s="74"/>
      <c r="E36" s="74"/>
      <c r="H36" s="74"/>
      <c r="I36" s="74"/>
      <c r="K36" s="314"/>
      <c r="L36" s="74"/>
      <c r="M36" s="74"/>
      <c r="O36" s="314"/>
      <c r="P36" s="74" t="s">
        <v>270</v>
      </c>
      <c r="Q36" s="74" t="s">
        <v>271</v>
      </c>
    </row>
    <row r="37" spans="1:17" x14ac:dyDescent="0.2">
      <c r="A37" s="838"/>
      <c r="K37" s="314"/>
      <c r="L37" s="74"/>
      <c r="M37" s="74"/>
      <c r="O37" s="314"/>
      <c r="P37" s="74" t="s">
        <v>196</v>
      </c>
      <c r="Q37" s="74" t="s">
        <v>198</v>
      </c>
    </row>
    <row r="38" spans="1:17" x14ac:dyDescent="0.2">
      <c r="A38" s="838"/>
      <c r="K38" s="314"/>
      <c r="L38" s="74"/>
      <c r="M38" s="74"/>
      <c r="O38" s="314"/>
      <c r="P38" s="74" t="s">
        <v>197</v>
      </c>
      <c r="Q38" s="74" t="s">
        <v>199</v>
      </c>
    </row>
    <row r="39" spans="1:17" x14ac:dyDescent="0.2">
      <c r="A39" s="838"/>
      <c r="K39" s="314"/>
      <c r="L39" s="74"/>
      <c r="M39" s="74"/>
      <c r="O39" s="314"/>
      <c r="P39" s="74" t="s">
        <v>268</v>
      </c>
      <c r="Q39" s="74" t="s">
        <v>267</v>
      </c>
    </row>
    <row r="40" spans="1:17" x14ac:dyDescent="0.2">
      <c r="A40" s="838"/>
      <c r="K40" s="314"/>
      <c r="L40" s="74"/>
      <c r="M40" s="74"/>
      <c r="O40" s="314"/>
      <c r="P40" s="74" t="s">
        <v>204</v>
      </c>
      <c r="Q40" s="74" t="s">
        <v>194</v>
      </c>
    </row>
    <row r="41" spans="1:17" x14ac:dyDescent="0.2">
      <c r="A41" s="838"/>
      <c r="K41" s="314"/>
      <c r="L41" s="74"/>
      <c r="M41" s="74"/>
      <c r="O41" s="314"/>
      <c r="P41" s="74" t="s">
        <v>205</v>
      </c>
      <c r="Q41" s="74" t="s">
        <v>195</v>
      </c>
    </row>
    <row r="42" spans="1:17" x14ac:dyDescent="0.2">
      <c r="A42" s="838"/>
      <c r="K42" s="314"/>
      <c r="L42" s="74"/>
      <c r="M42" s="74"/>
      <c r="O42" s="314"/>
      <c r="P42" s="74" t="s">
        <v>271</v>
      </c>
      <c r="Q42" s="74" t="s">
        <v>266</v>
      </c>
    </row>
    <row r="43" spans="1:17" x14ac:dyDescent="0.2">
      <c r="A43" s="838"/>
      <c r="K43" s="314"/>
      <c r="L43" s="74"/>
      <c r="M43" s="74"/>
      <c r="O43" s="314"/>
      <c r="P43" s="74" t="s">
        <v>200</v>
      </c>
      <c r="Q43" s="74" t="s">
        <v>202</v>
      </c>
    </row>
    <row r="44" spans="1:17" x14ac:dyDescent="0.2">
      <c r="A44" s="838"/>
      <c r="K44" s="316"/>
      <c r="L44" s="74"/>
      <c r="M44" s="74"/>
      <c r="O44" s="314"/>
      <c r="P44" s="74" t="s">
        <v>201</v>
      </c>
      <c r="Q44" s="74" t="s">
        <v>203</v>
      </c>
    </row>
    <row r="45" spans="1:17" x14ac:dyDescent="0.2">
      <c r="A45" s="838"/>
      <c r="L45" s="74"/>
      <c r="M45" s="74"/>
      <c r="O45" s="314"/>
      <c r="P45" s="74" t="s">
        <v>269</v>
      </c>
      <c r="Q45" s="74" t="s">
        <v>270</v>
      </c>
    </row>
    <row r="46" spans="1:17" x14ac:dyDescent="0.2">
      <c r="A46" s="838"/>
      <c r="L46" s="74"/>
      <c r="M46" s="74"/>
      <c r="O46" s="314"/>
      <c r="P46" s="74"/>
      <c r="Q46" s="74"/>
    </row>
    <row r="47" spans="1:17" x14ac:dyDescent="0.2">
      <c r="L47" s="74"/>
      <c r="M47" s="74"/>
      <c r="O47" s="314"/>
      <c r="P47" s="74"/>
      <c r="Q47" s="74"/>
    </row>
    <row r="48" spans="1:17" x14ac:dyDescent="0.2">
      <c r="L48" s="74"/>
      <c r="M48" s="74"/>
      <c r="O48" s="314"/>
      <c r="P48" s="74"/>
      <c r="Q48" s="74"/>
    </row>
    <row r="49" spans="16:17" x14ac:dyDescent="0.2">
      <c r="P49" s="74"/>
      <c r="Q49" s="74"/>
    </row>
    <row r="50" spans="16:17" x14ac:dyDescent="0.2">
      <c r="P50" s="74"/>
      <c r="Q50" s="74"/>
    </row>
    <row r="51" spans="16:17" x14ac:dyDescent="0.2">
      <c r="P51" s="74"/>
      <c r="Q51" s="74"/>
    </row>
    <row r="52" spans="16:17" x14ac:dyDescent="0.2">
      <c r="P52" s="74"/>
      <c r="Q52" s="74"/>
    </row>
    <row r="53" spans="16:17" x14ac:dyDescent="0.2">
      <c r="P53" s="74"/>
      <c r="Q53" s="74"/>
    </row>
    <row r="54" spans="16:17" x14ac:dyDescent="0.2">
      <c r="P54" s="74"/>
      <c r="Q54" s="74"/>
    </row>
    <row r="55" spans="16:17" x14ac:dyDescent="0.2">
      <c r="P55" s="74"/>
      <c r="Q55" s="74"/>
    </row>
    <row r="56" spans="16:17" x14ac:dyDescent="0.2">
      <c r="P56" s="74"/>
      <c r="Q56" s="74"/>
    </row>
    <row r="57" spans="16:17" x14ac:dyDescent="0.2">
      <c r="P57" s="74"/>
      <c r="Q57" s="74"/>
    </row>
    <row r="58" spans="16:17" x14ac:dyDescent="0.2">
      <c r="P58" s="74"/>
      <c r="Q58" s="74"/>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11.004</v>
      </c>
      <c r="E4" s="266">
        <f ca="1">IF($AI$15,RANK(AH17,AH$17:AH$25,1),RANK(X17,X$17:X$25,1))</f>
        <v>1</v>
      </c>
      <c r="F4" s="1" t="str">
        <f ca="1">$Q64</f>
        <v/>
      </c>
      <c r="G4" s="1">
        <f ca="1">SUMIFS($X$64:$X$135,$V$64:$V$135,$F4)+SUMIFS($Y$64:$Y$135,$W$64:$W$135,$F4)+SUMIFS($AG$64:$AG$135,$V$64:$V$135,$F4)+SUMIFS($AH$64:$AH$135,$W$64:$W$135,$F4)</f>
        <v>0</v>
      </c>
      <c r="H4" s="1">
        <f ca="1">SUMIFS($Y$64:$Y$135,$V$64:$V$135,$F4)+SUMIFS($X$64:$X$135,$W$64:$W$135,$F4)+SUMIFS($AH$64:$AH$135,$V$64:$V$135,$F4)+SUMIFS($AG$64:$AG$135,$W$64:$W$135,$F4)</f>
        <v>0</v>
      </c>
      <c r="I4" s="12">
        <f ca="1">IF(Settings!$G$7,G4-H4,IF(H4=0,IF(G4=0,0,Settings!$F$7),G4/H4))</f>
        <v>0</v>
      </c>
      <c r="J4" s="1">
        <f ca="1">SUMPRODUCT(($V$64:$V$135=F4)*$AE$64:$AE$135*$AA$64:$AA$135)+SUMPRODUCT(($W$64:$W$135=F4)*$AF$64:$AF$135*$AA$64:$AA$135)</f>
        <v>0</v>
      </c>
      <c r="K4" s="1">
        <f ca="1">SUMPRODUCT(($V$64:$V$135=F4)*$AA$64:$AA$135)+SUMPRODUCT(($W$64:$W$135=F4)*$AA$64:$AA$135)</f>
        <v>0</v>
      </c>
      <c r="L4" s="1">
        <f ca="1">K4-M4-N4</f>
        <v>0</v>
      </c>
      <c r="M4" s="1">
        <f ca="1">SUMPRODUCT(($V$64:$W$135=F4)*($AE$64:$AE$135=$AF$64:$AF$135)*$AA$64:$AA$135)</f>
        <v>0</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0</v>
      </c>
    </row>
    <row r="5" spans="1:44" s="2" customFormat="1" x14ac:dyDescent="0.2">
      <c r="A5" s="254"/>
      <c r="B5" s="1">
        <v>2</v>
      </c>
      <c r="C5" s="21">
        <f t="shared" ref="C5:C12" ca="1" si="0">RANK(D5,$D$4:$D$12,1)</f>
        <v>2</v>
      </c>
      <c r="D5" s="12">
        <f t="shared" ref="D5:D12" ca="1" si="1">E5+ROW()/1000+(F5="")*10</f>
        <v>11.004999999999999</v>
      </c>
      <c r="E5" s="266">
        <f t="shared" ref="E5:E12" ca="1" si="2">IF($AI$15,RANK(AH18,AH$17:AH$25,1),RANK(X18,X$17:X$25,1))</f>
        <v>1</v>
      </c>
      <c r="F5" s="1" t="str">
        <f t="shared" ref="F5:F12" ca="1" si="3">$Q65</f>
        <v/>
      </c>
      <c r="G5" s="1">
        <f t="shared" ref="G5:G12" ca="1" si="4">SUMIFS($X$64:$X$135,$V$64:$V$135,$F5)+SUMIFS($Y$64:$Y$135,$W$64:$W$135,$F5)+SUMIFS($AG$64:$AG$135,$V$64:$V$135,$F5)+SUMIFS($AH$64:$AH$135,$W$64:$W$135,$F5)</f>
        <v>0</v>
      </c>
      <c r="H5" s="1">
        <f t="shared" ref="H5:H12" ca="1" si="5">SUMIFS($Y$64:$Y$135,$V$64:$V$135,$F5)+SUMIFS($X$64:$X$135,$W$64:$W$135,$F5)+SUMIFS($AH$64:$AH$135,$V$64:$V$135,$F5)+SUMIFS($AG$64:$AG$135,$W$64:$W$135,$F5)</f>
        <v>0</v>
      </c>
      <c r="I5" s="12">
        <f ca="1">IF(Settings!$G$7,G5-H5,IF(H5=0,IF(G5=0,0,Settings!$F$7),G5/H5))</f>
        <v>0</v>
      </c>
      <c r="J5" s="1">
        <f t="shared" ref="J5:J12" ca="1" si="6">SUMPRODUCT(($V$64:$V$135=F5)*$AE$64:$AE$135*$AA$64:$AA$135)+SUMPRODUCT(($W$64:$W$135=F5)*$AF$64:$AF$135*$AA$64:$AA$135)</f>
        <v>0</v>
      </c>
      <c r="K5" s="1">
        <f t="shared" ref="K5:K12" ca="1" si="7">SUMPRODUCT(($V$64:$V$135=F5)*$AA$64:$AA$135)+SUMPRODUCT(($W$64:$W$135=F5)*$AA$64:$AA$135)</f>
        <v>0</v>
      </c>
      <c r="L5" s="1">
        <f t="shared" ref="L5:L12" ca="1" si="8">K5-M5-N5</f>
        <v>0</v>
      </c>
      <c r="M5" s="1">
        <f t="shared" ref="M5:M12" ca="1" si="9">SUMPRODUCT(($V$64:$W$135=F5)*($AE$64:$AE$135=$AF$64:$AF$135)*$AA$64:$AA$135)</f>
        <v>0</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0</v>
      </c>
    </row>
    <row r="6" spans="1:44" s="2" customFormat="1" x14ac:dyDescent="0.2">
      <c r="A6" s="254"/>
      <c r="B6" s="1">
        <v>3</v>
      </c>
      <c r="C6" s="21">
        <f t="shared" ca="1" si="0"/>
        <v>3</v>
      </c>
      <c r="D6" s="12">
        <f t="shared" ca="1" si="1"/>
        <v>11.006</v>
      </c>
      <c r="E6" s="266">
        <f t="shared" ca="1" si="2"/>
        <v>1</v>
      </c>
      <c r="F6" s="1" t="str">
        <f t="shared" ca="1" si="3"/>
        <v/>
      </c>
      <c r="G6" s="1">
        <f t="shared" ca="1" si="4"/>
        <v>0</v>
      </c>
      <c r="H6" s="1">
        <f t="shared" ca="1" si="5"/>
        <v>0</v>
      </c>
      <c r="I6" s="12">
        <f ca="1">IF(Settings!$G$7,G6-H6,IF(H6=0,IF(G6=0,0,Settings!$F$7),G6/H6))</f>
        <v>0</v>
      </c>
      <c r="J6" s="1">
        <f t="shared" ca="1" si="6"/>
        <v>0</v>
      </c>
      <c r="K6" s="1">
        <f t="shared" ca="1" si="7"/>
        <v>0</v>
      </c>
      <c r="L6" s="1">
        <f t="shared" ca="1" si="8"/>
        <v>0</v>
      </c>
      <c r="M6" s="1">
        <f t="shared" ca="1" si="9"/>
        <v>0</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0</v>
      </c>
    </row>
    <row r="7" spans="1:44" s="2" customFormat="1" x14ac:dyDescent="0.2">
      <c r="A7" s="254"/>
      <c r="B7" s="1">
        <v>4</v>
      </c>
      <c r="C7" s="21">
        <f t="shared" ca="1" si="0"/>
        <v>4</v>
      </c>
      <c r="D7" s="12">
        <f t="shared" ca="1" si="1"/>
        <v>11.007</v>
      </c>
      <c r="E7" s="266">
        <f t="shared" ca="1" si="2"/>
        <v>1</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11.007999999999999</v>
      </c>
      <c r="E8" s="266">
        <f t="shared" ca="1" si="2"/>
        <v>1</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11.009</v>
      </c>
      <c r="E9" s="266">
        <f t="shared" ca="1" si="2"/>
        <v>1</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11.01</v>
      </c>
      <c r="E10" s="266">
        <f t="shared" ca="1" si="2"/>
        <v>1</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11.010999999999999</v>
      </c>
      <c r="E11" s="266">
        <f t="shared" ca="1" si="2"/>
        <v>1</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11.012</v>
      </c>
      <c r="E12" s="266">
        <f t="shared" ca="1" si="2"/>
        <v>1</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0</v>
      </c>
      <c r="C13" s="12"/>
      <c r="D13" s="12"/>
      <c r="E13" s="12"/>
      <c r="F13" s="12">
        <f ca="1">9-COUNTBLANK($F$4:$F$12)</f>
        <v>0</v>
      </c>
      <c r="G13" s="12"/>
      <c r="H13" s="12"/>
      <c r="I13" s="12"/>
      <c r="J13" s="12"/>
      <c r="K13" s="27">
        <f ca="1">QUOTIENT(SUM(K4:K12),2)</f>
        <v>0</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697" t="s">
        <v>97</v>
      </c>
      <c r="D16" s="697" t="s">
        <v>103</v>
      </c>
      <c r="E16" s="697" t="s">
        <v>104</v>
      </c>
      <c r="F16" s="697" t="s">
        <v>105</v>
      </c>
      <c r="G16" s="697" t="s">
        <v>106</v>
      </c>
      <c r="H16" s="697" t="s">
        <v>107</v>
      </c>
      <c r="I16" s="697" t="s">
        <v>108</v>
      </c>
      <c r="J16" s="697" t="s">
        <v>109</v>
      </c>
      <c r="K16" s="69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
      </c>
      <c r="D17" s="1">
        <f t="shared" ref="D17:G25" ca="1" si="11">K4</f>
        <v>0</v>
      </c>
      <c r="E17" s="1">
        <f t="shared" ca="1" si="11"/>
        <v>0</v>
      </c>
      <c r="F17" s="1">
        <f t="shared" ca="1" si="11"/>
        <v>0</v>
      </c>
      <c r="G17" s="1">
        <f t="shared" ca="1" si="11"/>
        <v>0</v>
      </c>
      <c r="H17" s="1">
        <f t="shared" ref="H17:K25" ca="1" si="12">G4</f>
        <v>0</v>
      </c>
      <c r="I17" s="1">
        <f t="shared" ca="1" si="12"/>
        <v>0</v>
      </c>
      <c r="J17" s="12">
        <f t="shared" ca="1" si="12"/>
        <v>0</v>
      </c>
      <c r="K17" s="1">
        <f t="shared" ca="1" si="12"/>
        <v>0</v>
      </c>
      <c r="L17" s="29">
        <f ca="1">K17*$F$64+(J17+$H$65)*$F$65</f>
        <v>500000</v>
      </c>
      <c r="M17" s="13">
        <f ca="1">IF($AI$15,COUNTIF($K$17:$K$25,K17),COUNTIF($L$17:$L$25,L17))</f>
        <v>9</v>
      </c>
      <c r="N17" s="13">
        <f t="array" aca="1" ref="N17" ca="1">IF($AI$15,SUM(($K$17:$K$25&gt;=K17)/COUNTIF($K$17:$K$25,$K$17:$K$25)),SUM(($L$17:$L$25&gt;=L17)/COUNTIF($L$17:$L$25,$L$17:$L$25)))</f>
        <v>1.0000000000000002</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AA17*$F$64+(AB17+$H$65)*$F$65</f>
        <v>500000</v>
      </c>
      <c r="X17" s="20">
        <f ca="1">RANK($L17,$L$17:$L$25)+RANK($W17,$W$17:$W$25)/100+(9-$Y17)/10000</f>
        <v>1.0108999999999999</v>
      </c>
      <c r="Y17" s="12">
        <f ca="1">'Finals 1'!$AJ47</f>
        <v>0</v>
      </c>
      <c r="Z17" s="1">
        <f ca="1">RANK($W17,$W$17:$W$25)+(9-$Y17)/10</f>
        <v>1.9</v>
      </c>
      <c r="AA17" s="1">
        <f ca="1">SUM(E30:BP30)</f>
        <v>0</v>
      </c>
      <c r="AB17" s="1">
        <f ca="1">SUM(E41:BP41)</f>
        <v>0</v>
      </c>
      <c r="AC17" s="1"/>
      <c r="AD17" s="260">
        <f ca="1">RANK($K17,$K$17:$K$25)</f>
        <v>1</v>
      </c>
      <c r="AE17" s="29">
        <f ca="1">(J17+$H$65)*$F$65</f>
        <v>500000</v>
      </c>
      <c r="AF17" s="1">
        <f ca="1">RANK($AE17,$AE$17:$AE$25)</f>
        <v>1</v>
      </c>
      <c r="AG17" s="1">
        <f ca="1">RANK($W17,$W$17:$W$25)</f>
        <v>1</v>
      </c>
      <c r="AH17" s="262">
        <f ca="1">AD17+AG17/100+AF17/10000+(10-Y17)/1000000</f>
        <v>1.0101100000000001</v>
      </c>
      <c r="AI17" s="1"/>
    </row>
    <row r="18" spans="2:80" s="2" customFormat="1" x14ac:dyDescent="0.2">
      <c r="C18" s="2" t="str">
        <f t="shared" ref="C18:C25" ca="1" si="21">$Q65</f>
        <v/>
      </c>
      <c r="D18" s="1">
        <f t="shared" ca="1" si="11"/>
        <v>0</v>
      </c>
      <c r="E18" s="1">
        <f t="shared" ca="1" si="11"/>
        <v>0</v>
      </c>
      <c r="F18" s="1">
        <f t="shared" ca="1" si="11"/>
        <v>0</v>
      </c>
      <c r="G18" s="1">
        <f t="shared" ca="1" si="11"/>
        <v>0</v>
      </c>
      <c r="H18" s="1">
        <f t="shared" ca="1" si="12"/>
        <v>0</v>
      </c>
      <c r="I18" s="1">
        <f t="shared" ca="1" si="12"/>
        <v>0</v>
      </c>
      <c r="J18" s="12">
        <f t="shared" ca="1" si="12"/>
        <v>0</v>
      </c>
      <c r="K18" s="1">
        <f t="shared" ca="1" si="12"/>
        <v>0</v>
      </c>
      <c r="L18" s="29">
        <f t="shared" ref="L18:L25" ca="1" si="22">K18*$F$64+(J18+$H$65)*$F$65</f>
        <v>500000</v>
      </c>
      <c r="M18" s="13">
        <f t="shared" ref="M18:M25" ca="1" si="23">IF($AI$15,COUNTIF($K$17:$K$25,K18),COUNTIF($L$17:$L$25,L18))</f>
        <v>9</v>
      </c>
      <c r="N18" s="13">
        <f t="array" aca="1" ref="N18" ca="1">IF($AI$15,SUM(($K$17:$K$25&gt;=K18)/COUNTIF($K$17:$K$25,$K$17:$K$25)),SUM(($L$17:$L$25&gt;=L18)/COUNTIF($L$17:$L$25,$L$17:$L$25)))</f>
        <v>1.0000000000000002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AA18*$F$64+(AB18+$H$65)*$F$65</f>
        <v>500000</v>
      </c>
      <c r="X18" s="21">
        <f t="shared" ref="X18:X25" ca="1" si="25">RANK($L18,$L$17:$L$25)+RANK($W18,$W$17:$W$25)/100+(9-$Y18)/10000</f>
        <v>1.0108999999999999</v>
      </c>
      <c r="Y18" s="12">
        <f ca="1">'Finals 1'!$AJ48</f>
        <v>0</v>
      </c>
      <c r="Z18" s="1">
        <f t="shared" ref="Z18:Z25" ca="1" si="26">RANK($W18,$W$17:$W$25)+(9-$Y18)/10</f>
        <v>1.9</v>
      </c>
      <c r="AA18" s="1">
        <f t="shared" ref="AA18:AA25" ca="1" si="27">SUM(E31:BP31)</f>
        <v>0</v>
      </c>
      <c r="AB18" s="1">
        <f t="shared" ref="AB18:AB25" ca="1" si="28">SUM(E42:BP42)</f>
        <v>0</v>
      </c>
      <c r="AC18" s="1"/>
      <c r="AD18" s="260">
        <f t="shared" ref="AD18:AD25" ca="1" si="29">RANK($K18,$K$17:$K$25)</f>
        <v>1</v>
      </c>
      <c r="AE18" s="29">
        <f t="shared" ref="AE18:AE25" ca="1" si="30">(J18+$H$65)*$F$65</f>
        <v>500000</v>
      </c>
      <c r="AF18" s="1">
        <f t="shared" ref="AF18:AF25" ca="1" si="31">RANK($AE18,$AE$17:$AE$25)</f>
        <v>1</v>
      </c>
      <c r="AG18" s="1">
        <f t="shared" ref="AG18:AG25" ca="1" si="32">RANK($W18,$W$17:$W$25)</f>
        <v>1</v>
      </c>
      <c r="AH18" s="263">
        <f t="shared" ref="AH18:AH25" ca="1" si="33">AD18+AG18/100+AF18/10000+(10-Y18)/1000000</f>
        <v>1.0101100000000001</v>
      </c>
      <c r="AI18" s="1"/>
    </row>
    <row r="19" spans="2:80" s="2" customFormat="1" x14ac:dyDescent="0.2">
      <c r="C19" s="2" t="str">
        <f t="shared" ca="1" si="21"/>
        <v/>
      </c>
      <c r="D19" s="1">
        <f t="shared" ca="1" si="11"/>
        <v>0</v>
      </c>
      <c r="E19" s="1">
        <f t="shared" ca="1" si="11"/>
        <v>0</v>
      </c>
      <c r="F19" s="1">
        <f t="shared" ca="1" si="11"/>
        <v>0</v>
      </c>
      <c r="G19" s="1">
        <f t="shared" ca="1" si="11"/>
        <v>0</v>
      </c>
      <c r="H19" s="1">
        <f t="shared" ca="1" si="12"/>
        <v>0</v>
      </c>
      <c r="I19" s="1">
        <f t="shared" ca="1" si="12"/>
        <v>0</v>
      </c>
      <c r="J19" s="12">
        <f t="shared" ca="1" si="12"/>
        <v>0</v>
      </c>
      <c r="K19" s="1">
        <f t="shared" ca="1" si="12"/>
        <v>0</v>
      </c>
      <c r="L19" s="29">
        <f t="shared" ca="1" si="22"/>
        <v>500000</v>
      </c>
      <c r="M19" s="13">
        <f t="shared" ca="1" si="23"/>
        <v>9</v>
      </c>
      <c r="N19" s="13">
        <f t="array" aca="1" ref="N19" ca="1">IF($AI$15,SUM(($K$17:$K$25&gt;=K19)/COUNTIF($K$17:$K$25,$K$17:$K$25)),SUM(($L$17:$L$25&gt;=L19)/COUNTIF($L$17:$L$25,$L$17:$L$25)))</f>
        <v>1.0000000000000002</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1.0108999999999999</v>
      </c>
      <c r="Y19" s="12">
        <f ca="1">'Finals 1'!$AJ49</f>
        <v>0</v>
      </c>
      <c r="Z19" s="1">
        <f t="shared" ca="1" si="26"/>
        <v>1.9</v>
      </c>
      <c r="AA19" s="1">
        <f t="shared" ca="1" si="27"/>
        <v>0</v>
      </c>
      <c r="AB19" s="1">
        <f t="shared" ca="1" si="28"/>
        <v>0</v>
      </c>
      <c r="AC19" s="1"/>
      <c r="AD19" s="260">
        <f t="shared" ca="1" si="29"/>
        <v>1</v>
      </c>
      <c r="AE19" s="29">
        <f t="shared" ca="1" si="30"/>
        <v>500000</v>
      </c>
      <c r="AF19" s="1">
        <f t="shared" ca="1" si="31"/>
        <v>1</v>
      </c>
      <c r="AG19" s="1">
        <f t="shared" ca="1" si="32"/>
        <v>1</v>
      </c>
      <c r="AH19" s="263">
        <f t="shared" ca="1" si="33"/>
        <v>1.0101100000000001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500000</v>
      </c>
      <c r="M20" s="13">
        <f t="shared" ca="1" si="23"/>
        <v>9</v>
      </c>
      <c r="N20" s="13">
        <f t="array" aca="1" ref="N20" ca="1">IF($AI$15,SUM(($K$17:$K$25&gt;=K20)/COUNTIF($K$17:$K$25,$K$17:$K$25)),SUM(($L$17:$L$25&gt;=L20)/COUNTIF($L$17:$L$25,$L$17:$L$25)))</f>
        <v>1.0000000000000002</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1.0108999999999999</v>
      </c>
      <c r="Y20" s="12">
        <v>0</v>
      </c>
      <c r="Z20" s="1">
        <f t="shared" ca="1" si="26"/>
        <v>1.9</v>
      </c>
      <c r="AA20" s="1">
        <f t="shared" ca="1" si="27"/>
        <v>0</v>
      </c>
      <c r="AB20" s="1">
        <f t="shared" ca="1" si="28"/>
        <v>0</v>
      </c>
      <c r="AC20" s="1"/>
      <c r="AD20" s="260">
        <f t="shared" ca="1" si="29"/>
        <v>1</v>
      </c>
      <c r="AE20" s="29">
        <f t="shared" ca="1" si="30"/>
        <v>500000</v>
      </c>
      <c r="AF20" s="1">
        <f t="shared" ca="1" si="31"/>
        <v>1</v>
      </c>
      <c r="AG20" s="1">
        <f t="shared" ca="1" si="32"/>
        <v>1</v>
      </c>
      <c r="AH20" s="263">
        <f t="shared" ca="1" si="33"/>
        <v>1.0101100000000001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ca="1" si="22"/>
        <v>500000</v>
      </c>
      <c r="M21" s="13">
        <f t="shared" ca="1" si="23"/>
        <v>9</v>
      </c>
      <c r="N21" s="13">
        <f t="array" aca="1" ref="N21" ca="1">IF($AI$15,SUM(($K$17:$K$25&gt;=K21)/COUNTIF($K$17:$K$25,$K$17:$K$25)),SUM(($L$17:$L$25&gt;=L21)/COUNTIF($L$17:$L$25,$L$17:$L$25)))</f>
        <v>1.0000000000000002</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ca="1" si="24"/>
        <v>500000</v>
      </c>
      <c r="X21" s="21">
        <f t="shared" ca="1" si="25"/>
        <v>1.0108999999999999</v>
      </c>
      <c r="Y21" s="12">
        <v>0</v>
      </c>
      <c r="Z21" s="1">
        <f t="shared" ca="1" si="26"/>
        <v>1.9</v>
      </c>
      <c r="AA21" s="1">
        <f t="shared" ca="1" si="27"/>
        <v>0</v>
      </c>
      <c r="AB21" s="1">
        <f t="shared" ca="1" si="28"/>
        <v>0</v>
      </c>
      <c r="AC21" s="1"/>
      <c r="AD21" s="260">
        <f t="shared" ca="1" si="29"/>
        <v>1</v>
      </c>
      <c r="AE21" s="29">
        <f t="shared" ca="1" si="30"/>
        <v>500000</v>
      </c>
      <c r="AF21" s="1">
        <f t="shared" ca="1" si="31"/>
        <v>1</v>
      </c>
      <c r="AG21" s="1">
        <f t="shared" ca="1" si="32"/>
        <v>1</v>
      </c>
      <c r="AH21" s="263">
        <f t="shared" ca="1" si="33"/>
        <v>1.0101100000000001</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ca="1" si="22"/>
        <v>500000</v>
      </c>
      <c r="M22" s="13">
        <f t="shared" ca="1" si="23"/>
        <v>9</v>
      </c>
      <c r="N22" s="13">
        <f t="array" aca="1" ref="N22" ca="1">IF($AI$15,SUM(($K$17:$K$25&gt;=K22)/COUNTIF($K$17:$K$25,$K$17:$K$25)),SUM(($L$17:$L$25&gt;=L22)/COUNTIF($L$17:$L$25,$L$17:$L$25)))</f>
        <v>1.0000000000000002</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ca="1" si="24"/>
        <v>500000</v>
      </c>
      <c r="X22" s="21">
        <f t="shared" ca="1" si="25"/>
        <v>1.0108999999999999</v>
      </c>
      <c r="Y22" s="12">
        <v>0</v>
      </c>
      <c r="Z22" s="1">
        <f t="shared" ca="1" si="26"/>
        <v>1.9</v>
      </c>
      <c r="AA22" s="1">
        <f t="shared" ca="1" si="27"/>
        <v>0</v>
      </c>
      <c r="AB22" s="1">
        <f t="shared" ca="1" si="28"/>
        <v>0</v>
      </c>
      <c r="AC22" s="1"/>
      <c r="AD22" s="260">
        <f t="shared" ca="1" si="29"/>
        <v>1</v>
      </c>
      <c r="AE22" s="29">
        <f t="shared" ca="1" si="30"/>
        <v>500000</v>
      </c>
      <c r="AF22" s="1">
        <f t="shared" ca="1" si="31"/>
        <v>1</v>
      </c>
      <c r="AG22" s="1">
        <f t="shared" ca="1" si="32"/>
        <v>1</v>
      </c>
      <c r="AH22" s="263">
        <f t="shared" ca="1" si="33"/>
        <v>1.0101100000000001</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ca="1" si="22"/>
        <v>500000</v>
      </c>
      <c r="M23" s="13">
        <f t="shared" ca="1" si="23"/>
        <v>9</v>
      </c>
      <c r="N23" s="13">
        <f t="array" aca="1" ref="N23" ca="1">IF($AI$15,SUM(($K$17:$K$25&gt;=K23)/COUNTIF($K$17:$K$25,$K$17:$K$25)),SUM(($L$17:$L$25&gt;=L23)/COUNTIF($L$17:$L$25,$L$17:$L$25)))</f>
        <v>1.0000000000000002</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ca="1" si="24"/>
        <v>500000</v>
      </c>
      <c r="X23" s="21">
        <f t="shared" ca="1" si="25"/>
        <v>1.0108999999999999</v>
      </c>
      <c r="Y23" s="12">
        <v>0</v>
      </c>
      <c r="Z23" s="1">
        <f t="shared" ca="1" si="26"/>
        <v>1.9</v>
      </c>
      <c r="AA23" s="1">
        <f t="shared" ca="1" si="27"/>
        <v>0</v>
      </c>
      <c r="AB23" s="1">
        <f t="shared" ca="1" si="28"/>
        <v>0</v>
      </c>
      <c r="AC23" s="1"/>
      <c r="AD23" s="260">
        <f t="shared" ca="1" si="29"/>
        <v>1</v>
      </c>
      <c r="AE23" s="29">
        <f t="shared" ca="1" si="30"/>
        <v>500000</v>
      </c>
      <c r="AF23" s="1">
        <f t="shared" ca="1" si="31"/>
        <v>1</v>
      </c>
      <c r="AG23" s="1">
        <f t="shared" ca="1" si="32"/>
        <v>1</v>
      </c>
      <c r="AH23" s="263">
        <f t="shared" ca="1" si="33"/>
        <v>1.0101100000000001</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ca="1" si="22"/>
        <v>500000</v>
      </c>
      <c r="M24" s="13">
        <f t="shared" ca="1" si="23"/>
        <v>9</v>
      </c>
      <c r="N24" s="13">
        <f t="array" aca="1" ref="N24" ca="1">IF($AI$15,SUM(($K$17:$K$25&gt;=K24)/COUNTIF($K$17:$K$25,$K$17:$K$25)),SUM(($L$17:$L$25&gt;=L24)/COUNTIF($L$17:$L$25,$L$17:$L$25)))</f>
        <v>1.0000000000000002</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ca="1" si="24"/>
        <v>500000</v>
      </c>
      <c r="X24" s="21">
        <f t="shared" ca="1" si="25"/>
        <v>1.0108999999999999</v>
      </c>
      <c r="Y24" s="12">
        <v>0</v>
      </c>
      <c r="Z24" s="1">
        <f t="shared" ca="1" si="26"/>
        <v>1.9</v>
      </c>
      <c r="AA24" s="1">
        <f t="shared" ca="1" si="27"/>
        <v>0</v>
      </c>
      <c r="AB24" s="1">
        <f t="shared" ca="1" si="28"/>
        <v>0</v>
      </c>
      <c r="AC24" s="1"/>
      <c r="AD24" s="260">
        <f t="shared" ca="1" si="29"/>
        <v>1</v>
      </c>
      <c r="AE24" s="29">
        <f t="shared" ca="1" si="30"/>
        <v>500000</v>
      </c>
      <c r="AF24" s="1">
        <f t="shared" ca="1" si="31"/>
        <v>1</v>
      </c>
      <c r="AG24" s="1">
        <f t="shared" ca="1" si="32"/>
        <v>1</v>
      </c>
      <c r="AH24" s="263">
        <f t="shared" ca="1" si="33"/>
        <v>1.0101100000000001</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ca="1" si="22"/>
        <v>500000</v>
      </c>
      <c r="M25" s="13">
        <f t="shared" ca="1" si="23"/>
        <v>9</v>
      </c>
      <c r="N25" s="13">
        <f t="array" aca="1" ref="N25" ca="1">IF($AI$15,SUM(($K$17:$K$25&gt;=K25)/COUNTIF($K$17:$K$25,$K$17:$K$25)),SUM(($L$17:$L$25&gt;=L25)/COUNTIF($L$17:$L$25,$L$17:$L$25)))</f>
        <v>1.0000000000000002</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ca="1" si="24"/>
        <v>500000</v>
      </c>
      <c r="X25" s="22">
        <f t="shared" ca="1" si="25"/>
        <v>1.0108999999999999</v>
      </c>
      <c r="Y25" s="12">
        <v>0</v>
      </c>
      <c r="Z25" s="1">
        <f t="shared" ca="1" si="26"/>
        <v>1.9</v>
      </c>
      <c r="AA25" s="1">
        <f t="shared" ca="1" si="27"/>
        <v>0</v>
      </c>
      <c r="AB25" s="1">
        <f t="shared" ca="1" si="28"/>
        <v>0</v>
      </c>
      <c r="AC25" s="1"/>
      <c r="AD25" s="260">
        <f t="shared" ca="1" si="29"/>
        <v>1</v>
      </c>
      <c r="AE25" s="29">
        <f t="shared" ca="1" si="30"/>
        <v>500000</v>
      </c>
      <c r="AF25" s="1">
        <f t="shared" ca="1" si="31"/>
        <v>1</v>
      </c>
      <c r="AG25" s="1">
        <f t="shared" ca="1" si="32"/>
        <v>1</v>
      </c>
      <c r="AH25" s="264">
        <f t="shared" ca="1" si="33"/>
        <v>1.0101100000000001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
      </c>
      <c r="BT29" s="2" t="str">
        <f ca="1">$F$5</f>
        <v/>
      </c>
      <c r="BU29" s="2" t="str">
        <f ca="1">$F$6</f>
        <v/>
      </c>
      <c r="BV29" s="2" t="str">
        <f>$F$7</f>
        <v/>
      </c>
      <c r="BW29" s="2" t="str">
        <f>$F$8</f>
        <v/>
      </c>
      <c r="BX29" s="2" t="str">
        <f>$F$9</f>
        <v/>
      </c>
      <c r="BY29" s="2" t="str">
        <f>$F$10</f>
        <v/>
      </c>
      <c r="BZ29" s="2" t="str">
        <f>$F$11</f>
        <v/>
      </c>
      <c r="CA29" s="2" t="str">
        <f>$F$12</f>
        <v/>
      </c>
      <c r="CB29" s="51"/>
    </row>
    <row r="30" spans="2:80" s="2" customFormat="1" x14ac:dyDescent="0.2">
      <c r="C30" s="2" t="str">
        <f ca="1">$Q64</f>
        <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
      </c>
      <c r="BS30" s="6"/>
      <c r="BT30" s="7">
        <f t="shared" ref="BT30:CA37" ca="1" si="35">SUMIFS($X$64:$X$135,$V$64:$V$135,$BR30,$W$64:$W$135,BT$29)+SUMIFS($Y$64:$Y$135,$W$64:$W$135,$BR30,$V$64:$V$135,BT$29)+SUMIFS($AG$64:$AG$135,$V$64:$V$135,$BR30,$W$64:$W$135,BT$29)+SUMIFS($AH$64:$AH$135,$W$64:$W$135,$BR30,$V$64:$V$135,BT$29)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
      </c>
      <c r="BS31" s="8">
        <f ca="1">SUMIFS($X$64:$X$135,$V$64:$V$135,$BR31,$W$64:$W$135,BS$29)+SUMIFS($Y$64:$Y$135,$W$64:$W$135,$BR31,$V$64:$V$135,BS$29)+SUMIFS($AG$64:$AG$135,$V$64:$V$135,$BR31,$W$64:$W$135,BS$29)+SUMIFS($AH$64:$AH$135,$W$64:$W$135,$BR31,$V$64:$V$135,BS$29)</f>
        <v>0</v>
      </c>
      <c r="BT31" s="6"/>
      <c r="BU31" s="7">
        <f ca="1">SUMIFS($X$64:$X$135,$V$64:$V$135,$BR31,$W$64:$W$135,BU$29)+SUMIFS($Y$64:$Y$135,$W$64:$W$135,$BR31,$V$64:$V$135,BU$29)+SUMIFS($AG$64:$AG$135,$V$64:$V$135,$BR31,$W$64:$W$135,BU$29)+SUMIFS($AH$64:$AH$135,$W$64:$W$135,$BR31,$V$64:$V$135,BU$29)</f>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
      </c>
      <c r="BS32" s="8">
        <f t="shared" ref="BS32:BY38" ca="1" si="37">SUMIFS($X$64:$X$135,$V$64:$V$135,$BR32,$W$64:$W$135,BS$29)+SUMIFS($Y$64:$Y$135,$W$64:$W$135,$BR32,$V$64:$V$135,BS$29)+SUMIFS($AG$64:$AG$135,$V$64:$V$135,$BR32,$W$64:$W$135,BS$29)+SUMIFS($AH$64:$AH$135,$W$64:$W$135,$BR32,$V$64:$V$135,BS$29)</f>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
      </c>
      <c r="BT40" s="2" t="str">
        <f ca="1">$F$5</f>
        <v/>
      </c>
      <c r="BU40" s="2" t="str">
        <f ca="1">$F$6</f>
        <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
      </c>
      <c r="BT51" s="2" t="str">
        <f ca="1">$F$5</f>
        <v/>
      </c>
      <c r="BU51" s="2" t="str">
        <f ca="1">$F$6</f>
        <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696" t="s">
        <v>157</v>
      </c>
      <c r="AD63" s="163" t="s">
        <v>155</v>
      </c>
      <c r="AE63" s="1024" t="s">
        <v>395</v>
      </c>
      <c r="AF63" s="1024"/>
      <c r="AG63" s="1030" t="s">
        <v>374</v>
      </c>
      <c r="AH63" s="1030"/>
      <c r="AI63" s="69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1'!$AH47="","",'Finals 1'!$AH47)</f>
        <v/>
      </c>
      <c r="U64" s="65" t="s">
        <v>6</v>
      </c>
      <c r="V64" s="39" t="str">
        <f ca="1">'Finals 1'!$I12</f>
        <v/>
      </c>
      <c r="W64" s="32" t="str">
        <f ca="1">'Finals 1'!$K12</f>
        <v/>
      </c>
      <c r="X64" s="32" t="str">
        <f ca="1">IF(AA64=1,'Finals 1'!$L12,"")</f>
        <v/>
      </c>
      <c r="Y64" s="33" t="str">
        <f ca="1">IF(AA64=1,'Finals 1'!$N12,"")</f>
        <v/>
      </c>
      <c r="Z64" s="31" t="str">
        <f ca="1">V64&amp;W64</f>
        <v/>
      </c>
      <c r="AA64" s="32">
        <f ca="1">IF(AND('Finals 1'!$L12&lt;&gt;"",'Finals 1'!$N12&lt;&gt;"",'Finals 1'!$L12&lt;&gt;'Finals 1'!$N12,OR(AND('Finals 1'!$O12="",'Finals 1'!$Q12=""),AND('Finals 1'!$O12&lt;&gt;"",'Finals 1'!$Q12&lt;&gt;"",'Finals 1'!$O12&lt;&gt;'Finals 1'!$Q12)),'Finals 1'!$I12&lt;&gt;"",'Finals 1'!$K12&lt;&gt;"",'Finals 1'!$I12&lt;&gt;'Finals 1'!$K12),1,0)</f>
        <v>0</v>
      </c>
      <c r="AB64" s="141" t="str">
        <f ca="1">IF(AA64&gt;0,X64&amp;Language!$E$96&amp;Y64,"")</f>
        <v/>
      </c>
      <c r="AD64" s="142"/>
      <c r="AE64" s="147">
        <f ca="1">IF($AA64=0,0,IF($X64&gt;$Y64,1,0)+IF($AG64&gt;$AH64,1,0))</f>
        <v>0</v>
      </c>
      <c r="AF64" s="142">
        <f ca="1">IF($AA64=0,0,IF($X64&lt;$Y64,1,0)+IF($AG64&lt;$AH64,1,0))</f>
        <v>0</v>
      </c>
      <c r="AG64" s="147" t="str">
        <f ca="1">IF(AA64=1,'Finals 1'!$O12,"")</f>
        <v/>
      </c>
      <c r="AH64" s="721" t="str">
        <f ca="1">IF(AA64=1,'Finals 1'!$Q12,"")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1'!$AH48="","",'Finals 1'!$AH48)</f>
        <v/>
      </c>
      <c r="U65" s="66" t="s">
        <v>7</v>
      </c>
      <c r="V65" s="40" t="str">
        <f ca="1">'Finals 1'!$I13</f>
        <v>1. FC Riedwald</v>
      </c>
      <c r="W65" s="12" t="str">
        <f ca="1">'Finals 1'!$K13</f>
        <v>Manchester City</v>
      </c>
      <c r="X65" s="12">
        <f ca="1">IF(AA65=1,'Finals 1'!$L13,"")</f>
        <v>19</v>
      </c>
      <c r="Y65" s="35">
        <f ca="1">IF(AA65=1,'Finals 1'!$N13,"")</f>
        <v>25</v>
      </c>
      <c r="Z65" s="34" t="str">
        <f t="shared" ref="Z65:Z73" ca="1" si="43">V65&amp;W65</f>
        <v>1. FC RiedwaldManchester City</v>
      </c>
      <c r="AA65" s="12">
        <f ca="1">IF(AND('Finals 1'!$L13&lt;&gt;"",'Finals 1'!$N13&lt;&gt;"",'Finals 1'!$L13&lt;&gt;'Finals 1'!$N13,OR(AND('Finals 1'!$O13="",'Finals 1'!$Q13=""),AND('Finals 1'!$O13&lt;&gt;"",'Finals 1'!$Q13&lt;&gt;"",'Finals 1'!$O13&lt;&gt;'Finals 1'!$Q13)),'Finals 1'!$I13&lt;&gt;"",'Finals 1'!$K13&lt;&gt;"",'Finals 1'!$I13&lt;&gt;'Finals 1'!$K13),1,0)</f>
        <v>1</v>
      </c>
      <c r="AB65" s="12" t="str">
        <f ca="1">IF(AA65&gt;0,X65&amp;Language!$E$96&amp;Y65,"")</f>
        <v>19-25</v>
      </c>
      <c r="AD65" s="143"/>
      <c r="AE65" s="148">
        <f t="shared" ref="AE65:AE81" ca="1" si="44">IF($AA65=0,0,IF($X65&gt;$Y65,1,0)+IF($AG65&gt;$AH65,1,0))</f>
        <v>0</v>
      </c>
      <c r="AF65" s="143">
        <f t="shared" ref="AF65:AF81" ca="1" si="45">IF($AA65=0,0,IF($X65&lt;$Y65,1,0)+IF($AG65&lt;$AH65,1,0))</f>
        <v>2</v>
      </c>
      <c r="AG65" s="148">
        <f ca="1">IF(AA65=1,'Finals 1'!$O13,"")</f>
        <v>20</v>
      </c>
      <c r="AH65" s="12">
        <f ca="1">IF(AA65=1,'Finals 1'!$Q13,"")</f>
        <v>25</v>
      </c>
      <c r="AI65" s="143" t="str">
        <f ca="1">IF(AA65&gt;0,AE65&amp;Language!$E$96&amp;AF65,"")</f>
        <v>0-2</v>
      </c>
      <c r="AJ65" s="12"/>
      <c r="AK65" s="12"/>
      <c r="AL65" s="12"/>
      <c r="AM65" s="12"/>
      <c r="AN65" s="12"/>
      <c r="AO65" s="12"/>
      <c r="AP65" s="12"/>
      <c r="AQ65" s="12"/>
    </row>
    <row r="66" spans="2:43" s="2" customFormat="1" ht="13.5" thickBot="1" x14ac:dyDescent="0.25">
      <c r="F66" s="196">
        <v>1</v>
      </c>
      <c r="G66" s="197" t="s">
        <v>107</v>
      </c>
      <c r="P66" s="45" t="s">
        <v>8</v>
      </c>
      <c r="Q66" s="60" t="str">
        <f ca="1">IF('Finals 1'!$AH49="","",'Finals 1'!$AH49)</f>
        <v/>
      </c>
      <c r="U66" s="66" t="s">
        <v>8</v>
      </c>
      <c r="V66" s="40" t="str">
        <f ca="1">'Finals 1'!$I14</f>
        <v>Maibach 1822 eV</v>
      </c>
      <c r="W66" s="12" t="str">
        <f ca="1">'Finals 1'!$K14</f>
        <v>Mainz 05</v>
      </c>
      <c r="X66" s="12">
        <f ca="1">IF(AA66=1,'Finals 1'!$L14,"")</f>
        <v>25</v>
      </c>
      <c r="Y66" s="35">
        <f ca="1">IF(AA66=1,'Finals 1'!$N14,"")</f>
        <v>21</v>
      </c>
      <c r="Z66" s="34" t="str">
        <f t="shared" ca="1" si="43"/>
        <v>Maibach 1822 eVMainz 05</v>
      </c>
      <c r="AA66" s="12">
        <f ca="1">IF(AND('Finals 1'!$L14&lt;&gt;"",'Finals 1'!$N14&lt;&gt;"",'Finals 1'!$L14&lt;&gt;'Finals 1'!$N14,OR(AND('Finals 1'!$O14="",'Finals 1'!$Q14=""),AND('Finals 1'!$O14&lt;&gt;"",'Finals 1'!$Q14&lt;&gt;"",'Finals 1'!$O14&lt;&gt;'Finals 1'!$Q14)),'Finals 1'!$I14&lt;&gt;"",'Finals 1'!$K14&lt;&gt;"",'Finals 1'!$I14&lt;&gt;'Finals 1'!$K14),1,0)</f>
        <v>1</v>
      </c>
      <c r="AB66" s="12" t="str">
        <f ca="1">IF(AA66&gt;0,X66&amp;Language!$E$96&amp;Y66,"")</f>
        <v>25-21</v>
      </c>
      <c r="AD66" s="143"/>
      <c r="AE66" s="148">
        <f t="shared" ca="1" si="44"/>
        <v>2</v>
      </c>
      <c r="AF66" s="143">
        <f t="shared" ca="1" si="45"/>
        <v>0</v>
      </c>
      <c r="AG66" s="148">
        <f ca="1">IF(AA66=1,'Finals 1'!$O14,"")</f>
        <v>25</v>
      </c>
      <c r="AH66" s="12">
        <f ca="1">IF(AA66=1,'Finals 1'!$Q14,"")</f>
        <v>19</v>
      </c>
      <c r="AI66" s="143" t="str">
        <f ca="1">IF(AA66&gt;0,AE66&amp;Language!$E$96&amp;AF66,"")</f>
        <v>2-0</v>
      </c>
      <c r="AJ66" s="3"/>
      <c r="AK66" s="12"/>
      <c r="AL66" s="12"/>
      <c r="AM66" s="12"/>
      <c r="AN66" s="12"/>
      <c r="AO66" s="12"/>
      <c r="AP66" s="12"/>
      <c r="AQ66" s="12"/>
    </row>
    <row r="67" spans="2:43" s="2" customFormat="1" x14ac:dyDescent="0.2">
      <c r="P67" s="45"/>
      <c r="Q67" s="60" t="str">
        <f>""</f>
        <v/>
      </c>
      <c r="U67" s="66" t="s">
        <v>9</v>
      </c>
      <c r="V67" s="40" t="str">
        <f ca="1">'Finals 1'!$I15</f>
        <v>VFB Essenheim</v>
      </c>
      <c r="W67" s="12" t="str">
        <f ca="1">'Finals 1'!$K15</f>
        <v>FC Grönlingen</v>
      </c>
      <c r="X67" s="12">
        <f ca="1">IF(AA67=1,'Finals 1'!$L15,"")</f>
        <v>25</v>
      </c>
      <c r="Y67" s="35">
        <f ca="1">IF(AA67=1,'Finals 1'!$N15,"")</f>
        <v>22</v>
      </c>
      <c r="Z67" s="34" t="str">
        <f t="shared" ca="1" si="43"/>
        <v>VFB EssenheimFC Grönlingen</v>
      </c>
      <c r="AA67" s="12">
        <f ca="1">IF(AND('Finals 1'!$L15&lt;&gt;"",'Finals 1'!$N15&lt;&gt;"",'Finals 1'!$L15&lt;&gt;'Finals 1'!$N15,OR(AND('Finals 1'!$O15="",'Finals 1'!$Q15=""),AND('Finals 1'!$O15&lt;&gt;"",'Finals 1'!$Q15&lt;&gt;"",'Finals 1'!$O15&lt;&gt;'Finals 1'!$Q15)),'Finals 1'!$I15&lt;&gt;"",'Finals 1'!$K15&lt;&gt;"",'Finals 1'!$I15&lt;&gt;'Finals 1'!$K15),1,0)</f>
        <v>1</v>
      </c>
      <c r="AB67" s="12" t="str">
        <f ca="1">IF(AA67&gt;0,X67&amp;Language!$E$96&amp;Y67,"")</f>
        <v>25-22</v>
      </c>
      <c r="AD67" s="143"/>
      <c r="AE67" s="148">
        <f t="shared" ca="1" si="44"/>
        <v>2</v>
      </c>
      <c r="AF67" s="143">
        <f t="shared" ca="1" si="45"/>
        <v>0</v>
      </c>
      <c r="AG67" s="148">
        <f ca="1">IF(AA67=1,'Finals 1'!$O15,"")</f>
        <v>25</v>
      </c>
      <c r="AH67" s="12">
        <f ca="1">IF(AA67=1,'Finals 1'!$Q15,"")</f>
        <v>20</v>
      </c>
      <c r="AI67" s="143" t="str">
        <f ca="1">IF(AA67&gt;0,AE67&amp;Language!$E$96&amp;AF67,"")</f>
        <v>2-0</v>
      </c>
      <c r="AJ67" s="12"/>
      <c r="AK67" s="3"/>
      <c r="AL67" s="12"/>
      <c r="AM67" s="12"/>
      <c r="AN67" s="12"/>
      <c r="AO67" s="12"/>
      <c r="AP67" s="12"/>
      <c r="AQ67" s="12"/>
    </row>
    <row r="68" spans="2:43" s="2" customFormat="1" x14ac:dyDescent="0.2">
      <c r="P68" s="45"/>
      <c r="Q68" s="60" t="str">
        <f>""</f>
        <v/>
      </c>
      <c r="U68" s="66" t="s">
        <v>10</v>
      </c>
      <c r="V68" s="40" t="str">
        <f ca="1">'Finals 1'!$I16</f>
        <v>Eintracht Frankfurt</v>
      </c>
      <c r="W68" s="12" t="str">
        <f ca="1">'Finals 1'!$K16</f>
        <v>SSV Wildbach</v>
      </c>
      <c r="X68" s="12">
        <f ca="1">IF(AA68=1,'Finals 1'!$L16,"")</f>
        <v>25</v>
      </c>
      <c r="Y68" s="35">
        <f ca="1">IF(AA68=1,'Finals 1'!$N16,"")</f>
        <v>23</v>
      </c>
      <c r="Z68" s="34" t="str">
        <f t="shared" ca="1" si="43"/>
        <v>Eintracht FrankfurtSSV Wildbach</v>
      </c>
      <c r="AA68" s="12">
        <f ca="1">IF(AND('Finals 1'!$L16&lt;&gt;"",'Finals 1'!$N16&lt;&gt;"",'Finals 1'!$L16&lt;&gt;'Finals 1'!$N16,OR(AND('Finals 1'!$O16="",'Finals 1'!$Q16=""),AND('Finals 1'!$O16&lt;&gt;"",'Finals 1'!$Q16&lt;&gt;"",'Finals 1'!$O16&lt;&gt;'Finals 1'!$Q16)),'Finals 1'!$I16&lt;&gt;"",'Finals 1'!$K16&lt;&gt;"",'Finals 1'!$I16&lt;&gt;'Finals 1'!$K16),1,0)</f>
        <v>1</v>
      </c>
      <c r="AB68" s="12" t="str">
        <f ca="1">IF(AA68&gt;0,X68&amp;Language!$E$96&amp;Y68,"")</f>
        <v>25-23</v>
      </c>
      <c r="AD68" s="143"/>
      <c r="AE68" s="148">
        <f t="shared" ca="1" si="44"/>
        <v>2</v>
      </c>
      <c r="AF68" s="143">
        <f t="shared" ca="1" si="45"/>
        <v>0</v>
      </c>
      <c r="AG68" s="148">
        <f ca="1">IF(AA68=1,'Finals 1'!$O16,"")</f>
        <v>25</v>
      </c>
      <c r="AH68" s="12">
        <f ca="1">IF(AA68=1,'Finals 1'!$Q16,"")</f>
        <v>21</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1'!$I17</f>
        <v>FC Barcelona</v>
      </c>
      <c r="W69" s="12" t="str">
        <f ca="1">'Finals 1'!$K17</f>
        <v>Inter Mailand</v>
      </c>
      <c r="X69" s="12">
        <f ca="1">IF(AA69=1,'Finals 1'!$L17,"")</f>
        <v>25</v>
      </c>
      <c r="Y69" s="35">
        <f ca="1">IF(AA69=1,'Finals 1'!$N17,"")</f>
        <v>23</v>
      </c>
      <c r="Z69" s="34" t="str">
        <f t="shared" ca="1" si="43"/>
        <v>FC BarcelonaInter Mailand</v>
      </c>
      <c r="AA69" s="12">
        <f ca="1">IF(AND('Finals 1'!$L17&lt;&gt;"",'Finals 1'!$N17&lt;&gt;"",'Finals 1'!$L17&lt;&gt;'Finals 1'!$N17,OR(AND('Finals 1'!$O17="",'Finals 1'!$Q17=""),AND('Finals 1'!$O17&lt;&gt;"",'Finals 1'!$Q17&lt;&gt;"",'Finals 1'!$O17&lt;&gt;'Finals 1'!$Q17)),'Finals 1'!$I17&lt;&gt;"",'Finals 1'!$K17&lt;&gt;"",'Finals 1'!$I17&lt;&gt;'Finals 1'!$K17),1,0)</f>
        <v>1</v>
      </c>
      <c r="AB69" s="12" t="str">
        <f ca="1">IF(AA69&gt;0,X69&amp;Language!$E$96&amp;Y69,"")</f>
        <v>25-23</v>
      </c>
      <c r="AD69" s="143"/>
      <c r="AE69" s="148">
        <f t="shared" ca="1" si="44"/>
        <v>2</v>
      </c>
      <c r="AF69" s="143">
        <f t="shared" ca="1" si="45"/>
        <v>0</v>
      </c>
      <c r="AG69" s="148">
        <f ca="1">IF(AA69=1,'Finals 1'!$O17,"")</f>
        <v>25</v>
      </c>
      <c r="AH69" s="12">
        <f ca="1">IF(AA69=1,'Finals 1'!$Q17,"")</f>
        <v>22</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1'!$I18</f>
        <v/>
      </c>
      <c r="W70" s="12" t="str">
        <f ca="1">'Finals 1'!$K18</f>
        <v/>
      </c>
      <c r="X70" s="12" t="str">
        <f ca="1">IF(AA70=1,'Finals 1'!$L18,"")</f>
        <v/>
      </c>
      <c r="Y70" s="35" t="str">
        <f ca="1">IF(AA70=1,'Finals 1'!$N18,"")</f>
        <v/>
      </c>
      <c r="Z70" s="34" t="str">
        <f t="shared" ca="1" si="43"/>
        <v/>
      </c>
      <c r="AA70" s="12">
        <f ca="1">IF(AND('Finals 1'!$L18&lt;&gt;"",'Finals 1'!$N18&lt;&gt;"",'Finals 1'!$L18&lt;&gt;'Finals 1'!$N18,OR(AND('Finals 1'!$O18="",'Finals 1'!$Q18=""),AND('Finals 1'!$O18&lt;&gt;"",'Finals 1'!$Q18&lt;&gt;"",'Finals 1'!$O18&lt;&gt;'Finals 1'!$Q18)),'Finals 1'!$I18&lt;&gt;"",'Finals 1'!$K18&lt;&gt;"",'Finals 1'!$I18&lt;&gt;'Finals 1'!$K18),1,0)</f>
        <v>0</v>
      </c>
      <c r="AB70" s="12" t="str">
        <f ca="1">IF(AA70&gt;0,X70&amp;Language!$E$96&amp;Y70,"")</f>
        <v/>
      </c>
      <c r="AD70" s="143"/>
      <c r="AE70" s="148">
        <f t="shared" ca="1" si="44"/>
        <v>0</v>
      </c>
      <c r="AF70" s="143">
        <f t="shared" ca="1" si="45"/>
        <v>0</v>
      </c>
      <c r="AG70" s="148" t="str">
        <f ca="1">IF(AA70=1,'Finals 1'!$O18,"")</f>
        <v/>
      </c>
      <c r="AH70" s="12" t="str">
        <f ca="1">IF(AA70=1,'Finals 1'!$Q18,"")</f>
        <v/>
      </c>
      <c r="AI70" s="143" t="str">
        <f ca="1">IF(AA70&gt;0,AE70&amp;Language!$E$96&amp;AF70,"")</f>
        <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1'!$I19</f>
        <v>FSV Rauen</v>
      </c>
      <c r="W71" s="12" t="str">
        <f ca="1">'Finals 1'!$K19</f>
        <v>1. FC Riedwald</v>
      </c>
      <c r="X71" s="12">
        <f ca="1">IF(AA71=1,'Finals 1'!$L19,"")</f>
        <v>19</v>
      </c>
      <c r="Y71" s="35">
        <f ca="1">IF(AA71=1,'Finals 1'!$N19,"")</f>
        <v>25</v>
      </c>
      <c r="Z71" s="34" t="str">
        <f t="shared" ca="1" si="43"/>
        <v>FSV Rauen1. FC Riedwald</v>
      </c>
      <c r="AA71" s="12">
        <f ca="1">IF(AND('Finals 1'!$L19&lt;&gt;"",'Finals 1'!$N19&lt;&gt;"",'Finals 1'!$L19&lt;&gt;'Finals 1'!$N19,OR(AND('Finals 1'!$O19="",'Finals 1'!$Q19=""),AND('Finals 1'!$O19&lt;&gt;"",'Finals 1'!$Q19&lt;&gt;"",'Finals 1'!$O19&lt;&gt;'Finals 1'!$Q19)),'Finals 1'!$I19&lt;&gt;"",'Finals 1'!$K19&lt;&gt;"",'Finals 1'!$I19&lt;&gt;'Finals 1'!$K19),1,0)</f>
        <v>1</v>
      </c>
      <c r="AB71" s="12" t="str">
        <f ca="1">IF(AA71&gt;0,X71&amp;Language!$E$96&amp;Y71,"")</f>
        <v>19-25</v>
      </c>
      <c r="AD71" s="143"/>
      <c r="AE71" s="148">
        <f t="shared" ca="1" si="44"/>
        <v>1</v>
      </c>
      <c r="AF71" s="143">
        <f t="shared" ca="1" si="45"/>
        <v>1</v>
      </c>
      <c r="AG71" s="148">
        <f ca="1">IF(AA71=1,'Finals 1'!$O19,"")</f>
        <v>25</v>
      </c>
      <c r="AH71" s="12">
        <f ca="1">IF(AA71=1,'Finals 1'!$Q19,"")</f>
        <v>17</v>
      </c>
      <c r="AI71" s="143" t="str">
        <f ca="1">IF(AA71&gt;0,AE71&amp;Language!$E$96&amp;AF71,"")</f>
        <v>1-1</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1'!$I20</f>
        <v>Kickers Rodendorf</v>
      </c>
      <c r="W72" s="12" t="str">
        <f ca="1">'Finals 1'!$K20</f>
        <v>Maibach 1822 eV</v>
      </c>
      <c r="X72" s="12">
        <f ca="1">IF(AA72=1,'Finals 1'!$L20,"")</f>
        <v>16</v>
      </c>
      <c r="Y72" s="35">
        <f ca="1">IF(AA72=1,'Finals 1'!$N20,"")</f>
        <v>25</v>
      </c>
      <c r="Z72" s="34" t="str">
        <f t="shared" ca="1" si="43"/>
        <v>Kickers RodendorfMaibach 1822 eV</v>
      </c>
      <c r="AA72" s="12">
        <f ca="1">IF(AND('Finals 1'!$L20&lt;&gt;"",'Finals 1'!$N20&lt;&gt;"",'Finals 1'!$L20&lt;&gt;'Finals 1'!$N20,OR(AND('Finals 1'!$O20="",'Finals 1'!$Q20=""),AND('Finals 1'!$O20&lt;&gt;"",'Finals 1'!$Q20&lt;&gt;"",'Finals 1'!$O20&lt;&gt;'Finals 1'!$Q20)),'Finals 1'!$I20&lt;&gt;"",'Finals 1'!$K20&lt;&gt;"",'Finals 1'!$I20&lt;&gt;'Finals 1'!$K20),1,0)</f>
        <v>1</v>
      </c>
      <c r="AB72" s="12" t="str">
        <f ca="1">IF(AA72&gt;0,X72&amp;Language!$E$96&amp;Y72,"")</f>
        <v>16-25</v>
      </c>
      <c r="AD72" s="143"/>
      <c r="AE72" s="148">
        <f t="shared" ca="1" si="44"/>
        <v>1</v>
      </c>
      <c r="AF72" s="143">
        <f t="shared" ca="1" si="45"/>
        <v>1</v>
      </c>
      <c r="AG72" s="148">
        <f ca="1">IF(AA72=1,'Finals 1'!$O20,"")</f>
        <v>25</v>
      </c>
      <c r="AH72" s="12">
        <f ca="1">IF(AA72=1,'Finals 1'!$Q20,"")</f>
        <v>18</v>
      </c>
      <c r="AI72" s="143" t="str">
        <f ca="1">IF(AA72&gt;0,AE72&amp;Language!$E$96&amp;AF72,"")</f>
        <v>1-1</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1'!$I21</f>
        <v>Real Madrid</v>
      </c>
      <c r="W73" s="12" t="str">
        <f ca="1">'Finals 1'!$K21</f>
        <v>VFB Essenheim</v>
      </c>
      <c r="X73" s="12">
        <f ca="1">IF(AA73=1,'Finals 1'!$L21,"")</f>
        <v>14</v>
      </c>
      <c r="Y73" s="35">
        <f ca="1">IF(AA73=1,'Finals 1'!$N21,"")</f>
        <v>25</v>
      </c>
      <c r="Z73" s="34" t="str">
        <f t="shared" ca="1" si="43"/>
        <v>Real MadridVFB Essenheim</v>
      </c>
      <c r="AA73" s="12">
        <f ca="1">IF(AND('Finals 1'!$L21&lt;&gt;"",'Finals 1'!$N21&lt;&gt;"",'Finals 1'!$L21&lt;&gt;'Finals 1'!$N21,OR(AND('Finals 1'!$O21="",'Finals 1'!$Q21=""),AND('Finals 1'!$O21&lt;&gt;"",'Finals 1'!$Q21&lt;&gt;"",'Finals 1'!$O21&lt;&gt;'Finals 1'!$Q21)),'Finals 1'!$I21&lt;&gt;"",'Finals 1'!$K21&lt;&gt;"",'Finals 1'!$I21&lt;&gt;'Finals 1'!$K21),1,0)</f>
        <v>1</v>
      </c>
      <c r="AB73" s="12" t="str">
        <f ca="1">IF(AA73&gt;0,X73&amp;Language!$E$96&amp;Y73,"")</f>
        <v>14-25</v>
      </c>
      <c r="AD73" s="143"/>
      <c r="AE73" s="148">
        <f t="shared" ca="1" si="44"/>
        <v>1</v>
      </c>
      <c r="AF73" s="143">
        <f t="shared" ca="1" si="45"/>
        <v>1</v>
      </c>
      <c r="AG73" s="148">
        <f ca="1">IF(AA73=1,'Finals 1'!$O21,"")</f>
        <v>25</v>
      </c>
      <c r="AH73" s="12">
        <f ca="1">IF(AA73=1,'Finals 1'!$Q21,"")</f>
        <v>19</v>
      </c>
      <c r="AI73" s="143" t="str">
        <f ca="1">IF(AA73&gt;0,AE73&amp;Language!$E$96&amp;AF73,"")</f>
        <v>1-1</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1'!$I22</f>
        <v>1. FC Nürnberg</v>
      </c>
      <c r="W74" s="12" t="str">
        <f ca="1">'Finals 1'!$K22</f>
        <v>Eintracht Frankfurt</v>
      </c>
      <c r="X74" s="12">
        <f ca="1">IF(AA74=1,'Finals 1'!$L22,"")</f>
        <v>22</v>
      </c>
      <c r="Y74" s="35">
        <f ca="1">IF(AA74=1,'Finals 1'!$N22,"")</f>
        <v>25</v>
      </c>
      <c r="Z74" s="34" t="str">
        <f ca="1">V74&amp;W74</f>
        <v>1. FC NürnbergEintracht Frankfurt</v>
      </c>
      <c r="AA74" s="12">
        <f ca="1">IF(AND('Finals 1'!$L22&lt;&gt;"",'Finals 1'!$N22&lt;&gt;"",'Finals 1'!$L22&lt;&gt;'Finals 1'!$N22,OR(AND('Finals 1'!$O22="",'Finals 1'!$Q22=""),AND('Finals 1'!$O22&lt;&gt;"",'Finals 1'!$Q22&lt;&gt;"",'Finals 1'!$O22&lt;&gt;'Finals 1'!$Q22)),'Finals 1'!$I22&lt;&gt;"",'Finals 1'!$K22&lt;&gt;"",'Finals 1'!$I22&lt;&gt;'Finals 1'!$K22),1,0)</f>
        <v>1</v>
      </c>
      <c r="AB74" s="12" t="str">
        <f ca="1">IF(AA74&gt;0,X74&amp;Language!$E$96&amp;Y74,"")</f>
        <v>22-25</v>
      </c>
      <c r="AD74" s="143"/>
      <c r="AE74" s="148">
        <f t="shared" ca="1" si="44"/>
        <v>1</v>
      </c>
      <c r="AF74" s="143">
        <f t="shared" ca="1" si="45"/>
        <v>1</v>
      </c>
      <c r="AG74" s="148">
        <f ca="1">IF(AA74=1,'Finals 1'!$O22,"")</f>
        <v>25</v>
      </c>
      <c r="AH74" s="12">
        <f ca="1">IF(AA74=1,'Finals 1'!$Q22,"")</f>
        <v>20</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1'!$I23</f>
        <v>Borussia Dortmund</v>
      </c>
      <c r="W75" s="12" t="str">
        <f ca="1">'Finals 1'!$K23</f>
        <v>FC Barcelona</v>
      </c>
      <c r="X75" s="12">
        <f ca="1">IF(AA75=1,'Finals 1'!$L23,"")</f>
        <v>19</v>
      </c>
      <c r="Y75" s="35">
        <f ca="1">IF(AA75=1,'Finals 1'!$N23,"")</f>
        <v>25</v>
      </c>
      <c r="Z75" s="34" t="str">
        <f t="shared" ref="Z75:Z81" ca="1" si="46">V75&amp;W75</f>
        <v>Borussia DortmundFC Barcelona</v>
      </c>
      <c r="AA75" s="12">
        <f ca="1">IF(AND('Finals 1'!$L23&lt;&gt;"",'Finals 1'!$N23&lt;&gt;"",'Finals 1'!$L23&lt;&gt;'Finals 1'!$N23,OR(AND('Finals 1'!$O23="",'Finals 1'!$Q23=""),AND('Finals 1'!$O23&lt;&gt;"",'Finals 1'!$Q23&lt;&gt;"",'Finals 1'!$O23&lt;&gt;'Finals 1'!$Q23)),'Finals 1'!$I23&lt;&gt;"",'Finals 1'!$K23&lt;&gt;"",'Finals 1'!$I23&lt;&gt;'Finals 1'!$K23),1,0)</f>
        <v>1</v>
      </c>
      <c r="AB75" s="12" t="str">
        <f ca="1">IF(AA75&gt;0,X75&amp;Language!$E$96&amp;Y75,"")</f>
        <v>19-25</v>
      </c>
      <c r="AD75" s="143"/>
      <c r="AE75" s="148">
        <f t="shared" ca="1" si="44"/>
        <v>1</v>
      </c>
      <c r="AF75" s="143">
        <f t="shared" ca="1" si="45"/>
        <v>1</v>
      </c>
      <c r="AG75" s="148">
        <f ca="1">IF(AA75=1,'Finals 1'!$O23,"")</f>
        <v>25</v>
      </c>
      <c r="AH75" s="12">
        <f ca="1">IF(AA75=1,'Finals 1'!$Q23,"")</f>
        <v>21</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1'!$I24</f>
        <v/>
      </c>
      <c r="W76" s="12" t="str">
        <f ca="1">'Finals 1'!$K24</f>
        <v/>
      </c>
      <c r="X76" s="12" t="str">
        <f ca="1">IF(AA76=1,'Finals 1'!$L24,"")</f>
        <v/>
      </c>
      <c r="Y76" s="35" t="str">
        <f ca="1">IF(AA76=1,'Finals 1'!$N24,"")</f>
        <v/>
      </c>
      <c r="Z76" s="34" t="str">
        <f t="shared" ca="1" si="46"/>
        <v/>
      </c>
      <c r="AA76" s="12">
        <f ca="1">IF(AND('Finals 1'!$L24&lt;&gt;"",'Finals 1'!$N24&lt;&gt;"",'Finals 1'!$L24&lt;&gt;'Finals 1'!$N24,OR(AND('Finals 1'!$O24="",'Finals 1'!$Q24=""),AND('Finals 1'!$O24&lt;&gt;"",'Finals 1'!$Q24&lt;&gt;"",'Finals 1'!$O24&lt;&gt;'Finals 1'!$Q24)),'Finals 1'!$I24&lt;&gt;"",'Finals 1'!$K24&lt;&gt;"",'Finals 1'!$I24&lt;&gt;'Finals 1'!$K24),1,0)</f>
        <v>0</v>
      </c>
      <c r="AB76" s="12" t="str">
        <f ca="1">IF(AA76&gt;0,X76&amp;Language!$E$96&amp;Y76,"")</f>
        <v/>
      </c>
      <c r="AD76" s="143"/>
      <c r="AE76" s="148">
        <f t="shared" ca="1" si="44"/>
        <v>0</v>
      </c>
      <c r="AF76" s="143">
        <f t="shared" ca="1" si="45"/>
        <v>0</v>
      </c>
      <c r="AG76" s="148" t="str">
        <f ca="1">IF(AA76=1,'Finals 1'!$O24,"")</f>
        <v/>
      </c>
      <c r="AH76" s="12" t="str">
        <f ca="1">IF(AA76=1,'Finals 1'!$Q24,"")</f>
        <v/>
      </c>
      <c r="AI76" s="143" t="str">
        <f ca="1">IF(AA76&gt;0,AE76&amp;Language!$E$96&amp;AF76,"")</f>
        <v/>
      </c>
    </row>
    <row r="77" spans="2:43" s="2" customFormat="1" x14ac:dyDescent="0.2">
      <c r="B77" s="3"/>
      <c r="C77" s="3"/>
      <c r="D77" s="3"/>
      <c r="E77" s="3"/>
      <c r="F77" s="12"/>
      <c r="G77" s="12"/>
      <c r="H77" s="12"/>
      <c r="I77" s="12"/>
      <c r="J77" s="12"/>
      <c r="K77" s="12"/>
      <c r="L77" s="12"/>
      <c r="M77" s="12"/>
      <c r="U77" s="66" t="s">
        <v>28</v>
      </c>
      <c r="V77" s="40" t="str">
        <f ca="1">'Finals 1'!$I25</f>
        <v>Manchester City</v>
      </c>
      <c r="W77" s="12" t="str">
        <f ca="1">'Finals 1'!$K25</f>
        <v>FSV Rauen</v>
      </c>
      <c r="X77" s="12">
        <f ca="1">IF(AA77=1,'Finals 1'!$L25,"")</f>
        <v>14</v>
      </c>
      <c r="Y77" s="35">
        <f ca="1">IF(AA77=1,'Finals 1'!$N25,"")</f>
        <v>25</v>
      </c>
      <c r="Z77" s="34" t="str">
        <f t="shared" ca="1" si="46"/>
        <v>Manchester CityFSV Rauen</v>
      </c>
      <c r="AA77" s="12">
        <f ca="1">IF(AND('Finals 1'!$L25&lt;&gt;"",'Finals 1'!$N25&lt;&gt;"",'Finals 1'!$L25&lt;&gt;'Finals 1'!$N25,OR(AND('Finals 1'!$O25="",'Finals 1'!$Q25=""),AND('Finals 1'!$O25&lt;&gt;"",'Finals 1'!$Q25&lt;&gt;"",'Finals 1'!$O25&lt;&gt;'Finals 1'!$Q25)),'Finals 1'!$I25&lt;&gt;"",'Finals 1'!$K25&lt;&gt;"",'Finals 1'!$I25&lt;&gt;'Finals 1'!$K25),1,0)</f>
        <v>1</v>
      </c>
      <c r="AB77" s="12" t="str">
        <f ca="1">IF(AA77&gt;0,X77&amp;Language!$E$96&amp;Y77,"")</f>
        <v>14-25</v>
      </c>
      <c r="AD77" s="143"/>
      <c r="AE77" s="148">
        <f t="shared" ca="1" si="44"/>
        <v>1</v>
      </c>
      <c r="AF77" s="143">
        <f t="shared" ca="1" si="45"/>
        <v>1</v>
      </c>
      <c r="AG77" s="148">
        <f ca="1">IF(AA77=1,'Finals 1'!$O25,"")</f>
        <v>25</v>
      </c>
      <c r="AH77" s="12">
        <f ca="1">IF(AA77=1,'Finals 1'!$Q25,"")</f>
        <v>23</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1'!$I26</f>
        <v>Mainz 05</v>
      </c>
      <c r="W78" s="12" t="str">
        <f ca="1">'Finals 1'!$K26</f>
        <v>Kickers Rodendorf</v>
      </c>
      <c r="X78" s="12">
        <f ca="1">IF(AA78=1,'Finals 1'!$L26,"")</f>
        <v>21</v>
      </c>
      <c r="Y78" s="35">
        <f ca="1">IF(AA78=1,'Finals 1'!$N26,"")</f>
        <v>25</v>
      </c>
      <c r="Z78" s="34" t="str">
        <f t="shared" ca="1" si="46"/>
        <v>Mainz 05Kickers Rodendorf</v>
      </c>
      <c r="AA78" s="12">
        <f ca="1">IF(AND('Finals 1'!$L26&lt;&gt;"",'Finals 1'!$N26&lt;&gt;"",'Finals 1'!$L26&lt;&gt;'Finals 1'!$N26,OR(AND('Finals 1'!$O26="",'Finals 1'!$Q26=""),AND('Finals 1'!$O26&lt;&gt;"",'Finals 1'!$Q26&lt;&gt;"",'Finals 1'!$O26&lt;&gt;'Finals 1'!$Q26)),'Finals 1'!$I26&lt;&gt;"",'Finals 1'!$K26&lt;&gt;"",'Finals 1'!$I26&lt;&gt;'Finals 1'!$K26),1,0)</f>
        <v>1</v>
      </c>
      <c r="AB78" s="12" t="str">
        <f ca="1">IF(AA78&gt;0,X78&amp;Language!$E$96&amp;Y78,"")</f>
        <v>21-25</v>
      </c>
      <c r="AD78" s="143"/>
      <c r="AE78" s="148">
        <f t="shared" ca="1" si="44"/>
        <v>1</v>
      </c>
      <c r="AF78" s="143">
        <f t="shared" ca="1" si="45"/>
        <v>1</v>
      </c>
      <c r="AG78" s="148">
        <f ca="1">IF(AA78=1,'Finals 1'!$O26,"")</f>
        <v>25</v>
      </c>
      <c r="AH78" s="12">
        <f ca="1">IF(AA78=1,'Finals 1'!$Q26,"")</f>
        <v>17</v>
      </c>
      <c r="AI78" s="143" t="str">
        <f ca="1">IF(AA78&gt;0,AE78&amp;Language!$E$96&amp;AF78,"")</f>
        <v>1-1</v>
      </c>
    </row>
    <row r="79" spans="2:43" s="2" customFormat="1" x14ac:dyDescent="0.2">
      <c r="B79" s="3"/>
      <c r="C79" s="3"/>
      <c r="D79" s="3"/>
      <c r="E79" s="3"/>
      <c r="F79" s="12"/>
      <c r="G79" s="12"/>
      <c r="H79" s="12"/>
      <c r="I79" s="12"/>
      <c r="J79" s="12"/>
      <c r="K79" s="12"/>
      <c r="L79" s="12"/>
      <c r="M79" s="12"/>
      <c r="U79" s="66" t="s">
        <v>30</v>
      </c>
      <c r="V79" s="40" t="str">
        <f ca="1">'Finals 1'!$I27</f>
        <v>FC Grönlingen</v>
      </c>
      <c r="W79" s="12" t="str">
        <f ca="1">'Finals 1'!$K27</f>
        <v>Real Madrid</v>
      </c>
      <c r="X79" s="12">
        <f ca="1">IF(AA79=1,'Finals 1'!$L27,"")</f>
        <v>20</v>
      </c>
      <c r="Y79" s="35">
        <f ca="1">IF(AA79=1,'Finals 1'!$N27,"")</f>
        <v>25</v>
      </c>
      <c r="Z79" s="34" t="str">
        <f t="shared" ca="1" si="46"/>
        <v>FC GrönlingenReal Madrid</v>
      </c>
      <c r="AA79" s="12">
        <f ca="1">IF(AND('Finals 1'!$L27&lt;&gt;"",'Finals 1'!$N27&lt;&gt;"",'Finals 1'!$L27&lt;&gt;'Finals 1'!$N27,OR(AND('Finals 1'!$O27="",'Finals 1'!$Q27=""),AND('Finals 1'!$O27&lt;&gt;"",'Finals 1'!$Q27&lt;&gt;"",'Finals 1'!$O27&lt;&gt;'Finals 1'!$Q27)),'Finals 1'!$I27&lt;&gt;"",'Finals 1'!$K27&lt;&gt;"",'Finals 1'!$I27&lt;&gt;'Finals 1'!$K27),1,0)</f>
        <v>1</v>
      </c>
      <c r="AB79" s="12" t="str">
        <f ca="1">IF(AA79&gt;0,X79&amp;Language!$E$96&amp;Y79,"")</f>
        <v>20-25</v>
      </c>
      <c r="AD79" s="143"/>
      <c r="AE79" s="148">
        <f t="shared" ca="1" si="44"/>
        <v>0</v>
      </c>
      <c r="AF79" s="143">
        <f t="shared" ca="1" si="45"/>
        <v>2</v>
      </c>
      <c r="AG79" s="148">
        <f ca="1">IF(AA79=1,'Finals 1'!$O27,"")</f>
        <v>18</v>
      </c>
      <c r="AH79" s="12">
        <f ca="1">IF(AA79=1,'Finals 1'!$Q27,"")</f>
        <v>25</v>
      </c>
      <c r="AI79" s="143" t="str">
        <f ca="1">IF(AA79&gt;0,AE79&amp;Language!$E$96&amp;AF79,"")</f>
        <v>0-2</v>
      </c>
    </row>
    <row r="80" spans="2:43" s="2" customFormat="1" x14ac:dyDescent="0.2">
      <c r="B80" s="3"/>
      <c r="C80" s="3"/>
      <c r="D80" s="3"/>
      <c r="E80" s="3"/>
      <c r="F80" s="12"/>
      <c r="G80" s="12"/>
      <c r="H80" s="12"/>
      <c r="I80" s="12"/>
      <c r="J80" s="12"/>
      <c r="K80" s="12"/>
      <c r="L80" s="12"/>
      <c r="M80" s="12"/>
      <c r="U80" s="66" t="s">
        <v>31</v>
      </c>
      <c r="V80" s="40" t="str">
        <f ca="1">'Finals 1'!$I28</f>
        <v>SSV Wildbach</v>
      </c>
      <c r="W80" s="12" t="str">
        <f ca="1">'Finals 1'!$K28</f>
        <v>1. FC Nürnberg</v>
      </c>
      <c r="X80" s="12">
        <f ca="1">IF(AA80=1,'Finals 1'!$L28,"")</f>
        <v>25</v>
      </c>
      <c r="Y80" s="35">
        <f ca="1">IF(AA80=1,'Finals 1'!$N28,"")</f>
        <v>20</v>
      </c>
      <c r="Z80" s="34" t="str">
        <f t="shared" ca="1" si="46"/>
        <v>SSV Wildbach1. FC Nürnberg</v>
      </c>
      <c r="AA80" s="12">
        <f ca="1">IF(AND('Finals 1'!$L28&lt;&gt;"",'Finals 1'!$N28&lt;&gt;"",'Finals 1'!$L28&lt;&gt;'Finals 1'!$N28,OR(AND('Finals 1'!$O28="",'Finals 1'!$Q28=""),AND('Finals 1'!$O28&lt;&gt;"",'Finals 1'!$Q28&lt;&gt;"",'Finals 1'!$O28&lt;&gt;'Finals 1'!$Q28)),'Finals 1'!$I28&lt;&gt;"",'Finals 1'!$K28&lt;&gt;"",'Finals 1'!$I28&lt;&gt;'Finals 1'!$K28),1,0)</f>
        <v>1</v>
      </c>
      <c r="AB80" s="12" t="str">
        <f ca="1">IF(AA80&gt;0,X80&amp;Language!$E$96&amp;Y80,"")</f>
        <v>25-20</v>
      </c>
      <c r="AD80" s="143"/>
      <c r="AE80" s="148">
        <f t="shared" ca="1" si="44"/>
        <v>2</v>
      </c>
      <c r="AF80" s="143">
        <f t="shared" ca="1" si="45"/>
        <v>0</v>
      </c>
      <c r="AG80" s="148">
        <f ca="1">IF(AA80=1,'Finals 1'!$O28,"")</f>
        <v>25</v>
      </c>
      <c r="AH80" s="12">
        <f ca="1">IF(AA80=1,'Finals 1'!$Q28,"")</f>
        <v>19</v>
      </c>
      <c r="AI80" s="143" t="str">
        <f ca="1">IF(AA80&gt;0,AE80&amp;Language!$E$96&amp;AF80,"")</f>
        <v>2-0</v>
      </c>
    </row>
    <row r="81" spans="2:35" s="2" customFormat="1" ht="12.75" thickBot="1" x14ac:dyDescent="0.25">
      <c r="B81" s="3"/>
      <c r="C81" s="3"/>
      <c r="D81" s="3"/>
      <c r="E81" s="3"/>
      <c r="F81" s="12"/>
      <c r="G81" s="12"/>
      <c r="H81" s="12"/>
      <c r="I81" s="12"/>
      <c r="J81" s="12"/>
      <c r="K81" s="12"/>
      <c r="L81" s="12"/>
      <c r="M81" s="12"/>
      <c r="U81" s="66" t="s">
        <v>32</v>
      </c>
      <c r="V81" s="40" t="str">
        <f ca="1">'Finals 1'!$I29</f>
        <v>Inter Mailand</v>
      </c>
      <c r="W81" s="12" t="str">
        <f ca="1">'Finals 1'!$K29</f>
        <v>Borussia Dortmund</v>
      </c>
      <c r="X81" s="12">
        <f ca="1">IF(AA81=1,'Finals 1'!$L29,"")</f>
        <v>25</v>
      </c>
      <c r="Y81" s="35">
        <f ca="1">IF(AA81=1,'Finals 1'!$N29,"")</f>
        <v>2</v>
      </c>
      <c r="Z81" s="34" t="str">
        <f t="shared" ca="1" si="46"/>
        <v>Inter MailandBorussia Dortmund</v>
      </c>
      <c r="AA81" s="12">
        <f ca="1">IF(AND('Finals 1'!$L29&lt;&gt;"",'Finals 1'!$N29&lt;&gt;"",'Finals 1'!$L29&lt;&gt;'Finals 1'!$N29,OR(AND('Finals 1'!$O29="",'Finals 1'!$Q29=""),AND('Finals 1'!$O29&lt;&gt;"",'Finals 1'!$Q29&lt;&gt;"",'Finals 1'!$O29&lt;&gt;'Finals 1'!$Q29)),'Finals 1'!$I29&lt;&gt;"",'Finals 1'!$K29&lt;&gt;"",'Finals 1'!$I29&lt;&gt;'Finals 1'!$K29),1,0)</f>
        <v>1</v>
      </c>
      <c r="AB81" s="12" t="str">
        <f ca="1">IF(AA81&gt;0,X81&amp;Language!$E$96&amp;Y81,"")</f>
        <v>25-2</v>
      </c>
      <c r="AD81" s="143"/>
      <c r="AE81" s="148">
        <f t="shared" ca="1" si="44"/>
        <v>2</v>
      </c>
      <c r="AF81" s="143">
        <f t="shared" ca="1" si="45"/>
        <v>0</v>
      </c>
      <c r="AG81" s="722">
        <f ca="1">IF(AA81=1,'Finals 1'!$O29,"")</f>
        <v>25</v>
      </c>
      <c r="AH81" s="686">
        <f ca="1">IF(AA81=1,'Finals 1'!$Q29,"")</f>
        <v>20</v>
      </c>
      <c r="AI81" s="688" t="str">
        <f ca="1">IF(AA81&gt;0,AE81&amp;Language!$E$96&amp;AF81,"")</f>
        <v>2-0</v>
      </c>
    </row>
    <row r="82" spans="2:35" s="2" customFormat="1" ht="12.75" thickTop="1" x14ac:dyDescent="0.2">
      <c r="B82" s="3"/>
      <c r="C82" s="3"/>
      <c r="D82" s="3"/>
      <c r="E82" s="3"/>
      <c r="F82" s="12"/>
      <c r="G82" s="12"/>
      <c r="H82" s="12"/>
      <c r="I82" s="12"/>
      <c r="J82" s="12"/>
      <c r="K82" s="12"/>
      <c r="L82" s="12"/>
      <c r="M82" s="12"/>
      <c r="U82" s="304" t="s">
        <v>33</v>
      </c>
      <c r="V82" s="305" t="str">
        <f>""</f>
        <v/>
      </c>
      <c r="W82" s="306" t="str">
        <f>""</f>
        <v/>
      </c>
      <c r="X82" s="306" t="str">
        <f>""</f>
        <v/>
      </c>
      <c r="Y82" s="307" t="str">
        <f>""</f>
        <v/>
      </c>
      <c r="Z82" s="308" t="str">
        <f>""</f>
        <v/>
      </c>
      <c r="AA82" s="306">
        <v>0</v>
      </c>
      <c r="AB82" s="306" t="str">
        <f>""</f>
        <v/>
      </c>
      <c r="AC82" s="309"/>
      <c r="AD82" s="310"/>
      <c r="AE82" s="311"/>
      <c r="AF82" s="310"/>
      <c r="AG82" s="717"/>
      <c r="AH82" s="3"/>
      <c r="AI82" s="718"/>
    </row>
    <row r="83" spans="2:35" s="2" customFormat="1" x14ac:dyDescent="0.2">
      <c r="B83" s="3"/>
      <c r="C83" s="3"/>
      <c r="D83" s="3"/>
      <c r="E83" s="3"/>
      <c r="F83" s="12"/>
      <c r="G83" s="12"/>
      <c r="H83" s="12"/>
      <c r="I83" s="12"/>
      <c r="J83" s="12"/>
      <c r="K83" s="12"/>
      <c r="L83" s="12"/>
      <c r="M83" s="12"/>
      <c r="U83" s="66" t="s">
        <v>34</v>
      </c>
      <c r="V83" s="40" t="str">
        <f>""</f>
        <v/>
      </c>
      <c r="W83" s="12" t="str">
        <f>""</f>
        <v/>
      </c>
      <c r="X83" s="12" t="str">
        <f>""</f>
        <v/>
      </c>
      <c r="Y83" s="35" t="str">
        <f>""</f>
        <v/>
      </c>
      <c r="Z83" s="34" t="str">
        <f>""</f>
        <v/>
      </c>
      <c r="AA83" s="12">
        <v>0</v>
      </c>
      <c r="AB83" s="12" t="str">
        <f>""</f>
        <v/>
      </c>
      <c r="AD83" s="143"/>
      <c r="AE83" s="148"/>
      <c r="AF83" s="143"/>
      <c r="AG83" s="717"/>
      <c r="AH83" s="3"/>
      <c r="AI83" s="718"/>
    </row>
    <row r="84" spans="2:35" s="2" customFormat="1" x14ac:dyDescent="0.2">
      <c r="B84" s="3"/>
      <c r="C84" s="3"/>
      <c r="D84" s="3"/>
      <c r="E84" s="3"/>
      <c r="F84" s="12"/>
      <c r="G84" s="12"/>
      <c r="H84" s="12"/>
      <c r="I84" s="12"/>
      <c r="J84" s="12"/>
      <c r="K84" s="12"/>
      <c r="L84" s="12"/>
      <c r="M84" s="12"/>
      <c r="U84" s="66" t="s">
        <v>35</v>
      </c>
      <c r="V84" s="40" t="str">
        <f>""</f>
        <v/>
      </c>
      <c r="W84" s="12" t="str">
        <f>""</f>
        <v/>
      </c>
      <c r="X84" s="12" t="str">
        <f>""</f>
        <v/>
      </c>
      <c r="Y84" s="35" t="str">
        <f>""</f>
        <v/>
      </c>
      <c r="Z84" s="34" t="str">
        <f>""</f>
        <v/>
      </c>
      <c r="AA84" s="12">
        <v>0</v>
      </c>
      <c r="AB84" s="12" t="str">
        <f>""</f>
        <v/>
      </c>
      <c r="AD84" s="143"/>
      <c r="AE84" s="148"/>
      <c r="AF84" s="143"/>
      <c r="AG84" s="717"/>
      <c r="AH84" s="3"/>
      <c r="AI84" s="718"/>
    </row>
    <row r="85" spans="2:35" s="2" customFormat="1" x14ac:dyDescent="0.2">
      <c r="B85" s="3"/>
      <c r="C85" s="3"/>
      <c r="D85" s="3"/>
      <c r="E85" s="3"/>
      <c r="F85" s="12"/>
      <c r="G85" s="12"/>
      <c r="H85" s="12"/>
      <c r="I85" s="12"/>
      <c r="J85" s="12"/>
      <c r="K85" s="12"/>
      <c r="L85" s="12"/>
      <c r="M85" s="12"/>
      <c r="U85" s="66" t="s">
        <v>36</v>
      </c>
      <c r="V85" s="40" t="str">
        <f>""</f>
        <v/>
      </c>
      <c r="W85" s="12" t="str">
        <f>""</f>
        <v/>
      </c>
      <c r="X85" s="12" t="str">
        <f>""</f>
        <v/>
      </c>
      <c r="Y85" s="35" t="str">
        <f>""</f>
        <v/>
      </c>
      <c r="Z85" s="34" t="str">
        <f>""</f>
        <v/>
      </c>
      <c r="AA85" s="12">
        <v>0</v>
      </c>
      <c r="AB85" s="12" t="str">
        <f>""</f>
        <v/>
      </c>
      <c r="AD85" s="143"/>
      <c r="AE85" s="148"/>
      <c r="AF85" s="143"/>
      <c r="AG85" s="717"/>
      <c r="AH85" s="3"/>
      <c r="AI85" s="718"/>
    </row>
    <row r="86" spans="2:35" s="2" customFormat="1" x14ac:dyDescent="0.2">
      <c r="B86" s="3"/>
      <c r="C86" s="3"/>
      <c r="D86" s="3"/>
      <c r="E86" s="3"/>
      <c r="F86" s="12"/>
      <c r="G86" s="12"/>
      <c r="H86" s="12"/>
      <c r="I86" s="12"/>
      <c r="J86" s="12"/>
      <c r="K86" s="12"/>
      <c r="L86" s="12"/>
      <c r="M86" s="12"/>
      <c r="U86" s="66" t="s">
        <v>37</v>
      </c>
      <c r="V86" s="40" t="str">
        <f>""</f>
        <v/>
      </c>
      <c r="W86" s="12" t="str">
        <f>""</f>
        <v/>
      </c>
      <c r="X86" s="12" t="str">
        <f>""</f>
        <v/>
      </c>
      <c r="Y86" s="35" t="str">
        <f>""</f>
        <v/>
      </c>
      <c r="Z86" s="34" t="str">
        <f>""</f>
        <v/>
      </c>
      <c r="AA86" s="12">
        <v>0</v>
      </c>
      <c r="AB86" s="12" t="str">
        <f>""</f>
        <v/>
      </c>
      <c r="AD86" s="143"/>
      <c r="AE86" s="148"/>
      <c r="AF86" s="143"/>
      <c r="AG86" s="717"/>
      <c r="AH86" s="3"/>
      <c r="AI86" s="718"/>
    </row>
    <row r="87" spans="2:35" s="2" customFormat="1" x14ac:dyDescent="0.2">
      <c r="B87" s="3"/>
      <c r="C87" s="3"/>
      <c r="D87" s="3"/>
      <c r="E87" s="3"/>
      <c r="F87" s="12"/>
      <c r="G87" s="12"/>
      <c r="H87" s="12"/>
      <c r="I87" s="12"/>
      <c r="J87" s="12"/>
      <c r="K87" s="12"/>
      <c r="L87" s="12"/>
      <c r="M87" s="12"/>
      <c r="U87" s="66" t="s">
        <v>38</v>
      </c>
      <c r="V87" s="40" t="str">
        <f>""</f>
        <v/>
      </c>
      <c r="W87" s="12" t="str">
        <f>""</f>
        <v/>
      </c>
      <c r="X87" s="12" t="str">
        <f>""</f>
        <v/>
      </c>
      <c r="Y87" s="35" t="str">
        <f>""</f>
        <v/>
      </c>
      <c r="Z87" s="34" t="str">
        <f>""</f>
        <v/>
      </c>
      <c r="AA87" s="12">
        <v>0</v>
      </c>
      <c r="AB87" s="12" t="str">
        <f>""</f>
        <v/>
      </c>
      <c r="AD87" s="143"/>
      <c r="AE87" s="148"/>
      <c r="AF87" s="143"/>
      <c r="AG87" s="717"/>
      <c r="AH87" s="3"/>
      <c r="AI87" s="718"/>
    </row>
    <row r="88" spans="2:35" s="2" customFormat="1" x14ac:dyDescent="0.2">
      <c r="B88" s="3"/>
      <c r="C88" s="3"/>
      <c r="D88" s="3"/>
      <c r="E88" s="3"/>
      <c r="F88" s="12"/>
      <c r="G88" s="12"/>
      <c r="H88" s="12"/>
      <c r="I88" s="12"/>
      <c r="J88" s="12"/>
      <c r="K88" s="12"/>
      <c r="L88" s="12"/>
      <c r="M88" s="12"/>
      <c r="U88" s="66" t="s">
        <v>39</v>
      </c>
      <c r="V88" s="40" t="str">
        <f>""</f>
        <v/>
      </c>
      <c r="W88" s="12" t="str">
        <f>""</f>
        <v/>
      </c>
      <c r="X88" s="12" t="str">
        <f>""</f>
        <v/>
      </c>
      <c r="Y88" s="35" t="str">
        <f>""</f>
        <v/>
      </c>
      <c r="Z88" s="34" t="str">
        <f>""</f>
        <v/>
      </c>
      <c r="AA88" s="12">
        <v>0</v>
      </c>
      <c r="AB88" s="12" t="str">
        <f>""</f>
        <v/>
      </c>
      <c r="AD88" s="143"/>
      <c r="AE88" s="148"/>
      <c r="AF88" s="143"/>
      <c r="AG88" s="717"/>
      <c r="AH88" s="3"/>
      <c r="AI88" s="718"/>
    </row>
    <row r="89" spans="2:35" s="2" customFormat="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Manchester City1. FC Riedwald</v>
      </c>
      <c r="AA137" s="12">
        <f t="shared" ref="AA137:AA153" ca="1" si="47">AA65</f>
        <v>1</v>
      </c>
      <c r="AB137" s="12" t="str">
        <f ca="1">IF(AA137&gt;0,Y65&amp;Language!$E$96&amp;X65,"")</f>
        <v>25-19</v>
      </c>
      <c r="AC137" s="2"/>
      <c r="AD137" s="143"/>
      <c r="AE137" s="709"/>
      <c r="AF137" s="710"/>
      <c r="AG137" s="710"/>
      <c r="AH137" s="710"/>
      <c r="AI137" s="711" t="str">
        <f ca="1">IF(AA65&gt;0,AF65&amp;Language!$E$96&amp;AE65,"")</f>
        <v>2-0</v>
      </c>
    </row>
    <row r="138" spans="2:35" x14ac:dyDescent="0.2">
      <c r="Y138" s="66" t="s">
        <v>8</v>
      </c>
      <c r="Z138" s="34" t="str">
        <f t="shared" ref="Z138:Z153" ca="1" si="48">W66&amp;V66</f>
        <v>Mainz 05Maibach 1822 eV</v>
      </c>
      <c r="AA138" s="12">
        <f t="shared" ca="1" si="47"/>
        <v>1</v>
      </c>
      <c r="AB138" s="12" t="str">
        <f ca="1">IF(AA138&gt;0,Y66&amp;Language!$E$96&amp;X66,"")</f>
        <v>21-25</v>
      </c>
      <c r="AC138" s="2"/>
      <c r="AD138" s="143"/>
      <c r="AE138" s="709"/>
      <c r="AF138" s="710"/>
      <c r="AG138" s="710"/>
      <c r="AH138" s="710"/>
      <c r="AI138" s="711" t="str">
        <f ca="1">IF(AA66&gt;0,AF66&amp;Language!$E$96&amp;AE66,"")</f>
        <v>0-2</v>
      </c>
    </row>
    <row r="139" spans="2:35" x14ac:dyDescent="0.2">
      <c r="Y139" s="66" t="s">
        <v>9</v>
      </c>
      <c r="Z139" s="34" t="str">
        <f t="shared" ca="1" si="48"/>
        <v>FC GrönlingenVFB Essenheim</v>
      </c>
      <c r="AA139" s="12">
        <f t="shared" ca="1" si="47"/>
        <v>1</v>
      </c>
      <c r="AB139" s="12" t="str">
        <f ca="1">IF(AA139&gt;0,Y67&amp;Language!$E$96&amp;X67,"")</f>
        <v>22-25</v>
      </c>
      <c r="AC139" s="2"/>
      <c r="AD139" s="143"/>
      <c r="AE139" s="709"/>
      <c r="AF139" s="710"/>
      <c r="AG139" s="710"/>
      <c r="AH139" s="710"/>
      <c r="AI139" s="711" t="str">
        <f ca="1">IF(AA67&gt;0,AF67&amp;Language!$E$96&amp;AE67,"")</f>
        <v>0-2</v>
      </c>
    </row>
    <row r="140" spans="2:35" x14ac:dyDescent="0.2">
      <c r="Y140" s="66" t="s">
        <v>10</v>
      </c>
      <c r="Z140" s="34" t="str">
        <f t="shared" ca="1" si="48"/>
        <v>SSV WildbachEintracht Frankfurt</v>
      </c>
      <c r="AA140" s="12">
        <f t="shared" ca="1" si="47"/>
        <v>1</v>
      </c>
      <c r="AB140" s="12" t="str">
        <f ca="1">IF(AA140&gt;0,Y68&amp;Language!$E$96&amp;X68,"")</f>
        <v>23-25</v>
      </c>
      <c r="AC140" s="2"/>
      <c r="AD140" s="143"/>
      <c r="AE140" s="709"/>
      <c r="AF140" s="710"/>
      <c r="AG140" s="710"/>
      <c r="AH140" s="710"/>
      <c r="AI140" s="711" t="str">
        <f ca="1">IF(AA68&gt;0,AF68&amp;Language!$E$96&amp;AE68,"")</f>
        <v>0-2</v>
      </c>
    </row>
    <row r="141" spans="2:35" x14ac:dyDescent="0.2">
      <c r="Y141" s="66" t="s">
        <v>11</v>
      </c>
      <c r="Z141" s="34" t="str">
        <f t="shared" ca="1" si="48"/>
        <v>Inter MailandFC Barcelona</v>
      </c>
      <c r="AA141" s="12">
        <f t="shared" ca="1" si="47"/>
        <v>1</v>
      </c>
      <c r="AB141" s="12" t="str">
        <f ca="1">IF(AA141&gt;0,Y69&amp;Language!$E$96&amp;X69,"")</f>
        <v>23-25</v>
      </c>
      <c r="AC141" s="2"/>
      <c r="AD141" s="143"/>
      <c r="AE141" s="709"/>
      <c r="AF141" s="710"/>
      <c r="AG141" s="710"/>
      <c r="AH141" s="710"/>
      <c r="AI141" s="711" t="str">
        <f ca="1">IF(AA69&gt;0,AF69&amp;Language!$E$96&amp;AE69,"")</f>
        <v>0-2</v>
      </c>
    </row>
    <row r="142" spans="2:35" x14ac:dyDescent="0.2">
      <c r="Y142" s="66" t="s">
        <v>16</v>
      </c>
      <c r="Z142" s="34" t="str">
        <f t="shared" ca="1" si="48"/>
        <v/>
      </c>
      <c r="AA142" s="12">
        <f t="shared" ca="1" si="47"/>
        <v>0</v>
      </c>
      <c r="AB142" s="12" t="str">
        <f ca="1">IF(AA142&gt;0,Y70&amp;Language!$E$96&amp;X70,"")</f>
        <v/>
      </c>
      <c r="AC142" s="2"/>
      <c r="AD142" s="143"/>
      <c r="AE142" s="709"/>
      <c r="AF142" s="710"/>
      <c r="AG142" s="710"/>
      <c r="AH142" s="710"/>
      <c r="AI142" s="711" t="str">
        <f ca="1">IF(AA70&gt;0,AF70&amp;Language!$E$96&amp;AE70,"")</f>
        <v/>
      </c>
    </row>
    <row r="143" spans="2:35" x14ac:dyDescent="0.2">
      <c r="Y143" s="66" t="s">
        <v>17</v>
      </c>
      <c r="Z143" s="34" t="str">
        <f t="shared" ca="1" si="48"/>
        <v>1. FC RiedwaldFSV Rauen</v>
      </c>
      <c r="AA143" s="12">
        <f t="shared" ca="1" si="47"/>
        <v>1</v>
      </c>
      <c r="AB143" s="12" t="str">
        <f ca="1">IF(AA143&gt;0,Y71&amp;Language!$E$96&amp;X71,"")</f>
        <v>25-19</v>
      </c>
      <c r="AC143" s="2"/>
      <c r="AD143" s="143"/>
      <c r="AE143" s="709"/>
      <c r="AF143" s="710"/>
      <c r="AG143" s="710"/>
      <c r="AH143" s="710"/>
      <c r="AI143" s="711" t="str">
        <f ca="1">IF(AA71&gt;0,AF71&amp;Language!$E$96&amp;AE71,"")</f>
        <v>1-1</v>
      </c>
    </row>
    <row r="144" spans="2:35" x14ac:dyDescent="0.2">
      <c r="Y144" s="66" t="s">
        <v>18</v>
      </c>
      <c r="Z144" s="34" t="str">
        <f t="shared" ca="1" si="48"/>
        <v>Maibach 1822 eVKickers Rodendorf</v>
      </c>
      <c r="AA144" s="12">
        <f t="shared" ca="1" si="47"/>
        <v>1</v>
      </c>
      <c r="AB144" s="12" t="str">
        <f ca="1">IF(AA144&gt;0,Y72&amp;Language!$E$96&amp;X72,"")</f>
        <v>25-16</v>
      </c>
      <c r="AC144" s="2"/>
      <c r="AD144" s="143"/>
      <c r="AE144" s="709"/>
      <c r="AF144" s="710"/>
      <c r="AG144" s="710"/>
      <c r="AH144" s="710"/>
      <c r="AI144" s="711" t="str">
        <f ca="1">IF(AA72&gt;0,AF72&amp;Language!$E$96&amp;AE72,"")</f>
        <v>1-1</v>
      </c>
    </row>
    <row r="145" spans="25:35" x14ac:dyDescent="0.2">
      <c r="Y145" s="66" t="s">
        <v>24</v>
      </c>
      <c r="Z145" s="34" t="str">
        <f t="shared" ca="1" si="48"/>
        <v>VFB EssenheimReal Madrid</v>
      </c>
      <c r="AA145" s="12">
        <f t="shared" ca="1" si="47"/>
        <v>1</v>
      </c>
      <c r="AB145" s="12" t="str">
        <f ca="1">IF(AA145&gt;0,Y73&amp;Language!$E$96&amp;X73,"")</f>
        <v>25-14</v>
      </c>
      <c r="AC145" s="2"/>
      <c r="AD145" s="143"/>
      <c r="AE145" s="709"/>
      <c r="AF145" s="710"/>
      <c r="AG145" s="710"/>
      <c r="AH145" s="710"/>
      <c r="AI145" s="711" t="str">
        <f ca="1">IF(AA73&gt;0,AF73&amp;Language!$E$96&amp;AE73,"")</f>
        <v>1-1</v>
      </c>
    </row>
    <row r="146" spans="25:35" x14ac:dyDescent="0.2">
      <c r="Y146" s="66" t="s">
        <v>25</v>
      </c>
      <c r="Z146" s="34" t="str">
        <f t="shared" ca="1" si="48"/>
        <v>Eintracht Frankfurt1. FC Nürnberg</v>
      </c>
      <c r="AA146" s="12">
        <f t="shared" ca="1" si="47"/>
        <v>1</v>
      </c>
      <c r="AB146" s="12" t="str">
        <f ca="1">IF(AA146&gt;0,Y74&amp;Language!$E$96&amp;X74,"")</f>
        <v>25-22</v>
      </c>
      <c r="AC146" s="2"/>
      <c r="AD146" s="143"/>
      <c r="AE146" s="709"/>
      <c r="AF146" s="710"/>
      <c r="AG146" s="710"/>
      <c r="AH146" s="710"/>
      <c r="AI146" s="711" t="str">
        <f ca="1">IF(AA74&gt;0,AF74&amp;Language!$E$96&amp;AE74,"")</f>
        <v>1-1</v>
      </c>
    </row>
    <row r="147" spans="25:35" x14ac:dyDescent="0.2">
      <c r="Y147" s="66" t="s">
        <v>26</v>
      </c>
      <c r="Z147" s="34" t="str">
        <f t="shared" ca="1" si="48"/>
        <v>FC BarcelonaBorussia Dortmund</v>
      </c>
      <c r="AA147" s="12">
        <f t="shared" ca="1" si="47"/>
        <v>1</v>
      </c>
      <c r="AB147" s="12" t="str">
        <f ca="1">IF(AA147&gt;0,Y75&amp;Language!$E$96&amp;X75,"")</f>
        <v>25-19</v>
      </c>
      <c r="AC147" s="2"/>
      <c r="AD147" s="143"/>
      <c r="AE147" s="709"/>
      <c r="AF147" s="710"/>
      <c r="AG147" s="710"/>
      <c r="AH147" s="710"/>
      <c r="AI147" s="711" t="str">
        <f ca="1">IF(AA75&gt;0,AF75&amp;Language!$E$96&amp;AE75,"")</f>
        <v>1-1</v>
      </c>
    </row>
    <row r="148" spans="25:35" x14ac:dyDescent="0.2">
      <c r="Y148" s="66" t="s">
        <v>27</v>
      </c>
      <c r="Z148" s="34" t="str">
        <f t="shared" ca="1" si="48"/>
        <v/>
      </c>
      <c r="AA148" s="12">
        <f t="shared" ca="1" si="47"/>
        <v>0</v>
      </c>
      <c r="AB148" s="12" t="str">
        <f ca="1">IF(AA148&gt;0,Y76&amp;Language!$E$96&amp;X76,"")</f>
        <v/>
      </c>
      <c r="AC148" s="2"/>
      <c r="AD148" s="143"/>
      <c r="AE148" s="709"/>
      <c r="AF148" s="710"/>
      <c r="AG148" s="710"/>
      <c r="AH148" s="710"/>
      <c r="AI148" s="711" t="str">
        <f ca="1">IF(AA76&gt;0,AF76&amp;Language!$E$96&amp;AE76,"")</f>
        <v/>
      </c>
    </row>
    <row r="149" spans="25:35" x14ac:dyDescent="0.2">
      <c r="Y149" s="66" t="s">
        <v>28</v>
      </c>
      <c r="Z149" s="34" t="str">
        <f t="shared" ca="1" si="48"/>
        <v>FSV RauenManchester City</v>
      </c>
      <c r="AA149" s="12">
        <f t="shared" ca="1" si="47"/>
        <v>1</v>
      </c>
      <c r="AB149" s="12" t="str">
        <f ca="1">IF(AA149&gt;0,Y77&amp;Language!$E$96&amp;X77,"")</f>
        <v>25-14</v>
      </c>
      <c r="AC149" s="2"/>
      <c r="AD149" s="143"/>
      <c r="AE149" s="709"/>
      <c r="AF149" s="710"/>
      <c r="AG149" s="710"/>
      <c r="AH149" s="710"/>
      <c r="AI149" s="711" t="str">
        <f ca="1">IF(AA77&gt;0,AF77&amp;Language!$E$96&amp;AE77,"")</f>
        <v>1-1</v>
      </c>
    </row>
    <row r="150" spans="25:35" x14ac:dyDescent="0.2">
      <c r="Y150" s="66" t="s">
        <v>29</v>
      </c>
      <c r="Z150" s="34" t="str">
        <f t="shared" ca="1" si="48"/>
        <v>Kickers RodendorfMainz 05</v>
      </c>
      <c r="AA150" s="12">
        <f t="shared" ca="1" si="47"/>
        <v>1</v>
      </c>
      <c r="AB150" s="12" t="str">
        <f ca="1">IF(AA150&gt;0,Y78&amp;Language!$E$96&amp;X78,"")</f>
        <v>25-21</v>
      </c>
      <c r="AC150" s="2"/>
      <c r="AD150" s="143"/>
      <c r="AE150" s="709"/>
      <c r="AF150" s="710"/>
      <c r="AG150" s="710"/>
      <c r="AH150" s="710"/>
      <c r="AI150" s="711" t="str">
        <f ca="1">IF(AA78&gt;0,AF78&amp;Language!$E$96&amp;AE78,"")</f>
        <v>1-1</v>
      </c>
    </row>
    <row r="151" spans="25:35" x14ac:dyDescent="0.2">
      <c r="Y151" s="66" t="s">
        <v>30</v>
      </c>
      <c r="Z151" s="34" t="str">
        <f t="shared" ca="1" si="48"/>
        <v>Real MadridFC Grönlingen</v>
      </c>
      <c r="AA151" s="12">
        <f t="shared" ca="1" si="47"/>
        <v>1</v>
      </c>
      <c r="AB151" s="12" t="str">
        <f ca="1">IF(AA151&gt;0,Y79&amp;Language!$E$96&amp;X79,"")</f>
        <v>25-20</v>
      </c>
      <c r="AC151" s="2"/>
      <c r="AD151" s="143"/>
      <c r="AE151" s="709"/>
      <c r="AF151" s="710"/>
      <c r="AG151" s="710"/>
      <c r="AH151" s="710"/>
      <c r="AI151" s="711" t="str">
        <f ca="1">IF(AA79&gt;0,AF79&amp;Language!$E$96&amp;AE79,"")</f>
        <v>2-0</v>
      </c>
    </row>
    <row r="152" spans="25:35" x14ac:dyDescent="0.2">
      <c r="Y152" s="66" t="s">
        <v>31</v>
      </c>
      <c r="Z152" s="34" t="str">
        <f t="shared" ca="1" si="48"/>
        <v>1. FC NürnbergSSV Wildbach</v>
      </c>
      <c r="AA152" s="12">
        <f t="shared" ca="1" si="47"/>
        <v>1</v>
      </c>
      <c r="AB152" s="12" t="str">
        <f ca="1">IF(AA152&gt;0,Y80&amp;Language!$E$96&amp;X80,"")</f>
        <v>20-25</v>
      </c>
      <c r="AC152" s="2"/>
      <c r="AD152" s="143"/>
      <c r="AE152" s="709"/>
      <c r="AF152" s="710"/>
      <c r="AG152" s="710"/>
      <c r="AH152" s="710"/>
      <c r="AI152" s="711" t="str">
        <f ca="1">IF(AA80&gt;0,AF80&amp;Language!$E$96&amp;AE80,"")</f>
        <v>0-2</v>
      </c>
    </row>
    <row r="153" spans="25:35" ht="12.75" thickBot="1" x14ac:dyDescent="0.25">
      <c r="Y153" s="684" t="s">
        <v>32</v>
      </c>
      <c r="Z153" s="685" t="str">
        <f t="shared" ca="1" si="48"/>
        <v>Borussia DortmundInter Mailand</v>
      </c>
      <c r="AA153" s="686">
        <f t="shared" ca="1" si="47"/>
        <v>1</v>
      </c>
      <c r="AB153" s="686" t="str">
        <f ca="1">IF(AA153&gt;0,Y81&amp;Language!$E$96&amp;X81,"")</f>
        <v>2-25</v>
      </c>
      <c r="AC153" s="687"/>
      <c r="AD153" s="688"/>
      <c r="AE153" s="705"/>
      <c r="AF153" s="706"/>
      <c r="AG153" s="706"/>
      <c r="AH153" s="706"/>
      <c r="AI153" s="712" t="str">
        <f ca="1">IF(AA81&gt;0,AF81&amp;Language!$E$96&amp;AE81,"")</f>
        <v>0-2</v>
      </c>
    </row>
    <row r="154" spans="25:35" ht="12.75" thickTop="1" x14ac:dyDescent="0.2">
      <c r="Y154" s="66" t="s">
        <v>33</v>
      </c>
      <c r="Z154" s="34" t="str">
        <f>""</f>
        <v/>
      </c>
      <c r="AA154" s="12">
        <v>0</v>
      </c>
      <c r="AB154" s="12" t="str">
        <f>""</f>
        <v/>
      </c>
      <c r="AC154" s="2"/>
      <c r="AD154" s="143"/>
      <c r="AE154" s="709"/>
      <c r="AF154" s="710"/>
      <c r="AG154" s="710"/>
      <c r="AH154" s="710"/>
      <c r="AI154" s="713"/>
    </row>
    <row r="155" spans="25:35" x14ac:dyDescent="0.2">
      <c r="Y155" s="66" t="s">
        <v>34</v>
      </c>
      <c r="Z155" s="34" t="str">
        <f>""</f>
        <v/>
      </c>
      <c r="AA155" s="12">
        <v>0</v>
      </c>
      <c r="AB155" s="12" t="str">
        <f>""</f>
        <v/>
      </c>
      <c r="AC155" s="2"/>
      <c r="AD155" s="143"/>
      <c r="AE155" s="709"/>
      <c r="AF155" s="710"/>
      <c r="AG155" s="710"/>
      <c r="AH155" s="710"/>
      <c r="AI155" s="713"/>
    </row>
    <row r="156" spans="25:35" x14ac:dyDescent="0.2">
      <c r="Y156" s="66" t="s">
        <v>35</v>
      </c>
      <c r="Z156" s="34" t="str">
        <f>""</f>
        <v/>
      </c>
      <c r="AA156" s="12">
        <v>0</v>
      </c>
      <c r="AB156" s="12" t="str">
        <f>""</f>
        <v/>
      </c>
      <c r="AC156" s="2"/>
      <c r="AD156" s="143"/>
      <c r="AE156" s="709"/>
      <c r="AF156" s="710"/>
      <c r="AG156" s="710"/>
      <c r="AH156" s="710"/>
      <c r="AI156" s="713"/>
    </row>
    <row r="157" spans="25:35" x14ac:dyDescent="0.2">
      <c r="Y157" s="66" t="s">
        <v>36</v>
      </c>
      <c r="Z157" s="34" t="str">
        <f>""</f>
        <v/>
      </c>
      <c r="AA157" s="12">
        <v>0</v>
      </c>
      <c r="AB157" s="12" t="str">
        <f>""</f>
        <v/>
      </c>
      <c r="AC157" s="2"/>
      <c r="AD157" s="143"/>
      <c r="AE157" s="709"/>
      <c r="AF157" s="710"/>
      <c r="AG157" s="710"/>
      <c r="AH157" s="710"/>
      <c r="AI157" s="713"/>
    </row>
    <row r="158" spans="25:35" x14ac:dyDescent="0.2">
      <c r="Y158" s="66" t="s">
        <v>37</v>
      </c>
      <c r="Z158" s="34" t="str">
        <f>""</f>
        <v/>
      </c>
      <c r="AA158" s="12">
        <v>0</v>
      </c>
      <c r="AB158" s="12" t="str">
        <f>""</f>
        <v/>
      </c>
      <c r="AC158" s="2"/>
      <c r="AD158" s="143"/>
      <c r="AE158" s="709"/>
      <c r="AF158" s="710"/>
      <c r="AG158" s="710"/>
      <c r="AH158" s="710"/>
      <c r="AI158" s="713"/>
    </row>
    <row r="159" spans="25:35" x14ac:dyDescent="0.2">
      <c r="Y159" s="66" t="s">
        <v>38</v>
      </c>
      <c r="Z159" s="34" t="str">
        <f>""</f>
        <v/>
      </c>
      <c r="AA159" s="12">
        <v>0</v>
      </c>
      <c r="AB159" s="12" t="str">
        <f>""</f>
        <v/>
      </c>
      <c r="AC159" s="2"/>
      <c r="AD159" s="143"/>
      <c r="AE159" s="709"/>
      <c r="AF159" s="710"/>
      <c r="AG159" s="710"/>
      <c r="AH159" s="710"/>
      <c r="AI159" s="713"/>
    </row>
    <row r="160" spans="25:35" x14ac:dyDescent="0.2">
      <c r="Y160" s="66" t="s">
        <v>39</v>
      </c>
      <c r="Z160" s="34" t="str">
        <f>""</f>
        <v/>
      </c>
      <c r="AA160" s="12">
        <v>0</v>
      </c>
      <c r="AB160" s="12" t="str">
        <f>""</f>
        <v/>
      </c>
      <c r="AC160" s="2"/>
      <c r="AD160" s="143"/>
      <c r="AE160" s="709"/>
      <c r="AF160" s="710"/>
      <c r="AG160" s="710"/>
      <c r="AH160" s="710"/>
      <c r="AI160" s="713"/>
    </row>
    <row r="161" spans="25:35"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27" t="s">
        <v>109</v>
      </c>
      <c r="J3" s="727" t="s">
        <v>110</v>
      </c>
      <c r="K3" s="72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Borussia Dortmund</v>
      </c>
      <c r="G4" s="1">
        <f ca="1">SUMIFS($X$64:$X$135,$V$64:$V$135,$F4)+SUMIFS($Y$64:$Y$135,$W$64:$W$135,$F4)+SUMIFS($AG$64:$AG$135,$V$64:$V$135,$F4)+SUMIFS($AH$64:$AH$135,$W$64:$W$135,$F4)</f>
        <v>134</v>
      </c>
      <c r="H4" s="1">
        <f ca="1">SUMIFS($Y$64:$Y$135,$V$64:$V$135,$F4)+SUMIFS($X$64:$X$135,$W$64:$W$135,$F4)+SUMIFS($AH$64:$AH$135,$V$64:$V$135,$F4)+SUMIFS($AG$64:$AG$135,$W$64:$W$135,$F4)</f>
        <v>127</v>
      </c>
      <c r="I4" s="12">
        <f ca="1">IF(Settings!$G$7,G4-H4,IF(H4=0,IF(G4=0,0,Settings!$F$7),G4/H4))</f>
        <v>7</v>
      </c>
      <c r="J4" s="1">
        <f ca="1">SUMPRODUCT(($V$64:$V$135=F4)*$AE$64:$AE$135*$AA$64:$AA$135)+SUMPRODUCT(($W$64:$W$135=F4)*$AF$64:$AF$135*$AA$64:$AA$135)</f>
        <v>4</v>
      </c>
      <c r="K4" s="1">
        <f ca="1">SUMPRODUCT(($V$64:$V$135=F4)*$AA$64:$AA$135)+SUMPRODUCT(($W$64:$W$135=F4)*$AA$64:$AA$135)</f>
        <v>3</v>
      </c>
      <c r="L4" s="1">
        <f ca="1">K4-M4-N4</f>
        <v>1</v>
      </c>
      <c r="M4" s="1">
        <f ca="1">SUMPRODUCT(($V$64:$W$135=F4)*($AE$64:$AE$135=$AF$64:$AF$135)*$AA$64:$AA$135)</f>
        <v>2</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7</v>
      </c>
    </row>
    <row r="5" spans="1:44" s="2" customFormat="1" x14ac:dyDescent="0.2">
      <c r="A5" s="254"/>
      <c r="B5" s="1">
        <v>2</v>
      </c>
      <c r="C5" s="21">
        <f t="shared" ref="C5:C12" ca="1" si="0">RANK(D5,$D$4:$D$12,1)</f>
        <v>4</v>
      </c>
      <c r="D5" s="12">
        <f t="shared" ref="D5:D12" ca="1" si="1">E5+ROW()/1000+(F5="")*10</f>
        <v>4.0049999999999999</v>
      </c>
      <c r="E5" s="266">
        <f t="shared" ref="E5:E12" ca="1" si="2">IF($AI$15,RANK(AH18,AH$17:AH$25,1),RANK(X18,X$17:X$25,1))</f>
        <v>4</v>
      </c>
      <c r="F5" s="1" t="str">
        <f t="shared" ref="F5:F12" ca="1" si="3">$Q65</f>
        <v>Inter Mailand</v>
      </c>
      <c r="G5" s="1">
        <f t="shared" ref="G5:G12" ca="1" si="4">SUMIFS($X$64:$X$135,$V$64:$V$135,$F5)+SUMIFS($Y$64:$Y$135,$W$64:$W$135,$F5)+SUMIFS($AG$64:$AG$135,$V$64:$V$135,$F5)+SUMIFS($AH$64:$AH$135,$W$64:$W$135,$F5)</f>
        <v>131</v>
      </c>
      <c r="H5" s="1">
        <f t="shared" ref="H5:H12" ca="1" si="5">SUMIFS($Y$64:$Y$135,$V$64:$V$135,$F5)+SUMIFS($X$64:$X$135,$W$64:$W$135,$F5)+SUMIFS($AH$64:$AH$135,$V$64:$V$135,$F5)+SUMIFS($AG$64:$AG$135,$W$64:$W$135,$F5)</f>
        <v>139</v>
      </c>
      <c r="I5" s="12">
        <f ca="1">IF(Settings!$G$7,G5-H5,IF(H5=0,IF(G5=0,0,Settings!$F$7),G5/H5))</f>
        <v>-8</v>
      </c>
      <c r="J5" s="1">
        <f t="shared" ref="J5:J12" ca="1" si="6">SUMPRODUCT(($V$64:$V$135=F5)*$AE$64:$AE$135*$AA$64:$AA$135)+SUMPRODUCT(($W$64:$W$135=F5)*$AF$64:$AF$135*$AA$64:$AA$135)</f>
        <v>2</v>
      </c>
      <c r="K5" s="1">
        <f t="shared" ref="K5:K12" ca="1" si="7">SUMPRODUCT(($V$64:$V$135=F5)*$AA$64:$AA$135)+SUMPRODUCT(($W$64:$W$135=F5)*$AA$64:$AA$135)</f>
        <v>3</v>
      </c>
      <c r="L5" s="1">
        <f t="shared" ref="L5:L12" ca="1" si="8">K5-M5-N5</f>
        <v>0</v>
      </c>
      <c r="M5" s="1">
        <f t="shared" ref="M5:M12" ca="1" si="9">SUMPRODUCT(($V$64:$W$135=F5)*($AE$64:$AE$135=$AF$64:$AF$135)*$AA$64:$AA$135)</f>
        <v>2</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-8</v>
      </c>
    </row>
    <row r="6" spans="1:44" s="2" customFormat="1" x14ac:dyDescent="0.2">
      <c r="A6" s="254"/>
      <c r="B6" s="1">
        <v>3</v>
      </c>
      <c r="C6" s="21">
        <f t="shared" ca="1" si="0"/>
        <v>3</v>
      </c>
      <c r="D6" s="12">
        <f t="shared" ca="1" si="1"/>
        <v>3.0059999999999998</v>
      </c>
      <c r="E6" s="266">
        <f t="shared" ca="1" si="2"/>
        <v>3</v>
      </c>
      <c r="F6" s="1" t="str">
        <f t="shared" ca="1" si="3"/>
        <v>FC Barcelona</v>
      </c>
      <c r="G6" s="1">
        <f t="shared" ca="1" si="4"/>
        <v>133</v>
      </c>
      <c r="H6" s="1">
        <f t="shared" ca="1" si="5"/>
        <v>137</v>
      </c>
      <c r="I6" s="12">
        <f ca="1">IF(Settings!$G$7,G6-H6,IF(H6=0,IF(G6=0,0,Settings!$F$7),G6/H6))</f>
        <v>-4</v>
      </c>
      <c r="J6" s="1">
        <f t="shared" ca="1" si="6"/>
        <v>3</v>
      </c>
      <c r="K6" s="1">
        <f t="shared" ca="1" si="7"/>
        <v>3</v>
      </c>
      <c r="L6" s="1">
        <f t="shared" ca="1" si="8"/>
        <v>1</v>
      </c>
      <c r="M6" s="1">
        <f t="shared" ca="1" si="9"/>
        <v>1</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-4</v>
      </c>
    </row>
    <row r="7" spans="1:44" s="2" customFormat="1" x14ac:dyDescent="0.2">
      <c r="A7" s="254"/>
      <c r="B7" s="1">
        <v>4</v>
      </c>
      <c r="C7" s="21">
        <f t="shared" ca="1" si="0"/>
        <v>2</v>
      </c>
      <c r="D7" s="12">
        <f t="shared" ca="1" si="1"/>
        <v>2.0070000000000001</v>
      </c>
      <c r="E7" s="266">
        <f t="shared" ca="1" si="2"/>
        <v>2</v>
      </c>
      <c r="F7" s="1" t="str">
        <f t="shared" ca="1" si="3"/>
        <v>SSV Wildbach</v>
      </c>
      <c r="G7" s="1">
        <f t="shared" ca="1" si="4"/>
        <v>137</v>
      </c>
      <c r="H7" s="1">
        <f t="shared" ca="1" si="5"/>
        <v>132</v>
      </c>
      <c r="I7" s="12">
        <f ca="1">IF(Settings!$G$7,G7-H7,IF(H7=0,IF(G7=0,0,Settings!$F$7),G7/H7))</f>
        <v>5</v>
      </c>
      <c r="J7" s="1">
        <f t="shared" ca="1" si="6"/>
        <v>3</v>
      </c>
      <c r="K7" s="1">
        <f t="shared" ca="1" si="7"/>
        <v>3</v>
      </c>
      <c r="L7" s="1">
        <f t="shared" ca="1" si="8"/>
        <v>1</v>
      </c>
      <c r="M7" s="1">
        <f t="shared" ca="1" si="9"/>
        <v>1</v>
      </c>
      <c r="N7" s="1">
        <f t="shared" ca="1" si="10"/>
        <v>1</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5</v>
      </c>
    </row>
    <row r="8" spans="1:44" s="2" customFormat="1" x14ac:dyDescent="0.2">
      <c r="A8" s="254"/>
      <c r="B8" s="1">
        <v>5</v>
      </c>
      <c r="C8" s="21">
        <f t="shared" ca="1" si="0"/>
        <v>5</v>
      </c>
      <c r="D8" s="12">
        <f t="shared" ca="1" si="1"/>
        <v>15.007999999999999</v>
      </c>
      <c r="E8" s="266">
        <f t="shared" ca="1" si="2"/>
        <v>5</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15.009</v>
      </c>
      <c r="E9" s="266">
        <f t="shared" ca="1" si="2"/>
        <v>5</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15.01</v>
      </c>
      <c r="E10" s="266">
        <f t="shared" ca="1" si="2"/>
        <v>5</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15.010999999999999</v>
      </c>
      <c r="E11" s="266">
        <f t="shared" ca="1" si="2"/>
        <v>5</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15.012</v>
      </c>
      <c r="E12" s="266">
        <f t="shared" ca="1" si="2"/>
        <v>5</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12</v>
      </c>
      <c r="C13" s="12"/>
      <c r="D13" s="12"/>
      <c r="E13" s="12"/>
      <c r="F13" s="12">
        <f ca="1">9-COUNTBLANK($F$4:$F$12)</f>
        <v>4</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Borussia Dortmund</v>
      </c>
      <c r="D17" s="1">
        <f t="shared" ref="D17:G25" ca="1" si="11">K4</f>
        <v>3</v>
      </c>
      <c r="E17" s="1">
        <f t="shared" ca="1" si="11"/>
        <v>1</v>
      </c>
      <c r="F17" s="1">
        <f t="shared" ca="1" si="11"/>
        <v>2</v>
      </c>
      <c r="G17" s="1">
        <f t="shared" ca="1" si="11"/>
        <v>0</v>
      </c>
      <c r="H17" s="1">
        <f t="shared" ref="H17:K25" ca="1" si="12">G4</f>
        <v>134</v>
      </c>
      <c r="I17" s="1">
        <f t="shared" ca="1" si="12"/>
        <v>127</v>
      </c>
      <c r="J17" s="12">
        <f t="shared" ca="1" si="12"/>
        <v>7</v>
      </c>
      <c r="K17" s="1">
        <f t="shared" ca="1" si="12"/>
        <v>4</v>
      </c>
      <c r="L17" s="29">
        <f ca="1">IF($C17="",0,K17*$F$64+(J17+$H$65)*$F$65)</f>
        <v>4507000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IF($C17="",0,AA17*$F$64+(AB17+$H$65)*$F$65)</f>
        <v>500000</v>
      </c>
      <c r="X17" s="20">
        <f ca="1">RANK($L17,$L$17:$L$25)+RANK($W17,$W$17:$W$25)/100+(9-$Y17)/10000</f>
        <v>1.0108999999999999</v>
      </c>
      <c r="Y17" s="12">
        <f ca="1">'Finals 4'!$AI12</f>
        <v>0</v>
      </c>
      <c r="Z17" s="1">
        <f ca="1">RANK($W17,$W$17:$W$25)+(9-$Y17)/10</f>
        <v>1.9</v>
      </c>
      <c r="AA17" s="1">
        <f ca="1">SUM(E30:BP30)</f>
        <v>0</v>
      </c>
      <c r="AB17" s="1">
        <f ca="1">SUM(E41:BP41)</f>
        <v>0</v>
      </c>
      <c r="AC17" s="1"/>
      <c r="AD17" s="260">
        <f ca="1">RANK($K17,$K$17:$K$25)</f>
        <v>1</v>
      </c>
      <c r="AE17" s="29">
        <f ca="1">(J17+$H$65)*$F$65</f>
        <v>507000</v>
      </c>
      <c r="AF17" s="1">
        <f ca="1">RANK($AE17,$AE$17:$AE$25)</f>
        <v>1</v>
      </c>
      <c r="AG17" s="1">
        <f ca="1">RANK($W17,$W$17:$W$25)</f>
        <v>1</v>
      </c>
      <c r="AH17" s="262">
        <f ca="1">AD17+AG17/100+AF17/10000+(10-Y17)/1000000</f>
        <v>1.0101100000000001</v>
      </c>
      <c r="AI17" s="1"/>
    </row>
    <row r="18" spans="2:80" s="2" customFormat="1" x14ac:dyDescent="0.2">
      <c r="C18" s="2" t="str">
        <f t="shared" ref="C18:C25" ca="1" si="21">$Q65</f>
        <v>Inter Mailand</v>
      </c>
      <c r="D18" s="1">
        <f t="shared" ca="1" si="11"/>
        <v>3</v>
      </c>
      <c r="E18" s="1">
        <f t="shared" ca="1" si="11"/>
        <v>0</v>
      </c>
      <c r="F18" s="1">
        <f t="shared" ca="1" si="11"/>
        <v>2</v>
      </c>
      <c r="G18" s="1">
        <f t="shared" ca="1" si="11"/>
        <v>1</v>
      </c>
      <c r="H18" s="1">
        <f t="shared" ca="1" si="12"/>
        <v>131</v>
      </c>
      <c r="I18" s="1">
        <f t="shared" ca="1" si="12"/>
        <v>139</v>
      </c>
      <c r="J18" s="12">
        <f t="shared" ca="1" si="12"/>
        <v>-8</v>
      </c>
      <c r="K18" s="1">
        <f t="shared" ca="1" si="12"/>
        <v>2</v>
      </c>
      <c r="L18" s="29">
        <f t="shared" ref="L18:L25" ca="1" si="22">IF($C18="",0,K18*$F$64+(J18+$H$65)*$F$65)</f>
        <v>2492000</v>
      </c>
      <c r="M18" s="13">
        <f t="shared" ref="M18:M25" ca="1" si="23">IF($AI$15,COUNTIF($K$17:$K$25,K18),COUNTIF($L$17:$L$25,L18))</f>
        <v>1</v>
      </c>
      <c r="N18" s="13">
        <f t="array" aca="1" ref="N18" ca="1">IF($AI$15,SUM(($K$17:$K$25&gt;=K18)/COUNTIF($K$17:$K$25,$K$17:$K$25)),SUM(($L$17:$L$25&gt;=L18)/COUNTIF($L$17:$L$25,$L$17:$L$25)))</f>
        <v>4</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IF($C18="",0,AA18*$F$64+(AB18+$H$65)*$F$65)</f>
        <v>500000</v>
      </c>
      <c r="X18" s="21">
        <f t="shared" ref="X18:X25" ca="1" si="25">RANK($L18,$L$17:$L$25)+RANK($W18,$W$17:$W$25)/100+(9-$Y18)/10000</f>
        <v>4.0108999999999995</v>
      </c>
      <c r="Y18" s="12">
        <f ca="1">'Finals 4'!$AI13</f>
        <v>0</v>
      </c>
      <c r="Z18" s="1">
        <f t="shared" ref="Z18:Z25" ca="1" si="26">RANK($W18,$W$17:$W$25)+(9-$Y18)/10</f>
        <v>1.9</v>
      </c>
      <c r="AA18" s="1">
        <f t="shared" ref="AA18:AA25" ca="1" si="27">SUM(E31:BP31)</f>
        <v>0</v>
      </c>
      <c r="AB18" s="1">
        <f t="shared" ref="AB18:AB25" ca="1" si="28">SUM(E42:BP42)</f>
        <v>0</v>
      </c>
      <c r="AC18" s="1"/>
      <c r="AD18" s="260">
        <f t="shared" ref="AD18:AD25" ca="1" si="29">RANK($K18,$K$17:$K$25)</f>
        <v>4</v>
      </c>
      <c r="AE18" s="29">
        <f t="shared" ref="AE18:AE25" ca="1" si="30">(J18+$H$65)*$F$65</f>
        <v>492000</v>
      </c>
      <c r="AF18" s="1">
        <f t="shared" ref="AF18:AF25" ca="1" si="31">RANK($AE18,$AE$17:$AE$25)</f>
        <v>9</v>
      </c>
      <c r="AG18" s="1">
        <f t="shared" ref="AG18:AG25" ca="1" si="32">RANK($W18,$W$17:$W$25)</f>
        <v>1</v>
      </c>
      <c r="AH18" s="263">
        <f t="shared" ref="AH18:AH25" ca="1" si="33">AD18+AG18/100+AF18/10000+(10-Y18)/1000000</f>
        <v>4.0109099999999991</v>
      </c>
      <c r="AI18" s="1"/>
    </row>
    <row r="19" spans="2:80" s="2" customFormat="1" x14ac:dyDescent="0.2">
      <c r="C19" s="2" t="str">
        <f t="shared" ca="1" si="21"/>
        <v>FC Barcelona</v>
      </c>
      <c r="D19" s="1">
        <f t="shared" ca="1" si="11"/>
        <v>3</v>
      </c>
      <c r="E19" s="1">
        <f t="shared" ca="1" si="11"/>
        <v>1</v>
      </c>
      <c r="F19" s="1">
        <f t="shared" ca="1" si="11"/>
        <v>1</v>
      </c>
      <c r="G19" s="1">
        <f t="shared" ca="1" si="11"/>
        <v>1</v>
      </c>
      <c r="H19" s="1">
        <f t="shared" ca="1" si="12"/>
        <v>133</v>
      </c>
      <c r="I19" s="1">
        <f t="shared" ca="1" si="12"/>
        <v>137</v>
      </c>
      <c r="J19" s="12">
        <f t="shared" ca="1" si="12"/>
        <v>-4</v>
      </c>
      <c r="K19" s="1">
        <f t="shared" ca="1" si="12"/>
        <v>3</v>
      </c>
      <c r="L19" s="29">
        <f t="shared" ca="1" si="22"/>
        <v>3496000</v>
      </c>
      <c r="M19" s="13">
        <f t="shared" ca="1" si="23"/>
        <v>1</v>
      </c>
      <c r="N19" s="13">
        <f t="array" aca="1" ref="N19" ca="1">IF($AI$15,SUM(($K$17:$K$25&gt;=K19)/COUNTIF($K$17:$K$25,$K$17:$K$25)),SUM(($L$17:$L$25&gt;=L19)/COUNTIF($L$17:$L$25,$L$17:$L$25)))</f>
        <v>3</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3.0108999999999999</v>
      </c>
      <c r="Y19" s="12">
        <f ca="1">'Finals 4'!$AI14</f>
        <v>0</v>
      </c>
      <c r="Z19" s="1">
        <f t="shared" ca="1" si="26"/>
        <v>1.9</v>
      </c>
      <c r="AA19" s="1">
        <f t="shared" ca="1" si="27"/>
        <v>0</v>
      </c>
      <c r="AB19" s="1">
        <f t="shared" ca="1" si="28"/>
        <v>0</v>
      </c>
      <c r="AC19" s="1"/>
      <c r="AD19" s="260">
        <f t="shared" ca="1" si="29"/>
        <v>2</v>
      </c>
      <c r="AE19" s="29">
        <f t="shared" ca="1" si="30"/>
        <v>496000</v>
      </c>
      <c r="AF19" s="1">
        <f t="shared" ca="1" si="31"/>
        <v>8</v>
      </c>
      <c r="AG19" s="1">
        <f t="shared" ca="1" si="32"/>
        <v>1</v>
      </c>
      <c r="AH19" s="263">
        <f t="shared" ca="1" si="33"/>
        <v>2.0108099999999998</v>
      </c>
      <c r="AI19" s="1"/>
    </row>
    <row r="20" spans="2:80" s="2" customFormat="1" x14ac:dyDescent="0.2">
      <c r="C20" s="2" t="str">
        <f t="shared" ca="1" si="21"/>
        <v>SSV Wildbach</v>
      </c>
      <c r="D20" s="1">
        <f t="shared" ca="1" si="11"/>
        <v>3</v>
      </c>
      <c r="E20" s="1">
        <f t="shared" ca="1" si="11"/>
        <v>1</v>
      </c>
      <c r="F20" s="1">
        <f t="shared" ca="1" si="11"/>
        <v>1</v>
      </c>
      <c r="G20" s="1">
        <f t="shared" ca="1" si="11"/>
        <v>1</v>
      </c>
      <c r="H20" s="1">
        <f t="shared" ca="1" si="12"/>
        <v>137</v>
      </c>
      <c r="I20" s="1">
        <f t="shared" ca="1" si="12"/>
        <v>132</v>
      </c>
      <c r="J20" s="12">
        <f t="shared" ca="1" si="12"/>
        <v>5</v>
      </c>
      <c r="K20" s="1">
        <f t="shared" ca="1" si="12"/>
        <v>3</v>
      </c>
      <c r="L20" s="29">
        <f t="shared" ca="1" si="22"/>
        <v>3505000</v>
      </c>
      <c r="M20" s="13">
        <f t="shared" ca="1" si="23"/>
        <v>1</v>
      </c>
      <c r="N20" s="13">
        <f t="array" aca="1" ref="N20" ca="1">IF($AI$15,SUM(($K$17:$K$25&gt;=K20)/COUNTIF($K$17:$K$25,$K$17:$K$25)),SUM(($L$17:$L$25&gt;=L20)/COUNTIF($L$17:$L$25,$L$17:$L$25)))</f>
        <v>2</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2.0108999999999999</v>
      </c>
      <c r="Y20" s="12">
        <f ca="1">'Finals 4'!$AI15</f>
        <v>0</v>
      </c>
      <c r="Z20" s="1">
        <f t="shared" ca="1" si="26"/>
        <v>1.9</v>
      </c>
      <c r="AA20" s="1">
        <f t="shared" ca="1" si="27"/>
        <v>0</v>
      </c>
      <c r="AB20" s="1">
        <f t="shared" ca="1" si="28"/>
        <v>0</v>
      </c>
      <c r="AC20" s="1"/>
      <c r="AD20" s="260">
        <f t="shared" ca="1" si="29"/>
        <v>2</v>
      </c>
      <c r="AE20" s="29">
        <f t="shared" ca="1" si="30"/>
        <v>505000</v>
      </c>
      <c r="AF20" s="1">
        <f t="shared" ca="1" si="31"/>
        <v>2</v>
      </c>
      <c r="AG20" s="1">
        <f t="shared" ca="1" si="32"/>
        <v>1</v>
      </c>
      <c r="AH20" s="263">
        <f t="shared" ca="1" si="33"/>
        <v>2.0102099999999998</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si="22"/>
        <v>0</v>
      </c>
      <c r="M21" s="13">
        <f t="shared" ca="1" si="23"/>
        <v>5</v>
      </c>
      <c r="N21" s="13">
        <f t="array" aca="1" ref="N21" ca="1">IF($AI$15,SUM(($K$17:$K$25&gt;=K21)/COUNTIF($K$17:$K$25,$K$17:$K$25)),SUM(($L$17:$L$25&gt;=L21)/COUNTIF($L$17:$L$25,$L$17:$L$25)))</f>
        <v>5.0000000000000009</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si="24"/>
        <v>0</v>
      </c>
      <c r="X21" s="21">
        <f t="shared" ca="1" si="25"/>
        <v>5.0508999999999995</v>
      </c>
      <c r="Y21" s="12">
        <v>0</v>
      </c>
      <c r="Z21" s="1">
        <f t="shared" ca="1" si="26"/>
        <v>5.9</v>
      </c>
      <c r="AA21" s="1">
        <f t="shared" ca="1" si="27"/>
        <v>0</v>
      </c>
      <c r="AB21" s="1">
        <f t="shared" ca="1" si="28"/>
        <v>0</v>
      </c>
      <c r="AC21" s="1"/>
      <c r="AD21" s="260">
        <f t="shared" ca="1" si="29"/>
        <v>5</v>
      </c>
      <c r="AE21" s="29">
        <f t="shared" ca="1" si="30"/>
        <v>500000</v>
      </c>
      <c r="AF21" s="1">
        <f t="shared" ca="1" si="31"/>
        <v>3</v>
      </c>
      <c r="AG21" s="1">
        <f t="shared" ca="1" si="32"/>
        <v>5</v>
      </c>
      <c r="AH21" s="263">
        <f t="shared" ca="1" si="33"/>
        <v>5.0503099999999996</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si="22"/>
        <v>0</v>
      </c>
      <c r="M22" s="13">
        <f t="shared" ca="1" si="23"/>
        <v>5</v>
      </c>
      <c r="N22" s="13">
        <f t="array" aca="1" ref="N22" ca="1">IF($AI$15,SUM(($K$17:$K$25&gt;=K22)/COUNTIF($K$17:$K$25,$K$17:$K$25)),SUM(($L$17:$L$25&gt;=L22)/COUNTIF($L$17:$L$25,$L$17:$L$25)))</f>
        <v>5.0000000000000009</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si="24"/>
        <v>0</v>
      </c>
      <c r="X22" s="21">
        <f t="shared" ca="1" si="25"/>
        <v>5.0508999999999995</v>
      </c>
      <c r="Y22" s="12">
        <v>0</v>
      </c>
      <c r="Z22" s="1">
        <f t="shared" ca="1" si="26"/>
        <v>5.9</v>
      </c>
      <c r="AA22" s="1">
        <f t="shared" ca="1" si="27"/>
        <v>0</v>
      </c>
      <c r="AB22" s="1">
        <f t="shared" ca="1" si="28"/>
        <v>0</v>
      </c>
      <c r="AC22" s="1"/>
      <c r="AD22" s="260">
        <f t="shared" ca="1" si="29"/>
        <v>5</v>
      </c>
      <c r="AE22" s="29">
        <f t="shared" ca="1" si="30"/>
        <v>500000</v>
      </c>
      <c r="AF22" s="1">
        <f t="shared" ca="1" si="31"/>
        <v>3</v>
      </c>
      <c r="AG22" s="1">
        <f t="shared" ca="1" si="32"/>
        <v>5</v>
      </c>
      <c r="AH22" s="263">
        <f t="shared" ca="1" si="33"/>
        <v>5.0503099999999996</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si="22"/>
        <v>0</v>
      </c>
      <c r="M23" s="13">
        <f t="shared" ca="1" si="23"/>
        <v>5</v>
      </c>
      <c r="N23" s="13">
        <f t="array" aca="1" ref="N23" ca="1">IF($AI$15,SUM(($K$17:$K$25&gt;=K23)/COUNTIF($K$17:$K$25,$K$17:$K$25)),SUM(($L$17:$L$25&gt;=L23)/COUNTIF($L$17:$L$25,$L$17:$L$25)))</f>
        <v>5.0000000000000009</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si="24"/>
        <v>0</v>
      </c>
      <c r="X23" s="21">
        <f t="shared" ca="1" si="25"/>
        <v>5.0508999999999995</v>
      </c>
      <c r="Y23" s="12">
        <v>0</v>
      </c>
      <c r="Z23" s="1">
        <f t="shared" ca="1" si="26"/>
        <v>5.9</v>
      </c>
      <c r="AA23" s="1">
        <f t="shared" ca="1" si="27"/>
        <v>0</v>
      </c>
      <c r="AB23" s="1">
        <f t="shared" ca="1" si="28"/>
        <v>0</v>
      </c>
      <c r="AC23" s="1"/>
      <c r="AD23" s="260">
        <f t="shared" ca="1" si="29"/>
        <v>5</v>
      </c>
      <c r="AE23" s="29">
        <f t="shared" ca="1" si="30"/>
        <v>500000</v>
      </c>
      <c r="AF23" s="1">
        <f t="shared" ca="1" si="31"/>
        <v>3</v>
      </c>
      <c r="AG23" s="1">
        <f t="shared" ca="1" si="32"/>
        <v>5</v>
      </c>
      <c r="AH23" s="263">
        <f t="shared" ca="1" si="33"/>
        <v>5.0503099999999996</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si="22"/>
        <v>0</v>
      </c>
      <c r="M24" s="13">
        <f t="shared" ca="1" si="23"/>
        <v>5</v>
      </c>
      <c r="N24" s="13">
        <f t="array" aca="1" ref="N24" ca="1">IF($AI$15,SUM(($K$17:$K$25&gt;=K24)/COUNTIF($K$17:$K$25,$K$17:$K$25)),SUM(($L$17:$L$25&gt;=L24)/COUNTIF($L$17:$L$25,$L$17:$L$25)))</f>
        <v>5.0000000000000009</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si="24"/>
        <v>0</v>
      </c>
      <c r="X24" s="21">
        <f t="shared" ca="1" si="25"/>
        <v>5.0508999999999995</v>
      </c>
      <c r="Y24" s="12">
        <v>0</v>
      </c>
      <c r="Z24" s="1">
        <f t="shared" ca="1" si="26"/>
        <v>5.9</v>
      </c>
      <c r="AA24" s="1">
        <f t="shared" ca="1" si="27"/>
        <v>0</v>
      </c>
      <c r="AB24" s="1">
        <f t="shared" ca="1" si="28"/>
        <v>0</v>
      </c>
      <c r="AC24" s="1"/>
      <c r="AD24" s="260">
        <f t="shared" ca="1" si="29"/>
        <v>5</v>
      </c>
      <c r="AE24" s="29">
        <f t="shared" ca="1" si="30"/>
        <v>500000</v>
      </c>
      <c r="AF24" s="1">
        <f t="shared" ca="1" si="31"/>
        <v>3</v>
      </c>
      <c r="AG24" s="1">
        <f t="shared" ca="1" si="32"/>
        <v>5</v>
      </c>
      <c r="AH24" s="263">
        <f t="shared" ca="1" si="33"/>
        <v>5.0503099999999996</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si="22"/>
        <v>0</v>
      </c>
      <c r="M25" s="13">
        <f t="shared" ca="1" si="23"/>
        <v>5</v>
      </c>
      <c r="N25" s="13">
        <f t="array" aca="1" ref="N25" ca="1">IF($AI$15,SUM(($K$17:$K$25&gt;=K25)/COUNTIF($K$17:$K$25,$K$17:$K$25)),SUM(($L$17:$L$25&gt;=L25)/COUNTIF($L$17:$L$25,$L$17:$L$25)))</f>
        <v>5.0000000000000009</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si="24"/>
        <v>0</v>
      </c>
      <c r="X25" s="22">
        <f t="shared" ca="1" si="25"/>
        <v>5.0508999999999995</v>
      </c>
      <c r="Y25" s="12">
        <v>0</v>
      </c>
      <c r="Z25" s="1">
        <f t="shared" ca="1" si="26"/>
        <v>5.9</v>
      </c>
      <c r="AA25" s="1">
        <f t="shared" ca="1" si="27"/>
        <v>0</v>
      </c>
      <c r="AB25" s="1">
        <f t="shared" ca="1" si="28"/>
        <v>0</v>
      </c>
      <c r="AC25" s="1"/>
      <c r="AD25" s="260">
        <f t="shared" ca="1" si="29"/>
        <v>5</v>
      </c>
      <c r="AE25" s="29">
        <f t="shared" ca="1" si="30"/>
        <v>500000</v>
      </c>
      <c r="AF25" s="1">
        <f t="shared" ca="1" si="31"/>
        <v>3</v>
      </c>
      <c r="AG25" s="1">
        <f t="shared" ca="1" si="32"/>
        <v>5</v>
      </c>
      <c r="AH25" s="264">
        <f t="shared" ca="1" si="33"/>
        <v>5.0503099999999996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Borussia Dortmund</v>
      </c>
      <c r="BT29" s="2" t="str">
        <f ca="1">$F$5</f>
        <v>Inter Mailand</v>
      </c>
      <c r="BU29" s="2" t="str">
        <f ca="1">$F$6</f>
        <v>FC Barcelona</v>
      </c>
      <c r="BV29" s="2" t="str">
        <f ca="1">$F$7</f>
        <v>SSV Wildbach</v>
      </c>
      <c r="BW29" s="2" t="str">
        <f>$F$8</f>
        <v/>
      </c>
      <c r="BX29" s="2" t="str">
        <f>$F$9</f>
        <v/>
      </c>
      <c r="BY29" s="2" t="str">
        <f>$F$10</f>
        <v/>
      </c>
      <c r="BZ29" s="2" t="str">
        <f>$F$11</f>
        <v/>
      </c>
      <c r="CA29" s="2" t="str">
        <f>$F$12</f>
        <v/>
      </c>
      <c r="CB29" s="51"/>
    </row>
    <row r="30" spans="2:80" s="2" customFormat="1" x14ac:dyDescent="0.2">
      <c r="C30" s="2" t="str">
        <f ca="1">$Q64</f>
        <v>Borussia Dortmund</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Borussia Dortmund</v>
      </c>
      <c r="BS30" s="6"/>
      <c r="BT30" s="7">
        <f t="shared" ref="BT30:CA37" ca="1" si="35">SUMIFS($X$64:$X$135,$V$64:$V$135,$BR30,$W$64:$W$135,BT$29)+SUMIFS($Y$64:$Y$135,$W$64:$W$135,$BR30,$V$64:$V$135,BT$29)+SUMIFS($AG$64:$AG$135,$V$64:$V$135,$BR30,$W$64:$W$135,BT$29)+SUMIFS($AH$64:$AH$135,$W$64:$W$135,$BR30,$V$64:$V$135,BT$29)</f>
        <v>42</v>
      </c>
      <c r="BU30" s="7">
        <f t="shared" ca="1" si="35"/>
        <v>42</v>
      </c>
      <c r="BV30" s="7">
        <f t="shared" ca="1" si="35"/>
        <v>50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Inter Mailand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Inter Mailand</v>
      </c>
      <c r="BS31" s="8">
        <f ca="1">SUMIFS($X$64:$X$135,$V$64:$V$135,$BR31,$W$64:$W$135,BS$29)+SUMIFS($Y$64:$Y$135,$W$64:$W$135,$BR31,$V$64:$V$135,BS$29)+SUMIFS($AG$64:$AG$135,$V$64:$V$135,$BR31,$W$64:$W$135,BS$29)+SUMIFS($AH$64:$AH$135,$W$64:$W$135,$BR31,$V$64:$V$135,BS$29)</f>
        <v>41</v>
      </c>
      <c r="BT31" s="6"/>
      <c r="BU31" s="7">
        <f ca="1">SUMIFS($X$64:$X$135,$V$64:$V$135,$BR31,$W$64:$W$135,BU$29)+SUMIFS($Y$64:$Y$135,$W$64:$W$135,$BR31,$V$64:$V$135,BU$29)+SUMIFS($AG$64:$AG$135,$V$64:$V$135,$BR31,$W$64:$W$135,BU$29)+SUMIFS($AH$64:$AH$135,$W$64:$W$135,$BR31,$V$64:$V$135,BU$29)</f>
        <v>45</v>
      </c>
      <c r="BV31" s="7">
        <f t="shared" ca="1" si="35"/>
        <v>45</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FC Barcelona</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FC Barcelona</v>
      </c>
      <c r="BS32" s="8">
        <f t="shared" ref="BS32:BY38" ca="1" si="37">SUMIFS($X$64:$X$135,$V$64:$V$135,$BR32,$W$64:$W$135,BS$29)+SUMIFS($Y$64:$Y$135,$W$64:$W$135,$BR32,$V$64:$V$135,BS$29)+SUMIFS($AG$64:$AG$135,$V$64:$V$135,$BR32,$W$64:$W$135,BS$29)+SUMIFS($AH$64:$AH$135,$W$64:$W$135,$BR32,$V$64:$V$135,BS$29)</f>
        <v>46</v>
      </c>
      <c r="BT32" s="8">
        <f t="shared" ca="1" si="37"/>
        <v>50</v>
      </c>
      <c r="BU32" s="6"/>
      <c r="BV32" s="7">
        <f t="shared" ca="1" si="35"/>
        <v>37</v>
      </c>
      <c r="BW32" s="7">
        <f t="shared" ca="1" si="35"/>
        <v>0</v>
      </c>
      <c r="BX32" s="7">
        <f t="shared" ca="1" si="35"/>
        <v>0</v>
      </c>
      <c r="BY32" s="7">
        <f t="shared" ca="1" si="35"/>
        <v>0</v>
      </c>
      <c r="BZ32" s="7">
        <f t="shared" ca="1" si="35"/>
        <v>0</v>
      </c>
      <c r="CA32" s="7">
        <f t="shared" ca="1" si="35"/>
        <v>0</v>
      </c>
      <c r="CB32" s="3"/>
    </row>
    <row r="33" spans="2:80" s="2" customFormat="1" x14ac:dyDescent="0.2">
      <c r="C33" s="2" t="str">
        <f t="shared" ca="1" si="36"/>
        <v>SSV Wildbach</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ca="1" si="34"/>
        <v>SSV Wildbach</v>
      </c>
      <c r="BS33" s="8">
        <f t="shared" ca="1" si="37"/>
        <v>40</v>
      </c>
      <c r="BT33" s="8">
        <f t="shared" ca="1" si="37"/>
        <v>47</v>
      </c>
      <c r="BU33" s="8">
        <f t="shared" ca="1" si="37"/>
        <v>50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Borussia Dortmund</v>
      </c>
      <c r="BT40" s="2" t="str">
        <f ca="1">$F$5</f>
        <v>Inter Mailand</v>
      </c>
      <c r="BU40" s="2" t="str">
        <f ca="1">$F$6</f>
        <v>FC Barcelona</v>
      </c>
      <c r="BV40" s="2" t="str">
        <f ca="1">$F$7</f>
        <v>SSV Wildbach</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Borussia Dortmund</v>
      </c>
      <c r="BS41" s="6"/>
      <c r="BT41" s="7">
        <f ca="1">BT30-BS31</f>
        <v>1</v>
      </c>
      <c r="BU41" s="7">
        <f ca="1">BU30-BS32</f>
        <v>-4</v>
      </c>
      <c r="BV41" s="7">
        <f ca="1">BV30-BS33</f>
        <v>10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Inter Mailand</v>
      </c>
      <c r="BS42" s="8">
        <f ca="1">IF(BT41="","",-1*BT41)</f>
        <v>-1</v>
      </c>
      <c r="BT42" s="6"/>
      <c r="BU42" s="7">
        <f ca="1">BU31-BT32</f>
        <v>-5</v>
      </c>
      <c r="BV42" s="7">
        <f ca="1">BV31-BT33</f>
        <v>-2</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FC Barcelona</v>
      </c>
      <c r="BS43" s="8">
        <f ca="1">IF(BU41="","",-1*BU41)</f>
        <v>4</v>
      </c>
      <c r="BT43" s="8">
        <f ca="1">IF(BU42="","",-1*BU42)</f>
        <v>5</v>
      </c>
      <c r="BU43" s="6"/>
      <c r="BV43" s="7">
        <f ca="1">BV32-BU33</f>
        <v>-13</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ca="1" si="38"/>
        <v>SSV Wildbach</v>
      </c>
      <c r="BS44" s="8">
        <f ca="1">IF(BV41="","",-1*BV41)</f>
        <v>-10</v>
      </c>
      <c r="BT44" s="8">
        <f ca="1">IF(BV42="","",-1*BV42)</f>
        <v>2</v>
      </c>
      <c r="BU44" s="8">
        <f ca="1">IF(BV43="","",-1*BV43)</f>
        <v>13</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Borussia Dortmund</v>
      </c>
      <c r="BT51" s="2" t="str">
        <f ca="1">$F$5</f>
        <v>Inter Mailand</v>
      </c>
      <c r="BU51" s="2" t="str">
        <f ca="1">$F$6</f>
        <v>FC Barcelona</v>
      </c>
      <c r="BV51" s="2" t="str">
        <f ca="1">$F$7</f>
        <v>SSV Wildbach</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Borussia Dortmund</v>
      </c>
      <c r="BS52" s="6"/>
      <c r="BT52" s="7">
        <f t="shared" ref="BT52:CA58" ca="1" si="41">SUMIFS($AE$64:$AE$135,$V$64:$V$135,$BR52,$W$64:$W$135,BT$51)+SUMIFS($AF$64:$AF$135,$W$64:$W$135,$BR52,$V$64:$V$135,BT$51)</f>
        <v>1</v>
      </c>
      <c r="BU52" s="7">
        <f t="shared" ca="1" si="41"/>
        <v>1</v>
      </c>
      <c r="BV52" s="7">
        <f t="shared" ca="1" si="41"/>
        <v>2</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Inter Mailand</v>
      </c>
      <c r="BS53" s="8">
        <f t="shared" ref="BS53:BU60" ca="1" si="42">SUMIFS($AE$64:$AE$135,$V$64:$V$135,$BR53,$W$64:$W$135,BS$51)+SUMIFS($AF$64:$AF$135,$W$64:$W$135,$BR53,$V$64:$V$135,BS$51)</f>
        <v>1</v>
      </c>
      <c r="BT53" s="6"/>
      <c r="BU53" s="7">
        <f ca="1">SUMIFS($AE$64:$AE$135,$V$64:$V$135,$BR53,$W$64:$W$135,BU$51)+SUMIFS($AF$64:$AF$135,$W$64:$W$135,$BR53,$V$64:$V$135,BU$51)</f>
        <v>0</v>
      </c>
      <c r="BV53" s="7">
        <f ca="1">SUMIFS($AE$64:$AE$135,$V$64:$V$135,$BR53,$W$64:$W$135,BV$51)+SUMIFS($AF$64:$AF$135,$W$64:$W$135,$BR53,$V$64:$V$135,BV$51)</f>
        <v>1</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FC Barcelona</v>
      </c>
      <c r="BS54" s="8">
        <f t="shared" ca="1" si="42"/>
        <v>1</v>
      </c>
      <c r="BT54" s="8">
        <f t="shared" ca="1" si="42"/>
        <v>2</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ca="1" si="40"/>
        <v>SSV Wildbach</v>
      </c>
      <c r="BS55" s="8">
        <f t="shared" ca="1" si="42"/>
        <v>0</v>
      </c>
      <c r="BT55" s="8">
        <f t="shared" ca="1" si="42"/>
        <v>1</v>
      </c>
      <c r="BU55" s="8">
        <f t="shared" ca="1" si="42"/>
        <v>2</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4'!$AH12="","",'Finals 4'!$AH12)</f>
        <v>Borussia Dortmund</v>
      </c>
      <c r="U64" s="65" t="s">
        <v>6</v>
      </c>
      <c r="V64" s="39" t="str">
        <f ca="1">'Finals 4'!$I12</f>
        <v/>
      </c>
      <c r="W64" s="32" t="str">
        <f ca="1">'Finals 4'!$K12</f>
        <v/>
      </c>
      <c r="X64" s="32" t="str">
        <f ca="1">IF(AA64=1,'Finals 4'!$L12,"")</f>
        <v/>
      </c>
      <c r="Y64" s="33" t="str">
        <f ca="1">IF(AA64=1,'Finals 4'!$N12,"")</f>
        <v/>
      </c>
      <c r="Z64" s="31" t="str">
        <f ca="1">V64&amp;W64</f>
        <v/>
      </c>
      <c r="AA64" s="32">
        <f ca="1">IF(AND('Finals 4'!$L12&lt;&gt;"",'Finals 4'!$N12&lt;&gt;"",'Finals 4'!$L12&lt;&gt;'Finals 4'!$N12,OR(AND('Finals 4'!$O12="",'Finals 4'!$Q12=""),AND('Finals 4'!$O12&lt;&gt;"",'Finals 4'!$Q12&lt;&gt;"",'Finals 4'!$O12&lt;&gt;'Finals 4'!$Q12)),'Finals 4'!$I12&lt;&gt;"",'Finals 4'!$K12&lt;&gt;"",'Finals 4'!$I12&lt;&gt;'Finals 4'!$K12),1,0)</f>
        <v>0</v>
      </c>
      <c r="AB64" s="141" t="str">
        <f ca="1">IF(AA64&gt;0,X64&amp;Language!$E$96&amp;Y64,"")</f>
        <v/>
      </c>
      <c r="AD64" s="142"/>
      <c r="AE64" s="147">
        <f ca="1">IF($AA64=0,0,IF($X64&gt;$Y64,1,0)+IF($AG64&gt;$AH64,1,0))</f>
        <v>0</v>
      </c>
      <c r="AF64" s="142">
        <f ca="1">IF($AA64=0,0,IF($X64&lt;$Y64,1,0)+IF($AG64&lt;$AH64,1,0))</f>
        <v>0</v>
      </c>
      <c r="AG64" s="147" t="str">
        <f ca="1">IF(AA64=1,'Finals 4'!$O12,"")</f>
        <v/>
      </c>
      <c r="AH64" s="721" t="str">
        <f ca="1">IF(AA64=1,'Finals 4'!$Q12,"")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4'!$AH13="","",'Finals 4'!$AH13)</f>
        <v>Inter Mailand</v>
      </c>
      <c r="U65" s="66" t="s">
        <v>7</v>
      </c>
      <c r="V65" s="40" t="str">
        <f ca="1">'Finals 4'!$I13</f>
        <v>FSV Rauen</v>
      </c>
      <c r="W65" s="12" t="str">
        <f ca="1">'Finals 4'!$K13</f>
        <v/>
      </c>
      <c r="X65" s="12" t="str">
        <f ca="1">IF(AA65=1,'Finals 4'!$L13,"")</f>
        <v/>
      </c>
      <c r="Y65" s="35" t="str">
        <f ca="1">IF(AA65=1,'Finals 4'!$N13,"")</f>
        <v/>
      </c>
      <c r="Z65" s="34" t="str">
        <f t="shared" ref="Z65:Z73" ca="1" si="43">V65&amp;W65</f>
        <v>FSV Rauen</v>
      </c>
      <c r="AA65" s="12">
        <f ca="1">IF(AND('Finals 4'!$L13&lt;&gt;"",'Finals 4'!$N13&lt;&gt;"",'Finals 4'!$L13&lt;&gt;'Finals 4'!$N13,OR(AND('Finals 4'!$O13="",'Finals 4'!$Q13=""),AND('Finals 4'!$O13&lt;&gt;"",'Finals 4'!$Q13&lt;&gt;"",'Finals 4'!$O13&lt;&gt;'Finals 4'!$Q13)),'Finals 4'!$I13&lt;&gt;"",'Finals 4'!$K13&lt;&gt;"",'Finals 4'!$I13&lt;&gt;'Finals 4'!$K13),1,0)</f>
        <v>0</v>
      </c>
      <c r="AB65" s="12" t="str">
        <f ca="1">IF(AA65&gt;0,X65&amp;Language!$E$96&amp;Y65,"")</f>
        <v/>
      </c>
      <c r="AD65" s="143"/>
      <c r="AE65" s="148">
        <f t="shared" ref="AE65:AE88" ca="1" si="44">IF($AA65=0,0,IF($X65&gt;$Y65,1,0)+IF($AG65&gt;$AH65,1,0))</f>
        <v>0</v>
      </c>
      <c r="AF65" s="143">
        <f t="shared" ref="AF65:AF88" ca="1" si="45">IF($AA65=0,0,IF($X65&lt;$Y65,1,0)+IF($AG65&lt;$AH65,1,0))</f>
        <v>0</v>
      </c>
      <c r="AG65" s="148" t="str">
        <f ca="1">IF(AA65=1,'Finals 4'!$O13,"")</f>
        <v/>
      </c>
      <c r="AH65" s="12" t="str">
        <f ca="1">IF(AA65=1,'Finals 4'!$Q13,"")</f>
        <v/>
      </c>
      <c r="AI65" s="143" t="str">
        <f ca="1">IF(AA65&gt;0,AE65&amp;Language!$E$96&amp;AF65,"")</f>
        <v/>
      </c>
      <c r="AJ65" s="12"/>
      <c r="AK65" s="12"/>
      <c r="AL65" s="12"/>
      <c r="AM65" s="12"/>
      <c r="AN65" s="12"/>
      <c r="AO65" s="12"/>
      <c r="AP65" s="12"/>
      <c r="AQ65" s="12"/>
    </row>
    <row r="66" spans="2:43" s="2" customFormat="1" ht="13.5" thickBot="1" x14ac:dyDescent="0.25">
      <c r="F66" s="196">
        <v>1</v>
      </c>
      <c r="G66" s="197" t="s">
        <v>107</v>
      </c>
      <c r="P66" s="45" t="s">
        <v>8</v>
      </c>
      <c r="Q66" s="60" t="str">
        <f ca="1">IF('Finals 4'!$AH14="","",'Finals 4'!$AH14)</f>
        <v>FC Barcelona</v>
      </c>
      <c r="U66" s="66" t="s">
        <v>8</v>
      </c>
      <c r="V66" s="40" t="str">
        <f ca="1">'Finals 4'!$I14</f>
        <v>FC Grönlingen</v>
      </c>
      <c r="W66" s="12" t="str">
        <f ca="1">'Finals 4'!$K14</f>
        <v>Mainz 05</v>
      </c>
      <c r="X66" s="12">
        <f ca="1">IF(AA66=1,'Finals 4'!$L14,"")</f>
        <v>19</v>
      </c>
      <c r="Y66" s="35">
        <f ca="1">IF(AA66=1,'Finals 4'!$N14,"")</f>
        <v>25</v>
      </c>
      <c r="Z66" s="34" t="str">
        <f t="shared" ca="1" si="43"/>
        <v>FC GrönlingenMainz 05</v>
      </c>
      <c r="AA66" s="12">
        <f ca="1">IF(AND('Finals 4'!$L14&lt;&gt;"",'Finals 4'!$N14&lt;&gt;"",'Finals 4'!$L14&lt;&gt;'Finals 4'!$N14,OR(AND('Finals 4'!$O14="",'Finals 4'!$Q14=""),AND('Finals 4'!$O14&lt;&gt;"",'Finals 4'!$Q14&lt;&gt;"",'Finals 4'!$O14&lt;&gt;'Finals 4'!$Q14)),'Finals 4'!$I14&lt;&gt;"",'Finals 4'!$K14&lt;&gt;"",'Finals 4'!$I14&lt;&gt;'Finals 4'!$K14),1,0)</f>
        <v>1</v>
      </c>
      <c r="AB66" s="12" t="str">
        <f ca="1">IF(AA66&gt;0,X66&amp;Language!$E$96&amp;Y66,"")</f>
        <v>19-25</v>
      </c>
      <c r="AD66" s="143"/>
      <c r="AE66" s="148">
        <f t="shared" ca="1" si="44"/>
        <v>0</v>
      </c>
      <c r="AF66" s="143">
        <f t="shared" ca="1" si="45"/>
        <v>2</v>
      </c>
      <c r="AG66" s="148">
        <f ca="1">IF(AA66=1,'Finals 4'!$O14,"")</f>
        <v>19</v>
      </c>
      <c r="AH66" s="12">
        <f ca="1">IF(AA66=1,'Finals 4'!$Q14,"")</f>
        <v>25</v>
      </c>
      <c r="AI66" s="143" t="str">
        <f ca="1">IF(AA66&gt;0,AE66&amp;Language!$E$96&amp;AF66,"")</f>
        <v>0-2</v>
      </c>
      <c r="AJ66" s="3"/>
      <c r="AK66" s="12"/>
      <c r="AL66" s="12"/>
      <c r="AM66" s="12"/>
      <c r="AN66" s="12"/>
      <c r="AO66" s="12"/>
      <c r="AP66" s="12"/>
      <c r="AQ66" s="12"/>
    </row>
    <row r="67" spans="2:43" s="2" customFormat="1" x14ac:dyDescent="0.2">
      <c r="P67" s="45" t="s">
        <v>9</v>
      </c>
      <c r="Q67" s="60" t="str">
        <f ca="1">IF('Finals 4'!$AH15="","",'Finals 4'!$AH15)</f>
        <v>SSV Wildbach</v>
      </c>
      <c r="U67" s="66" t="s">
        <v>9</v>
      </c>
      <c r="V67" s="40" t="str">
        <f ca="1">'Finals 4'!$I15</f>
        <v>Eintracht Frankfurt</v>
      </c>
      <c r="W67" s="12" t="str">
        <f ca="1">'Finals 4'!$K15</f>
        <v>Real Madrid</v>
      </c>
      <c r="X67" s="12">
        <f ca="1">IF(AA67=1,'Finals 4'!$L15,"")</f>
        <v>25</v>
      </c>
      <c r="Y67" s="35">
        <f ca="1">IF(AA67=1,'Finals 4'!$N15,"")</f>
        <v>20</v>
      </c>
      <c r="Z67" s="34" t="str">
        <f t="shared" ca="1" si="43"/>
        <v>Eintracht FrankfurtReal Madrid</v>
      </c>
      <c r="AA67" s="12">
        <f ca="1">IF(AND('Finals 4'!$L15&lt;&gt;"",'Finals 4'!$N15&lt;&gt;"",'Finals 4'!$L15&lt;&gt;'Finals 4'!$N15,OR(AND('Finals 4'!$O15="",'Finals 4'!$Q15=""),AND('Finals 4'!$O15&lt;&gt;"",'Finals 4'!$Q15&lt;&gt;"",'Finals 4'!$O15&lt;&gt;'Finals 4'!$Q15)),'Finals 4'!$I15&lt;&gt;"",'Finals 4'!$K15&lt;&gt;"",'Finals 4'!$I15&lt;&gt;'Finals 4'!$K15),1,0)</f>
        <v>1</v>
      </c>
      <c r="AB67" s="12" t="str">
        <f ca="1">IF(AA67&gt;0,X67&amp;Language!$E$96&amp;Y67,"")</f>
        <v>25-20</v>
      </c>
      <c r="AD67" s="143"/>
      <c r="AE67" s="148">
        <f t="shared" ca="1" si="44"/>
        <v>1</v>
      </c>
      <c r="AF67" s="143">
        <f t="shared" ca="1" si="45"/>
        <v>1</v>
      </c>
      <c r="AG67" s="148">
        <f ca="1">IF(AA67=1,'Finals 4'!$O15,"")</f>
        <v>20</v>
      </c>
      <c r="AH67" s="12">
        <f ca="1">IF(AA67=1,'Finals 4'!$Q15,"")</f>
        <v>25</v>
      </c>
      <c r="AI67" s="143" t="str">
        <f ca="1">IF(AA67&gt;0,AE67&amp;Language!$E$96&amp;AF67,"")</f>
        <v>1-1</v>
      </c>
      <c r="AJ67" s="12"/>
      <c r="AK67" s="3"/>
      <c r="AL67" s="12"/>
      <c r="AM67" s="12"/>
      <c r="AN67" s="12"/>
      <c r="AO67" s="12"/>
      <c r="AP67" s="12"/>
      <c r="AQ67" s="12"/>
    </row>
    <row r="68" spans="2:43" s="2" customFormat="1" x14ac:dyDescent="0.2">
      <c r="P68" s="45"/>
      <c r="Q68" s="60" t="str">
        <f>""</f>
        <v/>
      </c>
      <c r="U68" s="66" t="s">
        <v>10</v>
      </c>
      <c r="V68" s="40" t="str">
        <f ca="1">'Finals 4'!$I16</f>
        <v>Borussia Dortmund</v>
      </c>
      <c r="W68" s="12" t="str">
        <f ca="1">'Finals 4'!$K16</f>
        <v>SSV Wildbach</v>
      </c>
      <c r="X68" s="12">
        <f ca="1">IF(AA68=1,'Finals 4'!$L16,"")</f>
        <v>25</v>
      </c>
      <c r="Y68" s="35">
        <f ca="1">IF(AA68=1,'Finals 4'!$N16,"")</f>
        <v>21</v>
      </c>
      <c r="Z68" s="34" t="str">
        <f t="shared" ca="1" si="43"/>
        <v>Borussia DortmundSSV Wildbach</v>
      </c>
      <c r="AA68" s="12">
        <f ca="1">IF(AND('Finals 4'!$L16&lt;&gt;"",'Finals 4'!$N16&lt;&gt;"",'Finals 4'!$L16&lt;&gt;'Finals 4'!$N16,OR(AND('Finals 4'!$O16="",'Finals 4'!$Q16=""),AND('Finals 4'!$O16&lt;&gt;"",'Finals 4'!$Q16&lt;&gt;"",'Finals 4'!$O16&lt;&gt;'Finals 4'!$Q16)),'Finals 4'!$I16&lt;&gt;"",'Finals 4'!$K16&lt;&gt;"",'Finals 4'!$I16&lt;&gt;'Finals 4'!$K16),1,0)</f>
        <v>1</v>
      </c>
      <c r="AB68" s="12" t="str">
        <f ca="1">IF(AA68&gt;0,X68&amp;Language!$E$96&amp;Y68,"")</f>
        <v>25-21</v>
      </c>
      <c r="AD68" s="143"/>
      <c r="AE68" s="148">
        <f t="shared" ca="1" si="44"/>
        <v>2</v>
      </c>
      <c r="AF68" s="143">
        <f t="shared" ca="1" si="45"/>
        <v>0</v>
      </c>
      <c r="AG68" s="148">
        <f ca="1">IF(AA68=1,'Finals 4'!$O16,"")</f>
        <v>25</v>
      </c>
      <c r="AH68" s="12">
        <f ca="1">IF(AA68=1,'Finals 4'!$Q16,"")</f>
        <v>19</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4'!$I17</f>
        <v>1. FC Riedwald</v>
      </c>
      <c r="W69" s="12" t="str">
        <f ca="1">'Finals 4'!$K17</f>
        <v>Manchester City</v>
      </c>
      <c r="X69" s="12">
        <f ca="1">IF(AA69=1,'Finals 4'!$L17,"")</f>
        <v>25</v>
      </c>
      <c r="Y69" s="35">
        <f ca="1">IF(AA69=1,'Finals 4'!$N17,"")</f>
        <v>22</v>
      </c>
      <c r="Z69" s="34" t="str">
        <f t="shared" ca="1" si="43"/>
        <v>1. FC RiedwaldManchester City</v>
      </c>
      <c r="AA69" s="12">
        <f ca="1">IF(AND('Finals 4'!$L17&lt;&gt;"",'Finals 4'!$N17&lt;&gt;"",'Finals 4'!$L17&lt;&gt;'Finals 4'!$N17,OR(AND('Finals 4'!$O17="",'Finals 4'!$Q17=""),AND('Finals 4'!$O17&lt;&gt;"",'Finals 4'!$Q17&lt;&gt;"",'Finals 4'!$O17&lt;&gt;'Finals 4'!$Q17)),'Finals 4'!$I17&lt;&gt;"",'Finals 4'!$K17&lt;&gt;"",'Finals 4'!$I17&lt;&gt;'Finals 4'!$K17),1,0)</f>
        <v>1</v>
      </c>
      <c r="AB69" s="12" t="str">
        <f ca="1">IF(AA69&gt;0,X69&amp;Language!$E$96&amp;Y69,"")</f>
        <v>25-22</v>
      </c>
      <c r="AD69" s="143"/>
      <c r="AE69" s="148">
        <f t="shared" ca="1" si="44"/>
        <v>2</v>
      </c>
      <c r="AF69" s="143">
        <f t="shared" ca="1" si="45"/>
        <v>0</v>
      </c>
      <c r="AG69" s="148">
        <f ca="1">IF(AA69=1,'Finals 4'!$O17,"")</f>
        <v>25</v>
      </c>
      <c r="AH69" s="12">
        <f ca="1">IF(AA69=1,'Finals 4'!$Q17,"")</f>
        <v>20</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4'!$I18</f>
        <v>Maibach 1822 eV</v>
      </c>
      <c r="W70" s="12" t="str">
        <f ca="1">'Finals 4'!$K18</f>
        <v>Kickers Rodendorf</v>
      </c>
      <c r="X70" s="12">
        <f ca="1">IF(AA70=1,'Finals 4'!$L18,"")</f>
        <v>25</v>
      </c>
      <c r="Y70" s="35">
        <f ca="1">IF(AA70=1,'Finals 4'!$N18,"")</f>
        <v>23</v>
      </c>
      <c r="Z70" s="34" t="str">
        <f t="shared" ca="1" si="43"/>
        <v>Maibach 1822 eVKickers Rodendorf</v>
      </c>
      <c r="AA70" s="12">
        <f ca="1">IF(AND('Finals 4'!$L18&lt;&gt;"",'Finals 4'!$N18&lt;&gt;"",'Finals 4'!$L18&lt;&gt;'Finals 4'!$N18,OR(AND('Finals 4'!$O18="",'Finals 4'!$Q18=""),AND('Finals 4'!$O18&lt;&gt;"",'Finals 4'!$Q18&lt;&gt;"",'Finals 4'!$O18&lt;&gt;'Finals 4'!$Q18)),'Finals 4'!$I18&lt;&gt;"",'Finals 4'!$K18&lt;&gt;"",'Finals 4'!$I18&lt;&gt;'Finals 4'!$K18),1,0)</f>
        <v>1</v>
      </c>
      <c r="AB70" s="12" t="str">
        <f ca="1">IF(AA70&gt;0,X70&amp;Language!$E$96&amp;Y70,"")</f>
        <v>25-23</v>
      </c>
      <c r="AD70" s="143"/>
      <c r="AE70" s="148">
        <f t="shared" ca="1" si="44"/>
        <v>2</v>
      </c>
      <c r="AF70" s="143">
        <f t="shared" ca="1" si="45"/>
        <v>0</v>
      </c>
      <c r="AG70" s="148">
        <f ca="1">IF(AA70=1,'Finals 4'!$O18,"")</f>
        <v>25</v>
      </c>
      <c r="AH70" s="12">
        <f ca="1">IF(AA70=1,'Finals 4'!$Q18,"")</f>
        <v>21</v>
      </c>
      <c r="AI70" s="143" t="str">
        <f ca="1">IF(AA70&gt;0,AE70&amp;Language!$E$96&amp;AF70,"")</f>
        <v>2-0</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4'!$I19</f>
        <v>1. FC Nürnberg</v>
      </c>
      <c r="W71" s="12" t="str">
        <f ca="1">'Finals 4'!$K19</f>
        <v>VFB Essenheim</v>
      </c>
      <c r="X71" s="12">
        <f ca="1">IF(AA71=1,'Finals 4'!$L19,"")</f>
        <v>25</v>
      </c>
      <c r="Y71" s="35">
        <f ca="1">IF(AA71=1,'Finals 4'!$N19,"")</f>
        <v>17</v>
      </c>
      <c r="Z71" s="34" t="str">
        <f t="shared" ca="1" si="43"/>
        <v>1. FC NürnbergVFB Essenheim</v>
      </c>
      <c r="AA71" s="12">
        <f ca="1">IF(AND('Finals 4'!$L19&lt;&gt;"",'Finals 4'!$N19&lt;&gt;"",'Finals 4'!$L19&lt;&gt;'Finals 4'!$N19,OR(AND('Finals 4'!$O19="",'Finals 4'!$Q19=""),AND('Finals 4'!$O19&lt;&gt;"",'Finals 4'!$Q19&lt;&gt;"",'Finals 4'!$O19&lt;&gt;'Finals 4'!$Q19)),'Finals 4'!$I19&lt;&gt;"",'Finals 4'!$K19&lt;&gt;"",'Finals 4'!$I19&lt;&gt;'Finals 4'!$K19),1,0)</f>
        <v>1</v>
      </c>
      <c r="AB71" s="12" t="str">
        <f ca="1">IF(AA71&gt;0,X71&amp;Language!$E$96&amp;Y71,"")</f>
        <v>25-17</v>
      </c>
      <c r="AD71" s="143"/>
      <c r="AE71" s="148">
        <f t="shared" ca="1" si="44"/>
        <v>2</v>
      </c>
      <c r="AF71" s="143">
        <f t="shared" ca="1" si="45"/>
        <v>0</v>
      </c>
      <c r="AG71" s="148">
        <f ca="1">IF(AA71=1,'Finals 4'!$O19,"")</f>
        <v>25</v>
      </c>
      <c r="AH71" s="12">
        <f ca="1">IF(AA71=1,'Finals 4'!$Q19,"")</f>
        <v>22</v>
      </c>
      <c r="AI71" s="143" t="str">
        <f ca="1">IF(AA71&gt;0,AE71&amp;Language!$E$96&amp;AF71,"")</f>
        <v>2-0</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4'!$I20</f>
        <v>Inter Mailand</v>
      </c>
      <c r="W72" s="12" t="str">
        <f ca="1">'Finals 4'!$K20</f>
        <v>FC Barcelona</v>
      </c>
      <c r="X72" s="12">
        <f ca="1">IF(AA72=1,'Finals 4'!$L20,"")</f>
        <v>23</v>
      </c>
      <c r="Y72" s="35">
        <f ca="1">IF(AA72=1,'Finals 4'!$N20,"")</f>
        <v>25</v>
      </c>
      <c r="Z72" s="34" t="str">
        <f t="shared" ca="1" si="43"/>
        <v>Inter MailandFC Barcelona</v>
      </c>
      <c r="AA72" s="12">
        <f ca="1">IF(AND('Finals 4'!$L20&lt;&gt;"",'Finals 4'!$N20&lt;&gt;"",'Finals 4'!$L20&lt;&gt;'Finals 4'!$N20,OR(AND('Finals 4'!$O20="",'Finals 4'!$Q20=""),AND('Finals 4'!$O20&lt;&gt;"",'Finals 4'!$Q20&lt;&gt;"",'Finals 4'!$O20&lt;&gt;'Finals 4'!$Q20)),'Finals 4'!$I20&lt;&gt;"",'Finals 4'!$K20&lt;&gt;"",'Finals 4'!$I20&lt;&gt;'Finals 4'!$K20),1,0)</f>
        <v>1</v>
      </c>
      <c r="AB72" s="12" t="str">
        <f ca="1">IF(AA72&gt;0,X72&amp;Language!$E$96&amp;Y72,"")</f>
        <v>23-25</v>
      </c>
      <c r="AD72" s="143"/>
      <c r="AE72" s="148">
        <f t="shared" ca="1" si="44"/>
        <v>0</v>
      </c>
      <c r="AF72" s="143">
        <f t="shared" ca="1" si="45"/>
        <v>2</v>
      </c>
      <c r="AG72" s="148">
        <f ca="1">IF(AA72=1,'Finals 4'!$O20,"")</f>
        <v>22</v>
      </c>
      <c r="AH72" s="12">
        <f ca="1">IF(AA72=1,'Finals 4'!$Q20,"")</f>
        <v>25</v>
      </c>
      <c r="AI72" s="143" t="str">
        <f ca="1">IF(AA72&gt;0,AE72&amp;Language!$E$96&amp;AF72,"")</f>
        <v>0-2</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4'!$I21</f>
        <v/>
      </c>
      <c r="W73" s="12" t="str">
        <f ca="1">'Finals 4'!$K21</f>
        <v>1. FC Riedwald</v>
      </c>
      <c r="X73" s="12" t="str">
        <f ca="1">IF(AA73=1,'Finals 4'!$L21,"")</f>
        <v/>
      </c>
      <c r="Y73" s="35" t="str">
        <f ca="1">IF(AA73=1,'Finals 4'!$N21,"")</f>
        <v/>
      </c>
      <c r="Z73" s="34" t="str">
        <f t="shared" ca="1" si="43"/>
        <v>1. FC Riedwald</v>
      </c>
      <c r="AA73" s="12">
        <f ca="1">IF(AND('Finals 4'!$L21&lt;&gt;"",'Finals 4'!$N21&lt;&gt;"",'Finals 4'!$L21&lt;&gt;'Finals 4'!$N21,OR(AND('Finals 4'!$O21="",'Finals 4'!$Q21=""),AND('Finals 4'!$O21&lt;&gt;"",'Finals 4'!$Q21&lt;&gt;"",'Finals 4'!$O21&lt;&gt;'Finals 4'!$Q21)),'Finals 4'!$I21&lt;&gt;"",'Finals 4'!$K21&lt;&gt;"",'Finals 4'!$I21&lt;&gt;'Finals 4'!$K21),1,0)</f>
        <v>0</v>
      </c>
      <c r="AB73" s="12" t="str">
        <f ca="1">IF(AA73&gt;0,X73&amp;Language!$E$96&amp;Y73,"")</f>
        <v/>
      </c>
      <c r="AD73" s="143"/>
      <c r="AE73" s="148">
        <f t="shared" ca="1" si="44"/>
        <v>0</v>
      </c>
      <c r="AF73" s="143">
        <f t="shared" ca="1" si="45"/>
        <v>0</v>
      </c>
      <c r="AG73" s="148" t="str">
        <f ca="1">IF(AA73=1,'Finals 4'!$O21,"")</f>
        <v/>
      </c>
      <c r="AH73" s="12" t="str">
        <f ca="1">IF(AA73=1,'Finals 4'!$Q21,"")</f>
        <v/>
      </c>
      <c r="AI73" s="143" t="str">
        <f ca="1">IF(AA73&gt;0,AE73&amp;Language!$E$96&amp;AF73,"")</f>
        <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4'!$I22</f>
        <v>Mainz 05</v>
      </c>
      <c r="W74" s="12" t="str">
        <f ca="1">'Finals 4'!$K22</f>
        <v>Maibach 1822 eV</v>
      </c>
      <c r="X74" s="12">
        <f ca="1">IF(AA74=1,'Finals 4'!$L22,"")</f>
        <v>16</v>
      </c>
      <c r="Y74" s="35">
        <f ca="1">IF(AA74=1,'Finals 4'!$N22,"")</f>
        <v>25</v>
      </c>
      <c r="Z74" s="34" t="str">
        <f ca="1">V74&amp;W74</f>
        <v>Mainz 05Maibach 1822 eV</v>
      </c>
      <c r="AA74" s="12">
        <f ca="1">IF(AND('Finals 4'!$L22&lt;&gt;"",'Finals 4'!$N22&lt;&gt;"",'Finals 4'!$L22&lt;&gt;'Finals 4'!$N22,OR(AND('Finals 4'!$O22="",'Finals 4'!$Q22=""),AND('Finals 4'!$O22&lt;&gt;"",'Finals 4'!$Q22&lt;&gt;"",'Finals 4'!$O22&lt;&gt;'Finals 4'!$Q22)),'Finals 4'!$I22&lt;&gt;"",'Finals 4'!$K22&lt;&gt;"",'Finals 4'!$I22&lt;&gt;'Finals 4'!$K22),1,0)</f>
        <v>1</v>
      </c>
      <c r="AB74" s="12" t="str">
        <f ca="1">IF(AA74&gt;0,X74&amp;Language!$E$96&amp;Y74,"")</f>
        <v>16-25</v>
      </c>
      <c r="AD74" s="143"/>
      <c r="AE74" s="148">
        <f t="shared" ca="1" si="44"/>
        <v>1</v>
      </c>
      <c r="AF74" s="143">
        <f t="shared" ca="1" si="45"/>
        <v>1</v>
      </c>
      <c r="AG74" s="148">
        <f ca="1">IF(AA74=1,'Finals 4'!$O22,"")</f>
        <v>25</v>
      </c>
      <c r="AH74" s="12">
        <f ca="1">IF(AA74=1,'Finals 4'!$Q22,"")</f>
        <v>18</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4'!$I23</f>
        <v>Real Madrid</v>
      </c>
      <c r="W75" s="12" t="str">
        <f ca="1">'Finals 4'!$K23</f>
        <v>1. FC Nürnberg</v>
      </c>
      <c r="X75" s="12">
        <f ca="1">IF(AA75=1,'Finals 4'!$L23,"")</f>
        <v>14</v>
      </c>
      <c r="Y75" s="35">
        <f ca="1">IF(AA75=1,'Finals 4'!$N23,"")</f>
        <v>25</v>
      </c>
      <c r="Z75" s="34" t="str">
        <f t="shared" ref="Z75:Z81" ca="1" si="46">V75&amp;W75</f>
        <v>Real Madrid1. FC Nürnberg</v>
      </c>
      <c r="AA75" s="12">
        <f ca="1">IF(AND('Finals 4'!$L23&lt;&gt;"",'Finals 4'!$N23&lt;&gt;"",'Finals 4'!$L23&lt;&gt;'Finals 4'!$N23,OR(AND('Finals 4'!$O23="",'Finals 4'!$Q23=""),AND('Finals 4'!$O23&lt;&gt;"",'Finals 4'!$Q23&lt;&gt;"",'Finals 4'!$O23&lt;&gt;'Finals 4'!$Q23)),'Finals 4'!$I23&lt;&gt;"",'Finals 4'!$K23&lt;&gt;"",'Finals 4'!$I23&lt;&gt;'Finals 4'!$K23),1,0)</f>
        <v>1</v>
      </c>
      <c r="AB75" s="12" t="str">
        <f ca="1">IF(AA75&gt;0,X75&amp;Language!$E$96&amp;Y75,"")</f>
        <v>14-25</v>
      </c>
      <c r="AD75" s="143"/>
      <c r="AE75" s="148">
        <f t="shared" ca="1" si="44"/>
        <v>1</v>
      </c>
      <c r="AF75" s="143">
        <f t="shared" ca="1" si="45"/>
        <v>1</v>
      </c>
      <c r="AG75" s="148">
        <f ca="1">IF(AA75=1,'Finals 4'!$O23,"")</f>
        <v>25</v>
      </c>
      <c r="AH75" s="12">
        <f ca="1">IF(AA75=1,'Finals 4'!$Q23,"")</f>
        <v>19</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4'!$I24</f>
        <v>SSV Wildbach</v>
      </c>
      <c r="W76" s="12" t="str">
        <f ca="1">'Finals 4'!$K24</f>
        <v>Inter Mailand</v>
      </c>
      <c r="X76" s="12">
        <f ca="1">IF(AA76=1,'Finals 4'!$L24,"")</f>
        <v>22</v>
      </c>
      <c r="Y76" s="35">
        <f ca="1">IF(AA76=1,'Finals 4'!$N24,"")</f>
        <v>25</v>
      </c>
      <c r="Z76" s="34" t="str">
        <f t="shared" ca="1" si="46"/>
        <v>SSV WildbachInter Mailand</v>
      </c>
      <c r="AA76" s="12">
        <f ca="1">IF(AND('Finals 4'!$L24&lt;&gt;"",'Finals 4'!$N24&lt;&gt;"",'Finals 4'!$L24&lt;&gt;'Finals 4'!$N24,OR(AND('Finals 4'!$O24="",'Finals 4'!$Q24=""),AND('Finals 4'!$O24&lt;&gt;"",'Finals 4'!$Q24&lt;&gt;"",'Finals 4'!$O24&lt;&gt;'Finals 4'!$Q24)),'Finals 4'!$I24&lt;&gt;"",'Finals 4'!$K24&lt;&gt;"",'Finals 4'!$I24&lt;&gt;'Finals 4'!$K24),1,0)</f>
        <v>1</v>
      </c>
      <c r="AB76" s="12" t="str">
        <f ca="1">IF(AA76&gt;0,X76&amp;Language!$E$96&amp;Y76,"")</f>
        <v>22-25</v>
      </c>
      <c r="AD76" s="143"/>
      <c r="AE76" s="148">
        <f t="shared" ca="1" si="44"/>
        <v>1</v>
      </c>
      <c r="AF76" s="143">
        <f t="shared" ca="1" si="45"/>
        <v>1</v>
      </c>
      <c r="AG76" s="148">
        <f ca="1">IF(AA76=1,'Finals 4'!$O24,"")</f>
        <v>25</v>
      </c>
      <c r="AH76" s="12">
        <f ca="1">IF(AA76=1,'Finals 4'!$Q24,"")</f>
        <v>20</v>
      </c>
      <c r="AI76" s="143" t="str">
        <f ca="1">IF(AA76&gt;0,AE76&amp;Language!$E$96&amp;AF76,"")</f>
        <v>1-1</v>
      </c>
    </row>
    <row r="77" spans="2:43" s="2" customFormat="1" x14ac:dyDescent="0.2">
      <c r="B77" s="3"/>
      <c r="C77" s="3"/>
      <c r="D77" s="3"/>
      <c r="E77" s="3"/>
      <c r="F77" s="12"/>
      <c r="G77" s="12"/>
      <c r="H77" s="12"/>
      <c r="I77" s="12"/>
      <c r="J77" s="12"/>
      <c r="K77" s="12"/>
      <c r="L77" s="12"/>
      <c r="M77" s="12"/>
      <c r="U77" s="66" t="s">
        <v>28</v>
      </c>
      <c r="V77" s="40" t="str">
        <f ca="1">'Finals 4'!$I25</f>
        <v>Manchester City</v>
      </c>
      <c r="W77" s="12" t="str">
        <f ca="1">'Finals 4'!$K25</f>
        <v>FSV Rauen</v>
      </c>
      <c r="X77" s="12">
        <f ca="1">IF(AA77=1,'Finals 4'!$L25,"")</f>
        <v>19</v>
      </c>
      <c r="Y77" s="35">
        <f ca="1">IF(AA77=1,'Finals 4'!$N25,"")</f>
        <v>25</v>
      </c>
      <c r="Z77" s="34" t="str">
        <f t="shared" ca="1" si="46"/>
        <v>Manchester CityFSV Rauen</v>
      </c>
      <c r="AA77" s="12">
        <f ca="1">IF(AND('Finals 4'!$L25&lt;&gt;"",'Finals 4'!$N25&lt;&gt;"",'Finals 4'!$L25&lt;&gt;'Finals 4'!$N25,OR(AND('Finals 4'!$O25="",'Finals 4'!$Q25=""),AND('Finals 4'!$O25&lt;&gt;"",'Finals 4'!$Q25&lt;&gt;"",'Finals 4'!$O25&lt;&gt;'Finals 4'!$Q25)),'Finals 4'!$I25&lt;&gt;"",'Finals 4'!$K25&lt;&gt;"",'Finals 4'!$I25&lt;&gt;'Finals 4'!$K25),1,0)</f>
        <v>1</v>
      </c>
      <c r="AB77" s="12" t="str">
        <f ca="1">IF(AA77&gt;0,X77&amp;Language!$E$96&amp;Y77,"")</f>
        <v>19-25</v>
      </c>
      <c r="AD77" s="143"/>
      <c r="AE77" s="148">
        <f t="shared" ca="1" si="44"/>
        <v>1</v>
      </c>
      <c r="AF77" s="143">
        <f t="shared" ca="1" si="45"/>
        <v>1</v>
      </c>
      <c r="AG77" s="148">
        <f ca="1">IF(AA77=1,'Finals 4'!$O25,"")</f>
        <v>25</v>
      </c>
      <c r="AH77" s="12">
        <f ca="1">IF(AA77=1,'Finals 4'!$Q25,"")</f>
        <v>21</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4'!$I26</f>
        <v>Kickers Rodendorf</v>
      </c>
      <c r="W78" s="12" t="str">
        <f ca="1">'Finals 4'!$K26</f>
        <v>FC Grönlingen</v>
      </c>
      <c r="X78" s="12">
        <f ca="1">IF(AA78=1,'Finals 4'!$L26,"")</f>
        <v>17</v>
      </c>
      <c r="Y78" s="35">
        <f ca="1">IF(AA78=1,'Finals 4'!$N26,"")</f>
        <v>25</v>
      </c>
      <c r="Z78" s="34" t="str">
        <f t="shared" ca="1" si="46"/>
        <v>Kickers RodendorfFC Grönlingen</v>
      </c>
      <c r="AA78" s="12">
        <f ca="1">IF(AND('Finals 4'!$L26&lt;&gt;"",'Finals 4'!$N26&lt;&gt;"",'Finals 4'!$L26&lt;&gt;'Finals 4'!$N26,OR(AND('Finals 4'!$O26="",'Finals 4'!$Q26=""),AND('Finals 4'!$O26&lt;&gt;"",'Finals 4'!$Q26&lt;&gt;"",'Finals 4'!$O26&lt;&gt;'Finals 4'!$Q26)),'Finals 4'!$I26&lt;&gt;"",'Finals 4'!$K26&lt;&gt;"",'Finals 4'!$I26&lt;&gt;'Finals 4'!$K26),1,0)</f>
        <v>1</v>
      </c>
      <c r="AB78" s="12" t="str">
        <f ca="1">IF(AA78&gt;0,X78&amp;Language!$E$96&amp;Y78,"")</f>
        <v>17-25</v>
      </c>
      <c r="AD78" s="143"/>
      <c r="AE78" s="148">
        <f t="shared" ca="1" si="44"/>
        <v>0</v>
      </c>
      <c r="AF78" s="143">
        <f t="shared" ca="1" si="45"/>
        <v>2</v>
      </c>
      <c r="AG78" s="148">
        <f ca="1">IF(AA78=1,'Finals 4'!$O26,"")</f>
        <v>12</v>
      </c>
      <c r="AH78" s="12">
        <f ca="1">IF(AA78=1,'Finals 4'!$Q26,"")</f>
        <v>25</v>
      </c>
      <c r="AI78" s="143" t="str">
        <f ca="1">IF(AA78&gt;0,AE78&amp;Language!$E$96&amp;AF78,"")</f>
        <v>0-2</v>
      </c>
    </row>
    <row r="79" spans="2:43" s="2" customFormat="1" x14ac:dyDescent="0.2">
      <c r="B79" s="3"/>
      <c r="C79" s="3"/>
      <c r="D79" s="3"/>
      <c r="E79" s="3"/>
      <c r="F79" s="12"/>
      <c r="G79" s="12"/>
      <c r="H79" s="12"/>
      <c r="I79" s="12"/>
      <c r="J79" s="12"/>
      <c r="K79" s="12"/>
      <c r="L79" s="12"/>
      <c r="M79" s="12"/>
      <c r="U79" s="66" t="s">
        <v>30</v>
      </c>
      <c r="V79" s="40" t="str">
        <f ca="1">'Finals 4'!$I27</f>
        <v>VFB Essenheim</v>
      </c>
      <c r="W79" s="12" t="str">
        <f ca="1">'Finals 4'!$K27</f>
        <v>Eintracht Frankfurt</v>
      </c>
      <c r="X79" s="12">
        <f ca="1">IF(AA79=1,'Finals 4'!$L27,"")</f>
        <v>14</v>
      </c>
      <c r="Y79" s="35">
        <f ca="1">IF(AA79=1,'Finals 4'!$N27,"")</f>
        <v>25</v>
      </c>
      <c r="Z79" s="34" t="str">
        <f t="shared" ca="1" si="46"/>
        <v>VFB EssenheimEintracht Frankfurt</v>
      </c>
      <c r="AA79" s="12">
        <f ca="1">IF(AND('Finals 4'!$L27&lt;&gt;"",'Finals 4'!$N27&lt;&gt;"",'Finals 4'!$L27&lt;&gt;'Finals 4'!$N27,OR(AND('Finals 4'!$O27="",'Finals 4'!$Q27=""),AND('Finals 4'!$O27&lt;&gt;"",'Finals 4'!$Q27&lt;&gt;"",'Finals 4'!$O27&lt;&gt;'Finals 4'!$Q27)),'Finals 4'!$I27&lt;&gt;"",'Finals 4'!$K27&lt;&gt;"",'Finals 4'!$I27&lt;&gt;'Finals 4'!$K27),1,0)</f>
        <v>1</v>
      </c>
      <c r="AB79" s="12" t="str">
        <f ca="1">IF(AA79&gt;0,X79&amp;Language!$E$96&amp;Y79,"")</f>
        <v>14-25</v>
      </c>
      <c r="AD79" s="143"/>
      <c r="AE79" s="148">
        <f t="shared" ca="1" si="44"/>
        <v>1</v>
      </c>
      <c r="AF79" s="143">
        <f t="shared" ca="1" si="45"/>
        <v>1</v>
      </c>
      <c r="AG79" s="148">
        <f ca="1">IF(AA79=1,'Finals 4'!$O27,"")</f>
        <v>25</v>
      </c>
      <c r="AH79" s="12">
        <f ca="1">IF(AA79=1,'Finals 4'!$Q27,"")</f>
        <v>23</v>
      </c>
      <c r="AI79" s="143" t="str">
        <f ca="1">IF(AA79&gt;0,AE79&amp;Language!$E$96&amp;AF79,"")</f>
        <v>1-1</v>
      </c>
    </row>
    <row r="80" spans="2:43" s="2" customFormat="1" x14ac:dyDescent="0.2">
      <c r="B80" s="3"/>
      <c r="C80" s="3"/>
      <c r="D80" s="3"/>
      <c r="E80" s="3"/>
      <c r="F80" s="12"/>
      <c r="G80" s="12"/>
      <c r="H80" s="12"/>
      <c r="I80" s="12"/>
      <c r="J80" s="12"/>
      <c r="K80" s="12"/>
      <c r="L80" s="12"/>
      <c r="M80" s="12"/>
      <c r="U80" s="66" t="s">
        <v>31</v>
      </c>
      <c r="V80" s="40" t="str">
        <f ca="1">'Finals 4'!$I28</f>
        <v>FC Barcelona</v>
      </c>
      <c r="W80" s="12" t="str">
        <f ca="1">'Finals 4'!$K28</f>
        <v>Borussia Dortmund</v>
      </c>
      <c r="X80" s="12">
        <f ca="1">IF(AA80=1,'Finals 4'!$L28,"")</f>
        <v>21</v>
      </c>
      <c r="Y80" s="35">
        <f ca="1">IF(AA80=1,'Finals 4'!$N28,"")</f>
        <v>25</v>
      </c>
      <c r="Z80" s="34" t="str">
        <f t="shared" ca="1" si="46"/>
        <v>FC BarcelonaBorussia Dortmund</v>
      </c>
      <c r="AA80" s="12">
        <f ca="1">IF(AND('Finals 4'!$L28&lt;&gt;"",'Finals 4'!$N28&lt;&gt;"",'Finals 4'!$L28&lt;&gt;'Finals 4'!$N28,OR(AND('Finals 4'!$O28="",'Finals 4'!$Q28=""),AND('Finals 4'!$O28&lt;&gt;"",'Finals 4'!$Q28&lt;&gt;"",'Finals 4'!$O28&lt;&gt;'Finals 4'!$Q28)),'Finals 4'!$I28&lt;&gt;"",'Finals 4'!$K28&lt;&gt;"",'Finals 4'!$I28&lt;&gt;'Finals 4'!$K28),1,0)</f>
        <v>1</v>
      </c>
      <c r="AB80" s="12" t="str">
        <f ca="1">IF(AA80&gt;0,X80&amp;Language!$E$96&amp;Y80,"")</f>
        <v>21-25</v>
      </c>
      <c r="AD80" s="143"/>
      <c r="AE80" s="148">
        <f t="shared" ca="1" si="44"/>
        <v>1</v>
      </c>
      <c r="AF80" s="143">
        <f t="shared" ca="1" si="45"/>
        <v>1</v>
      </c>
      <c r="AG80" s="148">
        <f ca="1">IF(AA80=1,'Finals 4'!$O28,"")</f>
        <v>25</v>
      </c>
      <c r="AH80" s="12">
        <f ca="1">IF(AA80=1,'Finals 4'!$Q28,"")</f>
        <v>17</v>
      </c>
      <c r="AI80" s="143" t="str">
        <f ca="1">IF(AA80&gt;0,AE80&amp;Language!$E$96&amp;AF80,"")</f>
        <v>1-1</v>
      </c>
    </row>
    <row r="81" spans="2:35" s="2" customFormat="1" x14ac:dyDescent="0.2">
      <c r="B81" s="3"/>
      <c r="C81" s="3"/>
      <c r="D81" s="3"/>
      <c r="E81" s="3"/>
      <c r="F81" s="12"/>
      <c r="G81" s="12"/>
      <c r="H81" s="12"/>
      <c r="I81" s="12"/>
      <c r="J81" s="12"/>
      <c r="K81" s="12"/>
      <c r="L81" s="12"/>
      <c r="M81" s="12"/>
      <c r="U81" s="66" t="s">
        <v>32</v>
      </c>
      <c r="V81" s="40" t="str">
        <f ca="1">'Finals 4'!$I29</f>
        <v/>
      </c>
      <c r="W81" s="12" t="str">
        <f ca="1">'Finals 4'!$K29</f>
        <v>Manchester City</v>
      </c>
      <c r="X81" s="12" t="str">
        <f ca="1">IF(AA81=1,'Finals 4'!$L29,"")</f>
        <v/>
      </c>
      <c r="Y81" s="35" t="str">
        <f ca="1">IF(AA81=1,'Finals 4'!$N29,"")</f>
        <v/>
      </c>
      <c r="Z81" s="34" t="str">
        <f t="shared" ca="1" si="46"/>
        <v>Manchester City</v>
      </c>
      <c r="AA81" s="12">
        <f ca="1">IF(AND('Finals 4'!$L29&lt;&gt;"",'Finals 4'!$N29&lt;&gt;"",'Finals 4'!$L29&lt;&gt;'Finals 4'!$N29,OR(AND('Finals 4'!$O29="",'Finals 4'!$Q29=""),AND('Finals 4'!$O29&lt;&gt;"",'Finals 4'!$Q29&lt;&gt;"",'Finals 4'!$O29&lt;&gt;'Finals 4'!$Q29)),'Finals 4'!$I29&lt;&gt;"",'Finals 4'!$K29&lt;&gt;"",'Finals 4'!$I29&lt;&gt;'Finals 4'!$K29),1,0)</f>
        <v>0</v>
      </c>
      <c r="AB81" s="12" t="str">
        <f ca="1">IF(AA81&gt;0,X81&amp;Language!$E$96&amp;Y81,"")</f>
        <v/>
      </c>
      <c r="AD81" s="143"/>
      <c r="AE81" s="148">
        <f t="shared" ca="1" si="44"/>
        <v>0</v>
      </c>
      <c r="AF81" s="143">
        <f t="shared" ca="1" si="45"/>
        <v>0</v>
      </c>
      <c r="AG81" s="148" t="str">
        <f ca="1">IF(AA81=1,'Finals 4'!$O29,"")</f>
        <v/>
      </c>
      <c r="AH81" s="12" t="str">
        <f ca="1">IF(AA81=1,'Finals 4'!$Q29,"")</f>
        <v/>
      </c>
      <c r="AI81" s="143" t="str">
        <f ca="1">IF(AA81&gt;0,AE81&amp;Language!$E$96&amp;AF81,"")</f>
        <v/>
      </c>
    </row>
    <row r="82" spans="2:35" s="2" customFormat="1" x14ac:dyDescent="0.2">
      <c r="B82" s="3"/>
      <c r="C82" s="3"/>
      <c r="D82" s="3"/>
      <c r="E82" s="3"/>
      <c r="F82" s="12"/>
      <c r="G82" s="12"/>
      <c r="H82" s="12"/>
      <c r="I82" s="12"/>
      <c r="J82" s="12"/>
      <c r="K82" s="12"/>
      <c r="L82" s="12"/>
      <c r="M82" s="12"/>
      <c r="U82" s="66" t="s">
        <v>33</v>
      </c>
      <c r="V82" s="40" t="str">
        <f ca="1">'Finals 4'!$I30</f>
        <v>Mainz 05</v>
      </c>
      <c r="W82" s="12" t="str">
        <f ca="1">'Finals 4'!$K30</f>
        <v>Kickers Rodendorf</v>
      </c>
      <c r="X82" s="12">
        <f ca="1">IF(AA82=1,'Finals 4'!$L30,"")</f>
        <v>25</v>
      </c>
      <c r="Y82" s="35">
        <f ca="1">IF(AA82=1,'Finals 4'!$N30,"")</f>
        <v>20</v>
      </c>
      <c r="Z82" s="34" t="str">
        <f t="shared" ref="Z82:Z88" ca="1" si="47">V82&amp;W82</f>
        <v>Mainz 05Kickers Rodendorf</v>
      </c>
      <c r="AA82" s="12">
        <f ca="1">IF(AND('Finals 4'!$L30&lt;&gt;"",'Finals 4'!$N30&lt;&gt;"",'Finals 4'!$L30&lt;&gt;'Finals 4'!$N30,OR(AND('Finals 4'!$O30="",'Finals 4'!$Q30=""),AND('Finals 4'!$O30&lt;&gt;"",'Finals 4'!$Q30&lt;&gt;"",'Finals 4'!$O30&lt;&gt;'Finals 4'!$Q30)),'Finals 4'!$I30&lt;&gt;"",'Finals 4'!$K30&lt;&gt;"",'Finals 4'!$I30&lt;&gt;'Finals 4'!$K30),1,0)</f>
        <v>1</v>
      </c>
      <c r="AB82" s="12" t="str">
        <f ca="1">IF(AA82&gt;0,X82&amp;Language!$E$96&amp;Y82,"")</f>
        <v>25-20</v>
      </c>
      <c r="AD82" s="143"/>
      <c r="AE82" s="148">
        <f t="shared" ca="1" si="44"/>
        <v>2</v>
      </c>
      <c r="AF82" s="143">
        <f t="shared" ca="1" si="45"/>
        <v>0</v>
      </c>
      <c r="AG82" s="148">
        <f ca="1">IF(AA82=1,'Finals 4'!$O30,"")</f>
        <v>25</v>
      </c>
      <c r="AH82" s="12">
        <f ca="1">IF(AA82=1,'Finals 4'!$Q30,"")</f>
        <v>19</v>
      </c>
      <c r="AI82" s="143" t="str">
        <f ca="1">IF(AA82&gt;0,AE82&amp;Language!$E$96&amp;AF82,"")</f>
        <v>2-0</v>
      </c>
    </row>
    <row r="83" spans="2:35" s="2" customFormat="1" x14ac:dyDescent="0.2">
      <c r="B83" s="3"/>
      <c r="C83" s="3"/>
      <c r="D83" s="3"/>
      <c r="E83" s="3"/>
      <c r="F83" s="12"/>
      <c r="G83" s="12"/>
      <c r="H83" s="12"/>
      <c r="I83" s="12"/>
      <c r="J83" s="12"/>
      <c r="K83" s="12"/>
      <c r="L83" s="12"/>
      <c r="M83" s="12"/>
      <c r="U83" s="66" t="s">
        <v>34</v>
      </c>
      <c r="V83" s="40" t="str">
        <f ca="1">'Finals 4'!$I31</f>
        <v>Real Madrid</v>
      </c>
      <c r="W83" s="12" t="str">
        <f ca="1">'Finals 4'!$K31</f>
        <v>VFB Essenheim</v>
      </c>
      <c r="X83" s="12">
        <f ca="1">IF(AA83=1,'Finals 4'!$L31,"")</f>
        <v>25</v>
      </c>
      <c r="Y83" s="35">
        <f ca="1">IF(AA83=1,'Finals 4'!$N31,"")</f>
        <v>2</v>
      </c>
      <c r="Z83" s="34" t="str">
        <f t="shared" ca="1" si="47"/>
        <v>Real MadridVFB Essenheim</v>
      </c>
      <c r="AA83" s="12">
        <f ca="1">IF(AND('Finals 4'!$L31&lt;&gt;"",'Finals 4'!$N31&lt;&gt;"",'Finals 4'!$L31&lt;&gt;'Finals 4'!$N31,OR(AND('Finals 4'!$O31="",'Finals 4'!$Q31=""),AND('Finals 4'!$O31&lt;&gt;"",'Finals 4'!$Q31&lt;&gt;"",'Finals 4'!$O31&lt;&gt;'Finals 4'!$Q31)),'Finals 4'!$I31&lt;&gt;"",'Finals 4'!$K31&lt;&gt;"",'Finals 4'!$I31&lt;&gt;'Finals 4'!$K31),1,0)</f>
        <v>1</v>
      </c>
      <c r="AB83" s="12" t="str">
        <f ca="1">IF(AA83&gt;0,X83&amp;Language!$E$96&amp;Y83,"")</f>
        <v>25-2</v>
      </c>
      <c r="AD83" s="143"/>
      <c r="AE83" s="148">
        <f t="shared" ca="1" si="44"/>
        <v>2</v>
      </c>
      <c r="AF83" s="143">
        <f t="shared" ca="1" si="45"/>
        <v>0</v>
      </c>
      <c r="AG83" s="148">
        <f ca="1">IF(AA83=1,'Finals 4'!$O31,"")</f>
        <v>25</v>
      </c>
      <c r="AH83" s="12">
        <f ca="1">IF(AA83=1,'Finals 4'!$Q31,"")</f>
        <v>20</v>
      </c>
      <c r="AI83" s="143" t="str">
        <f ca="1">IF(AA83&gt;0,AE83&amp;Language!$E$96&amp;AF83,"")</f>
        <v>2-0</v>
      </c>
    </row>
    <row r="84" spans="2:35" s="2" customFormat="1" x14ac:dyDescent="0.2">
      <c r="B84" s="3"/>
      <c r="C84" s="3"/>
      <c r="D84" s="3"/>
      <c r="E84" s="3"/>
      <c r="F84" s="12"/>
      <c r="G84" s="12"/>
      <c r="H84" s="12"/>
      <c r="I84" s="12"/>
      <c r="J84" s="12"/>
      <c r="K84" s="12"/>
      <c r="L84" s="12"/>
      <c r="M84" s="12"/>
      <c r="U84" s="66" t="s">
        <v>35</v>
      </c>
      <c r="V84" s="40" t="str">
        <f ca="1">'Finals 4'!$I32</f>
        <v>SSV Wildbach</v>
      </c>
      <c r="W84" s="12" t="str">
        <f ca="1">'Finals 4'!$K32</f>
        <v>FC Barcelona</v>
      </c>
      <c r="X84" s="12">
        <f ca="1">IF(AA84=1,'Finals 4'!$L32,"")</f>
        <v>25</v>
      </c>
      <c r="Y84" s="35">
        <f ca="1">IF(AA84=1,'Finals 4'!$N32,"")</f>
        <v>16</v>
      </c>
      <c r="Z84" s="34" t="str">
        <f t="shared" ca="1" si="47"/>
        <v>SSV WildbachFC Barcelona</v>
      </c>
      <c r="AA84" s="12">
        <f ca="1">IF(AND('Finals 4'!$L32&lt;&gt;"",'Finals 4'!$N32&lt;&gt;"",'Finals 4'!$L32&lt;&gt;'Finals 4'!$N32,OR(AND('Finals 4'!$O32="",'Finals 4'!$Q32=""),AND('Finals 4'!$O32&lt;&gt;"",'Finals 4'!$Q32&lt;&gt;"",'Finals 4'!$O32&lt;&gt;'Finals 4'!$Q32)),'Finals 4'!$I32&lt;&gt;"",'Finals 4'!$K32&lt;&gt;"",'Finals 4'!$I32&lt;&gt;'Finals 4'!$K32),1,0)</f>
        <v>1</v>
      </c>
      <c r="AB84" s="12" t="str">
        <f ca="1">IF(AA84&gt;0,X84&amp;Language!$E$96&amp;Y84,"")</f>
        <v>25-16</v>
      </c>
      <c r="AD84" s="143"/>
      <c r="AE84" s="148">
        <f t="shared" ca="1" si="44"/>
        <v>2</v>
      </c>
      <c r="AF84" s="143">
        <f t="shared" ca="1" si="45"/>
        <v>0</v>
      </c>
      <c r="AG84" s="148">
        <f ca="1">IF(AA84=1,'Finals 4'!$O32,"")</f>
        <v>25</v>
      </c>
      <c r="AH84" s="12">
        <f ca="1">IF(AA84=1,'Finals 4'!$Q32,"")</f>
        <v>21</v>
      </c>
      <c r="AI84" s="143" t="str">
        <f ca="1">IF(AA84&gt;0,AE84&amp;Language!$E$96&amp;AF84,"")</f>
        <v>2-0</v>
      </c>
    </row>
    <row r="85" spans="2:35" s="2" customFormat="1" x14ac:dyDescent="0.2">
      <c r="B85" s="3"/>
      <c r="C85" s="3"/>
      <c r="D85" s="3"/>
      <c r="E85" s="3"/>
      <c r="F85" s="12"/>
      <c r="G85" s="12"/>
      <c r="H85" s="12"/>
      <c r="I85" s="12"/>
      <c r="J85" s="12"/>
      <c r="K85" s="12"/>
      <c r="L85" s="12"/>
      <c r="M85" s="12"/>
      <c r="U85" s="66" t="s">
        <v>36</v>
      </c>
      <c r="V85" s="40" t="str">
        <f ca="1">'Finals 4'!$I33</f>
        <v>FSV Rauen</v>
      </c>
      <c r="W85" s="12" t="str">
        <f ca="1">'Finals 4'!$K33</f>
        <v>1. FC Riedwald</v>
      </c>
      <c r="X85" s="12">
        <f ca="1">IF(AA85=1,'Finals 4'!$L33,"")</f>
        <v>25</v>
      </c>
      <c r="Y85" s="35">
        <f ca="1">IF(AA85=1,'Finals 4'!$N33,"")</f>
        <v>2</v>
      </c>
      <c r="Z85" s="34" t="str">
        <f t="shared" ca="1" si="47"/>
        <v>FSV Rauen1. FC Riedwald</v>
      </c>
      <c r="AA85" s="12">
        <f ca="1">IF(AND('Finals 4'!$L33&lt;&gt;"",'Finals 4'!$N33&lt;&gt;"",'Finals 4'!$L33&lt;&gt;'Finals 4'!$N33,OR(AND('Finals 4'!$O33="",'Finals 4'!$Q33=""),AND('Finals 4'!$O33&lt;&gt;"",'Finals 4'!$Q33&lt;&gt;"",'Finals 4'!$O33&lt;&gt;'Finals 4'!$Q33)),'Finals 4'!$I33&lt;&gt;"",'Finals 4'!$K33&lt;&gt;"",'Finals 4'!$I33&lt;&gt;'Finals 4'!$K33),1,0)</f>
        <v>1</v>
      </c>
      <c r="AB85" s="12" t="str">
        <f ca="1">IF(AA85&gt;0,X85&amp;Language!$E$96&amp;Y85,"")</f>
        <v>25-2</v>
      </c>
      <c r="AD85" s="143"/>
      <c r="AE85" s="148">
        <f t="shared" ca="1" si="44"/>
        <v>2</v>
      </c>
      <c r="AF85" s="143">
        <f t="shared" ca="1" si="45"/>
        <v>0</v>
      </c>
      <c r="AG85" s="148">
        <f ca="1">IF(AA85=1,'Finals 4'!$O33,"")</f>
        <v>25</v>
      </c>
      <c r="AH85" s="12">
        <f ca="1">IF(AA85=1,'Finals 4'!$Q33,"")</f>
        <v>22</v>
      </c>
      <c r="AI85" s="143" t="str">
        <f ca="1">IF(AA85&gt;0,AE85&amp;Language!$E$96&amp;AF85,"")</f>
        <v>2-0</v>
      </c>
    </row>
    <row r="86" spans="2:35" s="2" customFormat="1" x14ac:dyDescent="0.2">
      <c r="B86" s="3"/>
      <c r="C86" s="3"/>
      <c r="D86" s="3"/>
      <c r="E86" s="3"/>
      <c r="F86" s="12"/>
      <c r="G86" s="12"/>
      <c r="H86" s="12"/>
      <c r="I86" s="12"/>
      <c r="J86" s="12"/>
      <c r="K86" s="12"/>
      <c r="L86" s="12"/>
      <c r="M86" s="12"/>
      <c r="U86" s="66" t="s">
        <v>37</v>
      </c>
      <c r="V86" s="40" t="str">
        <f ca="1">'Finals 4'!$I34</f>
        <v>FC Grönlingen</v>
      </c>
      <c r="W86" s="12" t="str">
        <f ca="1">'Finals 4'!$K34</f>
        <v>Maibach 1822 eV</v>
      </c>
      <c r="X86" s="12">
        <f ca="1">IF(AA86=1,'Finals 4'!$L34,"")</f>
        <v>13</v>
      </c>
      <c r="Y86" s="35">
        <f ca="1">IF(AA86=1,'Finals 4'!$N34,"")</f>
        <v>25</v>
      </c>
      <c r="Z86" s="34" t="str">
        <f t="shared" ca="1" si="47"/>
        <v>FC GrönlingenMaibach 1822 eV</v>
      </c>
      <c r="AA86" s="12">
        <f ca="1">IF(AND('Finals 4'!$L34&lt;&gt;"",'Finals 4'!$N34&lt;&gt;"",'Finals 4'!$L34&lt;&gt;'Finals 4'!$N34,OR(AND('Finals 4'!$O34="",'Finals 4'!$Q34=""),AND('Finals 4'!$O34&lt;&gt;"",'Finals 4'!$Q34&lt;&gt;"",'Finals 4'!$O34&lt;&gt;'Finals 4'!$Q34)),'Finals 4'!$I34&lt;&gt;"",'Finals 4'!$K34&lt;&gt;"",'Finals 4'!$I34&lt;&gt;'Finals 4'!$K34),1,0)</f>
        <v>1</v>
      </c>
      <c r="AB86" s="12" t="str">
        <f ca="1">IF(AA86&gt;0,X86&amp;Language!$E$96&amp;Y86,"")</f>
        <v>13-25</v>
      </c>
      <c r="AD86" s="143"/>
      <c r="AE86" s="148">
        <f t="shared" ca="1" si="44"/>
        <v>1</v>
      </c>
      <c r="AF86" s="143">
        <f t="shared" ca="1" si="45"/>
        <v>1</v>
      </c>
      <c r="AG86" s="148">
        <f ca="1">IF(AA86=1,'Finals 4'!$O34,"")</f>
        <v>25</v>
      </c>
      <c r="AH86" s="12">
        <f ca="1">IF(AA86=1,'Finals 4'!$Q34,"")</f>
        <v>11</v>
      </c>
      <c r="AI86" s="143" t="str">
        <f ca="1">IF(AA86&gt;0,AE86&amp;Language!$E$96&amp;AF86,"")</f>
        <v>1-1</v>
      </c>
    </row>
    <row r="87" spans="2:35" s="2" customFormat="1" x14ac:dyDescent="0.2">
      <c r="B87" s="3"/>
      <c r="C87" s="3"/>
      <c r="D87" s="3"/>
      <c r="E87" s="3"/>
      <c r="F87" s="12"/>
      <c r="G87" s="12"/>
      <c r="H87" s="12"/>
      <c r="I87" s="12"/>
      <c r="J87" s="12"/>
      <c r="K87" s="12"/>
      <c r="L87" s="12"/>
      <c r="M87" s="12"/>
      <c r="U87" s="66" t="s">
        <v>38</v>
      </c>
      <c r="V87" s="40" t="str">
        <f ca="1">'Finals 4'!$I35</f>
        <v>Eintracht Frankfurt</v>
      </c>
      <c r="W87" s="12" t="str">
        <f ca="1">'Finals 4'!$K35</f>
        <v>1. FC Nürnberg</v>
      </c>
      <c r="X87" s="12">
        <f ca="1">IF(AA87=1,'Finals 4'!$L35,"")</f>
        <v>19</v>
      </c>
      <c r="Y87" s="35">
        <f ca="1">IF(AA87=1,'Finals 4'!$N35,"")</f>
        <v>25</v>
      </c>
      <c r="Z87" s="34" t="str">
        <f t="shared" ca="1" si="47"/>
        <v>Eintracht Frankfurt1. FC Nürnberg</v>
      </c>
      <c r="AA87" s="12">
        <f ca="1">IF(AND('Finals 4'!$L35&lt;&gt;"",'Finals 4'!$N35&lt;&gt;"",'Finals 4'!$L35&lt;&gt;'Finals 4'!$N35,OR(AND('Finals 4'!$O35="",'Finals 4'!$Q35=""),AND('Finals 4'!$O35&lt;&gt;"",'Finals 4'!$Q35&lt;&gt;"",'Finals 4'!$O35&lt;&gt;'Finals 4'!$Q35)),'Finals 4'!$I35&lt;&gt;"",'Finals 4'!$K35&lt;&gt;"",'Finals 4'!$I35&lt;&gt;'Finals 4'!$K35),1,0)</f>
        <v>1</v>
      </c>
      <c r="AB87" s="12" t="str">
        <f ca="1">IF(AA87&gt;0,X87&amp;Language!$E$96&amp;Y87,"")</f>
        <v>19-25</v>
      </c>
      <c r="AD87" s="143"/>
      <c r="AE87" s="148">
        <f t="shared" ca="1" si="44"/>
        <v>1</v>
      </c>
      <c r="AF87" s="143">
        <f t="shared" ca="1" si="45"/>
        <v>1</v>
      </c>
      <c r="AG87" s="148">
        <f ca="1">IF(AA87=1,'Finals 4'!$O35,"")</f>
        <v>25</v>
      </c>
      <c r="AH87" s="12">
        <f ca="1">IF(AA87=1,'Finals 4'!$Q35,"")</f>
        <v>17</v>
      </c>
      <c r="AI87" s="143" t="str">
        <f ca="1">IF(AA87&gt;0,AE87&amp;Language!$E$96&amp;AF87,"")</f>
        <v>1-1</v>
      </c>
    </row>
    <row r="88" spans="2:35" s="2" customFormat="1" ht="12.75" thickBot="1" x14ac:dyDescent="0.25">
      <c r="B88" s="3"/>
      <c r="C88" s="3"/>
      <c r="D88" s="3"/>
      <c r="E88" s="3"/>
      <c r="F88" s="12"/>
      <c r="G88" s="12"/>
      <c r="H88" s="12"/>
      <c r="I88" s="12"/>
      <c r="J88" s="12"/>
      <c r="K88" s="12"/>
      <c r="L88" s="12"/>
      <c r="M88" s="12"/>
      <c r="U88" s="684" t="s">
        <v>39</v>
      </c>
      <c r="V88" s="738" t="str">
        <f ca="1">'Finals 4'!$I36</f>
        <v>Borussia Dortmund</v>
      </c>
      <c r="W88" s="686" t="str">
        <f ca="1">'Finals 4'!$K36</f>
        <v>Inter Mailand</v>
      </c>
      <c r="X88" s="686">
        <f ca="1">IF(AA88=1,'Finals 4'!$L36,"")</f>
        <v>17</v>
      </c>
      <c r="Y88" s="739">
        <f ca="1">IF(AA88=1,'Finals 4'!$N36,"")</f>
        <v>25</v>
      </c>
      <c r="Z88" s="685" t="str">
        <f t="shared" ca="1" si="47"/>
        <v>Borussia DortmundInter Mailand</v>
      </c>
      <c r="AA88" s="686">
        <f ca="1">IF(AND('Finals 4'!$L36&lt;&gt;"",'Finals 4'!$N36&lt;&gt;"",'Finals 4'!$L36&lt;&gt;'Finals 4'!$N36,OR(AND('Finals 4'!$O36="",'Finals 4'!$Q36=""),AND('Finals 4'!$O36&lt;&gt;"",'Finals 4'!$Q36&lt;&gt;"",'Finals 4'!$O36&lt;&gt;'Finals 4'!$Q36)),'Finals 4'!$I36&lt;&gt;"",'Finals 4'!$K36&lt;&gt;"",'Finals 4'!$I36&lt;&gt;'Finals 4'!$K36),1,0)</f>
        <v>1</v>
      </c>
      <c r="AB88" s="686" t="str">
        <f ca="1">IF(AA88&gt;0,X88&amp;Language!$E$96&amp;Y88,"")</f>
        <v>17-25</v>
      </c>
      <c r="AC88" s="687"/>
      <c r="AD88" s="688"/>
      <c r="AE88" s="722">
        <f t="shared" ca="1" si="44"/>
        <v>1</v>
      </c>
      <c r="AF88" s="688">
        <f t="shared" ca="1" si="45"/>
        <v>1</v>
      </c>
      <c r="AG88" s="722">
        <f ca="1">IF(AA88=1,'Finals 4'!$O36,"")</f>
        <v>25</v>
      </c>
      <c r="AH88" s="686">
        <f ca="1">IF(AA88=1,'Finals 4'!$Q36,"")</f>
        <v>16</v>
      </c>
      <c r="AI88" s="688" t="str">
        <f ca="1">IF(AA88&gt;0,AE88&amp;Language!$E$96&amp;AF88,"")</f>
        <v>1-1</v>
      </c>
    </row>
    <row r="89" spans="2:35" s="2" customFormat="1" ht="12.75" thickTop="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FSV Rauen</v>
      </c>
      <c r="AA137" s="12">
        <f t="shared" ref="AA137:AA160" ca="1" si="48">AA65</f>
        <v>0</v>
      </c>
      <c r="AB137" s="12" t="str">
        <f ca="1">IF(AA137&gt;0,Y65&amp;Language!$E$96&amp;X65,"")</f>
        <v/>
      </c>
      <c r="AC137" s="2"/>
      <c r="AD137" s="143"/>
      <c r="AE137" s="709"/>
      <c r="AF137" s="710"/>
      <c r="AG137" s="710"/>
      <c r="AH137" s="710"/>
      <c r="AI137" s="711" t="str">
        <f ca="1">IF(AA65&gt;0,AF65&amp;Language!$E$96&amp;AE65,"")</f>
        <v/>
      </c>
    </row>
    <row r="138" spans="2:35" x14ac:dyDescent="0.2">
      <c r="Y138" s="66" t="s">
        <v>8</v>
      </c>
      <c r="Z138" s="34" t="str">
        <f t="shared" ref="Z138:Z153" ca="1" si="49">W66&amp;V66</f>
        <v>Mainz 05FC Grönlingen</v>
      </c>
      <c r="AA138" s="12">
        <f t="shared" ca="1" si="48"/>
        <v>1</v>
      </c>
      <c r="AB138" s="12" t="str">
        <f ca="1">IF(AA138&gt;0,Y66&amp;Language!$E$96&amp;X66,"")</f>
        <v>25-19</v>
      </c>
      <c r="AC138" s="2"/>
      <c r="AD138" s="143"/>
      <c r="AE138" s="709"/>
      <c r="AF138" s="710"/>
      <c r="AG138" s="710"/>
      <c r="AH138" s="710"/>
      <c r="AI138" s="711" t="str">
        <f ca="1">IF(AA66&gt;0,AF66&amp;Language!$E$96&amp;AE66,"")</f>
        <v>2-0</v>
      </c>
    </row>
    <row r="139" spans="2:35" x14ac:dyDescent="0.2">
      <c r="Y139" s="66" t="s">
        <v>9</v>
      </c>
      <c r="Z139" s="34" t="str">
        <f t="shared" ca="1" si="49"/>
        <v>Real MadridEintracht Frankfurt</v>
      </c>
      <c r="AA139" s="12">
        <f t="shared" ca="1" si="48"/>
        <v>1</v>
      </c>
      <c r="AB139" s="12" t="str">
        <f ca="1">IF(AA139&gt;0,Y67&amp;Language!$E$96&amp;X67,"")</f>
        <v>20-25</v>
      </c>
      <c r="AC139" s="2"/>
      <c r="AD139" s="143"/>
      <c r="AE139" s="709"/>
      <c r="AF139" s="710"/>
      <c r="AG139" s="710"/>
      <c r="AH139" s="710"/>
      <c r="AI139" s="711" t="str">
        <f ca="1">IF(AA67&gt;0,AF67&amp;Language!$E$96&amp;AE67,"")</f>
        <v>1-1</v>
      </c>
    </row>
    <row r="140" spans="2:35" x14ac:dyDescent="0.2">
      <c r="Y140" s="66" t="s">
        <v>10</v>
      </c>
      <c r="Z140" s="34" t="str">
        <f t="shared" ca="1" si="49"/>
        <v>SSV WildbachBorussia Dortmund</v>
      </c>
      <c r="AA140" s="12">
        <f t="shared" ca="1" si="48"/>
        <v>1</v>
      </c>
      <c r="AB140" s="12" t="str">
        <f ca="1">IF(AA140&gt;0,Y68&amp;Language!$E$96&amp;X68,"")</f>
        <v>21-25</v>
      </c>
      <c r="AC140" s="2"/>
      <c r="AD140" s="143"/>
      <c r="AE140" s="709"/>
      <c r="AF140" s="710"/>
      <c r="AG140" s="710"/>
      <c r="AH140" s="710"/>
      <c r="AI140" s="711" t="str">
        <f ca="1">IF(AA68&gt;0,AF68&amp;Language!$E$96&amp;AE68,"")</f>
        <v>0-2</v>
      </c>
    </row>
    <row r="141" spans="2:35" x14ac:dyDescent="0.2">
      <c r="Y141" s="66" t="s">
        <v>11</v>
      </c>
      <c r="Z141" s="34" t="str">
        <f t="shared" ca="1" si="49"/>
        <v>Manchester City1. FC Riedwald</v>
      </c>
      <c r="AA141" s="12">
        <f t="shared" ca="1" si="48"/>
        <v>1</v>
      </c>
      <c r="AB141" s="12" t="str">
        <f ca="1">IF(AA141&gt;0,Y69&amp;Language!$E$96&amp;X69,"")</f>
        <v>22-25</v>
      </c>
      <c r="AC141" s="2"/>
      <c r="AD141" s="143"/>
      <c r="AE141" s="709"/>
      <c r="AF141" s="710"/>
      <c r="AG141" s="710"/>
      <c r="AH141" s="710"/>
      <c r="AI141" s="711" t="str">
        <f ca="1">IF(AA69&gt;0,AF69&amp;Language!$E$96&amp;AE69,"")</f>
        <v>0-2</v>
      </c>
    </row>
    <row r="142" spans="2:35" x14ac:dyDescent="0.2">
      <c r="Y142" s="66" t="s">
        <v>16</v>
      </c>
      <c r="Z142" s="34" t="str">
        <f t="shared" ca="1" si="49"/>
        <v>Kickers RodendorfMaibach 1822 eV</v>
      </c>
      <c r="AA142" s="12">
        <f t="shared" ca="1" si="48"/>
        <v>1</v>
      </c>
      <c r="AB142" s="12" t="str">
        <f ca="1">IF(AA142&gt;0,Y70&amp;Language!$E$96&amp;X70,"")</f>
        <v>23-25</v>
      </c>
      <c r="AC142" s="2"/>
      <c r="AD142" s="143"/>
      <c r="AE142" s="709"/>
      <c r="AF142" s="710"/>
      <c r="AG142" s="710"/>
      <c r="AH142" s="710"/>
      <c r="AI142" s="711" t="str">
        <f ca="1">IF(AA70&gt;0,AF70&amp;Language!$E$96&amp;AE70,"")</f>
        <v>0-2</v>
      </c>
    </row>
    <row r="143" spans="2:35" x14ac:dyDescent="0.2">
      <c r="Y143" s="66" t="s">
        <v>17</v>
      </c>
      <c r="Z143" s="34" t="str">
        <f t="shared" ca="1" si="49"/>
        <v>VFB Essenheim1. FC Nürnberg</v>
      </c>
      <c r="AA143" s="12">
        <f t="shared" ca="1" si="48"/>
        <v>1</v>
      </c>
      <c r="AB143" s="12" t="str">
        <f ca="1">IF(AA143&gt;0,Y71&amp;Language!$E$96&amp;X71,"")</f>
        <v>17-25</v>
      </c>
      <c r="AC143" s="2"/>
      <c r="AD143" s="143"/>
      <c r="AE143" s="709"/>
      <c r="AF143" s="710"/>
      <c r="AG143" s="710"/>
      <c r="AH143" s="710"/>
      <c r="AI143" s="711" t="str">
        <f ca="1">IF(AA71&gt;0,AF71&amp;Language!$E$96&amp;AE71,"")</f>
        <v>0-2</v>
      </c>
    </row>
    <row r="144" spans="2:35" x14ac:dyDescent="0.2">
      <c r="Y144" s="66" t="s">
        <v>18</v>
      </c>
      <c r="Z144" s="34" t="str">
        <f t="shared" ca="1" si="49"/>
        <v>FC BarcelonaInter Mailand</v>
      </c>
      <c r="AA144" s="12">
        <f t="shared" ca="1" si="48"/>
        <v>1</v>
      </c>
      <c r="AB144" s="12" t="str">
        <f ca="1">IF(AA144&gt;0,Y72&amp;Language!$E$96&amp;X72,"")</f>
        <v>25-23</v>
      </c>
      <c r="AC144" s="2"/>
      <c r="AD144" s="143"/>
      <c r="AE144" s="709"/>
      <c r="AF144" s="710"/>
      <c r="AG144" s="710"/>
      <c r="AH144" s="710"/>
      <c r="AI144" s="711" t="str">
        <f ca="1">IF(AA72&gt;0,AF72&amp;Language!$E$96&amp;AE72,"")</f>
        <v>2-0</v>
      </c>
    </row>
    <row r="145" spans="25:35" x14ac:dyDescent="0.2">
      <c r="Y145" s="66" t="s">
        <v>24</v>
      </c>
      <c r="Z145" s="34" t="str">
        <f t="shared" ca="1" si="49"/>
        <v>1. FC Riedwald</v>
      </c>
      <c r="AA145" s="12">
        <f t="shared" ca="1" si="48"/>
        <v>0</v>
      </c>
      <c r="AB145" s="12" t="str">
        <f ca="1">IF(AA145&gt;0,Y73&amp;Language!$E$96&amp;X73,"")</f>
        <v/>
      </c>
      <c r="AC145" s="2"/>
      <c r="AD145" s="143"/>
      <c r="AE145" s="709"/>
      <c r="AF145" s="710"/>
      <c r="AG145" s="710"/>
      <c r="AH145" s="710"/>
      <c r="AI145" s="711" t="str">
        <f ca="1">IF(AA73&gt;0,AF73&amp;Language!$E$96&amp;AE73,"")</f>
        <v/>
      </c>
    </row>
    <row r="146" spans="25:35" x14ac:dyDescent="0.2">
      <c r="Y146" s="66" t="s">
        <v>25</v>
      </c>
      <c r="Z146" s="34" t="str">
        <f t="shared" ca="1" si="49"/>
        <v>Maibach 1822 eVMainz 05</v>
      </c>
      <c r="AA146" s="12">
        <f t="shared" ca="1" si="48"/>
        <v>1</v>
      </c>
      <c r="AB146" s="12" t="str">
        <f ca="1">IF(AA146&gt;0,Y74&amp;Language!$E$96&amp;X74,"")</f>
        <v>25-16</v>
      </c>
      <c r="AC146" s="2"/>
      <c r="AD146" s="143"/>
      <c r="AE146" s="709"/>
      <c r="AF146" s="710"/>
      <c r="AG146" s="710"/>
      <c r="AH146" s="710"/>
      <c r="AI146" s="711" t="str">
        <f ca="1">IF(AA74&gt;0,AF74&amp;Language!$E$96&amp;AE74,"")</f>
        <v>1-1</v>
      </c>
    </row>
    <row r="147" spans="25:35" x14ac:dyDescent="0.2">
      <c r="Y147" s="66" t="s">
        <v>26</v>
      </c>
      <c r="Z147" s="34" t="str">
        <f t="shared" ca="1" si="49"/>
        <v>1. FC NürnbergReal Madrid</v>
      </c>
      <c r="AA147" s="12">
        <f t="shared" ca="1" si="48"/>
        <v>1</v>
      </c>
      <c r="AB147" s="12" t="str">
        <f ca="1">IF(AA147&gt;0,Y75&amp;Language!$E$96&amp;X75,"")</f>
        <v>25-14</v>
      </c>
      <c r="AC147" s="2"/>
      <c r="AD147" s="143"/>
      <c r="AE147" s="709"/>
      <c r="AF147" s="710"/>
      <c r="AG147" s="710"/>
      <c r="AH147" s="710"/>
      <c r="AI147" s="711" t="str">
        <f ca="1">IF(AA75&gt;0,AF75&amp;Language!$E$96&amp;AE75,"")</f>
        <v>1-1</v>
      </c>
    </row>
    <row r="148" spans="25:35" x14ac:dyDescent="0.2">
      <c r="Y148" s="66" t="s">
        <v>27</v>
      </c>
      <c r="Z148" s="34" t="str">
        <f t="shared" ca="1" si="49"/>
        <v>Inter MailandSSV Wildbach</v>
      </c>
      <c r="AA148" s="12">
        <f t="shared" ca="1" si="48"/>
        <v>1</v>
      </c>
      <c r="AB148" s="12" t="str">
        <f ca="1">IF(AA148&gt;0,Y76&amp;Language!$E$96&amp;X76,"")</f>
        <v>25-22</v>
      </c>
      <c r="AC148" s="2"/>
      <c r="AD148" s="143"/>
      <c r="AE148" s="709"/>
      <c r="AF148" s="710"/>
      <c r="AG148" s="710"/>
      <c r="AH148" s="710"/>
      <c r="AI148" s="711" t="str">
        <f ca="1">IF(AA76&gt;0,AF76&amp;Language!$E$96&amp;AE76,"")</f>
        <v>1-1</v>
      </c>
    </row>
    <row r="149" spans="25:35" x14ac:dyDescent="0.2">
      <c r="Y149" s="66" t="s">
        <v>28</v>
      </c>
      <c r="Z149" s="34" t="str">
        <f t="shared" ca="1" si="49"/>
        <v>FSV RauenManchester City</v>
      </c>
      <c r="AA149" s="12">
        <f t="shared" ca="1" si="48"/>
        <v>1</v>
      </c>
      <c r="AB149" s="12" t="str">
        <f ca="1">IF(AA149&gt;0,Y77&amp;Language!$E$96&amp;X77,"")</f>
        <v>25-19</v>
      </c>
      <c r="AC149" s="2"/>
      <c r="AD149" s="143"/>
      <c r="AE149" s="709"/>
      <c r="AF149" s="710"/>
      <c r="AG149" s="710"/>
      <c r="AH149" s="710"/>
      <c r="AI149" s="711" t="str">
        <f ca="1">IF(AA77&gt;0,AF77&amp;Language!$E$96&amp;AE77,"")</f>
        <v>1-1</v>
      </c>
    </row>
    <row r="150" spans="25:35" x14ac:dyDescent="0.2">
      <c r="Y150" s="66" t="s">
        <v>29</v>
      </c>
      <c r="Z150" s="34" t="str">
        <f t="shared" ca="1" si="49"/>
        <v>FC GrönlingenKickers Rodendorf</v>
      </c>
      <c r="AA150" s="12">
        <f t="shared" ca="1" si="48"/>
        <v>1</v>
      </c>
      <c r="AB150" s="12" t="str">
        <f ca="1">IF(AA150&gt;0,Y78&amp;Language!$E$96&amp;X78,"")</f>
        <v>25-17</v>
      </c>
      <c r="AC150" s="2"/>
      <c r="AD150" s="143"/>
      <c r="AE150" s="709"/>
      <c r="AF150" s="710"/>
      <c r="AG150" s="710"/>
      <c r="AH150" s="710"/>
      <c r="AI150" s="711" t="str">
        <f ca="1">IF(AA78&gt;0,AF78&amp;Language!$E$96&amp;AE78,"")</f>
        <v>2-0</v>
      </c>
    </row>
    <row r="151" spans="25:35" x14ac:dyDescent="0.2">
      <c r="Y151" s="66" t="s">
        <v>30</v>
      </c>
      <c r="Z151" s="34" t="str">
        <f t="shared" ca="1" si="49"/>
        <v>Eintracht FrankfurtVFB Essenheim</v>
      </c>
      <c r="AA151" s="12">
        <f t="shared" ca="1" si="48"/>
        <v>1</v>
      </c>
      <c r="AB151" s="12" t="str">
        <f ca="1">IF(AA151&gt;0,Y79&amp;Language!$E$96&amp;X79,"")</f>
        <v>25-14</v>
      </c>
      <c r="AC151" s="2"/>
      <c r="AD151" s="143"/>
      <c r="AE151" s="709"/>
      <c r="AF151" s="710"/>
      <c r="AG151" s="710"/>
      <c r="AH151" s="710"/>
      <c r="AI151" s="711" t="str">
        <f ca="1">IF(AA79&gt;0,AF79&amp;Language!$E$96&amp;AE79,"")</f>
        <v>1-1</v>
      </c>
    </row>
    <row r="152" spans="25:35" x14ac:dyDescent="0.2">
      <c r="Y152" s="66" t="s">
        <v>31</v>
      </c>
      <c r="Z152" s="34" t="str">
        <f t="shared" ca="1" si="49"/>
        <v>Borussia DortmundFC Barcelona</v>
      </c>
      <c r="AA152" s="12">
        <f t="shared" ca="1" si="48"/>
        <v>1</v>
      </c>
      <c r="AB152" s="12" t="str">
        <f ca="1">IF(AA152&gt;0,Y80&amp;Language!$E$96&amp;X80,"")</f>
        <v>25-21</v>
      </c>
      <c r="AC152" s="2"/>
      <c r="AD152" s="143"/>
      <c r="AE152" s="709"/>
      <c r="AF152" s="710"/>
      <c r="AG152" s="710"/>
      <c r="AH152" s="710"/>
      <c r="AI152" s="711" t="str">
        <f ca="1">IF(AA80&gt;0,AF80&amp;Language!$E$96&amp;AE80,"")</f>
        <v>1-1</v>
      </c>
    </row>
    <row r="153" spans="25:35" x14ac:dyDescent="0.2">
      <c r="Y153" s="66" t="s">
        <v>32</v>
      </c>
      <c r="Z153" s="34" t="str">
        <f t="shared" ca="1" si="49"/>
        <v>Manchester City</v>
      </c>
      <c r="AA153" s="12">
        <f t="shared" ca="1" si="48"/>
        <v>0</v>
      </c>
      <c r="AB153" s="12" t="str">
        <f ca="1">IF(AA153&gt;0,Y81&amp;Language!$E$96&amp;X81,"")</f>
        <v/>
      </c>
      <c r="AC153" s="2"/>
      <c r="AD153" s="143"/>
      <c r="AE153" s="709"/>
      <c r="AF153" s="710"/>
      <c r="AG153" s="710"/>
      <c r="AH153" s="710"/>
      <c r="AI153" s="711" t="str">
        <f ca="1">IF(AA81&gt;0,AF81&amp;Language!$E$96&amp;AE81,"")</f>
        <v/>
      </c>
    </row>
    <row r="154" spans="25:35" x14ac:dyDescent="0.2">
      <c r="Y154" s="66" t="s">
        <v>33</v>
      </c>
      <c r="Z154" s="34" t="str">
        <f t="shared" ref="Z154:Z160" ca="1" si="50">W82&amp;V82</f>
        <v>Kickers RodendorfMainz 05</v>
      </c>
      <c r="AA154" s="12">
        <f t="shared" ca="1" si="48"/>
        <v>1</v>
      </c>
      <c r="AB154" s="12" t="str">
        <f ca="1">IF(AA154&gt;0,Y82&amp;Language!$E$96&amp;X82,"")</f>
        <v>20-25</v>
      </c>
      <c r="AC154" s="2"/>
      <c r="AD154" s="143"/>
      <c r="AE154" s="709"/>
      <c r="AF154" s="710"/>
      <c r="AG154" s="710"/>
      <c r="AH154" s="710"/>
      <c r="AI154" s="711" t="str">
        <f ca="1">IF(AA82&gt;0,AF82&amp;Language!$E$96&amp;AE82,"")</f>
        <v>0-2</v>
      </c>
    </row>
    <row r="155" spans="25:35" x14ac:dyDescent="0.2">
      <c r="Y155" s="66" t="s">
        <v>34</v>
      </c>
      <c r="Z155" s="34" t="str">
        <f t="shared" ca="1" si="50"/>
        <v>VFB EssenheimReal Madrid</v>
      </c>
      <c r="AA155" s="12">
        <f t="shared" ca="1" si="48"/>
        <v>1</v>
      </c>
      <c r="AB155" s="12" t="str">
        <f ca="1">IF(AA155&gt;0,Y83&amp;Language!$E$96&amp;X83,"")</f>
        <v>2-25</v>
      </c>
      <c r="AC155" s="2"/>
      <c r="AD155" s="143"/>
      <c r="AE155" s="709"/>
      <c r="AF155" s="710"/>
      <c r="AG155" s="710"/>
      <c r="AH155" s="710"/>
      <c r="AI155" s="711" t="str">
        <f ca="1">IF(AA83&gt;0,AF83&amp;Language!$E$96&amp;AE83,"")</f>
        <v>0-2</v>
      </c>
    </row>
    <row r="156" spans="25:35" x14ac:dyDescent="0.2">
      <c r="Y156" s="66" t="s">
        <v>35</v>
      </c>
      <c r="Z156" s="34" t="str">
        <f t="shared" ca="1" si="50"/>
        <v>FC BarcelonaSSV Wildbach</v>
      </c>
      <c r="AA156" s="12">
        <f t="shared" ca="1" si="48"/>
        <v>1</v>
      </c>
      <c r="AB156" s="12" t="str">
        <f ca="1">IF(AA156&gt;0,Y84&amp;Language!$E$96&amp;X84,"")</f>
        <v>16-25</v>
      </c>
      <c r="AC156" s="2"/>
      <c r="AD156" s="143"/>
      <c r="AE156" s="709"/>
      <c r="AF156" s="710"/>
      <c r="AG156" s="710"/>
      <c r="AH156" s="710"/>
      <c r="AI156" s="711" t="str">
        <f ca="1">IF(AA84&gt;0,AF84&amp;Language!$E$96&amp;AE84,"")</f>
        <v>0-2</v>
      </c>
    </row>
    <row r="157" spans="25:35" x14ac:dyDescent="0.2">
      <c r="Y157" s="66" t="s">
        <v>36</v>
      </c>
      <c r="Z157" s="34" t="str">
        <f t="shared" ca="1" si="50"/>
        <v>1. FC RiedwaldFSV Rauen</v>
      </c>
      <c r="AA157" s="12">
        <f t="shared" ca="1" si="48"/>
        <v>1</v>
      </c>
      <c r="AB157" s="12" t="str">
        <f ca="1">IF(AA157&gt;0,Y85&amp;Language!$E$96&amp;X85,"")</f>
        <v>2-25</v>
      </c>
      <c r="AC157" s="2"/>
      <c r="AD157" s="143"/>
      <c r="AE157" s="709"/>
      <c r="AF157" s="710"/>
      <c r="AG157" s="710"/>
      <c r="AH157" s="710"/>
      <c r="AI157" s="711" t="str">
        <f ca="1">IF(AA85&gt;0,AF85&amp;Language!$E$96&amp;AE85,"")</f>
        <v>0-2</v>
      </c>
    </row>
    <row r="158" spans="25:35" x14ac:dyDescent="0.2">
      <c r="Y158" s="66" t="s">
        <v>37</v>
      </c>
      <c r="Z158" s="34" t="str">
        <f t="shared" ca="1" si="50"/>
        <v>Maibach 1822 eVFC Grönlingen</v>
      </c>
      <c r="AA158" s="12">
        <f t="shared" ca="1" si="48"/>
        <v>1</v>
      </c>
      <c r="AB158" s="12" t="str">
        <f ca="1">IF(AA158&gt;0,Y86&amp;Language!$E$96&amp;X86,"")</f>
        <v>25-13</v>
      </c>
      <c r="AC158" s="2"/>
      <c r="AD158" s="143"/>
      <c r="AE158" s="709"/>
      <c r="AF158" s="710"/>
      <c r="AG158" s="710"/>
      <c r="AH158" s="710"/>
      <c r="AI158" s="711" t="str">
        <f ca="1">IF(AA86&gt;0,AF86&amp;Language!$E$96&amp;AE86,"")</f>
        <v>1-1</v>
      </c>
    </row>
    <row r="159" spans="25:35" x14ac:dyDescent="0.2">
      <c r="Y159" s="66" t="s">
        <v>38</v>
      </c>
      <c r="Z159" s="34" t="str">
        <f t="shared" ca="1" si="50"/>
        <v>1. FC NürnbergEintracht Frankfurt</v>
      </c>
      <c r="AA159" s="12">
        <f t="shared" ca="1" si="48"/>
        <v>1</v>
      </c>
      <c r="AB159" s="12" t="str">
        <f ca="1">IF(AA159&gt;0,Y87&amp;Language!$E$96&amp;X87,"")</f>
        <v>25-19</v>
      </c>
      <c r="AC159" s="2"/>
      <c r="AD159" s="143"/>
      <c r="AE159" s="709"/>
      <c r="AF159" s="710"/>
      <c r="AG159" s="710"/>
      <c r="AH159" s="710"/>
      <c r="AI159" s="711" t="str">
        <f ca="1">IF(AA87&gt;0,AF87&amp;Language!$E$96&amp;AE87,"")</f>
        <v>1-1</v>
      </c>
    </row>
    <row r="160" spans="25:35" ht="12.75" thickBot="1" x14ac:dyDescent="0.25">
      <c r="Y160" s="684" t="s">
        <v>39</v>
      </c>
      <c r="Z160" s="685" t="str">
        <f t="shared" ca="1" si="50"/>
        <v>Inter MailandBorussia Dortmund</v>
      </c>
      <c r="AA160" s="686">
        <f t="shared" ca="1" si="48"/>
        <v>1</v>
      </c>
      <c r="AB160" s="686" t="str">
        <f ca="1">IF(AA160&gt;0,Y88&amp;Language!$E$96&amp;X88,"")</f>
        <v>25-17</v>
      </c>
      <c r="AC160" s="687"/>
      <c r="AD160" s="688"/>
      <c r="AE160" s="705"/>
      <c r="AF160" s="706"/>
      <c r="AG160" s="706"/>
      <c r="AH160" s="706"/>
      <c r="AI160" s="712" t="str">
        <f ca="1">IF(AA88&gt;0,AF88&amp;Language!$E$96&amp;AE88,"")</f>
        <v>1-1</v>
      </c>
    </row>
    <row r="161" spans="25:35" ht="12.75" thickTop="1"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3</v>
      </c>
      <c r="D4" s="12">
        <f ca="1">E4+ROW()/1000+(F4="")*10</f>
        <v>3.004</v>
      </c>
      <c r="E4" s="266">
        <f ca="1">IF($AI$15,RANK(AH17,AH$17:AH$25,1),RANK(X17,X$17:X$25,1))</f>
        <v>3</v>
      </c>
      <c r="F4" s="1" t="str">
        <f ca="1">$Q64</f>
        <v>Eintracht Frankfurt</v>
      </c>
      <c r="G4" s="1">
        <f ca="1">SUMIFS($X$64:$X$135,$V$64:$V$135,$F4)+SUMIFS($Y$64:$Y$135,$W$64:$W$135,$F4)+SUMIFS($AG$64:$AG$135,$V$64:$V$135,$F4)+SUMIFS($AH$64:$AH$135,$W$64:$W$135,$F4)</f>
        <v>137</v>
      </c>
      <c r="H4" s="1">
        <f ca="1">SUMIFS($Y$64:$Y$135,$V$64:$V$135,$F4)+SUMIFS($X$64:$X$135,$W$64:$W$135,$F4)+SUMIFS($AH$64:$AH$135,$V$64:$V$135,$F4)+SUMIFS($AG$64:$AG$135,$W$64:$W$135,$F4)</f>
        <v>126</v>
      </c>
      <c r="I4" s="12">
        <f ca="1">IF(Settings!$G$7,G4-H4,IF(H4=0,IF(G4=0,0,Settings!$F$7),G4/H4))</f>
        <v>11</v>
      </c>
      <c r="J4" s="1">
        <f ca="1">SUMPRODUCT(($V$64:$V$135=F4)*$AE$64:$AE$135*$AA$64:$AA$135)+SUMPRODUCT(($W$64:$W$135=F4)*$AF$64:$AF$135*$AA$64:$AA$135)</f>
        <v>3</v>
      </c>
      <c r="K4" s="1">
        <f ca="1">SUMPRODUCT(($V$64:$V$135=F4)*$AA$64:$AA$135)+SUMPRODUCT(($W$64:$W$135=F4)*$AA$64:$AA$135)</f>
        <v>3</v>
      </c>
      <c r="L4" s="1">
        <f ca="1">K4-M4-N4</f>
        <v>0</v>
      </c>
      <c r="M4" s="1">
        <f ca="1">SUMPRODUCT(($V$64:$W$135=F4)*($AE$64:$AE$135=$AF$64:$AF$135)*$AA$64:$AA$135)</f>
        <v>3</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11</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1. FC Nürnberg</v>
      </c>
      <c r="G5" s="1">
        <f t="shared" ref="G5:G12" ca="1" si="4">SUMIFS($X$64:$X$135,$V$64:$V$135,$F5)+SUMIFS($Y$64:$Y$135,$W$64:$W$135,$F5)+SUMIFS($AG$64:$AG$135,$V$64:$V$135,$F5)+SUMIFS($AH$64:$AH$135,$W$64:$W$135,$F5)</f>
        <v>136</v>
      </c>
      <c r="H5" s="1">
        <f t="shared" ref="H5:H12" ca="1" si="5">SUMIFS($Y$64:$Y$135,$V$64:$V$135,$F5)+SUMIFS($X$64:$X$135,$W$64:$W$135,$F5)+SUMIFS($AH$64:$AH$135,$V$64:$V$135,$F5)+SUMIFS($AG$64:$AG$135,$W$64:$W$135,$F5)</f>
        <v>122</v>
      </c>
      <c r="I5" s="12">
        <f ca="1">IF(Settings!$G$7,G5-H5,IF(H5=0,IF(G5=0,0,Settings!$F$7),G5/H5))</f>
        <v>14</v>
      </c>
      <c r="J5" s="1">
        <f t="shared" ref="J5:J12" ca="1" si="6">SUMPRODUCT(($V$64:$V$135=F5)*$AE$64:$AE$135*$AA$64:$AA$135)+SUMPRODUCT(($W$64:$W$135=F5)*$AF$64:$AF$135*$AA$64:$AA$135)</f>
        <v>4</v>
      </c>
      <c r="K5" s="1">
        <f t="shared" ref="K5:K12" ca="1" si="7">SUMPRODUCT(($V$64:$V$135=F5)*$AA$64:$AA$135)+SUMPRODUCT(($W$64:$W$135=F5)*$AA$64:$AA$135)</f>
        <v>3</v>
      </c>
      <c r="L5" s="1">
        <f t="shared" ref="L5:L12" ca="1" si="8">K5-M5-N5</f>
        <v>1</v>
      </c>
      <c r="M5" s="1">
        <f t="shared" ref="M5:M12" ca="1" si="9">SUMPRODUCT(($V$64:$W$135=F5)*($AE$64:$AE$135=$AF$64:$AF$135)*$AA$64:$AA$135)</f>
        <v>2</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14</v>
      </c>
    </row>
    <row r="6" spans="1:44" s="2" customFormat="1" x14ac:dyDescent="0.2">
      <c r="A6" s="254"/>
      <c r="B6" s="1">
        <v>3</v>
      </c>
      <c r="C6" s="21">
        <f t="shared" ca="1" si="0"/>
        <v>4</v>
      </c>
      <c r="D6" s="12">
        <f t="shared" ca="1" si="1"/>
        <v>4.0060000000000002</v>
      </c>
      <c r="E6" s="266">
        <f t="shared" ca="1" si="2"/>
        <v>4</v>
      </c>
      <c r="F6" s="1" t="str">
        <f t="shared" ca="1" si="3"/>
        <v>VFB Essenheim</v>
      </c>
      <c r="G6" s="1">
        <f t="shared" ca="1" si="4"/>
        <v>100</v>
      </c>
      <c r="H6" s="1">
        <f t="shared" ca="1" si="5"/>
        <v>148</v>
      </c>
      <c r="I6" s="12">
        <f ca="1">IF(Settings!$G$7,G6-H6,IF(H6=0,IF(G6=0,0,Settings!$F$7),G6/H6))</f>
        <v>-48</v>
      </c>
      <c r="J6" s="1">
        <f t="shared" ca="1" si="6"/>
        <v>1</v>
      </c>
      <c r="K6" s="1">
        <f t="shared" ca="1" si="7"/>
        <v>3</v>
      </c>
      <c r="L6" s="1">
        <f t="shared" ca="1" si="8"/>
        <v>0</v>
      </c>
      <c r="M6" s="1">
        <f t="shared" ca="1" si="9"/>
        <v>1</v>
      </c>
      <c r="N6" s="1">
        <f t="shared" ca="1" si="10"/>
        <v>2</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-48</v>
      </c>
    </row>
    <row r="7" spans="1:44" s="2" customFormat="1" x14ac:dyDescent="0.2">
      <c r="A7" s="254"/>
      <c r="B7" s="1">
        <v>4</v>
      </c>
      <c r="C7" s="21">
        <f t="shared" ca="1" si="0"/>
        <v>1</v>
      </c>
      <c r="D7" s="12">
        <f t="shared" ca="1" si="1"/>
        <v>1.0069999999999999</v>
      </c>
      <c r="E7" s="266">
        <f t="shared" ca="1" si="2"/>
        <v>1</v>
      </c>
      <c r="F7" s="1" t="str">
        <f t="shared" ca="1" si="3"/>
        <v>Real Madrid</v>
      </c>
      <c r="G7" s="1">
        <f t="shared" ca="1" si="4"/>
        <v>134</v>
      </c>
      <c r="H7" s="1">
        <f t="shared" ca="1" si="5"/>
        <v>111</v>
      </c>
      <c r="I7" s="12">
        <f ca="1">IF(Settings!$G$7,G7-H7,IF(H7=0,IF(G7=0,0,Settings!$F$7),G7/H7))</f>
        <v>23</v>
      </c>
      <c r="J7" s="1">
        <f t="shared" ca="1" si="6"/>
        <v>4</v>
      </c>
      <c r="K7" s="1">
        <f t="shared" ca="1" si="7"/>
        <v>3</v>
      </c>
      <c r="L7" s="1">
        <f t="shared" ca="1" si="8"/>
        <v>1</v>
      </c>
      <c r="M7" s="1">
        <f t="shared" ca="1" si="9"/>
        <v>2</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23</v>
      </c>
    </row>
    <row r="8" spans="1:44" s="2" customFormat="1" x14ac:dyDescent="0.2">
      <c r="A8" s="254"/>
      <c r="B8" s="1">
        <v>5</v>
      </c>
      <c r="C8" s="21">
        <f t="shared" ca="1" si="0"/>
        <v>5</v>
      </c>
      <c r="D8" s="12">
        <f t="shared" ca="1" si="1"/>
        <v>15.007999999999999</v>
      </c>
      <c r="E8" s="266">
        <f t="shared" ca="1" si="2"/>
        <v>5</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15.009</v>
      </c>
      <c r="E9" s="266">
        <f t="shared" ca="1" si="2"/>
        <v>5</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15.01</v>
      </c>
      <c r="E10" s="266">
        <f t="shared" ca="1" si="2"/>
        <v>5</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15.010999999999999</v>
      </c>
      <c r="E11" s="266">
        <f t="shared" ca="1" si="2"/>
        <v>5</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15.012</v>
      </c>
      <c r="E12" s="266">
        <f t="shared" ca="1" si="2"/>
        <v>5</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12</v>
      </c>
      <c r="C13" s="12"/>
      <c r="D13" s="12"/>
      <c r="E13" s="12"/>
      <c r="F13" s="12">
        <f ca="1">9-COUNTBLANK($F$4:$F$12)</f>
        <v>4</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Eintracht Frankfurt</v>
      </c>
      <c r="D17" s="1">
        <f t="shared" ref="D17:G25" ca="1" si="11">K4</f>
        <v>3</v>
      </c>
      <c r="E17" s="1">
        <f t="shared" ca="1" si="11"/>
        <v>0</v>
      </c>
      <c r="F17" s="1">
        <f t="shared" ca="1" si="11"/>
        <v>3</v>
      </c>
      <c r="G17" s="1">
        <f t="shared" ca="1" si="11"/>
        <v>0</v>
      </c>
      <c r="H17" s="1">
        <f t="shared" ref="H17:K25" ca="1" si="12">G4</f>
        <v>137</v>
      </c>
      <c r="I17" s="1">
        <f t="shared" ca="1" si="12"/>
        <v>126</v>
      </c>
      <c r="J17" s="12">
        <f t="shared" ca="1" si="12"/>
        <v>11</v>
      </c>
      <c r="K17" s="1">
        <f t="shared" ca="1" si="12"/>
        <v>3</v>
      </c>
      <c r="L17" s="29">
        <f ca="1">IF($C17="",0,K17*$F$64+(J17+$H$65)*$F$65)</f>
        <v>3511000</v>
      </c>
      <c r="M17" s="13">
        <f ca="1">IF($AI$15,COUNTIF($K$17:$K$25,K17),COUNTIF($L$17:$L$25,L17))</f>
        <v>1</v>
      </c>
      <c r="N17" s="13">
        <f t="array" aca="1" ref="N17" ca="1">IF($AI$15,SUM(($K$17:$K$25&gt;=K17)/COUNTIF($K$17:$K$25,$K$17:$K$25)),SUM(($L$17:$L$25&gt;=L17)/COUNTIF($L$17:$L$25,$L$17:$L$25)))</f>
        <v>3</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IF($C17="",0,AA17*$F$64+(AB17+$H$65)*$F$65)</f>
        <v>500000</v>
      </c>
      <c r="X17" s="20">
        <f ca="1">RANK($L17,$L$17:$L$25)+RANK($W17,$W$17:$W$25)/100+(9-$Y17)/10000</f>
        <v>3.0108999999999999</v>
      </c>
      <c r="Y17" s="12">
        <f ca="1">'Finals 4'!$AI20</f>
        <v>0</v>
      </c>
      <c r="Z17" s="1">
        <f ca="1">RANK($W17,$W$17:$W$25)+(9-$Y17)/10</f>
        <v>1.9</v>
      </c>
      <c r="AA17" s="1">
        <f ca="1">SUM(E30:BP30)</f>
        <v>0</v>
      </c>
      <c r="AB17" s="1">
        <f ca="1">SUM(E41:BP41)</f>
        <v>0</v>
      </c>
      <c r="AC17" s="1"/>
      <c r="AD17" s="260">
        <f ca="1">RANK($K17,$K$17:$K$25)</f>
        <v>3</v>
      </c>
      <c r="AE17" s="29">
        <f ca="1">(J17+$H$65)*$F$65</f>
        <v>511000</v>
      </c>
      <c r="AF17" s="1">
        <f ca="1">RANK($AE17,$AE$17:$AE$25)</f>
        <v>3</v>
      </c>
      <c r="AG17" s="1">
        <f ca="1">RANK($W17,$W$17:$W$25)</f>
        <v>1</v>
      </c>
      <c r="AH17" s="262">
        <f ca="1">AD17+AG17/100+AF17/10000+(10-Y17)/1000000</f>
        <v>3.01031</v>
      </c>
      <c r="AI17" s="1"/>
    </row>
    <row r="18" spans="2:80" s="2" customFormat="1" x14ac:dyDescent="0.2">
      <c r="C18" s="2" t="str">
        <f t="shared" ref="C18:C25" ca="1" si="21">$Q65</f>
        <v>1. FC Nürnberg</v>
      </c>
      <c r="D18" s="1">
        <f t="shared" ca="1" si="11"/>
        <v>3</v>
      </c>
      <c r="E18" s="1">
        <f t="shared" ca="1" si="11"/>
        <v>1</v>
      </c>
      <c r="F18" s="1">
        <f t="shared" ca="1" si="11"/>
        <v>2</v>
      </c>
      <c r="G18" s="1">
        <f t="shared" ca="1" si="11"/>
        <v>0</v>
      </c>
      <c r="H18" s="1">
        <f t="shared" ca="1" si="12"/>
        <v>136</v>
      </c>
      <c r="I18" s="1">
        <f t="shared" ca="1" si="12"/>
        <v>122</v>
      </c>
      <c r="J18" s="12">
        <f t="shared" ca="1" si="12"/>
        <v>14</v>
      </c>
      <c r="K18" s="1">
        <f t="shared" ca="1" si="12"/>
        <v>4</v>
      </c>
      <c r="L18" s="29">
        <f t="shared" ref="L18:L25" ca="1" si="22">IF($C18="",0,K18*$F$64+(J18+$H$65)*$F$65)</f>
        <v>4514000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IF($C18="",0,AA18*$F$64+(AB18+$H$65)*$F$65)</f>
        <v>500000</v>
      </c>
      <c r="X18" s="21">
        <f t="shared" ref="X18:X25" ca="1" si="25">RANK($L18,$L$17:$L$25)+RANK($W18,$W$17:$W$25)/100+(9-$Y18)/10000</f>
        <v>2.0108999999999999</v>
      </c>
      <c r="Y18" s="12">
        <f ca="1">'Finals 4'!$AI21</f>
        <v>0</v>
      </c>
      <c r="Z18" s="1">
        <f t="shared" ref="Z18:Z25" ca="1" si="26">RANK($W18,$W$17:$W$25)+(9-$Y18)/10</f>
        <v>1.9</v>
      </c>
      <c r="AA18" s="1">
        <f t="shared" ref="AA18:AA25" ca="1" si="27">SUM(E31:BP31)</f>
        <v>0</v>
      </c>
      <c r="AB18" s="1">
        <f t="shared" ref="AB18:AB25" ca="1" si="28">SUM(E42:BP42)</f>
        <v>0</v>
      </c>
      <c r="AC18" s="1"/>
      <c r="AD18" s="260">
        <f t="shared" ref="AD18:AD25" ca="1" si="29">RANK($K18,$K$17:$K$25)</f>
        <v>1</v>
      </c>
      <c r="AE18" s="29">
        <f t="shared" ref="AE18:AE25" ca="1" si="30">(J18+$H$65)*$F$65</f>
        <v>514000</v>
      </c>
      <c r="AF18" s="1">
        <f t="shared" ref="AF18:AF25" ca="1" si="31">RANK($AE18,$AE$17:$AE$25)</f>
        <v>2</v>
      </c>
      <c r="AG18" s="1">
        <f t="shared" ref="AG18:AG25" ca="1" si="32">RANK($W18,$W$17:$W$25)</f>
        <v>1</v>
      </c>
      <c r="AH18" s="263">
        <f t="shared" ref="AH18:AH25" ca="1" si="33">AD18+AG18/100+AF18/10000+(10-Y18)/1000000</f>
        <v>1.0102100000000001</v>
      </c>
      <c r="AI18" s="1"/>
    </row>
    <row r="19" spans="2:80" s="2" customFormat="1" x14ac:dyDescent="0.2">
      <c r="C19" s="2" t="str">
        <f t="shared" ca="1" si="21"/>
        <v>VFB Essenheim</v>
      </c>
      <c r="D19" s="1">
        <f t="shared" ca="1" si="11"/>
        <v>3</v>
      </c>
      <c r="E19" s="1">
        <f t="shared" ca="1" si="11"/>
        <v>0</v>
      </c>
      <c r="F19" s="1">
        <f t="shared" ca="1" si="11"/>
        <v>1</v>
      </c>
      <c r="G19" s="1">
        <f t="shared" ca="1" si="11"/>
        <v>2</v>
      </c>
      <c r="H19" s="1">
        <f t="shared" ca="1" si="12"/>
        <v>100</v>
      </c>
      <c r="I19" s="1">
        <f t="shared" ca="1" si="12"/>
        <v>148</v>
      </c>
      <c r="J19" s="12">
        <f t="shared" ca="1" si="12"/>
        <v>-48</v>
      </c>
      <c r="K19" s="1">
        <f t="shared" ca="1" si="12"/>
        <v>1</v>
      </c>
      <c r="L19" s="29">
        <f t="shared" ca="1" si="22"/>
        <v>1452000</v>
      </c>
      <c r="M19" s="13">
        <f t="shared" ca="1" si="23"/>
        <v>1</v>
      </c>
      <c r="N19" s="13">
        <f t="array" aca="1" ref="N19" ca="1">IF($AI$15,SUM(($K$17:$K$25&gt;=K19)/COUNTIF($K$17:$K$25,$K$17:$K$25)),SUM(($L$17:$L$25&gt;=L19)/COUNTIF($L$17:$L$25,$L$17:$L$25)))</f>
        <v>4</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4.0108999999999995</v>
      </c>
      <c r="Y19" s="12">
        <f ca="1">'Finals 4'!$AI22</f>
        <v>0</v>
      </c>
      <c r="Z19" s="1">
        <f t="shared" ca="1" si="26"/>
        <v>1.9</v>
      </c>
      <c r="AA19" s="1">
        <f t="shared" ca="1" si="27"/>
        <v>0</v>
      </c>
      <c r="AB19" s="1">
        <f t="shared" ca="1" si="28"/>
        <v>0</v>
      </c>
      <c r="AC19" s="1"/>
      <c r="AD19" s="260">
        <f t="shared" ca="1" si="29"/>
        <v>4</v>
      </c>
      <c r="AE19" s="29">
        <f t="shared" ca="1" si="30"/>
        <v>452000</v>
      </c>
      <c r="AF19" s="1">
        <f t="shared" ca="1" si="31"/>
        <v>9</v>
      </c>
      <c r="AG19" s="1">
        <f t="shared" ca="1" si="32"/>
        <v>1</v>
      </c>
      <c r="AH19" s="263">
        <f t="shared" ca="1" si="33"/>
        <v>4.0109099999999991</v>
      </c>
      <c r="AI19" s="1"/>
    </row>
    <row r="20" spans="2:80" s="2" customFormat="1" x14ac:dyDescent="0.2">
      <c r="C20" s="2" t="str">
        <f t="shared" ca="1" si="21"/>
        <v>Real Madrid</v>
      </c>
      <c r="D20" s="1">
        <f t="shared" ca="1" si="11"/>
        <v>3</v>
      </c>
      <c r="E20" s="1">
        <f t="shared" ca="1" si="11"/>
        <v>1</v>
      </c>
      <c r="F20" s="1">
        <f t="shared" ca="1" si="11"/>
        <v>2</v>
      </c>
      <c r="G20" s="1">
        <f t="shared" ca="1" si="11"/>
        <v>0</v>
      </c>
      <c r="H20" s="1">
        <f t="shared" ca="1" si="12"/>
        <v>134</v>
      </c>
      <c r="I20" s="1">
        <f t="shared" ca="1" si="12"/>
        <v>111</v>
      </c>
      <c r="J20" s="12">
        <f t="shared" ca="1" si="12"/>
        <v>23</v>
      </c>
      <c r="K20" s="1">
        <f t="shared" ca="1" si="12"/>
        <v>4</v>
      </c>
      <c r="L20" s="29">
        <f t="shared" ca="1" si="22"/>
        <v>4523000</v>
      </c>
      <c r="M20" s="13">
        <f t="shared" ca="1" si="23"/>
        <v>1</v>
      </c>
      <c r="N20" s="13">
        <f t="array" aca="1" ref="N20" ca="1">IF($AI$15,SUM(($K$17:$K$25&gt;=K20)/COUNTIF($K$17:$K$25,$K$17:$K$25)),SUM(($L$17:$L$25&gt;=L20)/COUNTIF($L$17:$L$25,$L$17:$L$25)))</f>
        <v>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1.0108999999999999</v>
      </c>
      <c r="Y20" s="12">
        <f ca="1">'Finals 4'!$AI23</f>
        <v>0</v>
      </c>
      <c r="Z20" s="1">
        <f t="shared" ca="1" si="26"/>
        <v>1.9</v>
      </c>
      <c r="AA20" s="1">
        <f t="shared" ca="1" si="27"/>
        <v>0</v>
      </c>
      <c r="AB20" s="1">
        <f t="shared" ca="1" si="28"/>
        <v>0</v>
      </c>
      <c r="AC20" s="1"/>
      <c r="AD20" s="260">
        <f t="shared" ca="1" si="29"/>
        <v>1</v>
      </c>
      <c r="AE20" s="29">
        <f t="shared" ca="1" si="30"/>
        <v>523000</v>
      </c>
      <c r="AF20" s="1">
        <f t="shared" ca="1" si="31"/>
        <v>1</v>
      </c>
      <c r="AG20" s="1">
        <f t="shared" ca="1" si="32"/>
        <v>1</v>
      </c>
      <c r="AH20" s="263">
        <f t="shared" ca="1" si="33"/>
        <v>1.0101100000000001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si="22"/>
        <v>0</v>
      </c>
      <c r="M21" s="13">
        <f t="shared" ca="1" si="23"/>
        <v>5</v>
      </c>
      <c r="N21" s="13">
        <f t="array" aca="1" ref="N21" ca="1">IF($AI$15,SUM(($K$17:$K$25&gt;=K21)/COUNTIF($K$17:$K$25,$K$17:$K$25)),SUM(($L$17:$L$25&gt;=L21)/COUNTIF($L$17:$L$25,$L$17:$L$25)))</f>
        <v>5.0000000000000009</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si="24"/>
        <v>0</v>
      </c>
      <c r="X21" s="21">
        <f t="shared" ca="1" si="25"/>
        <v>5.0508999999999995</v>
      </c>
      <c r="Y21" s="12">
        <v>0</v>
      </c>
      <c r="Z21" s="1">
        <f t="shared" ca="1" si="26"/>
        <v>5.9</v>
      </c>
      <c r="AA21" s="1">
        <f t="shared" ca="1" si="27"/>
        <v>0</v>
      </c>
      <c r="AB21" s="1">
        <f t="shared" ca="1" si="28"/>
        <v>0</v>
      </c>
      <c r="AC21" s="1"/>
      <c r="AD21" s="260">
        <f t="shared" ca="1" si="29"/>
        <v>5</v>
      </c>
      <c r="AE21" s="29">
        <f t="shared" ca="1" si="30"/>
        <v>500000</v>
      </c>
      <c r="AF21" s="1">
        <f t="shared" ca="1" si="31"/>
        <v>4</v>
      </c>
      <c r="AG21" s="1">
        <f t="shared" ca="1" si="32"/>
        <v>5</v>
      </c>
      <c r="AH21" s="263">
        <f t="shared" ca="1" si="33"/>
        <v>5.0504099999999994</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si="22"/>
        <v>0</v>
      </c>
      <c r="M22" s="13">
        <f t="shared" ca="1" si="23"/>
        <v>5</v>
      </c>
      <c r="N22" s="13">
        <f t="array" aca="1" ref="N22" ca="1">IF($AI$15,SUM(($K$17:$K$25&gt;=K22)/COUNTIF($K$17:$K$25,$K$17:$K$25)),SUM(($L$17:$L$25&gt;=L22)/COUNTIF($L$17:$L$25,$L$17:$L$25)))</f>
        <v>5.0000000000000009</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si="24"/>
        <v>0</v>
      </c>
      <c r="X22" s="21">
        <f t="shared" ca="1" si="25"/>
        <v>5.0508999999999995</v>
      </c>
      <c r="Y22" s="12">
        <v>0</v>
      </c>
      <c r="Z22" s="1">
        <f t="shared" ca="1" si="26"/>
        <v>5.9</v>
      </c>
      <c r="AA22" s="1">
        <f t="shared" ca="1" si="27"/>
        <v>0</v>
      </c>
      <c r="AB22" s="1">
        <f t="shared" ca="1" si="28"/>
        <v>0</v>
      </c>
      <c r="AC22" s="1"/>
      <c r="AD22" s="260">
        <f t="shared" ca="1" si="29"/>
        <v>5</v>
      </c>
      <c r="AE22" s="29">
        <f t="shared" ca="1" si="30"/>
        <v>500000</v>
      </c>
      <c r="AF22" s="1">
        <f t="shared" ca="1" si="31"/>
        <v>4</v>
      </c>
      <c r="AG22" s="1">
        <f t="shared" ca="1" si="32"/>
        <v>5</v>
      </c>
      <c r="AH22" s="263">
        <f t="shared" ca="1" si="33"/>
        <v>5.0504099999999994</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si="22"/>
        <v>0</v>
      </c>
      <c r="M23" s="13">
        <f t="shared" ca="1" si="23"/>
        <v>5</v>
      </c>
      <c r="N23" s="13">
        <f t="array" aca="1" ref="N23" ca="1">IF($AI$15,SUM(($K$17:$K$25&gt;=K23)/COUNTIF($K$17:$K$25,$K$17:$K$25)),SUM(($L$17:$L$25&gt;=L23)/COUNTIF($L$17:$L$25,$L$17:$L$25)))</f>
        <v>5.0000000000000009</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si="24"/>
        <v>0</v>
      </c>
      <c r="X23" s="21">
        <f t="shared" ca="1" si="25"/>
        <v>5.0508999999999995</v>
      </c>
      <c r="Y23" s="12">
        <v>0</v>
      </c>
      <c r="Z23" s="1">
        <f t="shared" ca="1" si="26"/>
        <v>5.9</v>
      </c>
      <c r="AA23" s="1">
        <f t="shared" ca="1" si="27"/>
        <v>0</v>
      </c>
      <c r="AB23" s="1">
        <f t="shared" ca="1" si="28"/>
        <v>0</v>
      </c>
      <c r="AC23" s="1"/>
      <c r="AD23" s="260">
        <f t="shared" ca="1" si="29"/>
        <v>5</v>
      </c>
      <c r="AE23" s="29">
        <f t="shared" ca="1" si="30"/>
        <v>500000</v>
      </c>
      <c r="AF23" s="1">
        <f t="shared" ca="1" si="31"/>
        <v>4</v>
      </c>
      <c r="AG23" s="1">
        <f t="shared" ca="1" si="32"/>
        <v>5</v>
      </c>
      <c r="AH23" s="263">
        <f t="shared" ca="1" si="33"/>
        <v>5.0504099999999994</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si="22"/>
        <v>0</v>
      </c>
      <c r="M24" s="13">
        <f t="shared" ca="1" si="23"/>
        <v>5</v>
      </c>
      <c r="N24" s="13">
        <f t="array" aca="1" ref="N24" ca="1">IF($AI$15,SUM(($K$17:$K$25&gt;=K24)/COUNTIF($K$17:$K$25,$K$17:$K$25)),SUM(($L$17:$L$25&gt;=L24)/COUNTIF($L$17:$L$25,$L$17:$L$25)))</f>
        <v>5.0000000000000009</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si="24"/>
        <v>0</v>
      </c>
      <c r="X24" s="21">
        <f t="shared" ca="1" si="25"/>
        <v>5.0508999999999995</v>
      </c>
      <c r="Y24" s="12">
        <v>0</v>
      </c>
      <c r="Z24" s="1">
        <f t="shared" ca="1" si="26"/>
        <v>5.9</v>
      </c>
      <c r="AA24" s="1">
        <f t="shared" ca="1" si="27"/>
        <v>0</v>
      </c>
      <c r="AB24" s="1">
        <f t="shared" ca="1" si="28"/>
        <v>0</v>
      </c>
      <c r="AC24" s="1"/>
      <c r="AD24" s="260">
        <f t="shared" ca="1" si="29"/>
        <v>5</v>
      </c>
      <c r="AE24" s="29">
        <f t="shared" ca="1" si="30"/>
        <v>500000</v>
      </c>
      <c r="AF24" s="1">
        <f t="shared" ca="1" si="31"/>
        <v>4</v>
      </c>
      <c r="AG24" s="1">
        <f t="shared" ca="1" si="32"/>
        <v>5</v>
      </c>
      <c r="AH24" s="263">
        <f t="shared" ca="1" si="33"/>
        <v>5.0504099999999994</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si="22"/>
        <v>0</v>
      </c>
      <c r="M25" s="13">
        <f t="shared" ca="1" si="23"/>
        <v>5</v>
      </c>
      <c r="N25" s="13">
        <f t="array" aca="1" ref="N25" ca="1">IF($AI$15,SUM(($K$17:$K$25&gt;=K25)/COUNTIF($K$17:$K$25,$K$17:$K$25)),SUM(($L$17:$L$25&gt;=L25)/COUNTIF($L$17:$L$25,$L$17:$L$25)))</f>
        <v>5.0000000000000009</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si="24"/>
        <v>0</v>
      </c>
      <c r="X25" s="22">
        <f t="shared" ca="1" si="25"/>
        <v>5.0508999999999995</v>
      </c>
      <c r="Y25" s="12">
        <v>0</v>
      </c>
      <c r="Z25" s="1">
        <f t="shared" ca="1" si="26"/>
        <v>5.9</v>
      </c>
      <c r="AA25" s="1">
        <f t="shared" ca="1" si="27"/>
        <v>0</v>
      </c>
      <c r="AB25" s="1">
        <f t="shared" ca="1" si="28"/>
        <v>0</v>
      </c>
      <c r="AC25" s="1"/>
      <c r="AD25" s="260">
        <f t="shared" ca="1" si="29"/>
        <v>5</v>
      </c>
      <c r="AE25" s="29">
        <f t="shared" ca="1" si="30"/>
        <v>500000</v>
      </c>
      <c r="AF25" s="1">
        <f t="shared" ca="1" si="31"/>
        <v>4</v>
      </c>
      <c r="AG25" s="1">
        <f t="shared" ca="1" si="32"/>
        <v>5</v>
      </c>
      <c r="AH25" s="264">
        <f t="shared" ca="1" si="33"/>
        <v>5.0504099999999994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Eintracht Frankfurt</v>
      </c>
      <c r="BT29" s="2" t="str">
        <f ca="1">$F$5</f>
        <v>1. FC Nürnberg</v>
      </c>
      <c r="BU29" s="2" t="str">
        <f ca="1">$F$6</f>
        <v>VFB Essenheim</v>
      </c>
      <c r="BV29" s="2" t="str">
        <f ca="1">$F$7</f>
        <v>Real Madrid</v>
      </c>
      <c r="BW29" s="2" t="str">
        <f>$F$8</f>
        <v/>
      </c>
      <c r="BX29" s="2" t="str">
        <f>$F$9</f>
        <v/>
      </c>
      <c r="BY29" s="2" t="str">
        <f>$F$10</f>
        <v/>
      </c>
      <c r="BZ29" s="2" t="str">
        <f>$F$11</f>
        <v/>
      </c>
      <c r="CA29" s="2" t="str">
        <f>$F$12</f>
        <v/>
      </c>
      <c r="CB29" s="51"/>
    </row>
    <row r="30" spans="2:80" s="2" customFormat="1" x14ac:dyDescent="0.2">
      <c r="C30" s="2" t="str">
        <f ca="1">$Q64</f>
        <v>Eintracht Frankfurt</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Eintracht Frankfurt</v>
      </c>
      <c r="BS30" s="6"/>
      <c r="BT30" s="7">
        <f t="shared" ref="BT30:CA37" ca="1" si="35">SUMIFS($X$64:$X$135,$V$64:$V$135,$BR30,$W$64:$W$135,BT$29)+SUMIFS($Y$64:$Y$135,$W$64:$W$135,$BR30,$V$64:$V$135,BT$29)+SUMIFS($AG$64:$AG$135,$V$64:$V$135,$BR30,$W$64:$W$135,BT$29)+SUMIFS($AH$64:$AH$135,$W$64:$W$135,$BR30,$V$64:$V$135,BT$29)</f>
        <v>44</v>
      </c>
      <c r="BU30" s="7">
        <f t="shared" ca="1" si="35"/>
        <v>48</v>
      </c>
      <c r="BV30" s="7">
        <f t="shared" ca="1" si="35"/>
        <v>45</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1. FC Nürnberg</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1. FC Nürnberg</v>
      </c>
      <c r="BS31" s="8">
        <f ca="1">SUMIFS($X$64:$X$135,$V$64:$V$135,$BR31,$W$64:$W$135,BS$29)+SUMIFS($Y$64:$Y$135,$W$64:$W$135,$BR31,$V$64:$V$135,BS$29)+SUMIFS($AG$64:$AG$135,$V$64:$V$135,$BR31,$W$64:$W$135,BS$29)+SUMIFS($AH$64:$AH$135,$W$64:$W$135,$BR31,$V$64:$V$135,BS$29)</f>
        <v>42</v>
      </c>
      <c r="BT31" s="6"/>
      <c r="BU31" s="7">
        <f ca="1">SUMIFS($X$64:$X$135,$V$64:$V$135,$BR31,$W$64:$W$135,BU$29)+SUMIFS($Y$64:$Y$135,$W$64:$W$135,$BR31,$V$64:$V$135,BU$29)+SUMIFS($AG$64:$AG$135,$V$64:$V$135,$BR31,$W$64:$W$135,BU$29)+SUMIFS($AH$64:$AH$135,$W$64:$W$135,$BR31,$V$64:$V$135,BU$29)</f>
        <v>50</v>
      </c>
      <c r="BV31" s="7">
        <f t="shared" ca="1" si="35"/>
        <v>44</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VFB Essenheim</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VFB Essenheim</v>
      </c>
      <c r="BS32" s="8">
        <f t="shared" ref="BS32:BY38" ca="1" si="37">SUMIFS($X$64:$X$135,$V$64:$V$135,$BR32,$W$64:$W$135,BS$29)+SUMIFS($Y$64:$Y$135,$W$64:$W$135,$BR32,$V$64:$V$135,BS$29)+SUMIFS($AG$64:$AG$135,$V$64:$V$135,$BR32,$W$64:$W$135,BS$29)+SUMIFS($AH$64:$AH$135,$W$64:$W$135,$BR32,$V$64:$V$135,BS$29)</f>
        <v>39</v>
      </c>
      <c r="BT32" s="8">
        <f t="shared" ca="1" si="37"/>
        <v>39</v>
      </c>
      <c r="BU32" s="6"/>
      <c r="BV32" s="7">
        <f t="shared" ca="1" si="35"/>
        <v>22</v>
      </c>
      <c r="BW32" s="7">
        <f t="shared" ca="1" si="35"/>
        <v>0</v>
      </c>
      <c r="BX32" s="7">
        <f t="shared" ca="1" si="35"/>
        <v>0</v>
      </c>
      <c r="BY32" s="7">
        <f t="shared" ca="1" si="35"/>
        <v>0</v>
      </c>
      <c r="BZ32" s="7">
        <f t="shared" ca="1" si="35"/>
        <v>0</v>
      </c>
      <c r="CA32" s="7">
        <f t="shared" ca="1" si="35"/>
        <v>0</v>
      </c>
      <c r="CB32" s="3"/>
    </row>
    <row r="33" spans="2:80" s="2" customFormat="1" x14ac:dyDescent="0.2">
      <c r="C33" s="2" t="str">
        <f t="shared" ca="1" si="36"/>
        <v>Real Madrid</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ca="1" si="34"/>
        <v>Real Madrid</v>
      </c>
      <c r="BS33" s="8">
        <f t="shared" ca="1" si="37"/>
        <v>45</v>
      </c>
      <c r="BT33" s="8">
        <f t="shared" ca="1" si="37"/>
        <v>39</v>
      </c>
      <c r="BU33" s="8">
        <f t="shared" ca="1" si="37"/>
        <v>50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Eintracht Frankfurt</v>
      </c>
      <c r="BT40" s="2" t="str">
        <f ca="1">$F$5</f>
        <v>1. FC Nürnberg</v>
      </c>
      <c r="BU40" s="2" t="str">
        <f ca="1">$F$6</f>
        <v>VFB Essenheim</v>
      </c>
      <c r="BV40" s="2" t="str">
        <f ca="1">$F$7</f>
        <v>Real Madrid</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Eintracht Frankfurt</v>
      </c>
      <c r="BS41" s="6"/>
      <c r="BT41" s="7">
        <f ca="1">BT30-BS31</f>
        <v>2</v>
      </c>
      <c r="BU41" s="7">
        <f ca="1">BU30-BS32</f>
        <v>9</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1. FC Nürnberg</v>
      </c>
      <c r="BS42" s="8">
        <f ca="1">IF(BT41="","",-1*BT41)</f>
        <v>-2</v>
      </c>
      <c r="BT42" s="6"/>
      <c r="BU42" s="7">
        <f ca="1">BU31-BT32</f>
        <v>11</v>
      </c>
      <c r="BV42" s="7">
        <f ca="1">BV31-BT33</f>
        <v>5</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VFB Essenheim</v>
      </c>
      <c r="BS43" s="8">
        <f ca="1">IF(BU41="","",-1*BU41)</f>
        <v>-9</v>
      </c>
      <c r="BT43" s="8">
        <f ca="1">IF(BU42="","",-1*BU42)</f>
        <v>-11</v>
      </c>
      <c r="BU43" s="6"/>
      <c r="BV43" s="7">
        <f ca="1">BV32-BU33</f>
        <v>-28</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ca="1" si="38"/>
        <v>Real Madrid</v>
      </c>
      <c r="BS44" s="8">
        <f ca="1">IF(BV41="","",-1*BV41)</f>
        <v>0</v>
      </c>
      <c r="BT44" s="8">
        <f ca="1">IF(BV42="","",-1*BV42)</f>
        <v>-5</v>
      </c>
      <c r="BU44" s="8">
        <f ca="1">IF(BV43="","",-1*BV43)</f>
        <v>28</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Eintracht Frankfurt</v>
      </c>
      <c r="BT51" s="2" t="str">
        <f ca="1">$F$5</f>
        <v>1. FC Nürnberg</v>
      </c>
      <c r="BU51" s="2" t="str">
        <f ca="1">$F$6</f>
        <v>VFB Essenheim</v>
      </c>
      <c r="BV51" s="2" t="str">
        <f ca="1">$F$7</f>
        <v>Real Madrid</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Eintracht Frankfurt</v>
      </c>
      <c r="BS52" s="6"/>
      <c r="BT52" s="7">
        <f t="shared" ref="BT52:CA58" ca="1" si="41">SUMIFS($AE$64:$AE$135,$V$64:$V$135,$BR52,$W$64:$W$135,BT$51)+SUMIFS($AF$64:$AF$135,$W$64:$W$135,$BR52,$V$64:$V$135,BT$51)</f>
        <v>1</v>
      </c>
      <c r="BU52" s="7">
        <f t="shared" ca="1" si="41"/>
        <v>1</v>
      </c>
      <c r="BV52" s="7">
        <f t="shared" ca="1" si="41"/>
        <v>1</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1. FC Nürnberg</v>
      </c>
      <c r="BS53" s="8">
        <f t="shared" ref="BS53:BU60" ca="1" si="42">SUMIFS($AE$64:$AE$135,$V$64:$V$135,$BR53,$W$64:$W$135,BS$51)+SUMIFS($AF$64:$AF$135,$W$64:$W$135,$BR53,$V$64:$V$135,BS$51)</f>
        <v>1</v>
      </c>
      <c r="BT53" s="6"/>
      <c r="BU53" s="7">
        <f ca="1">SUMIFS($AE$64:$AE$135,$V$64:$V$135,$BR53,$W$64:$W$135,BU$51)+SUMIFS($AF$64:$AF$135,$W$64:$W$135,$BR53,$V$64:$V$135,BU$51)</f>
        <v>2</v>
      </c>
      <c r="BV53" s="7">
        <f ca="1">SUMIFS($AE$64:$AE$135,$V$64:$V$135,$BR53,$W$64:$W$135,BV$51)+SUMIFS($AF$64:$AF$135,$W$64:$W$135,$BR53,$V$64:$V$135,BV$51)</f>
        <v>1</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VFB Essenheim</v>
      </c>
      <c r="BS54" s="8">
        <f t="shared" ca="1" si="42"/>
        <v>1</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ca="1" si="40"/>
        <v>Real Madrid</v>
      </c>
      <c r="BS55" s="8">
        <f t="shared" ca="1" si="42"/>
        <v>1</v>
      </c>
      <c r="BT55" s="8">
        <f t="shared" ca="1" si="42"/>
        <v>1</v>
      </c>
      <c r="BU55" s="8">
        <f t="shared" ca="1" si="42"/>
        <v>2</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4'!$AH20="","",'Finals 4'!$AH20)</f>
        <v>Eintracht Frankfurt</v>
      </c>
      <c r="U64" s="65" t="s">
        <v>6</v>
      </c>
      <c r="V64" s="39" t="str">
        <f ca="1">'Finals 4'!$I12</f>
        <v/>
      </c>
      <c r="W64" s="32" t="str">
        <f ca="1">'Finals 4'!$K12</f>
        <v/>
      </c>
      <c r="X64" s="32" t="str">
        <f ca="1">IF(AA64=1,'Finals 4'!$L12,"")</f>
        <v/>
      </c>
      <c r="Y64" s="33" t="str">
        <f ca="1">IF(AA64=1,'Finals 4'!$N12,"")</f>
        <v/>
      </c>
      <c r="Z64" s="31" t="str">
        <f ca="1">V64&amp;W64</f>
        <v/>
      </c>
      <c r="AA64" s="12">
        <f ca="1">IF(AND('Finals 4'!$L12&lt;&gt;"",'Finals 4'!$N12&lt;&gt;"",'Finals 4'!$L12&lt;&gt;'Finals 4'!$N12,OR(AND('Finals 4'!$O12="",'Finals 4'!$Q12=""),AND('Finals 4'!$O12&lt;&gt;"",'Finals 4'!$Q12&lt;&gt;"",'Finals 4'!$O12&lt;&gt;'Finals 4'!$Q12)),'Finals 4'!$I12&lt;&gt;"",'Finals 4'!$K12&lt;&gt;"",'Finals 4'!$I12&lt;&gt;'Finals 4'!$K12),1,0)</f>
        <v>0</v>
      </c>
      <c r="AB64" s="141" t="str">
        <f ca="1">IF(AA64&gt;0,X64&amp;Language!$E$96&amp;Y64,"")</f>
        <v/>
      </c>
      <c r="AD64" s="142"/>
      <c r="AE64" s="147">
        <f ca="1">IF($AA64=0,0,IF($X64&gt;$Y64,1,0)+IF($AG64&gt;$AH64,1,0))</f>
        <v>0</v>
      </c>
      <c r="AF64" s="142">
        <f ca="1">IF($AA64=0,0,IF($X64&lt;$Y64,1,0)+IF($AG64&lt;$AH64,1,0))</f>
        <v>0</v>
      </c>
      <c r="AG64" s="147" t="str">
        <f ca="1">IF(AA64=1,'Finals 4'!$O12,"")</f>
        <v/>
      </c>
      <c r="AH64" s="721" t="str">
        <f ca="1">IF(AA64=1,'Finals 4'!$Q12,"")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4'!$AH21="","",'Finals 4'!$AH21)</f>
        <v>1. FC Nürnberg</v>
      </c>
      <c r="U65" s="66" t="s">
        <v>7</v>
      </c>
      <c r="V65" s="40" t="str">
        <f ca="1">'Finals 4'!$I13</f>
        <v>FSV Rauen</v>
      </c>
      <c r="W65" s="12" t="str">
        <f ca="1">'Finals 4'!$K13</f>
        <v/>
      </c>
      <c r="X65" s="12" t="str">
        <f ca="1">IF(AA65=1,'Finals 4'!$L13,"")</f>
        <v/>
      </c>
      <c r="Y65" s="35" t="str">
        <f ca="1">IF(AA65=1,'Finals 4'!$N13,"")</f>
        <v/>
      </c>
      <c r="Z65" s="34" t="str">
        <f t="shared" ref="Z65:Z73" ca="1" si="43">V65&amp;W65</f>
        <v>FSV Rauen</v>
      </c>
      <c r="AA65" s="12">
        <f ca="1">IF(AND('Finals 4'!$L13&lt;&gt;"",'Finals 4'!$N13&lt;&gt;"",'Finals 4'!$L13&lt;&gt;'Finals 4'!$N13,OR(AND('Finals 4'!$O13="",'Finals 4'!$Q13=""),AND('Finals 4'!$O13&lt;&gt;"",'Finals 4'!$Q13&lt;&gt;"",'Finals 4'!$O13&lt;&gt;'Finals 4'!$Q13)),'Finals 4'!$I13&lt;&gt;"",'Finals 4'!$K13&lt;&gt;"",'Finals 4'!$I13&lt;&gt;'Finals 4'!$K13),1,0)</f>
        <v>0</v>
      </c>
      <c r="AB65" s="12" t="str">
        <f ca="1">IF(AA65&gt;0,X65&amp;Language!$E$96&amp;Y65,"")</f>
        <v/>
      </c>
      <c r="AD65" s="143"/>
      <c r="AE65" s="148">
        <f t="shared" ref="AE65:AE88" ca="1" si="44">IF($AA65=0,0,IF($X65&gt;$Y65,1,0)+IF($AG65&gt;$AH65,1,0))</f>
        <v>0</v>
      </c>
      <c r="AF65" s="143">
        <f t="shared" ref="AF65:AF88" ca="1" si="45">IF($AA65=0,0,IF($X65&lt;$Y65,1,0)+IF($AG65&lt;$AH65,1,0))</f>
        <v>0</v>
      </c>
      <c r="AG65" s="148" t="str">
        <f ca="1">IF(AA65=1,'Finals 4'!$O13,"")</f>
        <v/>
      </c>
      <c r="AH65" s="12" t="str">
        <f ca="1">IF(AA65=1,'Finals 4'!$Q13,"")</f>
        <v/>
      </c>
      <c r="AI65" s="143" t="str">
        <f ca="1">IF(AA65&gt;0,AE65&amp;Language!$E$96&amp;AF65,"")</f>
        <v/>
      </c>
      <c r="AJ65" s="12"/>
      <c r="AK65" s="12"/>
      <c r="AL65" s="12"/>
      <c r="AM65" s="12"/>
      <c r="AN65" s="12"/>
      <c r="AO65" s="12"/>
      <c r="AP65" s="12"/>
      <c r="AQ65" s="12"/>
    </row>
    <row r="66" spans="2:43" s="2" customFormat="1" ht="13.5" thickBot="1" x14ac:dyDescent="0.25">
      <c r="F66" s="196">
        <v>1</v>
      </c>
      <c r="G66" s="197" t="s">
        <v>107</v>
      </c>
      <c r="P66" s="45" t="s">
        <v>8</v>
      </c>
      <c r="Q66" s="60" t="str">
        <f ca="1">IF('Finals 4'!$AH22="","",'Finals 4'!$AH22)</f>
        <v>VFB Essenheim</v>
      </c>
      <c r="U66" s="66" t="s">
        <v>8</v>
      </c>
      <c r="V66" s="40" t="str">
        <f ca="1">'Finals 4'!$I14</f>
        <v>FC Grönlingen</v>
      </c>
      <c r="W66" s="12" t="str">
        <f ca="1">'Finals 4'!$K14</f>
        <v>Mainz 05</v>
      </c>
      <c r="X66" s="12">
        <f ca="1">IF(AA66=1,'Finals 4'!$L14,"")</f>
        <v>19</v>
      </c>
      <c r="Y66" s="35">
        <f ca="1">IF(AA66=1,'Finals 4'!$N14,"")</f>
        <v>25</v>
      </c>
      <c r="Z66" s="34" t="str">
        <f t="shared" ca="1" si="43"/>
        <v>FC GrönlingenMainz 05</v>
      </c>
      <c r="AA66" s="12">
        <f ca="1">IF(AND('Finals 4'!$L14&lt;&gt;"",'Finals 4'!$N14&lt;&gt;"",'Finals 4'!$L14&lt;&gt;'Finals 4'!$N14,OR(AND('Finals 4'!$O14="",'Finals 4'!$Q14=""),AND('Finals 4'!$O14&lt;&gt;"",'Finals 4'!$Q14&lt;&gt;"",'Finals 4'!$O14&lt;&gt;'Finals 4'!$Q14)),'Finals 4'!$I14&lt;&gt;"",'Finals 4'!$K14&lt;&gt;"",'Finals 4'!$I14&lt;&gt;'Finals 4'!$K14),1,0)</f>
        <v>1</v>
      </c>
      <c r="AB66" s="12" t="str">
        <f ca="1">IF(AA66&gt;0,X66&amp;Language!$E$96&amp;Y66,"")</f>
        <v>19-25</v>
      </c>
      <c r="AD66" s="143"/>
      <c r="AE66" s="148">
        <f t="shared" ca="1" si="44"/>
        <v>0</v>
      </c>
      <c r="AF66" s="143">
        <f t="shared" ca="1" si="45"/>
        <v>2</v>
      </c>
      <c r="AG66" s="148">
        <f ca="1">IF(AA66=1,'Finals 4'!$O14,"")</f>
        <v>19</v>
      </c>
      <c r="AH66" s="12">
        <f ca="1">IF(AA66=1,'Finals 4'!$Q14,"")</f>
        <v>25</v>
      </c>
      <c r="AI66" s="143" t="str">
        <f ca="1">IF(AA66&gt;0,AE66&amp;Language!$E$96&amp;AF66,"")</f>
        <v>0-2</v>
      </c>
      <c r="AJ66" s="3"/>
      <c r="AK66" s="12"/>
      <c r="AL66" s="12"/>
      <c r="AM66" s="12"/>
      <c r="AN66" s="12"/>
      <c r="AO66" s="12"/>
      <c r="AP66" s="12"/>
      <c r="AQ66" s="12"/>
    </row>
    <row r="67" spans="2:43" s="2" customFormat="1" x14ac:dyDescent="0.2">
      <c r="P67" s="45" t="s">
        <v>9</v>
      </c>
      <c r="Q67" s="60" t="str">
        <f ca="1">IF('Finals 4'!$AH23="","",'Finals 4'!$AH23)</f>
        <v>Real Madrid</v>
      </c>
      <c r="U67" s="66" t="s">
        <v>9</v>
      </c>
      <c r="V67" s="40" t="str">
        <f ca="1">'Finals 4'!$I15</f>
        <v>Eintracht Frankfurt</v>
      </c>
      <c r="W67" s="12" t="str">
        <f ca="1">'Finals 4'!$K15</f>
        <v>Real Madrid</v>
      </c>
      <c r="X67" s="12">
        <f ca="1">IF(AA67=1,'Finals 4'!$L15,"")</f>
        <v>25</v>
      </c>
      <c r="Y67" s="35">
        <f ca="1">IF(AA67=1,'Finals 4'!$N15,"")</f>
        <v>20</v>
      </c>
      <c r="Z67" s="34" t="str">
        <f t="shared" ca="1" si="43"/>
        <v>Eintracht FrankfurtReal Madrid</v>
      </c>
      <c r="AA67" s="12">
        <f ca="1">IF(AND('Finals 4'!$L15&lt;&gt;"",'Finals 4'!$N15&lt;&gt;"",'Finals 4'!$L15&lt;&gt;'Finals 4'!$N15,OR(AND('Finals 4'!$O15="",'Finals 4'!$Q15=""),AND('Finals 4'!$O15&lt;&gt;"",'Finals 4'!$Q15&lt;&gt;"",'Finals 4'!$O15&lt;&gt;'Finals 4'!$Q15)),'Finals 4'!$I15&lt;&gt;"",'Finals 4'!$K15&lt;&gt;"",'Finals 4'!$I15&lt;&gt;'Finals 4'!$K15),1,0)</f>
        <v>1</v>
      </c>
      <c r="AB67" s="12" t="str">
        <f ca="1">IF(AA67&gt;0,X67&amp;Language!$E$96&amp;Y67,"")</f>
        <v>25-20</v>
      </c>
      <c r="AD67" s="143"/>
      <c r="AE67" s="148">
        <f t="shared" ca="1" si="44"/>
        <v>1</v>
      </c>
      <c r="AF67" s="143">
        <f t="shared" ca="1" si="45"/>
        <v>1</v>
      </c>
      <c r="AG67" s="148">
        <f ca="1">IF(AA67=1,'Finals 4'!$O15,"")</f>
        <v>20</v>
      </c>
      <c r="AH67" s="12">
        <f ca="1">IF(AA67=1,'Finals 4'!$Q15,"")</f>
        <v>25</v>
      </c>
      <c r="AI67" s="143" t="str">
        <f ca="1">IF(AA67&gt;0,AE67&amp;Language!$E$96&amp;AF67,"")</f>
        <v>1-1</v>
      </c>
      <c r="AJ67" s="12"/>
      <c r="AK67" s="3"/>
      <c r="AL67" s="12"/>
      <c r="AM67" s="12"/>
      <c r="AN67" s="12"/>
      <c r="AO67" s="12"/>
      <c r="AP67" s="12"/>
      <c r="AQ67" s="12"/>
    </row>
    <row r="68" spans="2:43" s="2" customFormat="1" x14ac:dyDescent="0.2">
      <c r="P68" s="45"/>
      <c r="Q68" s="60" t="str">
        <f>""</f>
        <v/>
      </c>
      <c r="U68" s="66" t="s">
        <v>10</v>
      </c>
      <c r="V68" s="40" t="str">
        <f ca="1">'Finals 4'!$I16</f>
        <v>Borussia Dortmund</v>
      </c>
      <c r="W68" s="12" t="str">
        <f ca="1">'Finals 4'!$K16</f>
        <v>SSV Wildbach</v>
      </c>
      <c r="X68" s="12">
        <f ca="1">IF(AA68=1,'Finals 4'!$L16,"")</f>
        <v>25</v>
      </c>
      <c r="Y68" s="35">
        <f ca="1">IF(AA68=1,'Finals 4'!$N16,"")</f>
        <v>21</v>
      </c>
      <c r="Z68" s="34" t="str">
        <f t="shared" ca="1" si="43"/>
        <v>Borussia DortmundSSV Wildbach</v>
      </c>
      <c r="AA68" s="12">
        <f ca="1">IF(AND('Finals 4'!$L16&lt;&gt;"",'Finals 4'!$N16&lt;&gt;"",'Finals 4'!$L16&lt;&gt;'Finals 4'!$N16,OR(AND('Finals 4'!$O16="",'Finals 4'!$Q16=""),AND('Finals 4'!$O16&lt;&gt;"",'Finals 4'!$Q16&lt;&gt;"",'Finals 4'!$O16&lt;&gt;'Finals 4'!$Q16)),'Finals 4'!$I16&lt;&gt;"",'Finals 4'!$K16&lt;&gt;"",'Finals 4'!$I16&lt;&gt;'Finals 4'!$K16),1,0)</f>
        <v>1</v>
      </c>
      <c r="AB68" s="12" t="str">
        <f ca="1">IF(AA68&gt;0,X68&amp;Language!$E$96&amp;Y68,"")</f>
        <v>25-21</v>
      </c>
      <c r="AD68" s="143"/>
      <c r="AE68" s="148">
        <f t="shared" ca="1" si="44"/>
        <v>2</v>
      </c>
      <c r="AF68" s="143">
        <f t="shared" ca="1" si="45"/>
        <v>0</v>
      </c>
      <c r="AG68" s="148">
        <f ca="1">IF(AA68=1,'Finals 4'!$O16,"")</f>
        <v>25</v>
      </c>
      <c r="AH68" s="12">
        <f ca="1">IF(AA68=1,'Finals 4'!$Q16,"")</f>
        <v>19</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4'!$I17</f>
        <v>1. FC Riedwald</v>
      </c>
      <c r="W69" s="12" t="str">
        <f ca="1">'Finals 4'!$K17</f>
        <v>Manchester City</v>
      </c>
      <c r="X69" s="12">
        <f ca="1">IF(AA69=1,'Finals 4'!$L17,"")</f>
        <v>25</v>
      </c>
      <c r="Y69" s="35">
        <f ca="1">IF(AA69=1,'Finals 4'!$N17,"")</f>
        <v>22</v>
      </c>
      <c r="Z69" s="34" t="str">
        <f t="shared" ca="1" si="43"/>
        <v>1. FC RiedwaldManchester City</v>
      </c>
      <c r="AA69" s="12">
        <f ca="1">IF(AND('Finals 4'!$L17&lt;&gt;"",'Finals 4'!$N17&lt;&gt;"",'Finals 4'!$L17&lt;&gt;'Finals 4'!$N17,OR(AND('Finals 4'!$O17="",'Finals 4'!$Q17=""),AND('Finals 4'!$O17&lt;&gt;"",'Finals 4'!$Q17&lt;&gt;"",'Finals 4'!$O17&lt;&gt;'Finals 4'!$Q17)),'Finals 4'!$I17&lt;&gt;"",'Finals 4'!$K17&lt;&gt;"",'Finals 4'!$I17&lt;&gt;'Finals 4'!$K17),1,0)</f>
        <v>1</v>
      </c>
      <c r="AB69" s="12" t="str">
        <f ca="1">IF(AA69&gt;0,X69&amp;Language!$E$96&amp;Y69,"")</f>
        <v>25-22</v>
      </c>
      <c r="AD69" s="143"/>
      <c r="AE69" s="148">
        <f t="shared" ca="1" si="44"/>
        <v>2</v>
      </c>
      <c r="AF69" s="143">
        <f t="shared" ca="1" si="45"/>
        <v>0</v>
      </c>
      <c r="AG69" s="148">
        <f ca="1">IF(AA69=1,'Finals 4'!$O17,"")</f>
        <v>25</v>
      </c>
      <c r="AH69" s="12">
        <f ca="1">IF(AA69=1,'Finals 4'!$Q17,"")</f>
        <v>20</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4'!$I18</f>
        <v>Maibach 1822 eV</v>
      </c>
      <c r="W70" s="12" t="str">
        <f ca="1">'Finals 4'!$K18</f>
        <v>Kickers Rodendorf</v>
      </c>
      <c r="X70" s="12">
        <f ca="1">IF(AA70=1,'Finals 4'!$L18,"")</f>
        <v>25</v>
      </c>
      <c r="Y70" s="35">
        <f ca="1">IF(AA70=1,'Finals 4'!$N18,"")</f>
        <v>23</v>
      </c>
      <c r="Z70" s="34" t="str">
        <f t="shared" ca="1" si="43"/>
        <v>Maibach 1822 eVKickers Rodendorf</v>
      </c>
      <c r="AA70" s="12">
        <f ca="1">IF(AND('Finals 4'!$L18&lt;&gt;"",'Finals 4'!$N18&lt;&gt;"",'Finals 4'!$L18&lt;&gt;'Finals 4'!$N18,OR(AND('Finals 4'!$O18="",'Finals 4'!$Q18=""),AND('Finals 4'!$O18&lt;&gt;"",'Finals 4'!$Q18&lt;&gt;"",'Finals 4'!$O18&lt;&gt;'Finals 4'!$Q18)),'Finals 4'!$I18&lt;&gt;"",'Finals 4'!$K18&lt;&gt;"",'Finals 4'!$I18&lt;&gt;'Finals 4'!$K18),1,0)</f>
        <v>1</v>
      </c>
      <c r="AB70" s="12" t="str">
        <f ca="1">IF(AA70&gt;0,X70&amp;Language!$E$96&amp;Y70,"")</f>
        <v>25-23</v>
      </c>
      <c r="AD70" s="143"/>
      <c r="AE70" s="148">
        <f t="shared" ca="1" si="44"/>
        <v>2</v>
      </c>
      <c r="AF70" s="143">
        <f t="shared" ca="1" si="45"/>
        <v>0</v>
      </c>
      <c r="AG70" s="148">
        <f ca="1">IF(AA70=1,'Finals 4'!$O18,"")</f>
        <v>25</v>
      </c>
      <c r="AH70" s="12">
        <f ca="1">IF(AA70=1,'Finals 4'!$Q18,"")</f>
        <v>21</v>
      </c>
      <c r="AI70" s="143" t="str">
        <f ca="1">IF(AA70&gt;0,AE70&amp;Language!$E$96&amp;AF70,"")</f>
        <v>2-0</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4'!$I19</f>
        <v>1. FC Nürnberg</v>
      </c>
      <c r="W71" s="12" t="str">
        <f ca="1">'Finals 4'!$K19</f>
        <v>VFB Essenheim</v>
      </c>
      <c r="X71" s="12">
        <f ca="1">IF(AA71=1,'Finals 4'!$L19,"")</f>
        <v>25</v>
      </c>
      <c r="Y71" s="35">
        <f ca="1">IF(AA71=1,'Finals 4'!$N19,"")</f>
        <v>17</v>
      </c>
      <c r="Z71" s="34" t="str">
        <f t="shared" ca="1" si="43"/>
        <v>1. FC NürnbergVFB Essenheim</v>
      </c>
      <c r="AA71" s="12">
        <f ca="1">IF(AND('Finals 4'!$L19&lt;&gt;"",'Finals 4'!$N19&lt;&gt;"",'Finals 4'!$L19&lt;&gt;'Finals 4'!$N19,OR(AND('Finals 4'!$O19="",'Finals 4'!$Q19=""),AND('Finals 4'!$O19&lt;&gt;"",'Finals 4'!$Q19&lt;&gt;"",'Finals 4'!$O19&lt;&gt;'Finals 4'!$Q19)),'Finals 4'!$I19&lt;&gt;"",'Finals 4'!$K19&lt;&gt;"",'Finals 4'!$I19&lt;&gt;'Finals 4'!$K19),1,0)</f>
        <v>1</v>
      </c>
      <c r="AB71" s="12" t="str">
        <f ca="1">IF(AA71&gt;0,X71&amp;Language!$E$96&amp;Y71,"")</f>
        <v>25-17</v>
      </c>
      <c r="AD71" s="143"/>
      <c r="AE71" s="148">
        <f t="shared" ca="1" si="44"/>
        <v>2</v>
      </c>
      <c r="AF71" s="143">
        <f t="shared" ca="1" si="45"/>
        <v>0</v>
      </c>
      <c r="AG71" s="148">
        <f ca="1">IF(AA71=1,'Finals 4'!$O19,"")</f>
        <v>25</v>
      </c>
      <c r="AH71" s="12">
        <f ca="1">IF(AA71=1,'Finals 4'!$Q19,"")</f>
        <v>22</v>
      </c>
      <c r="AI71" s="143" t="str">
        <f ca="1">IF(AA71&gt;0,AE71&amp;Language!$E$96&amp;AF71,"")</f>
        <v>2-0</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4'!$I20</f>
        <v>Inter Mailand</v>
      </c>
      <c r="W72" s="12" t="str">
        <f ca="1">'Finals 4'!$K20</f>
        <v>FC Barcelona</v>
      </c>
      <c r="X72" s="12">
        <f ca="1">IF(AA72=1,'Finals 4'!$L20,"")</f>
        <v>23</v>
      </c>
      <c r="Y72" s="35">
        <f ca="1">IF(AA72=1,'Finals 4'!$N20,"")</f>
        <v>25</v>
      </c>
      <c r="Z72" s="34" t="str">
        <f t="shared" ca="1" si="43"/>
        <v>Inter MailandFC Barcelona</v>
      </c>
      <c r="AA72" s="12">
        <f ca="1">IF(AND('Finals 4'!$L20&lt;&gt;"",'Finals 4'!$N20&lt;&gt;"",'Finals 4'!$L20&lt;&gt;'Finals 4'!$N20,OR(AND('Finals 4'!$O20="",'Finals 4'!$Q20=""),AND('Finals 4'!$O20&lt;&gt;"",'Finals 4'!$Q20&lt;&gt;"",'Finals 4'!$O20&lt;&gt;'Finals 4'!$Q20)),'Finals 4'!$I20&lt;&gt;"",'Finals 4'!$K20&lt;&gt;"",'Finals 4'!$I20&lt;&gt;'Finals 4'!$K20),1,0)</f>
        <v>1</v>
      </c>
      <c r="AB72" s="12" t="str">
        <f ca="1">IF(AA72&gt;0,X72&amp;Language!$E$96&amp;Y72,"")</f>
        <v>23-25</v>
      </c>
      <c r="AD72" s="143"/>
      <c r="AE72" s="148">
        <f t="shared" ca="1" si="44"/>
        <v>0</v>
      </c>
      <c r="AF72" s="143">
        <f t="shared" ca="1" si="45"/>
        <v>2</v>
      </c>
      <c r="AG72" s="148">
        <f ca="1">IF(AA72=1,'Finals 4'!$O20,"")</f>
        <v>22</v>
      </c>
      <c r="AH72" s="12">
        <f ca="1">IF(AA72=1,'Finals 4'!$Q20,"")</f>
        <v>25</v>
      </c>
      <c r="AI72" s="143" t="str">
        <f ca="1">IF(AA72&gt;0,AE72&amp;Language!$E$96&amp;AF72,"")</f>
        <v>0-2</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4'!$I21</f>
        <v/>
      </c>
      <c r="W73" s="12" t="str">
        <f ca="1">'Finals 4'!$K21</f>
        <v>1. FC Riedwald</v>
      </c>
      <c r="X73" s="12" t="str">
        <f ca="1">IF(AA73=1,'Finals 4'!$L21,"")</f>
        <v/>
      </c>
      <c r="Y73" s="35" t="str">
        <f ca="1">IF(AA73=1,'Finals 4'!$N21,"")</f>
        <v/>
      </c>
      <c r="Z73" s="34" t="str">
        <f t="shared" ca="1" si="43"/>
        <v>1. FC Riedwald</v>
      </c>
      <c r="AA73" s="12">
        <f ca="1">IF(AND('Finals 4'!$L21&lt;&gt;"",'Finals 4'!$N21&lt;&gt;"",'Finals 4'!$L21&lt;&gt;'Finals 4'!$N21,OR(AND('Finals 4'!$O21="",'Finals 4'!$Q21=""),AND('Finals 4'!$O21&lt;&gt;"",'Finals 4'!$Q21&lt;&gt;"",'Finals 4'!$O21&lt;&gt;'Finals 4'!$Q21)),'Finals 4'!$I21&lt;&gt;"",'Finals 4'!$K21&lt;&gt;"",'Finals 4'!$I21&lt;&gt;'Finals 4'!$K21),1,0)</f>
        <v>0</v>
      </c>
      <c r="AB73" s="12" t="str">
        <f ca="1">IF(AA73&gt;0,X73&amp;Language!$E$96&amp;Y73,"")</f>
        <v/>
      </c>
      <c r="AD73" s="143"/>
      <c r="AE73" s="148">
        <f t="shared" ca="1" si="44"/>
        <v>0</v>
      </c>
      <c r="AF73" s="143">
        <f t="shared" ca="1" si="45"/>
        <v>0</v>
      </c>
      <c r="AG73" s="148" t="str">
        <f ca="1">IF(AA73=1,'Finals 4'!$O21,"")</f>
        <v/>
      </c>
      <c r="AH73" s="12" t="str">
        <f ca="1">IF(AA73=1,'Finals 4'!$Q21,"")</f>
        <v/>
      </c>
      <c r="AI73" s="143" t="str">
        <f ca="1">IF(AA73&gt;0,AE73&amp;Language!$E$96&amp;AF73,"")</f>
        <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4'!$I22</f>
        <v>Mainz 05</v>
      </c>
      <c r="W74" s="12" t="str">
        <f ca="1">'Finals 4'!$K22</f>
        <v>Maibach 1822 eV</v>
      </c>
      <c r="X74" s="12">
        <f ca="1">IF(AA74=1,'Finals 4'!$L22,"")</f>
        <v>16</v>
      </c>
      <c r="Y74" s="35">
        <f ca="1">IF(AA74=1,'Finals 4'!$N22,"")</f>
        <v>25</v>
      </c>
      <c r="Z74" s="34" t="str">
        <f ca="1">V74&amp;W74</f>
        <v>Mainz 05Maibach 1822 eV</v>
      </c>
      <c r="AA74" s="12">
        <f ca="1">IF(AND('Finals 4'!$L22&lt;&gt;"",'Finals 4'!$N22&lt;&gt;"",'Finals 4'!$L22&lt;&gt;'Finals 4'!$N22,OR(AND('Finals 4'!$O22="",'Finals 4'!$Q22=""),AND('Finals 4'!$O22&lt;&gt;"",'Finals 4'!$Q22&lt;&gt;"",'Finals 4'!$O22&lt;&gt;'Finals 4'!$Q22)),'Finals 4'!$I22&lt;&gt;"",'Finals 4'!$K22&lt;&gt;"",'Finals 4'!$I22&lt;&gt;'Finals 4'!$K22),1,0)</f>
        <v>1</v>
      </c>
      <c r="AB74" s="12" t="str">
        <f ca="1">IF(AA74&gt;0,X74&amp;Language!$E$96&amp;Y74,"")</f>
        <v>16-25</v>
      </c>
      <c r="AD74" s="143"/>
      <c r="AE74" s="148">
        <f t="shared" ca="1" si="44"/>
        <v>1</v>
      </c>
      <c r="AF74" s="143">
        <f t="shared" ca="1" si="45"/>
        <v>1</v>
      </c>
      <c r="AG74" s="148">
        <f ca="1">IF(AA74=1,'Finals 4'!$O22,"")</f>
        <v>25</v>
      </c>
      <c r="AH74" s="12">
        <f ca="1">IF(AA74=1,'Finals 4'!$Q22,"")</f>
        <v>18</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4'!$I23</f>
        <v>Real Madrid</v>
      </c>
      <c r="W75" s="12" t="str">
        <f ca="1">'Finals 4'!$K23</f>
        <v>1. FC Nürnberg</v>
      </c>
      <c r="X75" s="12">
        <f ca="1">IF(AA75=1,'Finals 4'!$L23,"")</f>
        <v>14</v>
      </c>
      <c r="Y75" s="35">
        <f ca="1">IF(AA75=1,'Finals 4'!$N23,"")</f>
        <v>25</v>
      </c>
      <c r="Z75" s="34" t="str">
        <f t="shared" ref="Z75:Z88" ca="1" si="46">V75&amp;W75</f>
        <v>Real Madrid1. FC Nürnberg</v>
      </c>
      <c r="AA75" s="12">
        <f ca="1">IF(AND('Finals 4'!$L23&lt;&gt;"",'Finals 4'!$N23&lt;&gt;"",'Finals 4'!$L23&lt;&gt;'Finals 4'!$N23,OR(AND('Finals 4'!$O23="",'Finals 4'!$Q23=""),AND('Finals 4'!$O23&lt;&gt;"",'Finals 4'!$Q23&lt;&gt;"",'Finals 4'!$O23&lt;&gt;'Finals 4'!$Q23)),'Finals 4'!$I23&lt;&gt;"",'Finals 4'!$K23&lt;&gt;"",'Finals 4'!$I23&lt;&gt;'Finals 4'!$K23),1,0)</f>
        <v>1</v>
      </c>
      <c r="AB75" s="12" t="str">
        <f ca="1">IF(AA75&gt;0,X75&amp;Language!$E$96&amp;Y75,"")</f>
        <v>14-25</v>
      </c>
      <c r="AD75" s="143"/>
      <c r="AE75" s="148">
        <f t="shared" ca="1" si="44"/>
        <v>1</v>
      </c>
      <c r="AF75" s="143">
        <f t="shared" ca="1" si="45"/>
        <v>1</v>
      </c>
      <c r="AG75" s="148">
        <f ca="1">IF(AA75=1,'Finals 4'!$O23,"")</f>
        <v>25</v>
      </c>
      <c r="AH75" s="12">
        <f ca="1">IF(AA75=1,'Finals 4'!$Q23,"")</f>
        <v>19</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4'!$I24</f>
        <v>SSV Wildbach</v>
      </c>
      <c r="W76" s="12" t="str">
        <f ca="1">'Finals 4'!$K24</f>
        <v>Inter Mailand</v>
      </c>
      <c r="X76" s="12">
        <f ca="1">IF(AA76=1,'Finals 4'!$L24,"")</f>
        <v>22</v>
      </c>
      <c r="Y76" s="35">
        <f ca="1">IF(AA76=1,'Finals 4'!$N24,"")</f>
        <v>25</v>
      </c>
      <c r="Z76" s="34" t="str">
        <f t="shared" ca="1" si="46"/>
        <v>SSV WildbachInter Mailand</v>
      </c>
      <c r="AA76" s="12">
        <f ca="1">IF(AND('Finals 4'!$L24&lt;&gt;"",'Finals 4'!$N24&lt;&gt;"",'Finals 4'!$L24&lt;&gt;'Finals 4'!$N24,OR(AND('Finals 4'!$O24="",'Finals 4'!$Q24=""),AND('Finals 4'!$O24&lt;&gt;"",'Finals 4'!$Q24&lt;&gt;"",'Finals 4'!$O24&lt;&gt;'Finals 4'!$Q24)),'Finals 4'!$I24&lt;&gt;"",'Finals 4'!$K24&lt;&gt;"",'Finals 4'!$I24&lt;&gt;'Finals 4'!$K24),1,0)</f>
        <v>1</v>
      </c>
      <c r="AB76" s="12" t="str">
        <f ca="1">IF(AA76&gt;0,X76&amp;Language!$E$96&amp;Y76,"")</f>
        <v>22-25</v>
      </c>
      <c r="AD76" s="143"/>
      <c r="AE76" s="148">
        <f t="shared" ca="1" si="44"/>
        <v>1</v>
      </c>
      <c r="AF76" s="143">
        <f t="shared" ca="1" si="45"/>
        <v>1</v>
      </c>
      <c r="AG76" s="148">
        <f ca="1">IF(AA76=1,'Finals 4'!$O24,"")</f>
        <v>25</v>
      </c>
      <c r="AH76" s="12">
        <f ca="1">IF(AA76=1,'Finals 4'!$Q24,"")</f>
        <v>20</v>
      </c>
      <c r="AI76" s="143" t="str">
        <f ca="1">IF(AA76&gt;0,AE76&amp;Language!$E$96&amp;AF76,"")</f>
        <v>1-1</v>
      </c>
    </row>
    <row r="77" spans="2:43" s="2" customFormat="1" x14ac:dyDescent="0.2">
      <c r="B77" s="3"/>
      <c r="C77" s="3"/>
      <c r="D77" s="3"/>
      <c r="E77" s="3"/>
      <c r="F77" s="12"/>
      <c r="G77" s="12"/>
      <c r="H77" s="12"/>
      <c r="I77" s="12"/>
      <c r="J77" s="12"/>
      <c r="K77" s="12"/>
      <c r="L77" s="12"/>
      <c r="M77" s="12"/>
      <c r="U77" s="66" t="s">
        <v>28</v>
      </c>
      <c r="V77" s="40" t="str">
        <f ca="1">'Finals 4'!$I25</f>
        <v>Manchester City</v>
      </c>
      <c r="W77" s="12" t="str">
        <f ca="1">'Finals 4'!$K25</f>
        <v>FSV Rauen</v>
      </c>
      <c r="X77" s="12">
        <f ca="1">IF(AA77=1,'Finals 4'!$L25,"")</f>
        <v>19</v>
      </c>
      <c r="Y77" s="35">
        <f ca="1">IF(AA77=1,'Finals 4'!$N25,"")</f>
        <v>25</v>
      </c>
      <c r="Z77" s="34" t="str">
        <f t="shared" ca="1" si="46"/>
        <v>Manchester CityFSV Rauen</v>
      </c>
      <c r="AA77" s="12">
        <f ca="1">IF(AND('Finals 4'!$L25&lt;&gt;"",'Finals 4'!$N25&lt;&gt;"",'Finals 4'!$L25&lt;&gt;'Finals 4'!$N25,OR(AND('Finals 4'!$O25="",'Finals 4'!$Q25=""),AND('Finals 4'!$O25&lt;&gt;"",'Finals 4'!$Q25&lt;&gt;"",'Finals 4'!$O25&lt;&gt;'Finals 4'!$Q25)),'Finals 4'!$I25&lt;&gt;"",'Finals 4'!$K25&lt;&gt;"",'Finals 4'!$I25&lt;&gt;'Finals 4'!$K25),1,0)</f>
        <v>1</v>
      </c>
      <c r="AB77" s="12" t="str">
        <f ca="1">IF(AA77&gt;0,X77&amp;Language!$E$96&amp;Y77,"")</f>
        <v>19-25</v>
      </c>
      <c r="AD77" s="143"/>
      <c r="AE77" s="148">
        <f t="shared" ca="1" si="44"/>
        <v>1</v>
      </c>
      <c r="AF77" s="143">
        <f t="shared" ca="1" si="45"/>
        <v>1</v>
      </c>
      <c r="AG77" s="148">
        <f ca="1">IF(AA77=1,'Finals 4'!$O25,"")</f>
        <v>25</v>
      </c>
      <c r="AH77" s="12">
        <f ca="1">IF(AA77=1,'Finals 4'!$Q25,"")</f>
        <v>21</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4'!$I26</f>
        <v>Kickers Rodendorf</v>
      </c>
      <c r="W78" s="12" t="str">
        <f ca="1">'Finals 4'!$K26</f>
        <v>FC Grönlingen</v>
      </c>
      <c r="X78" s="12">
        <f ca="1">IF(AA78=1,'Finals 4'!$L26,"")</f>
        <v>17</v>
      </c>
      <c r="Y78" s="35">
        <f ca="1">IF(AA78=1,'Finals 4'!$N26,"")</f>
        <v>25</v>
      </c>
      <c r="Z78" s="34" t="str">
        <f t="shared" ca="1" si="46"/>
        <v>Kickers RodendorfFC Grönlingen</v>
      </c>
      <c r="AA78" s="12">
        <f ca="1">IF(AND('Finals 4'!$L26&lt;&gt;"",'Finals 4'!$N26&lt;&gt;"",'Finals 4'!$L26&lt;&gt;'Finals 4'!$N26,OR(AND('Finals 4'!$O26="",'Finals 4'!$Q26=""),AND('Finals 4'!$O26&lt;&gt;"",'Finals 4'!$Q26&lt;&gt;"",'Finals 4'!$O26&lt;&gt;'Finals 4'!$Q26)),'Finals 4'!$I26&lt;&gt;"",'Finals 4'!$K26&lt;&gt;"",'Finals 4'!$I26&lt;&gt;'Finals 4'!$K26),1,0)</f>
        <v>1</v>
      </c>
      <c r="AB78" s="12" t="str">
        <f ca="1">IF(AA78&gt;0,X78&amp;Language!$E$96&amp;Y78,"")</f>
        <v>17-25</v>
      </c>
      <c r="AD78" s="143"/>
      <c r="AE78" s="148">
        <f t="shared" ca="1" si="44"/>
        <v>0</v>
      </c>
      <c r="AF78" s="143">
        <f t="shared" ca="1" si="45"/>
        <v>2</v>
      </c>
      <c r="AG78" s="148">
        <f ca="1">IF(AA78=1,'Finals 4'!$O26,"")</f>
        <v>12</v>
      </c>
      <c r="AH78" s="12">
        <f ca="1">IF(AA78=1,'Finals 4'!$Q26,"")</f>
        <v>25</v>
      </c>
      <c r="AI78" s="143" t="str">
        <f ca="1">IF(AA78&gt;0,AE78&amp;Language!$E$96&amp;AF78,"")</f>
        <v>0-2</v>
      </c>
    </row>
    <row r="79" spans="2:43" s="2" customFormat="1" x14ac:dyDescent="0.2">
      <c r="B79" s="3"/>
      <c r="C79" s="3"/>
      <c r="D79" s="3"/>
      <c r="E79" s="3"/>
      <c r="F79" s="12"/>
      <c r="G79" s="12"/>
      <c r="H79" s="12"/>
      <c r="I79" s="12"/>
      <c r="J79" s="12"/>
      <c r="K79" s="12"/>
      <c r="L79" s="12"/>
      <c r="M79" s="12"/>
      <c r="U79" s="66" t="s">
        <v>30</v>
      </c>
      <c r="V79" s="40" t="str">
        <f ca="1">'Finals 4'!$I27</f>
        <v>VFB Essenheim</v>
      </c>
      <c r="W79" s="12" t="str">
        <f ca="1">'Finals 4'!$K27</f>
        <v>Eintracht Frankfurt</v>
      </c>
      <c r="X79" s="12">
        <f ca="1">IF(AA79=1,'Finals 4'!$L27,"")</f>
        <v>14</v>
      </c>
      <c r="Y79" s="35">
        <f ca="1">IF(AA79=1,'Finals 4'!$N27,"")</f>
        <v>25</v>
      </c>
      <c r="Z79" s="34" t="str">
        <f t="shared" ca="1" si="46"/>
        <v>VFB EssenheimEintracht Frankfurt</v>
      </c>
      <c r="AA79" s="12">
        <f ca="1">IF(AND('Finals 4'!$L27&lt;&gt;"",'Finals 4'!$N27&lt;&gt;"",'Finals 4'!$L27&lt;&gt;'Finals 4'!$N27,OR(AND('Finals 4'!$O27="",'Finals 4'!$Q27=""),AND('Finals 4'!$O27&lt;&gt;"",'Finals 4'!$Q27&lt;&gt;"",'Finals 4'!$O27&lt;&gt;'Finals 4'!$Q27)),'Finals 4'!$I27&lt;&gt;"",'Finals 4'!$K27&lt;&gt;"",'Finals 4'!$I27&lt;&gt;'Finals 4'!$K27),1,0)</f>
        <v>1</v>
      </c>
      <c r="AB79" s="12" t="str">
        <f ca="1">IF(AA79&gt;0,X79&amp;Language!$E$96&amp;Y79,"")</f>
        <v>14-25</v>
      </c>
      <c r="AD79" s="143"/>
      <c r="AE79" s="148">
        <f t="shared" ca="1" si="44"/>
        <v>1</v>
      </c>
      <c r="AF79" s="143">
        <f t="shared" ca="1" si="45"/>
        <v>1</v>
      </c>
      <c r="AG79" s="148">
        <f ca="1">IF(AA79=1,'Finals 4'!$O27,"")</f>
        <v>25</v>
      </c>
      <c r="AH79" s="12">
        <f ca="1">IF(AA79=1,'Finals 4'!$Q27,"")</f>
        <v>23</v>
      </c>
      <c r="AI79" s="143" t="str">
        <f ca="1">IF(AA79&gt;0,AE79&amp;Language!$E$96&amp;AF79,"")</f>
        <v>1-1</v>
      </c>
    </row>
    <row r="80" spans="2:43" s="2" customFormat="1" x14ac:dyDescent="0.2">
      <c r="B80" s="3"/>
      <c r="C80" s="3"/>
      <c r="D80" s="3"/>
      <c r="E80" s="3"/>
      <c r="F80" s="12"/>
      <c r="G80" s="12"/>
      <c r="H80" s="12"/>
      <c r="I80" s="12"/>
      <c r="J80" s="12"/>
      <c r="K80" s="12"/>
      <c r="L80" s="12"/>
      <c r="M80" s="12"/>
      <c r="U80" s="66" t="s">
        <v>31</v>
      </c>
      <c r="V80" s="40" t="str">
        <f ca="1">'Finals 4'!$I28</f>
        <v>FC Barcelona</v>
      </c>
      <c r="W80" s="12" t="str">
        <f ca="1">'Finals 4'!$K28</f>
        <v>Borussia Dortmund</v>
      </c>
      <c r="X80" s="12">
        <f ca="1">IF(AA80=1,'Finals 4'!$L28,"")</f>
        <v>21</v>
      </c>
      <c r="Y80" s="35">
        <f ca="1">IF(AA80=1,'Finals 4'!$N28,"")</f>
        <v>25</v>
      </c>
      <c r="Z80" s="34" t="str">
        <f t="shared" ca="1" si="46"/>
        <v>FC BarcelonaBorussia Dortmund</v>
      </c>
      <c r="AA80" s="12">
        <f ca="1">IF(AND('Finals 4'!$L28&lt;&gt;"",'Finals 4'!$N28&lt;&gt;"",'Finals 4'!$L28&lt;&gt;'Finals 4'!$N28,OR(AND('Finals 4'!$O28="",'Finals 4'!$Q28=""),AND('Finals 4'!$O28&lt;&gt;"",'Finals 4'!$Q28&lt;&gt;"",'Finals 4'!$O28&lt;&gt;'Finals 4'!$Q28)),'Finals 4'!$I28&lt;&gt;"",'Finals 4'!$K28&lt;&gt;"",'Finals 4'!$I28&lt;&gt;'Finals 4'!$K28),1,0)</f>
        <v>1</v>
      </c>
      <c r="AB80" s="12" t="str">
        <f ca="1">IF(AA80&gt;0,X80&amp;Language!$E$96&amp;Y80,"")</f>
        <v>21-25</v>
      </c>
      <c r="AD80" s="143"/>
      <c r="AE80" s="148">
        <f t="shared" ca="1" si="44"/>
        <v>1</v>
      </c>
      <c r="AF80" s="143">
        <f t="shared" ca="1" si="45"/>
        <v>1</v>
      </c>
      <c r="AG80" s="148">
        <f ca="1">IF(AA80=1,'Finals 4'!$O28,"")</f>
        <v>25</v>
      </c>
      <c r="AH80" s="12">
        <f ca="1">IF(AA80=1,'Finals 4'!$Q28,"")</f>
        <v>17</v>
      </c>
      <c r="AI80" s="143" t="str">
        <f ca="1">IF(AA80&gt;0,AE80&amp;Language!$E$96&amp;AF80,"")</f>
        <v>1-1</v>
      </c>
    </row>
    <row r="81" spans="2:35" s="2" customFormat="1" x14ac:dyDescent="0.2">
      <c r="B81" s="3"/>
      <c r="C81" s="3"/>
      <c r="D81" s="3"/>
      <c r="E81" s="3"/>
      <c r="F81" s="12"/>
      <c r="G81" s="12"/>
      <c r="H81" s="12"/>
      <c r="I81" s="12"/>
      <c r="J81" s="12"/>
      <c r="K81" s="12"/>
      <c r="L81" s="12"/>
      <c r="M81" s="12"/>
      <c r="U81" s="66" t="s">
        <v>32</v>
      </c>
      <c r="V81" s="40" t="str">
        <f ca="1">'Finals 4'!$I29</f>
        <v/>
      </c>
      <c r="W81" s="12" t="str">
        <f ca="1">'Finals 4'!$K29</f>
        <v>Manchester City</v>
      </c>
      <c r="X81" s="12" t="str">
        <f ca="1">IF(AA81=1,'Finals 4'!$L29,"")</f>
        <v/>
      </c>
      <c r="Y81" s="35" t="str">
        <f ca="1">IF(AA81=1,'Finals 4'!$N29,"")</f>
        <v/>
      </c>
      <c r="Z81" s="34" t="str">
        <f t="shared" ca="1" si="46"/>
        <v>Manchester City</v>
      </c>
      <c r="AA81" s="12">
        <f ca="1">IF(AND('Finals 4'!$L29&lt;&gt;"",'Finals 4'!$N29&lt;&gt;"",'Finals 4'!$L29&lt;&gt;'Finals 4'!$N29,OR(AND('Finals 4'!$O29="",'Finals 4'!$Q29=""),AND('Finals 4'!$O29&lt;&gt;"",'Finals 4'!$Q29&lt;&gt;"",'Finals 4'!$O29&lt;&gt;'Finals 4'!$Q29)),'Finals 4'!$I29&lt;&gt;"",'Finals 4'!$K29&lt;&gt;"",'Finals 4'!$I29&lt;&gt;'Finals 4'!$K29),1,0)</f>
        <v>0</v>
      </c>
      <c r="AB81" s="12" t="str">
        <f ca="1">IF(AA81&gt;0,X81&amp;Language!$E$96&amp;Y81,"")</f>
        <v/>
      </c>
      <c r="AD81" s="143"/>
      <c r="AE81" s="148">
        <f t="shared" ca="1" si="44"/>
        <v>0</v>
      </c>
      <c r="AF81" s="143">
        <f t="shared" ca="1" si="45"/>
        <v>0</v>
      </c>
      <c r="AG81" s="148" t="str">
        <f ca="1">IF(AA81=1,'Finals 4'!$O29,"")</f>
        <v/>
      </c>
      <c r="AH81" s="12" t="str">
        <f ca="1">IF(AA81=1,'Finals 4'!$Q29,"")</f>
        <v/>
      </c>
      <c r="AI81" s="143" t="str">
        <f ca="1">IF(AA81&gt;0,AE81&amp;Language!$E$96&amp;AF81,"")</f>
        <v/>
      </c>
    </row>
    <row r="82" spans="2:35" s="2" customFormat="1" x14ac:dyDescent="0.2">
      <c r="B82" s="3"/>
      <c r="C82" s="3"/>
      <c r="D82" s="3"/>
      <c r="E82" s="3"/>
      <c r="F82" s="12"/>
      <c r="G82" s="12"/>
      <c r="H82" s="12"/>
      <c r="I82" s="12"/>
      <c r="J82" s="12"/>
      <c r="K82" s="12"/>
      <c r="L82" s="12"/>
      <c r="M82" s="12"/>
      <c r="U82" s="66" t="s">
        <v>33</v>
      </c>
      <c r="V82" s="40" t="str">
        <f ca="1">'Finals 4'!$I30</f>
        <v>Mainz 05</v>
      </c>
      <c r="W82" s="12" t="str">
        <f ca="1">'Finals 4'!$K30</f>
        <v>Kickers Rodendorf</v>
      </c>
      <c r="X82" s="12">
        <f ca="1">IF(AA82=1,'Finals 4'!$L30,"")</f>
        <v>25</v>
      </c>
      <c r="Y82" s="35">
        <f ca="1">IF(AA82=1,'Finals 4'!$N30,"")</f>
        <v>20</v>
      </c>
      <c r="Z82" s="34" t="str">
        <f t="shared" ca="1" si="46"/>
        <v>Mainz 05Kickers Rodendorf</v>
      </c>
      <c r="AA82" s="12">
        <f ca="1">IF(AND('Finals 4'!$L30&lt;&gt;"",'Finals 4'!$N30&lt;&gt;"",'Finals 4'!$L30&lt;&gt;'Finals 4'!$N30,OR(AND('Finals 4'!$O30="",'Finals 4'!$Q30=""),AND('Finals 4'!$O30&lt;&gt;"",'Finals 4'!$Q30&lt;&gt;"",'Finals 4'!$O30&lt;&gt;'Finals 4'!$Q30)),'Finals 4'!$I30&lt;&gt;"",'Finals 4'!$K30&lt;&gt;"",'Finals 4'!$I30&lt;&gt;'Finals 4'!$K30),1,0)</f>
        <v>1</v>
      </c>
      <c r="AB82" s="12" t="str">
        <f ca="1">IF(AA82&gt;0,X82&amp;Language!$E$96&amp;Y82,"")</f>
        <v>25-20</v>
      </c>
      <c r="AD82" s="143"/>
      <c r="AE82" s="148">
        <f t="shared" ca="1" si="44"/>
        <v>2</v>
      </c>
      <c r="AF82" s="143">
        <f t="shared" ca="1" si="45"/>
        <v>0</v>
      </c>
      <c r="AG82" s="148">
        <f ca="1">IF(AA82=1,'Finals 4'!$O30,"")</f>
        <v>25</v>
      </c>
      <c r="AH82" s="12">
        <f ca="1">IF(AA82=1,'Finals 4'!$Q30,"")</f>
        <v>19</v>
      </c>
      <c r="AI82" s="143" t="str">
        <f ca="1">IF(AA82&gt;0,AE82&amp;Language!$E$96&amp;AF82,"")</f>
        <v>2-0</v>
      </c>
    </row>
    <row r="83" spans="2:35" s="2" customFormat="1" x14ac:dyDescent="0.2">
      <c r="B83" s="3"/>
      <c r="C83" s="3"/>
      <c r="D83" s="3"/>
      <c r="E83" s="3"/>
      <c r="F83" s="12"/>
      <c r="G83" s="12"/>
      <c r="H83" s="12"/>
      <c r="I83" s="12"/>
      <c r="J83" s="12"/>
      <c r="K83" s="12"/>
      <c r="L83" s="12"/>
      <c r="M83" s="12"/>
      <c r="U83" s="66" t="s">
        <v>34</v>
      </c>
      <c r="V83" s="40" t="str">
        <f ca="1">'Finals 4'!$I31</f>
        <v>Real Madrid</v>
      </c>
      <c r="W83" s="12" t="str">
        <f ca="1">'Finals 4'!$K31</f>
        <v>VFB Essenheim</v>
      </c>
      <c r="X83" s="12">
        <f ca="1">IF(AA83=1,'Finals 4'!$L31,"")</f>
        <v>25</v>
      </c>
      <c r="Y83" s="35">
        <f ca="1">IF(AA83=1,'Finals 4'!$N31,"")</f>
        <v>2</v>
      </c>
      <c r="Z83" s="34" t="str">
        <f t="shared" ca="1" si="46"/>
        <v>Real MadridVFB Essenheim</v>
      </c>
      <c r="AA83" s="12">
        <f ca="1">IF(AND('Finals 4'!$L31&lt;&gt;"",'Finals 4'!$N31&lt;&gt;"",'Finals 4'!$L31&lt;&gt;'Finals 4'!$N31,OR(AND('Finals 4'!$O31="",'Finals 4'!$Q31=""),AND('Finals 4'!$O31&lt;&gt;"",'Finals 4'!$Q31&lt;&gt;"",'Finals 4'!$O31&lt;&gt;'Finals 4'!$Q31)),'Finals 4'!$I31&lt;&gt;"",'Finals 4'!$K31&lt;&gt;"",'Finals 4'!$I31&lt;&gt;'Finals 4'!$K31),1,0)</f>
        <v>1</v>
      </c>
      <c r="AB83" s="12" t="str">
        <f ca="1">IF(AA83&gt;0,X83&amp;Language!$E$96&amp;Y83,"")</f>
        <v>25-2</v>
      </c>
      <c r="AD83" s="143"/>
      <c r="AE83" s="148">
        <f t="shared" ca="1" si="44"/>
        <v>2</v>
      </c>
      <c r="AF83" s="143">
        <f t="shared" ca="1" si="45"/>
        <v>0</v>
      </c>
      <c r="AG83" s="148">
        <f ca="1">IF(AA83=1,'Finals 4'!$O31,"")</f>
        <v>25</v>
      </c>
      <c r="AH83" s="12">
        <f ca="1">IF(AA83=1,'Finals 4'!$Q31,"")</f>
        <v>20</v>
      </c>
      <c r="AI83" s="143" t="str">
        <f ca="1">IF(AA83&gt;0,AE83&amp;Language!$E$96&amp;AF83,"")</f>
        <v>2-0</v>
      </c>
    </row>
    <row r="84" spans="2:35" s="2" customFormat="1" x14ac:dyDescent="0.2">
      <c r="B84" s="3"/>
      <c r="C84" s="3"/>
      <c r="D84" s="3"/>
      <c r="E84" s="3"/>
      <c r="F84" s="12"/>
      <c r="G84" s="12"/>
      <c r="H84" s="12"/>
      <c r="I84" s="12"/>
      <c r="J84" s="12"/>
      <c r="K84" s="12"/>
      <c r="L84" s="12"/>
      <c r="M84" s="12"/>
      <c r="U84" s="66" t="s">
        <v>35</v>
      </c>
      <c r="V84" s="40" t="str">
        <f ca="1">'Finals 4'!$I32</f>
        <v>SSV Wildbach</v>
      </c>
      <c r="W84" s="12" t="str">
        <f ca="1">'Finals 4'!$K32</f>
        <v>FC Barcelona</v>
      </c>
      <c r="X84" s="12">
        <f ca="1">IF(AA84=1,'Finals 4'!$L32,"")</f>
        <v>25</v>
      </c>
      <c r="Y84" s="35">
        <f ca="1">IF(AA84=1,'Finals 4'!$N32,"")</f>
        <v>16</v>
      </c>
      <c r="Z84" s="34" t="str">
        <f t="shared" ca="1" si="46"/>
        <v>SSV WildbachFC Barcelona</v>
      </c>
      <c r="AA84" s="12">
        <f ca="1">IF(AND('Finals 4'!$L32&lt;&gt;"",'Finals 4'!$N32&lt;&gt;"",'Finals 4'!$L32&lt;&gt;'Finals 4'!$N32,OR(AND('Finals 4'!$O32="",'Finals 4'!$Q32=""),AND('Finals 4'!$O32&lt;&gt;"",'Finals 4'!$Q32&lt;&gt;"",'Finals 4'!$O32&lt;&gt;'Finals 4'!$Q32)),'Finals 4'!$I32&lt;&gt;"",'Finals 4'!$K32&lt;&gt;"",'Finals 4'!$I32&lt;&gt;'Finals 4'!$K32),1,0)</f>
        <v>1</v>
      </c>
      <c r="AB84" s="12" t="str">
        <f ca="1">IF(AA84&gt;0,X84&amp;Language!$E$96&amp;Y84,"")</f>
        <v>25-16</v>
      </c>
      <c r="AD84" s="143"/>
      <c r="AE84" s="148">
        <f t="shared" ca="1" si="44"/>
        <v>2</v>
      </c>
      <c r="AF84" s="143">
        <f t="shared" ca="1" si="45"/>
        <v>0</v>
      </c>
      <c r="AG84" s="148">
        <f ca="1">IF(AA84=1,'Finals 4'!$O32,"")</f>
        <v>25</v>
      </c>
      <c r="AH84" s="12">
        <f ca="1">IF(AA84=1,'Finals 4'!$Q32,"")</f>
        <v>21</v>
      </c>
      <c r="AI84" s="143" t="str">
        <f ca="1">IF(AA84&gt;0,AE84&amp;Language!$E$96&amp;AF84,"")</f>
        <v>2-0</v>
      </c>
    </row>
    <row r="85" spans="2:35" s="2" customFormat="1" x14ac:dyDescent="0.2">
      <c r="B85" s="3"/>
      <c r="C85" s="3"/>
      <c r="D85" s="3"/>
      <c r="E85" s="3"/>
      <c r="F85" s="12"/>
      <c r="G85" s="12"/>
      <c r="H85" s="12"/>
      <c r="I85" s="12"/>
      <c r="J85" s="12"/>
      <c r="K85" s="12"/>
      <c r="L85" s="12"/>
      <c r="M85" s="12"/>
      <c r="U85" s="66" t="s">
        <v>36</v>
      </c>
      <c r="V85" s="40" t="str">
        <f ca="1">'Finals 4'!$I33</f>
        <v>FSV Rauen</v>
      </c>
      <c r="W85" s="12" t="str">
        <f ca="1">'Finals 4'!$K33</f>
        <v>1. FC Riedwald</v>
      </c>
      <c r="X85" s="12">
        <f ca="1">IF(AA85=1,'Finals 4'!$L33,"")</f>
        <v>25</v>
      </c>
      <c r="Y85" s="35">
        <f ca="1">IF(AA85=1,'Finals 4'!$N33,"")</f>
        <v>2</v>
      </c>
      <c r="Z85" s="34" t="str">
        <f t="shared" ca="1" si="46"/>
        <v>FSV Rauen1. FC Riedwald</v>
      </c>
      <c r="AA85" s="12">
        <f ca="1">IF(AND('Finals 4'!$L33&lt;&gt;"",'Finals 4'!$N33&lt;&gt;"",'Finals 4'!$L33&lt;&gt;'Finals 4'!$N33,OR(AND('Finals 4'!$O33="",'Finals 4'!$Q33=""),AND('Finals 4'!$O33&lt;&gt;"",'Finals 4'!$Q33&lt;&gt;"",'Finals 4'!$O33&lt;&gt;'Finals 4'!$Q33)),'Finals 4'!$I33&lt;&gt;"",'Finals 4'!$K33&lt;&gt;"",'Finals 4'!$I33&lt;&gt;'Finals 4'!$K33),1,0)</f>
        <v>1</v>
      </c>
      <c r="AB85" s="12" t="str">
        <f ca="1">IF(AA85&gt;0,X85&amp;Language!$E$96&amp;Y85,"")</f>
        <v>25-2</v>
      </c>
      <c r="AD85" s="143"/>
      <c r="AE85" s="148">
        <f t="shared" ca="1" si="44"/>
        <v>2</v>
      </c>
      <c r="AF85" s="143">
        <f t="shared" ca="1" si="45"/>
        <v>0</v>
      </c>
      <c r="AG85" s="148">
        <f ca="1">IF(AA85=1,'Finals 4'!$O33,"")</f>
        <v>25</v>
      </c>
      <c r="AH85" s="12">
        <f ca="1">IF(AA85=1,'Finals 4'!$Q33,"")</f>
        <v>22</v>
      </c>
      <c r="AI85" s="143" t="str">
        <f ca="1">IF(AA85&gt;0,AE85&amp;Language!$E$96&amp;AF85,"")</f>
        <v>2-0</v>
      </c>
    </row>
    <row r="86" spans="2:35" s="2" customFormat="1" x14ac:dyDescent="0.2">
      <c r="B86" s="3"/>
      <c r="C86" s="3"/>
      <c r="D86" s="3"/>
      <c r="E86" s="3"/>
      <c r="F86" s="12"/>
      <c r="G86" s="12"/>
      <c r="H86" s="12"/>
      <c r="I86" s="12"/>
      <c r="J86" s="12"/>
      <c r="K86" s="12"/>
      <c r="L86" s="12"/>
      <c r="M86" s="12"/>
      <c r="U86" s="66" t="s">
        <v>37</v>
      </c>
      <c r="V86" s="40" t="str">
        <f ca="1">'Finals 4'!$I34</f>
        <v>FC Grönlingen</v>
      </c>
      <c r="W86" s="12" t="str">
        <f ca="1">'Finals 4'!$K34</f>
        <v>Maibach 1822 eV</v>
      </c>
      <c r="X86" s="12">
        <f ca="1">IF(AA86=1,'Finals 4'!$L34,"")</f>
        <v>13</v>
      </c>
      <c r="Y86" s="35">
        <f ca="1">IF(AA86=1,'Finals 4'!$N34,"")</f>
        <v>25</v>
      </c>
      <c r="Z86" s="34" t="str">
        <f t="shared" ca="1" si="46"/>
        <v>FC GrönlingenMaibach 1822 eV</v>
      </c>
      <c r="AA86" s="12">
        <f ca="1">IF(AND('Finals 4'!$L34&lt;&gt;"",'Finals 4'!$N34&lt;&gt;"",'Finals 4'!$L34&lt;&gt;'Finals 4'!$N34,OR(AND('Finals 4'!$O34="",'Finals 4'!$Q34=""),AND('Finals 4'!$O34&lt;&gt;"",'Finals 4'!$Q34&lt;&gt;"",'Finals 4'!$O34&lt;&gt;'Finals 4'!$Q34)),'Finals 4'!$I34&lt;&gt;"",'Finals 4'!$K34&lt;&gt;"",'Finals 4'!$I34&lt;&gt;'Finals 4'!$K34),1,0)</f>
        <v>1</v>
      </c>
      <c r="AB86" s="12" t="str">
        <f ca="1">IF(AA86&gt;0,X86&amp;Language!$E$96&amp;Y86,"")</f>
        <v>13-25</v>
      </c>
      <c r="AD86" s="143"/>
      <c r="AE86" s="148">
        <f t="shared" ca="1" si="44"/>
        <v>1</v>
      </c>
      <c r="AF86" s="143">
        <f t="shared" ca="1" si="45"/>
        <v>1</v>
      </c>
      <c r="AG86" s="148">
        <f ca="1">IF(AA86=1,'Finals 4'!$O34,"")</f>
        <v>25</v>
      </c>
      <c r="AH86" s="12">
        <f ca="1">IF(AA86=1,'Finals 4'!$Q34,"")</f>
        <v>11</v>
      </c>
      <c r="AI86" s="143" t="str">
        <f ca="1">IF(AA86&gt;0,AE86&amp;Language!$E$96&amp;AF86,"")</f>
        <v>1-1</v>
      </c>
    </row>
    <row r="87" spans="2:35" s="2" customFormat="1" ht="12.75" thickBot="1" x14ac:dyDescent="0.25">
      <c r="B87" s="3"/>
      <c r="C87" s="3"/>
      <c r="D87" s="3"/>
      <c r="E87" s="3"/>
      <c r="F87" s="12"/>
      <c r="G87" s="12"/>
      <c r="H87" s="12"/>
      <c r="I87" s="12"/>
      <c r="J87" s="12"/>
      <c r="K87" s="12"/>
      <c r="L87" s="12"/>
      <c r="M87" s="12"/>
      <c r="U87" s="66" t="s">
        <v>38</v>
      </c>
      <c r="V87" s="40" t="str">
        <f ca="1">'Finals 4'!$I35</f>
        <v>Eintracht Frankfurt</v>
      </c>
      <c r="W87" s="12" t="str">
        <f ca="1">'Finals 4'!$K35</f>
        <v>1. FC Nürnberg</v>
      </c>
      <c r="X87" s="12">
        <f ca="1">IF(AA87=1,'Finals 4'!$L35,"")</f>
        <v>19</v>
      </c>
      <c r="Y87" s="35">
        <f ca="1">IF(AA87=1,'Finals 4'!$N35,"")</f>
        <v>25</v>
      </c>
      <c r="Z87" s="34" t="str">
        <f t="shared" ca="1" si="46"/>
        <v>Eintracht Frankfurt1. FC Nürnberg</v>
      </c>
      <c r="AA87" s="686">
        <f ca="1">IF(AND('Finals 4'!$L35&lt;&gt;"",'Finals 4'!$N35&lt;&gt;"",'Finals 4'!$L35&lt;&gt;'Finals 4'!$N35,OR(AND('Finals 4'!$O35="",'Finals 4'!$Q35=""),AND('Finals 4'!$O35&lt;&gt;"",'Finals 4'!$Q35&lt;&gt;"",'Finals 4'!$O35&lt;&gt;'Finals 4'!$Q35)),'Finals 4'!$I35&lt;&gt;"",'Finals 4'!$K35&lt;&gt;"",'Finals 4'!$I35&lt;&gt;'Finals 4'!$K35),1,0)</f>
        <v>1</v>
      </c>
      <c r="AB87" s="12" t="str">
        <f ca="1">IF(AA87&gt;0,X87&amp;Language!$E$96&amp;Y87,"")</f>
        <v>19-25</v>
      </c>
      <c r="AD87" s="143"/>
      <c r="AE87" s="148">
        <f t="shared" ca="1" si="44"/>
        <v>1</v>
      </c>
      <c r="AF87" s="143">
        <f t="shared" ca="1" si="45"/>
        <v>1</v>
      </c>
      <c r="AG87" s="148">
        <f ca="1">IF(AA87=1,'Finals 4'!$O35,"")</f>
        <v>25</v>
      </c>
      <c r="AH87" s="12">
        <f ca="1">IF(AA87=1,'Finals 4'!$Q35,"")</f>
        <v>17</v>
      </c>
      <c r="AI87" s="143" t="str">
        <f ca="1">IF(AA87&gt;0,AE87&amp;Language!$E$96&amp;AF87,"")</f>
        <v>1-1</v>
      </c>
    </row>
    <row r="88" spans="2:35" s="2" customFormat="1" ht="13.5" thickTop="1" thickBot="1" x14ac:dyDescent="0.25">
      <c r="B88" s="3"/>
      <c r="C88" s="3"/>
      <c r="D88" s="3"/>
      <c r="E88" s="3"/>
      <c r="F88" s="12"/>
      <c r="G88" s="12"/>
      <c r="H88" s="12"/>
      <c r="I88" s="12"/>
      <c r="J88" s="12"/>
      <c r="K88" s="12"/>
      <c r="L88" s="12"/>
      <c r="M88" s="12"/>
      <c r="U88" s="684" t="s">
        <v>39</v>
      </c>
      <c r="V88" s="738" t="str">
        <f ca="1">'Finals 4'!$I36</f>
        <v>Borussia Dortmund</v>
      </c>
      <c r="W88" s="686" t="str">
        <f ca="1">'Finals 4'!$K36</f>
        <v>Inter Mailand</v>
      </c>
      <c r="X88" s="686">
        <f ca="1">IF(AA88=1,'Finals 4'!$L36,"")</f>
        <v>17</v>
      </c>
      <c r="Y88" s="739">
        <f ca="1">IF(AA88=1,'Finals 4'!$N36,"")</f>
        <v>25</v>
      </c>
      <c r="Z88" s="685" t="str">
        <f t="shared" ca="1" si="46"/>
        <v>Borussia DortmundInter Mailand</v>
      </c>
      <c r="AA88" s="686">
        <f ca="1">IF(AND('Finals 4'!$L36&lt;&gt;"",'Finals 4'!$N36&lt;&gt;"",'Finals 4'!$L36&lt;&gt;'Finals 4'!$N36,OR(AND('Finals 4'!$O36="",'Finals 4'!$Q36=""),AND('Finals 4'!$O36&lt;&gt;"",'Finals 4'!$Q36&lt;&gt;"",'Finals 4'!$N36&lt;&gt;'Finals 4'!$Q36)),'Finals 4'!$I36&lt;&gt;"",'Finals 4'!$K36&lt;&gt;"",'Finals 4'!$I36&lt;&gt;'Finals 4'!$K36),1,0)</f>
        <v>1</v>
      </c>
      <c r="AB88" s="686" t="str">
        <f ca="1">IF(AA88&gt;0,X88&amp;Language!$E$96&amp;Y88,"")</f>
        <v>17-25</v>
      </c>
      <c r="AC88" s="687"/>
      <c r="AD88" s="688"/>
      <c r="AE88" s="722">
        <f t="shared" ca="1" si="44"/>
        <v>1</v>
      </c>
      <c r="AF88" s="688">
        <f t="shared" ca="1" si="45"/>
        <v>1</v>
      </c>
      <c r="AG88" s="722">
        <f ca="1">IF(AA88=1,'Finals 4'!$O36,"")</f>
        <v>25</v>
      </c>
      <c r="AH88" s="686">
        <f ca="1">IF(AA88=1,'Finals 4'!$Q36,"")</f>
        <v>16</v>
      </c>
      <c r="AI88" s="688" t="str">
        <f ca="1">IF(AA88&gt;0,AE88&amp;Language!$E$96&amp;AF88,"")</f>
        <v>1-1</v>
      </c>
    </row>
    <row r="89" spans="2:35" s="2" customFormat="1" ht="12.75" thickTop="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FSV Rauen</v>
      </c>
      <c r="AA137" s="12">
        <f t="shared" ref="AA137:AA160" ca="1" si="47">AA65</f>
        <v>0</v>
      </c>
      <c r="AB137" s="12" t="str">
        <f ca="1">IF(AA137&gt;0,Y65&amp;Language!$E$96&amp;X65,"")</f>
        <v/>
      </c>
      <c r="AC137" s="2"/>
      <c r="AD137" s="143"/>
      <c r="AE137" s="709"/>
      <c r="AF137" s="710"/>
      <c r="AG137" s="710"/>
      <c r="AH137" s="710"/>
      <c r="AI137" s="711" t="str">
        <f ca="1">IF(AA65&gt;0,AF65&amp;Language!$E$96&amp;AE65,"")</f>
        <v/>
      </c>
    </row>
    <row r="138" spans="2:35" x14ac:dyDescent="0.2">
      <c r="Y138" s="66" t="s">
        <v>8</v>
      </c>
      <c r="Z138" s="34" t="str">
        <f t="shared" ref="Z138:Z160" ca="1" si="48">W66&amp;V66</f>
        <v>Mainz 05FC Grönlingen</v>
      </c>
      <c r="AA138" s="12">
        <f t="shared" ca="1" si="47"/>
        <v>1</v>
      </c>
      <c r="AB138" s="12" t="str">
        <f ca="1">IF(AA138&gt;0,Y66&amp;Language!$E$96&amp;X66,"")</f>
        <v>25-19</v>
      </c>
      <c r="AC138" s="2"/>
      <c r="AD138" s="143"/>
      <c r="AE138" s="709"/>
      <c r="AF138" s="710"/>
      <c r="AG138" s="710"/>
      <c r="AH138" s="710"/>
      <c r="AI138" s="711" t="str">
        <f ca="1">IF(AA66&gt;0,AF66&amp;Language!$E$96&amp;AE66,"")</f>
        <v>2-0</v>
      </c>
    </row>
    <row r="139" spans="2:35" x14ac:dyDescent="0.2">
      <c r="Y139" s="66" t="s">
        <v>9</v>
      </c>
      <c r="Z139" s="34" t="str">
        <f t="shared" ca="1" si="48"/>
        <v>Real MadridEintracht Frankfurt</v>
      </c>
      <c r="AA139" s="12">
        <f t="shared" ca="1" si="47"/>
        <v>1</v>
      </c>
      <c r="AB139" s="12" t="str">
        <f ca="1">IF(AA139&gt;0,Y67&amp;Language!$E$96&amp;X67,"")</f>
        <v>20-25</v>
      </c>
      <c r="AC139" s="2"/>
      <c r="AD139" s="143"/>
      <c r="AE139" s="709"/>
      <c r="AF139" s="710"/>
      <c r="AG139" s="710"/>
      <c r="AH139" s="710"/>
      <c r="AI139" s="711" t="str">
        <f ca="1">IF(AA67&gt;0,AF67&amp;Language!$E$96&amp;AE67,"")</f>
        <v>1-1</v>
      </c>
    </row>
    <row r="140" spans="2:35" x14ac:dyDescent="0.2">
      <c r="Y140" s="66" t="s">
        <v>10</v>
      </c>
      <c r="Z140" s="34" t="str">
        <f t="shared" ca="1" si="48"/>
        <v>SSV WildbachBorussia Dortmund</v>
      </c>
      <c r="AA140" s="12">
        <f t="shared" ca="1" si="47"/>
        <v>1</v>
      </c>
      <c r="AB140" s="12" t="str">
        <f ca="1">IF(AA140&gt;0,Y68&amp;Language!$E$96&amp;X68,"")</f>
        <v>21-25</v>
      </c>
      <c r="AC140" s="2"/>
      <c r="AD140" s="143"/>
      <c r="AE140" s="709"/>
      <c r="AF140" s="710"/>
      <c r="AG140" s="710"/>
      <c r="AH140" s="710"/>
      <c r="AI140" s="711" t="str">
        <f ca="1">IF(AA68&gt;0,AF68&amp;Language!$E$96&amp;AE68,"")</f>
        <v>0-2</v>
      </c>
    </row>
    <row r="141" spans="2:35" x14ac:dyDescent="0.2">
      <c r="Y141" s="66" t="s">
        <v>11</v>
      </c>
      <c r="Z141" s="34" t="str">
        <f t="shared" ca="1" si="48"/>
        <v>Manchester City1. FC Riedwald</v>
      </c>
      <c r="AA141" s="12">
        <f t="shared" ca="1" si="47"/>
        <v>1</v>
      </c>
      <c r="AB141" s="12" t="str">
        <f ca="1">IF(AA141&gt;0,Y69&amp;Language!$E$96&amp;X69,"")</f>
        <v>22-25</v>
      </c>
      <c r="AC141" s="2"/>
      <c r="AD141" s="143"/>
      <c r="AE141" s="709"/>
      <c r="AF141" s="710"/>
      <c r="AG141" s="710"/>
      <c r="AH141" s="710"/>
      <c r="AI141" s="711" t="str">
        <f ca="1">IF(AA69&gt;0,AF69&amp;Language!$E$96&amp;AE69,"")</f>
        <v>0-2</v>
      </c>
    </row>
    <row r="142" spans="2:35" x14ac:dyDescent="0.2">
      <c r="Y142" s="66" t="s">
        <v>16</v>
      </c>
      <c r="Z142" s="34" t="str">
        <f t="shared" ca="1" si="48"/>
        <v>Kickers RodendorfMaibach 1822 eV</v>
      </c>
      <c r="AA142" s="12">
        <f t="shared" ca="1" si="47"/>
        <v>1</v>
      </c>
      <c r="AB142" s="12" t="str">
        <f ca="1">IF(AA142&gt;0,Y70&amp;Language!$E$96&amp;X70,"")</f>
        <v>23-25</v>
      </c>
      <c r="AC142" s="2"/>
      <c r="AD142" s="143"/>
      <c r="AE142" s="709"/>
      <c r="AF142" s="710"/>
      <c r="AG142" s="710"/>
      <c r="AH142" s="710"/>
      <c r="AI142" s="711" t="str">
        <f ca="1">IF(AA70&gt;0,AF70&amp;Language!$E$96&amp;AE70,"")</f>
        <v>0-2</v>
      </c>
    </row>
    <row r="143" spans="2:35" x14ac:dyDescent="0.2">
      <c r="Y143" s="66" t="s">
        <v>17</v>
      </c>
      <c r="Z143" s="34" t="str">
        <f t="shared" ca="1" si="48"/>
        <v>VFB Essenheim1. FC Nürnberg</v>
      </c>
      <c r="AA143" s="12">
        <f t="shared" ca="1" si="47"/>
        <v>1</v>
      </c>
      <c r="AB143" s="12" t="str">
        <f ca="1">IF(AA143&gt;0,Y71&amp;Language!$E$96&amp;X71,"")</f>
        <v>17-25</v>
      </c>
      <c r="AC143" s="2"/>
      <c r="AD143" s="143"/>
      <c r="AE143" s="709"/>
      <c r="AF143" s="710"/>
      <c r="AG143" s="710"/>
      <c r="AH143" s="710"/>
      <c r="AI143" s="711" t="str">
        <f ca="1">IF(AA71&gt;0,AF71&amp;Language!$E$96&amp;AE71,"")</f>
        <v>0-2</v>
      </c>
    </row>
    <row r="144" spans="2:35" x14ac:dyDescent="0.2">
      <c r="Y144" s="66" t="s">
        <v>18</v>
      </c>
      <c r="Z144" s="34" t="str">
        <f t="shared" ca="1" si="48"/>
        <v>FC BarcelonaInter Mailand</v>
      </c>
      <c r="AA144" s="12">
        <f t="shared" ca="1" si="47"/>
        <v>1</v>
      </c>
      <c r="AB144" s="12" t="str">
        <f ca="1">IF(AA144&gt;0,Y72&amp;Language!$E$96&amp;X72,"")</f>
        <v>25-23</v>
      </c>
      <c r="AC144" s="2"/>
      <c r="AD144" s="143"/>
      <c r="AE144" s="709"/>
      <c r="AF144" s="710"/>
      <c r="AG144" s="710"/>
      <c r="AH144" s="710"/>
      <c r="AI144" s="711" t="str">
        <f ca="1">IF(AA72&gt;0,AF72&amp;Language!$E$96&amp;AE72,"")</f>
        <v>2-0</v>
      </c>
    </row>
    <row r="145" spans="25:35" x14ac:dyDescent="0.2">
      <c r="Y145" s="66" t="s">
        <v>24</v>
      </c>
      <c r="Z145" s="34" t="str">
        <f t="shared" ca="1" si="48"/>
        <v>1. FC Riedwald</v>
      </c>
      <c r="AA145" s="12">
        <f t="shared" ca="1" si="47"/>
        <v>0</v>
      </c>
      <c r="AB145" s="12" t="str">
        <f ca="1">IF(AA145&gt;0,Y73&amp;Language!$E$96&amp;X73,"")</f>
        <v/>
      </c>
      <c r="AC145" s="2"/>
      <c r="AD145" s="143"/>
      <c r="AE145" s="709"/>
      <c r="AF145" s="710"/>
      <c r="AG145" s="710"/>
      <c r="AH145" s="710"/>
      <c r="AI145" s="711" t="str">
        <f ca="1">IF(AA73&gt;0,AF73&amp;Language!$E$96&amp;AE73,"")</f>
        <v/>
      </c>
    </row>
    <row r="146" spans="25:35" x14ac:dyDescent="0.2">
      <c r="Y146" s="66" t="s">
        <v>25</v>
      </c>
      <c r="Z146" s="34" t="str">
        <f t="shared" ca="1" si="48"/>
        <v>Maibach 1822 eVMainz 05</v>
      </c>
      <c r="AA146" s="12">
        <f t="shared" ca="1" si="47"/>
        <v>1</v>
      </c>
      <c r="AB146" s="12" t="str">
        <f ca="1">IF(AA146&gt;0,Y74&amp;Language!$E$96&amp;X74,"")</f>
        <v>25-16</v>
      </c>
      <c r="AC146" s="2"/>
      <c r="AD146" s="143"/>
      <c r="AE146" s="709"/>
      <c r="AF146" s="710"/>
      <c r="AG146" s="710"/>
      <c r="AH146" s="710"/>
      <c r="AI146" s="711" t="str">
        <f ca="1">IF(AA74&gt;0,AF74&amp;Language!$E$96&amp;AE74,"")</f>
        <v>1-1</v>
      </c>
    </row>
    <row r="147" spans="25:35" x14ac:dyDescent="0.2">
      <c r="Y147" s="66" t="s">
        <v>26</v>
      </c>
      <c r="Z147" s="34" t="str">
        <f t="shared" ca="1" si="48"/>
        <v>1. FC NürnbergReal Madrid</v>
      </c>
      <c r="AA147" s="12">
        <f t="shared" ca="1" si="47"/>
        <v>1</v>
      </c>
      <c r="AB147" s="12" t="str">
        <f ca="1">IF(AA147&gt;0,Y75&amp;Language!$E$96&amp;X75,"")</f>
        <v>25-14</v>
      </c>
      <c r="AC147" s="2"/>
      <c r="AD147" s="143"/>
      <c r="AE147" s="709"/>
      <c r="AF147" s="710"/>
      <c r="AG147" s="710"/>
      <c r="AH147" s="710"/>
      <c r="AI147" s="711" t="str">
        <f ca="1">IF(AA75&gt;0,AF75&amp;Language!$E$96&amp;AE75,"")</f>
        <v>1-1</v>
      </c>
    </row>
    <row r="148" spans="25:35" x14ac:dyDescent="0.2">
      <c r="Y148" s="66" t="s">
        <v>27</v>
      </c>
      <c r="Z148" s="34" t="str">
        <f t="shared" ca="1" si="48"/>
        <v>Inter MailandSSV Wildbach</v>
      </c>
      <c r="AA148" s="12">
        <f t="shared" ca="1" si="47"/>
        <v>1</v>
      </c>
      <c r="AB148" s="12" t="str">
        <f ca="1">IF(AA148&gt;0,Y76&amp;Language!$E$96&amp;X76,"")</f>
        <v>25-22</v>
      </c>
      <c r="AC148" s="2"/>
      <c r="AD148" s="143"/>
      <c r="AE148" s="709"/>
      <c r="AF148" s="710"/>
      <c r="AG148" s="710"/>
      <c r="AH148" s="710"/>
      <c r="AI148" s="711" t="str">
        <f ca="1">IF(AA76&gt;0,AF76&amp;Language!$E$96&amp;AE76,"")</f>
        <v>1-1</v>
      </c>
    </row>
    <row r="149" spans="25:35" x14ac:dyDescent="0.2">
      <c r="Y149" s="66" t="s">
        <v>28</v>
      </c>
      <c r="Z149" s="34" t="str">
        <f t="shared" ca="1" si="48"/>
        <v>FSV RauenManchester City</v>
      </c>
      <c r="AA149" s="12">
        <f t="shared" ca="1" si="47"/>
        <v>1</v>
      </c>
      <c r="AB149" s="12" t="str">
        <f ca="1">IF(AA149&gt;0,Y77&amp;Language!$E$96&amp;X77,"")</f>
        <v>25-19</v>
      </c>
      <c r="AC149" s="2"/>
      <c r="AD149" s="143"/>
      <c r="AE149" s="709"/>
      <c r="AF149" s="710"/>
      <c r="AG149" s="710"/>
      <c r="AH149" s="710"/>
      <c r="AI149" s="711" t="str">
        <f ca="1">IF(AA77&gt;0,AF77&amp;Language!$E$96&amp;AE77,"")</f>
        <v>1-1</v>
      </c>
    </row>
    <row r="150" spans="25:35" x14ac:dyDescent="0.2">
      <c r="Y150" s="66" t="s">
        <v>29</v>
      </c>
      <c r="Z150" s="34" t="str">
        <f t="shared" ca="1" si="48"/>
        <v>FC GrönlingenKickers Rodendorf</v>
      </c>
      <c r="AA150" s="12">
        <f t="shared" ca="1" si="47"/>
        <v>1</v>
      </c>
      <c r="AB150" s="12" t="str">
        <f ca="1">IF(AA150&gt;0,Y78&amp;Language!$E$96&amp;X78,"")</f>
        <v>25-17</v>
      </c>
      <c r="AC150" s="2"/>
      <c r="AD150" s="143"/>
      <c r="AE150" s="709"/>
      <c r="AF150" s="710"/>
      <c r="AG150" s="710"/>
      <c r="AH150" s="710"/>
      <c r="AI150" s="711" t="str">
        <f ca="1">IF(AA78&gt;0,AF78&amp;Language!$E$96&amp;AE78,"")</f>
        <v>2-0</v>
      </c>
    </row>
    <row r="151" spans="25:35" x14ac:dyDescent="0.2">
      <c r="Y151" s="66" t="s">
        <v>30</v>
      </c>
      <c r="Z151" s="34" t="str">
        <f t="shared" ca="1" si="48"/>
        <v>Eintracht FrankfurtVFB Essenheim</v>
      </c>
      <c r="AA151" s="12">
        <f t="shared" ca="1" si="47"/>
        <v>1</v>
      </c>
      <c r="AB151" s="12" t="str">
        <f ca="1">IF(AA151&gt;0,Y79&amp;Language!$E$96&amp;X79,"")</f>
        <v>25-14</v>
      </c>
      <c r="AC151" s="2"/>
      <c r="AD151" s="143"/>
      <c r="AE151" s="709"/>
      <c r="AF151" s="710"/>
      <c r="AG151" s="710"/>
      <c r="AH151" s="710"/>
      <c r="AI151" s="711" t="str">
        <f ca="1">IF(AA79&gt;0,AF79&amp;Language!$E$96&amp;AE79,"")</f>
        <v>1-1</v>
      </c>
    </row>
    <row r="152" spans="25:35" x14ac:dyDescent="0.2">
      <c r="Y152" s="66" t="s">
        <v>31</v>
      </c>
      <c r="Z152" s="34" t="str">
        <f t="shared" ca="1" si="48"/>
        <v>Borussia DortmundFC Barcelona</v>
      </c>
      <c r="AA152" s="12">
        <f t="shared" ca="1" si="47"/>
        <v>1</v>
      </c>
      <c r="AB152" s="12" t="str">
        <f ca="1">IF(AA152&gt;0,Y80&amp;Language!$E$96&amp;X80,"")</f>
        <v>25-21</v>
      </c>
      <c r="AC152" s="2"/>
      <c r="AD152" s="143"/>
      <c r="AE152" s="709"/>
      <c r="AF152" s="710"/>
      <c r="AG152" s="710"/>
      <c r="AH152" s="710"/>
      <c r="AI152" s="711" t="str">
        <f ca="1">IF(AA80&gt;0,AF80&amp;Language!$E$96&amp;AE80,"")</f>
        <v>1-1</v>
      </c>
    </row>
    <row r="153" spans="25:35" x14ac:dyDescent="0.2">
      <c r="Y153" s="66" t="s">
        <v>32</v>
      </c>
      <c r="Z153" s="34" t="str">
        <f t="shared" ca="1" si="48"/>
        <v>Manchester City</v>
      </c>
      <c r="AA153" s="12">
        <f t="shared" ca="1" si="47"/>
        <v>0</v>
      </c>
      <c r="AB153" s="12" t="str">
        <f ca="1">IF(AA153&gt;0,Y81&amp;Language!$E$96&amp;X81,"")</f>
        <v/>
      </c>
      <c r="AC153" s="2"/>
      <c r="AD153" s="143"/>
      <c r="AE153" s="709"/>
      <c r="AF153" s="710"/>
      <c r="AG153" s="710"/>
      <c r="AH153" s="710"/>
      <c r="AI153" s="711" t="str">
        <f ca="1">IF(AA81&gt;0,AF81&amp;Language!$E$96&amp;AE81,"")</f>
        <v/>
      </c>
    </row>
    <row r="154" spans="25:35" x14ac:dyDescent="0.2">
      <c r="Y154" s="66" t="s">
        <v>33</v>
      </c>
      <c r="Z154" s="34" t="str">
        <f t="shared" ca="1" si="48"/>
        <v>Kickers RodendorfMainz 05</v>
      </c>
      <c r="AA154" s="12">
        <f t="shared" ca="1" si="47"/>
        <v>1</v>
      </c>
      <c r="AB154" s="12" t="str">
        <f ca="1">IF(AA154&gt;0,Y82&amp;Language!$E$96&amp;X82,"")</f>
        <v>20-25</v>
      </c>
      <c r="AC154" s="2"/>
      <c r="AD154" s="143"/>
      <c r="AE154" s="709"/>
      <c r="AF154" s="710"/>
      <c r="AG154" s="710"/>
      <c r="AH154" s="710"/>
      <c r="AI154" s="711" t="str">
        <f ca="1">IF(AA82&gt;0,AF82&amp;Language!$E$96&amp;AE82,"")</f>
        <v>0-2</v>
      </c>
    </row>
    <row r="155" spans="25:35" x14ac:dyDescent="0.2">
      <c r="Y155" s="66" t="s">
        <v>34</v>
      </c>
      <c r="Z155" s="34" t="str">
        <f t="shared" ca="1" si="48"/>
        <v>VFB EssenheimReal Madrid</v>
      </c>
      <c r="AA155" s="12">
        <f t="shared" ca="1" si="47"/>
        <v>1</v>
      </c>
      <c r="AB155" s="12" t="str">
        <f ca="1">IF(AA155&gt;0,Y83&amp;Language!$E$96&amp;X83,"")</f>
        <v>2-25</v>
      </c>
      <c r="AC155" s="2"/>
      <c r="AD155" s="143"/>
      <c r="AE155" s="709"/>
      <c r="AF155" s="710"/>
      <c r="AG155" s="710"/>
      <c r="AH155" s="710"/>
      <c r="AI155" s="711" t="str">
        <f ca="1">IF(AA83&gt;0,AF83&amp;Language!$E$96&amp;AE83,"")</f>
        <v>0-2</v>
      </c>
    </row>
    <row r="156" spans="25:35" x14ac:dyDescent="0.2">
      <c r="Y156" s="66" t="s">
        <v>35</v>
      </c>
      <c r="Z156" s="34" t="str">
        <f t="shared" ca="1" si="48"/>
        <v>FC BarcelonaSSV Wildbach</v>
      </c>
      <c r="AA156" s="12">
        <f t="shared" ca="1" si="47"/>
        <v>1</v>
      </c>
      <c r="AB156" s="12" t="str">
        <f ca="1">IF(AA156&gt;0,Y84&amp;Language!$E$96&amp;X84,"")</f>
        <v>16-25</v>
      </c>
      <c r="AC156" s="2"/>
      <c r="AD156" s="143"/>
      <c r="AE156" s="709"/>
      <c r="AF156" s="710"/>
      <c r="AG156" s="710"/>
      <c r="AH156" s="710"/>
      <c r="AI156" s="711" t="str">
        <f ca="1">IF(AA84&gt;0,AF84&amp;Language!$E$96&amp;AE84,"")</f>
        <v>0-2</v>
      </c>
    </row>
    <row r="157" spans="25:35" x14ac:dyDescent="0.2">
      <c r="Y157" s="66" t="s">
        <v>36</v>
      </c>
      <c r="Z157" s="34" t="str">
        <f t="shared" ca="1" si="48"/>
        <v>1. FC RiedwaldFSV Rauen</v>
      </c>
      <c r="AA157" s="12">
        <f t="shared" ca="1" si="47"/>
        <v>1</v>
      </c>
      <c r="AB157" s="12" t="str">
        <f ca="1">IF(AA157&gt;0,Y85&amp;Language!$E$96&amp;X85,"")</f>
        <v>2-25</v>
      </c>
      <c r="AC157" s="2"/>
      <c r="AD157" s="143"/>
      <c r="AE157" s="709"/>
      <c r="AF157" s="710"/>
      <c r="AG157" s="710"/>
      <c r="AH157" s="710"/>
      <c r="AI157" s="711" t="str">
        <f ca="1">IF(AA85&gt;0,AF85&amp;Language!$E$96&amp;AE85,"")</f>
        <v>0-2</v>
      </c>
    </row>
    <row r="158" spans="25:35" x14ac:dyDescent="0.2">
      <c r="Y158" s="66" t="s">
        <v>37</v>
      </c>
      <c r="Z158" s="34" t="str">
        <f t="shared" ca="1" si="48"/>
        <v>Maibach 1822 eVFC Grönlingen</v>
      </c>
      <c r="AA158" s="12">
        <f t="shared" ca="1" si="47"/>
        <v>1</v>
      </c>
      <c r="AB158" s="12" t="str">
        <f ca="1">IF(AA158&gt;0,Y86&amp;Language!$E$96&amp;X86,"")</f>
        <v>25-13</v>
      </c>
      <c r="AC158" s="2"/>
      <c r="AD158" s="143"/>
      <c r="AE158" s="709"/>
      <c r="AF158" s="710"/>
      <c r="AG158" s="710"/>
      <c r="AH158" s="710"/>
      <c r="AI158" s="711" t="str">
        <f ca="1">IF(AA86&gt;0,AF86&amp;Language!$E$96&amp;AE86,"")</f>
        <v>1-1</v>
      </c>
    </row>
    <row r="159" spans="25:35" x14ac:dyDescent="0.2">
      <c r="Y159" s="66" t="s">
        <v>38</v>
      </c>
      <c r="Z159" s="34" t="str">
        <f t="shared" ca="1" si="48"/>
        <v>1. FC NürnbergEintracht Frankfurt</v>
      </c>
      <c r="AA159" s="12">
        <f t="shared" ca="1" si="47"/>
        <v>1</v>
      </c>
      <c r="AB159" s="12" t="str">
        <f ca="1">IF(AA159&gt;0,Y87&amp;Language!$E$96&amp;X87,"")</f>
        <v>25-19</v>
      </c>
      <c r="AC159" s="2"/>
      <c r="AD159" s="143"/>
      <c r="AE159" s="709"/>
      <c r="AF159" s="710"/>
      <c r="AG159" s="710"/>
      <c r="AH159" s="710"/>
      <c r="AI159" s="711" t="str">
        <f ca="1">IF(AA87&gt;0,AF87&amp;Language!$E$96&amp;AE87,"")</f>
        <v>1-1</v>
      </c>
    </row>
    <row r="160" spans="25:35" ht="12.75" thickBot="1" x14ac:dyDescent="0.25">
      <c r="Y160" s="684" t="s">
        <v>39</v>
      </c>
      <c r="Z160" s="685" t="str">
        <f t="shared" ca="1" si="48"/>
        <v>Inter MailandBorussia Dortmund</v>
      </c>
      <c r="AA160" s="686">
        <f t="shared" ca="1" si="47"/>
        <v>1</v>
      </c>
      <c r="AB160" s="686" t="str">
        <f ca="1">IF(AA160&gt;0,Y88&amp;Language!$E$96&amp;X88,"")</f>
        <v>25-17</v>
      </c>
      <c r="AC160" s="687"/>
      <c r="AD160" s="688"/>
      <c r="AE160" s="705"/>
      <c r="AF160" s="706"/>
      <c r="AG160" s="706"/>
      <c r="AH160" s="706"/>
      <c r="AI160" s="712" t="str">
        <f ca="1">IF(AA88&gt;0,AF88&amp;Language!$E$96&amp;AE88,"")</f>
        <v>1-1</v>
      </c>
    </row>
    <row r="161" spans="25:35" ht="12.75" thickTop="1"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3</v>
      </c>
      <c r="D4" s="12">
        <f ca="1">E4+ROW()/1000+(F4="")*10</f>
        <v>3.004</v>
      </c>
      <c r="E4" s="266">
        <f ca="1">IF($AI$15,RANK(AH17,AH$17:AH$25,1),RANK(X17,X$17:X$25,1))</f>
        <v>3</v>
      </c>
      <c r="F4" s="1" t="str">
        <f ca="1">$Q64</f>
        <v>FC Grönlingen</v>
      </c>
      <c r="G4" s="1">
        <f ca="1">SUMIFS($X$64:$X$135,$V$64:$V$135,$F4)+SUMIFS($Y$64:$Y$135,$W$64:$W$135,$F4)+SUMIFS($AG$64:$AG$135,$V$64:$V$135,$F4)+SUMIFS($AH$64:$AH$135,$W$64:$W$135,$F4)</f>
        <v>126</v>
      </c>
      <c r="H4" s="1">
        <f ca="1">SUMIFS($Y$64:$Y$135,$V$64:$V$135,$F4)+SUMIFS($X$64:$X$135,$W$64:$W$135,$F4)+SUMIFS($AH$64:$AH$135,$V$64:$V$135,$F4)+SUMIFS($AG$64:$AG$135,$W$64:$W$135,$F4)</f>
        <v>115</v>
      </c>
      <c r="I4" s="12">
        <f ca="1">IF(Settings!$G$7,G4-H4,IF(H4=0,IF(G4=0,0,Settings!$F$7),G4/H4))</f>
        <v>11</v>
      </c>
      <c r="J4" s="1">
        <f ca="1">SUMPRODUCT(($V$64:$V$135=F4)*$AE$64:$AE$135*$AA$64:$AA$135)+SUMPRODUCT(($W$64:$W$135=F4)*$AF$64:$AF$135*$AA$64:$AA$135)</f>
        <v>3</v>
      </c>
      <c r="K4" s="1">
        <f ca="1">SUMPRODUCT(($V$64:$V$135=F4)*$AA$64:$AA$135)+SUMPRODUCT(($W$64:$W$135=F4)*$AA$64:$AA$135)</f>
        <v>3</v>
      </c>
      <c r="L4" s="1">
        <f ca="1">K4-M4-N4</f>
        <v>1</v>
      </c>
      <c r="M4" s="1">
        <f ca="1">SUMPRODUCT(($V$64:$W$135=F4)*($AE$64:$AE$135=$AF$64:$AF$135)*$AA$64:$AA$135)</f>
        <v>1</v>
      </c>
      <c r="N4" s="1">
        <f ca="1">SUMPRODUCT(($V$64:$V$135=F4)*($AE$64:$AE$135&lt;$AF$64:$AF$135)*$AA$64:$AA$135)+SUMPRODUCT(($W$64:$W$135=F4)*($AE$64:$AE$135&gt;$AF$64:$AF$135)*$AA$64:$AA$135)</f>
        <v>1</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11</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Maibach 1822 eV</v>
      </c>
      <c r="G5" s="1">
        <f t="shared" ref="G5:G12" ca="1" si="4">SUMIFS($X$64:$X$135,$V$64:$V$135,$F5)+SUMIFS($Y$64:$Y$135,$W$64:$W$135,$F5)+SUMIFS($AG$64:$AG$135,$V$64:$V$135,$F5)+SUMIFS($AH$64:$AH$135,$W$64:$W$135,$F5)</f>
        <v>129</v>
      </c>
      <c r="H5" s="1">
        <f t="shared" ref="H5:H12" ca="1" si="5">SUMIFS($Y$64:$Y$135,$V$64:$V$135,$F5)+SUMIFS($X$64:$X$135,$W$64:$W$135,$F5)+SUMIFS($AH$64:$AH$135,$V$64:$V$135,$F5)+SUMIFS($AG$64:$AG$135,$W$64:$W$135,$F5)</f>
        <v>123</v>
      </c>
      <c r="I5" s="12">
        <f ca="1">IF(Settings!$G$7,G5-H5,IF(H5=0,IF(G5=0,0,Settings!$F$7),G5/H5))</f>
        <v>6</v>
      </c>
      <c r="J5" s="1">
        <f t="shared" ref="J5:J12" ca="1" si="6">SUMPRODUCT(($V$64:$V$135=F5)*$AE$64:$AE$135*$AA$64:$AA$135)+SUMPRODUCT(($W$64:$W$135=F5)*$AF$64:$AF$135*$AA$64:$AA$135)</f>
        <v>4</v>
      </c>
      <c r="K5" s="1">
        <f t="shared" ref="K5:K12" ca="1" si="7">SUMPRODUCT(($V$64:$V$135=F5)*$AA$64:$AA$135)+SUMPRODUCT(($W$64:$W$135=F5)*$AA$64:$AA$135)</f>
        <v>3</v>
      </c>
      <c r="L5" s="1">
        <f t="shared" ref="L5:L12" ca="1" si="8">K5-M5-N5</f>
        <v>1</v>
      </c>
      <c r="M5" s="1">
        <f t="shared" ref="M5:M12" ca="1" si="9">SUMPRODUCT(($V$64:$W$135=F5)*($AE$64:$AE$135=$AF$64:$AF$135)*$AA$64:$AA$135)</f>
        <v>2</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6</v>
      </c>
    </row>
    <row r="6" spans="1:44" s="2" customFormat="1" x14ac:dyDescent="0.2">
      <c r="A6" s="254"/>
      <c r="B6" s="1">
        <v>3</v>
      </c>
      <c r="C6" s="21">
        <f t="shared" ca="1" si="0"/>
        <v>4</v>
      </c>
      <c r="D6" s="12">
        <f t="shared" ca="1" si="1"/>
        <v>4.0060000000000002</v>
      </c>
      <c r="E6" s="266">
        <f t="shared" ca="1" si="2"/>
        <v>4</v>
      </c>
      <c r="F6" s="1" t="str">
        <f t="shared" ca="1" si="3"/>
        <v>Kickers Rodendorf</v>
      </c>
      <c r="G6" s="1">
        <f t="shared" ca="1" si="4"/>
        <v>112</v>
      </c>
      <c r="H6" s="1">
        <f t="shared" ca="1" si="5"/>
        <v>150</v>
      </c>
      <c r="I6" s="12">
        <f ca="1">IF(Settings!$G$7,G6-H6,IF(H6=0,IF(G6=0,0,Settings!$F$7),G6/H6))</f>
        <v>-38</v>
      </c>
      <c r="J6" s="1">
        <f t="shared" ca="1" si="6"/>
        <v>0</v>
      </c>
      <c r="K6" s="1">
        <f t="shared" ca="1" si="7"/>
        <v>3</v>
      </c>
      <c r="L6" s="1">
        <f t="shared" ca="1" si="8"/>
        <v>0</v>
      </c>
      <c r="M6" s="1">
        <f t="shared" ca="1" si="9"/>
        <v>0</v>
      </c>
      <c r="N6" s="1">
        <f t="shared" ca="1" si="10"/>
        <v>3</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-38</v>
      </c>
    </row>
    <row r="7" spans="1:44" s="2" customFormat="1" x14ac:dyDescent="0.2">
      <c r="A7" s="254"/>
      <c r="B7" s="1">
        <v>4</v>
      </c>
      <c r="C7" s="21">
        <f t="shared" ca="1" si="0"/>
        <v>1</v>
      </c>
      <c r="D7" s="12">
        <f t="shared" ca="1" si="1"/>
        <v>1.0069999999999999</v>
      </c>
      <c r="E7" s="266">
        <f t="shared" ca="1" si="2"/>
        <v>1</v>
      </c>
      <c r="F7" s="1" t="str">
        <f t="shared" ca="1" si="3"/>
        <v>Mainz 05</v>
      </c>
      <c r="G7" s="1">
        <f t="shared" ca="1" si="4"/>
        <v>141</v>
      </c>
      <c r="H7" s="1">
        <f t="shared" ca="1" si="5"/>
        <v>120</v>
      </c>
      <c r="I7" s="12">
        <f ca="1">IF(Settings!$G$7,G7-H7,IF(H7=0,IF(G7=0,0,Settings!$F$7),G7/H7))</f>
        <v>21</v>
      </c>
      <c r="J7" s="1">
        <f t="shared" ca="1" si="6"/>
        <v>5</v>
      </c>
      <c r="K7" s="1">
        <f t="shared" ca="1" si="7"/>
        <v>3</v>
      </c>
      <c r="L7" s="1">
        <f t="shared" ca="1" si="8"/>
        <v>2</v>
      </c>
      <c r="M7" s="1">
        <f t="shared" ca="1" si="9"/>
        <v>1</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21</v>
      </c>
    </row>
    <row r="8" spans="1:44" s="2" customFormat="1" x14ac:dyDescent="0.2">
      <c r="A8" s="254"/>
      <c r="B8" s="1">
        <v>5</v>
      </c>
      <c r="C8" s="21">
        <f t="shared" ca="1" si="0"/>
        <v>5</v>
      </c>
      <c r="D8" s="12">
        <f t="shared" ca="1" si="1"/>
        <v>15.007999999999999</v>
      </c>
      <c r="E8" s="266">
        <f t="shared" ca="1" si="2"/>
        <v>5</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15.009</v>
      </c>
      <c r="E9" s="266">
        <f t="shared" ca="1" si="2"/>
        <v>5</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15.01</v>
      </c>
      <c r="E10" s="266">
        <f t="shared" ca="1" si="2"/>
        <v>5</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15.010999999999999</v>
      </c>
      <c r="E11" s="266">
        <f t="shared" ca="1" si="2"/>
        <v>5</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15.012</v>
      </c>
      <c r="E12" s="266">
        <f t="shared" ca="1" si="2"/>
        <v>5</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12</v>
      </c>
      <c r="C13" s="12"/>
      <c r="D13" s="12"/>
      <c r="E13" s="12"/>
      <c r="F13" s="12">
        <f ca="1">9-COUNTBLANK($F$4:$F$12)</f>
        <v>4</v>
      </c>
      <c r="G13" s="12"/>
      <c r="H13" s="12"/>
      <c r="I13" s="12"/>
      <c r="J13" s="12"/>
      <c r="K13" s="27">
        <f ca="1">QUOTIENT(SUM(K4:K12),2)</f>
        <v>6</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FC Grönlingen</v>
      </c>
      <c r="D17" s="1">
        <f t="shared" ref="D17:G25" ca="1" si="11">K4</f>
        <v>3</v>
      </c>
      <c r="E17" s="1">
        <f t="shared" ca="1" si="11"/>
        <v>1</v>
      </c>
      <c r="F17" s="1">
        <f t="shared" ca="1" si="11"/>
        <v>1</v>
      </c>
      <c r="G17" s="1">
        <f t="shared" ca="1" si="11"/>
        <v>1</v>
      </c>
      <c r="H17" s="1">
        <f t="shared" ref="H17:K25" ca="1" si="12">G4</f>
        <v>126</v>
      </c>
      <c r="I17" s="1">
        <f t="shared" ca="1" si="12"/>
        <v>115</v>
      </c>
      <c r="J17" s="12">
        <f t="shared" ca="1" si="12"/>
        <v>11</v>
      </c>
      <c r="K17" s="1">
        <f t="shared" ca="1" si="12"/>
        <v>3</v>
      </c>
      <c r="L17" s="29">
        <f ca="1">IF($C17="",0,K17*$F$64+(J17+$H$65)*$F$65)</f>
        <v>3511000</v>
      </c>
      <c r="M17" s="13">
        <f ca="1">IF($AI$15,COUNTIF($K$17:$K$25,K17),COUNTIF($L$17:$L$25,L17))</f>
        <v>1</v>
      </c>
      <c r="N17" s="13">
        <f t="array" aca="1" ref="N17" ca="1">IF($AI$15,SUM(($K$17:$K$25&gt;=K17)/COUNTIF($K$17:$K$25,$K$17:$K$25)),SUM(($L$17:$L$25&gt;=L17)/COUNTIF($L$17:$L$25,$L$17:$L$25)))</f>
        <v>3</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IF($C17="",0,AA17*$F$64+(AB17+$H$65)*$F$65)</f>
        <v>500000</v>
      </c>
      <c r="X17" s="20">
        <f ca="1">RANK($L17,$L$17:$L$25)+RANK($W17,$W$17:$W$25)/100+(9-$Y17)/10000</f>
        <v>3.0108999999999999</v>
      </c>
      <c r="Y17" s="12">
        <f ca="1">'Finals 4'!$AI28</f>
        <v>0</v>
      </c>
      <c r="Z17" s="1">
        <f ca="1">RANK($W17,$W$17:$W$25)+(9-$Y17)/10</f>
        <v>1.9</v>
      </c>
      <c r="AA17" s="1">
        <f ca="1">SUM(E30:BP30)</f>
        <v>0</v>
      </c>
      <c r="AB17" s="1">
        <f ca="1">SUM(E41:BP41)</f>
        <v>0</v>
      </c>
      <c r="AC17" s="1"/>
      <c r="AD17" s="260">
        <f ca="1">RANK($K17,$K$17:$K$25)</f>
        <v>3</v>
      </c>
      <c r="AE17" s="29">
        <f ca="1">(J17+$H$65)*$F$65</f>
        <v>511000</v>
      </c>
      <c r="AF17" s="1">
        <f ca="1">RANK($AE17,$AE$17:$AE$25)</f>
        <v>2</v>
      </c>
      <c r="AG17" s="1">
        <f ca="1">RANK($W17,$W$17:$W$25)</f>
        <v>1</v>
      </c>
      <c r="AH17" s="262">
        <f ca="1">AD17+AG17/100+AF17/10000+(10-Y17)/1000000</f>
        <v>3.0102099999999998</v>
      </c>
      <c r="AI17" s="1"/>
    </row>
    <row r="18" spans="2:80" s="2" customFormat="1" x14ac:dyDescent="0.2">
      <c r="C18" s="2" t="str">
        <f t="shared" ref="C18:C25" ca="1" si="21">$Q65</f>
        <v>Maibach 1822 eV</v>
      </c>
      <c r="D18" s="1">
        <f t="shared" ca="1" si="11"/>
        <v>3</v>
      </c>
      <c r="E18" s="1">
        <f t="shared" ca="1" si="11"/>
        <v>1</v>
      </c>
      <c r="F18" s="1">
        <f t="shared" ca="1" si="11"/>
        <v>2</v>
      </c>
      <c r="G18" s="1">
        <f t="shared" ca="1" si="11"/>
        <v>0</v>
      </c>
      <c r="H18" s="1">
        <f t="shared" ca="1" si="12"/>
        <v>129</v>
      </c>
      <c r="I18" s="1">
        <f t="shared" ca="1" si="12"/>
        <v>123</v>
      </c>
      <c r="J18" s="12">
        <f t="shared" ca="1" si="12"/>
        <v>6</v>
      </c>
      <c r="K18" s="1">
        <f t="shared" ca="1" si="12"/>
        <v>4</v>
      </c>
      <c r="L18" s="29">
        <f t="shared" ref="L18:L25" ca="1" si="22">IF($C18="",0,K18*$F$64+(J18+$H$65)*$F$65)</f>
        <v>4506000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IF($C18="",0,AA18*$F$64+(AB18+$H$65)*$F$65)</f>
        <v>500000</v>
      </c>
      <c r="X18" s="21">
        <f t="shared" ref="X18:X25" ca="1" si="25">RANK($L18,$L$17:$L$25)+RANK($W18,$W$17:$W$25)/100+(9-$Y18)/10000</f>
        <v>2.0108999999999999</v>
      </c>
      <c r="Y18" s="12">
        <f ca="1">'Finals 4'!$AI29</f>
        <v>0</v>
      </c>
      <c r="Z18" s="1">
        <f t="shared" ref="Z18:Z25" ca="1" si="26">RANK($W18,$W$17:$W$25)+(9-$Y18)/10</f>
        <v>1.9</v>
      </c>
      <c r="AA18" s="1">
        <f t="shared" ref="AA18:AA25" ca="1" si="27">SUM(E31:BP31)</f>
        <v>0</v>
      </c>
      <c r="AB18" s="1">
        <f t="shared" ref="AB18:AB25" ca="1" si="28">SUM(E42:BP42)</f>
        <v>0</v>
      </c>
      <c r="AC18" s="1"/>
      <c r="AD18" s="260">
        <f t="shared" ref="AD18:AD25" ca="1" si="29">RANK($K18,$K$17:$K$25)</f>
        <v>2</v>
      </c>
      <c r="AE18" s="29">
        <f t="shared" ref="AE18:AE25" ca="1" si="30">(J18+$H$65)*$F$65</f>
        <v>506000</v>
      </c>
      <c r="AF18" s="1">
        <f t="shared" ref="AF18:AF25" ca="1" si="31">RANK($AE18,$AE$17:$AE$25)</f>
        <v>3</v>
      </c>
      <c r="AG18" s="1">
        <f t="shared" ref="AG18:AG25" ca="1" si="32">RANK($W18,$W$17:$W$25)</f>
        <v>1</v>
      </c>
      <c r="AH18" s="263">
        <f t="shared" ref="AH18:AH25" ca="1" si="33">AD18+AG18/100+AF18/10000+(10-Y18)/1000000</f>
        <v>2.01031</v>
      </c>
      <c r="AI18" s="1"/>
    </row>
    <row r="19" spans="2:80" s="2" customFormat="1" x14ac:dyDescent="0.2">
      <c r="C19" s="2" t="str">
        <f t="shared" ca="1" si="21"/>
        <v>Kickers Rodendorf</v>
      </c>
      <c r="D19" s="1">
        <f t="shared" ca="1" si="11"/>
        <v>3</v>
      </c>
      <c r="E19" s="1">
        <f t="shared" ca="1" si="11"/>
        <v>0</v>
      </c>
      <c r="F19" s="1">
        <f t="shared" ca="1" si="11"/>
        <v>0</v>
      </c>
      <c r="G19" s="1">
        <f t="shared" ca="1" si="11"/>
        <v>3</v>
      </c>
      <c r="H19" s="1">
        <f t="shared" ca="1" si="12"/>
        <v>112</v>
      </c>
      <c r="I19" s="1">
        <f t="shared" ca="1" si="12"/>
        <v>150</v>
      </c>
      <c r="J19" s="12">
        <f t="shared" ca="1" si="12"/>
        <v>-38</v>
      </c>
      <c r="K19" s="1">
        <f t="shared" ca="1" si="12"/>
        <v>0</v>
      </c>
      <c r="L19" s="29">
        <f t="shared" ca="1" si="22"/>
        <v>462000</v>
      </c>
      <c r="M19" s="13">
        <f t="shared" ca="1" si="23"/>
        <v>1</v>
      </c>
      <c r="N19" s="13">
        <f t="array" aca="1" ref="N19" ca="1">IF($AI$15,SUM(($K$17:$K$25&gt;=K19)/COUNTIF($K$17:$K$25,$K$17:$K$25)),SUM(($L$17:$L$25&gt;=L19)/COUNTIF($L$17:$L$25,$L$17:$L$25)))</f>
        <v>4</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4.0108999999999995</v>
      </c>
      <c r="Y19" s="12">
        <f ca="1">'Finals 4'!$AI30</f>
        <v>0</v>
      </c>
      <c r="Z19" s="1">
        <f t="shared" ca="1" si="26"/>
        <v>1.9</v>
      </c>
      <c r="AA19" s="1">
        <f t="shared" ca="1" si="27"/>
        <v>0</v>
      </c>
      <c r="AB19" s="1">
        <f t="shared" ca="1" si="28"/>
        <v>0</v>
      </c>
      <c r="AC19" s="1"/>
      <c r="AD19" s="260">
        <f t="shared" ca="1" si="29"/>
        <v>4</v>
      </c>
      <c r="AE19" s="29">
        <f t="shared" ca="1" si="30"/>
        <v>462000</v>
      </c>
      <c r="AF19" s="1">
        <f t="shared" ca="1" si="31"/>
        <v>9</v>
      </c>
      <c r="AG19" s="1">
        <f t="shared" ca="1" si="32"/>
        <v>1</v>
      </c>
      <c r="AH19" s="263">
        <f t="shared" ca="1" si="33"/>
        <v>4.0109099999999991</v>
      </c>
      <c r="AI19" s="1"/>
    </row>
    <row r="20" spans="2:80" s="2" customFormat="1" x14ac:dyDescent="0.2">
      <c r="C20" s="2" t="str">
        <f t="shared" ca="1" si="21"/>
        <v>Mainz 05</v>
      </c>
      <c r="D20" s="1">
        <f t="shared" ca="1" si="11"/>
        <v>3</v>
      </c>
      <c r="E20" s="1">
        <f t="shared" ca="1" si="11"/>
        <v>2</v>
      </c>
      <c r="F20" s="1">
        <f t="shared" ca="1" si="11"/>
        <v>1</v>
      </c>
      <c r="G20" s="1">
        <f t="shared" ca="1" si="11"/>
        <v>0</v>
      </c>
      <c r="H20" s="1">
        <f t="shared" ca="1" si="12"/>
        <v>141</v>
      </c>
      <c r="I20" s="1">
        <f t="shared" ca="1" si="12"/>
        <v>120</v>
      </c>
      <c r="J20" s="12">
        <f t="shared" ca="1" si="12"/>
        <v>21</v>
      </c>
      <c r="K20" s="1">
        <f t="shared" ca="1" si="12"/>
        <v>5</v>
      </c>
      <c r="L20" s="29">
        <f t="shared" ca="1" si="22"/>
        <v>5521000</v>
      </c>
      <c r="M20" s="13">
        <f t="shared" ca="1" si="23"/>
        <v>1</v>
      </c>
      <c r="N20" s="13">
        <f t="array" aca="1" ref="N20" ca="1">IF($AI$15,SUM(($K$17:$K$25&gt;=K20)/COUNTIF($K$17:$K$25,$K$17:$K$25)),SUM(($L$17:$L$25&gt;=L20)/COUNTIF($L$17:$L$25,$L$17:$L$25)))</f>
        <v>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500000</v>
      </c>
      <c r="X20" s="21">
        <f t="shared" ca="1" si="25"/>
        <v>1.0108999999999999</v>
      </c>
      <c r="Y20" s="12">
        <f ca="1">'Finals 4'!$AI31</f>
        <v>0</v>
      </c>
      <c r="Z20" s="1">
        <f t="shared" ca="1" si="26"/>
        <v>1.9</v>
      </c>
      <c r="AA20" s="1">
        <f t="shared" ca="1" si="27"/>
        <v>0</v>
      </c>
      <c r="AB20" s="1">
        <f t="shared" ca="1" si="28"/>
        <v>0</v>
      </c>
      <c r="AC20" s="1"/>
      <c r="AD20" s="260">
        <f t="shared" ca="1" si="29"/>
        <v>1</v>
      </c>
      <c r="AE20" s="29">
        <f t="shared" ca="1" si="30"/>
        <v>521000</v>
      </c>
      <c r="AF20" s="1">
        <f t="shared" ca="1" si="31"/>
        <v>1</v>
      </c>
      <c r="AG20" s="1">
        <f t="shared" ca="1" si="32"/>
        <v>1</v>
      </c>
      <c r="AH20" s="263">
        <f t="shared" ca="1" si="33"/>
        <v>1.0101100000000001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si="22"/>
        <v>0</v>
      </c>
      <c r="M21" s="13">
        <f t="shared" ca="1" si="23"/>
        <v>5</v>
      </c>
      <c r="N21" s="13">
        <f t="array" aca="1" ref="N21" ca="1">IF($AI$15,SUM(($K$17:$K$25&gt;=K21)/COUNTIF($K$17:$K$25,$K$17:$K$25)),SUM(($L$17:$L$25&gt;=L21)/COUNTIF($L$17:$L$25,$L$17:$L$25)))</f>
        <v>5.0000000000000009</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si="24"/>
        <v>0</v>
      </c>
      <c r="X21" s="21">
        <f t="shared" ca="1" si="25"/>
        <v>5.0508999999999995</v>
      </c>
      <c r="Y21" s="12">
        <v>0</v>
      </c>
      <c r="Z21" s="1">
        <f t="shared" ca="1" si="26"/>
        <v>5.9</v>
      </c>
      <c r="AA21" s="1">
        <f t="shared" ca="1" si="27"/>
        <v>0</v>
      </c>
      <c r="AB21" s="1">
        <f t="shared" ca="1" si="28"/>
        <v>0</v>
      </c>
      <c r="AC21" s="1"/>
      <c r="AD21" s="260">
        <f t="shared" ca="1" si="29"/>
        <v>4</v>
      </c>
      <c r="AE21" s="29">
        <f t="shared" ca="1" si="30"/>
        <v>500000</v>
      </c>
      <c r="AF21" s="1">
        <f t="shared" ca="1" si="31"/>
        <v>4</v>
      </c>
      <c r="AG21" s="1">
        <f t="shared" ca="1" si="32"/>
        <v>5</v>
      </c>
      <c r="AH21" s="263">
        <f t="shared" ca="1" si="33"/>
        <v>4.0504099999999994</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si="22"/>
        <v>0</v>
      </c>
      <c r="M22" s="13">
        <f t="shared" ca="1" si="23"/>
        <v>5</v>
      </c>
      <c r="N22" s="13">
        <f t="array" aca="1" ref="N22" ca="1">IF($AI$15,SUM(($K$17:$K$25&gt;=K22)/COUNTIF($K$17:$K$25,$K$17:$K$25)),SUM(($L$17:$L$25&gt;=L22)/COUNTIF($L$17:$L$25,$L$17:$L$25)))</f>
        <v>5.0000000000000009</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si="24"/>
        <v>0</v>
      </c>
      <c r="X22" s="21">
        <f t="shared" ca="1" si="25"/>
        <v>5.0508999999999995</v>
      </c>
      <c r="Y22" s="12">
        <v>0</v>
      </c>
      <c r="Z22" s="1">
        <f t="shared" ca="1" si="26"/>
        <v>5.9</v>
      </c>
      <c r="AA22" s="1">
        <f t="shared" ca="1" si="27"/>
        <v>0</v>
      </c>
      <c r="AB22" s="1">
        <f t="shared" ca="1" si="28"/>
        <v>0</v>
      </c>
      <c r="AC22" s="1"/>
      <c r="AD22" s="260">
        <f t="shared" ca="1" si="29"/>
        <v>4</v>
      </c>
      <c r="AE22" s="29">
        <f t="shared" ca="1" si="30"/>
        <v>500000</v>
      </c>
      <c r="AF22" s="1">
        <f t="shared" ca="1" si="31"/>
        <v>4</v>
      </c>
      <c r="AG22" s="1">
        <f t="shared" ca="1" si="32"/>
        <v>5</v>
      </c>
      <c r="AH22" s="263">
        <f t="shared" ca="1" si="33"/>
        <v>4.0504099999999994</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si="22"/>
        <v>0</v>
      </c>
      <c r="M23" s="13">
        <f t="shared" ca="1" si="23"/>
        <v>5</v>
      </c>
      <c r="N23" s="13">
        <f t="array" aca="1" ref="N23" ca="1">IF($AI$15,SUM(($K$17:$K$25&gt;=K23)/COUNTIF($K$17:$K$25,$K$17:$K$25)),SUM(($L$17:$L$25&gt;=L23)/COUNTIF($L$17:$L$25,$L$17:$L$25)))</f>
        <v>5.0000000000000009</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si="24"/>
        <v>0</v>
      </c>
      <c r="X23" s="21">
        <f t="shared" ca="1" si="25"/>
        <v>5.0508999999999995</v>
      </c>
      <c r="Y23" s="12">
        <v>0</v>
      </c>
      <c r="Z23" s="1">
        <f t="shared" ca="1" si="26"/>
        <v>5.9</v>
      </c>
      <c r="AA23" s="1">
        <f t="shared" ca="1" si="27"/>
        <v>0</v>
      </c>
      <c r="AB23" s="1">
        <f t="shared" ca="1" si="28"/>
        <v>0</v>
      </c>
      <c r="AC23" s="1"/>
      <c r="AD23" s="260">
        <f t="shared" ca="1" si="29"/>
        <v>4</v>
      </c>
      <c r="AE23" s="29">
        <f t="shared" ca="1" si="30"/>
        <v>500000</v>
      </c>
      <c r="AF23" s="1">
        <f t="shared" ca="1" si="31"/>
        <v>4</v>
      </c>
      <c r="AG23" s="1">
        <f t="shared" ca="1" si="32"/>
        <v>5</v>
      </c>
      <c r="AH23" s="263">
        <f t="shared" ca="1" si="33"/>
        <v>4.0504099999999994</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si="22"/>
        <v>0</v>
      </c>
      <c r="M24" s="13">
        <f t="shared" ca="1" si="23"/>
        <v>5</v>
      </c>
      <c r="N24" s="13">
        <f t="array" aca="1" ref="N24" ca="1">IF($AI$15,SUM(($K$17:$K$25&gt;=K24)/COUNTIF($K$17:$K$25,$K$17:$K$25)),SUM(($L$17:$L$25&gt;=L24)/COUNTIF($L$17:$L$25,$L$17:$L$25)))</f>
        <v>5.0000000000000009</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si="24"/>
        <v>0</v>
      </c>
      <c r="X24" s="21">
        <f t="shared" ca="1" si="25"/>
        <v>5.0508999999999995</v>
      </c>
      <c r="Y24" s="12">
        <v>0</v>
      </c>
      <c r="Z24" s="1">
        <f t="shared" ca="1" si="26"/>
        <v>5.9</v>
      </c>
      <c r="AA24" s="1">
        <f t="shared" ca="1" si="27"/>
        <v>0</v>
      </c>
      <c r="AB24" s="1">
        <f t="shared" ca="1" si="28"/>
        <v>0</v>
      </c>
      <c r="AC24" s="1"/>
      <c r="AD24" s="260">
        <f t="shared" ca="1" si="29"/>
        <v>4</v>
      </c>
      <c r="AE24" s="29">
        <f t="shared" ca="1" si="30"/>
        <v>500000</v>
      </c>
      <c r="AF24" s="1">
        <f t="shared" ca="1" si="31"/>
        <v>4</v>
      </c>
      <c r="AG24" s="1">
        <f t="shared" ca="1" si="32"/>
        <v>5</v>
      </c>
      <c r="AH24" s="263">
        <f t="shared" ca="1" si="33"/>
        <v>4.0504099999999994</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si="22"/>
        <v>0</v>
      </c>
      <c r="M25" s="13">
        <f t="shared" ca="1" si="23"/>
        <v>5</v>
      </c>
      <c r="N25" s="13">
        <f t="array" aca="1" ref="N25" ca="1">IF($AI$15,SUM(($K$17:$K$25&gt;=K25)/COUNTIF($K$17:$K$25,$K$17:$K$25)),SUM(($L$17:$L$25&gt;=L25)/COUNTIF($L$17:$L$25,$L$17:$L$25)))</f>
        <v>5.0000000000000009</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si="24"/>
        <v>0</v>
      </c>
      <c r="X25" s="22">
        <f t="shared" ca="1" si="25"/>
        <v>5.0508999999999995</v>
      </c>
      <c r="Y25" s="12">
        <v>0</v>
      </c>
      <c r="Z25" s="1">
        <f t="shared" ca="1" si="26"/>
        <v>5.9</v>
      </c>
      <c r="AA25" s="1">
        <f t="shared" ca="1" si="27"/>
        <v>0</v>
      </c>
      <c r="AB25" s="1">
        <f t="shared" ca="1" si="28"/>
        <v>0</v>
      </c>
      <c r="AC25" s="1"/>
      <c r="AD25" s="260">
        <f t="shared" ca="1" si="29"/>
        <v>4</v>
      </c>
      <c r="AE25" s="29">
        <f t="shared" ca="1" si="30"/>
        <v>500000</v>
      </c>
      <c r="AF25" s="1">
        <f t="shared" ca="1" si="31"/>
        <v>4</v>
      </c>
      <c r="AG25" s="1">
        <f t="shared" ca="1" si="32"/>
        <v>5</v>
      </c>
      <c r="AH25" s="264">
        <f t="shared" ca="1" si="33"/>
        <v>4.0504099999999994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FC Grönlingen</v>
      </c>
      <c r="BT29" s="2" t="str">
        <f ca="1">$F$5</f>
        <v>Maibach 1822 eV</v>
      </c>
      <c r="BU29" s="2" t="str">
        <f ca="1">$F$6</f>
        <v>Kickers Rodendorf</v>
      </c>
      <c r="BV29" s="2" t="str">
        <f ca="1">$F$7</f>
        <v>Mainz 05</v>
      </c>
      <c r="BW29" s="2" t="str">
        <f>$F$8</f>
        <v/>
      </c>
      <c r="BX29" s="2" t="str">
        <f>$F$9</f>
        <v/>
      </c>
      <c r="BY29" s="2" t="str">
        <f>$F$10</f>
        <v/>
      </c>
      <c r="BZ29" s="2" t="str">
        <f>$F$11</f>
        <v/>
      </c>
      <c r="CA29" s="2" t="str">
        <f>$F$12</f>
        <v/>
      </c>
      <c r="CB29" s="51"/>
    </row>
    <row r="30" spans="2:80" s="2" customFormat="1" x14ac:dyDescent="0.2">
      <c r="C30" s="2" t="str">
        <f ca="1">$Q64</f>
        <v>FC Grönlingen</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FC Grönlingen</v>
      </c>
      <c r="BS30" s="6"/>
      <c r="BT30" s="7">
        <f t="shared" ref="BT30:CA37" ca="1" si="35">SUMIFS($X$64:$X$135,$V$64:$V$135,$BR30,$W$64:$W$135,BT$29)+SUMIFS($Y$64:$Y$135,$W$64:$W$135,$BR30,$V$64:$V$135,BT$29)+SUMIFS($AG$64:$AG$135,$V$64:$V$135,$BR30,$W$64:$W$135,BT$29)+SUMIFS($AH$64:$AH$135,$W$64:$W$135,$BR30,$V$64:$V$135,BT$29)</f>
        <v>38</v>
      </c>
      <c r="BU30" s="7">
        <f t="shared" ca="1" si="35"/>
        <v>50</v>
      </c>
      <c r="BV30" s="7">
        <f t="shared" ca="1" si="35"/>
        <v>38</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Maibach 1822 eV</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Maibach 1822 eV</v>
      </c>
      <c r="BS31" s="8">
        <f ca="1">SUMIFS($X$64:$X$135,$V$64:$V$135,$BR31,$W$64:$W$135,BS$29)+SUMIFS($Y$64:$Y$135,$W$64:$W$135,$BR31,$V$64:$V$135,BS$29)+SUMIFS($AG$64:$AG$135,$V$64:$V$135,$BR31,$W$64:$W$135,BS$29)+SUMIFS($AH$64:$AH$135,$W$64:$W$135,$BR31,$V$64:$V$135,BS$29)</f>
        <v>36</v>
      </c>
      <c r="BT31" s="6"/>
      <c r="BU31" s="7">
        <f ca="1">SUMIFS($X$64:$X$135,$V$64:$V$135,$BR31,$W$64:$W$135,BU$29)+SUMIFS($Y$64:$Y$135,$W$64:$W$135,$BR31,$V$64:$V$135,BU$29)+SUMIFS($AG$64:$AG$135,$V$64:$V$135,$BR31,$W$64:$W$135,BU$29)+SUMIFS($AH$64:$AH$135,$W$64:$W$135,$BR31,$V$64:$V$135,BU$29)</f>
        <v>50</v>
      </c>
      <c r="BV31" s="7">
        <f t="shared" ca="1" si="35"/>
        <v>43</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Kickers Rodendorf</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Kickers Rodendorf</v>
      </c>
      <c r="BS32" s="8">
        <f t="shared" ref="BS32:BY38" ca="1" si="37">SUMIFS($X$64:$X$135,$V$64:$V$135,$BR32,$W$64:$W$135,BS$29)+SUMIFS($Y$64:$Y$135,$W$64:$W$135,$BR32,$V$64:$V$135,BS$29)+SUMIFS($AG$64:$AG$135,$V$64:$V$135,$BR32,$W$64:$W$135,BS$29)+SUMIFS($AH$64:$AH$135,$W$64:$W$135,$BR32,$V$64:$V$135,BS$29)</f>
        <v>29</v>
      </c>
      <c r="BT32" s="8">
        <f t="shared" ca="1" si="37"/>
        <v>44</v>
      </c>
      <c r="BU32" s="6"/>
      <c r="BV32" s="7">
        <f t="shared" ca="1" si="35"/>
        <v>39</v>
      </c>
      <c r="BW32" s="7">
        <f t="shared" ca="1" si="35"/>
        <v>0</v>
      </c>
      <c r="BX32" s="7">
        <f t="shared" ca="1" si="35"/>
        <v>0</v>
      </c>
      <c r="BY32" s="7">
        <f t="shared" ca="1" si="35"/>
        <v>0</v>
      </c>
      <c r="BZ32" s="7">
        <f t="shared" ca="1" si="35"/>
        <v>0</v>
      </c>
      <c r="CA32" s="7">
        <f t="shared" ca="1" si="35"/>
        <v>0</v>
      </c>
      <c r="CB32" s="3"/>
    </row>
    <row r="33" spans="2:80" s="2" customFormat="1" x14ac:dyDescent="0.2">
      <c r="C33" s="2" t="str">
        <f t="shared" ca="1" si="36"/>
        <v>Mainz 05</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ca="1" si="34"/>
        <v>Mainz 05</v>
      </c>
      <c r="BS33" s="8">
        <f t="shared" ca="1" si="37"/>
        <v>50</v>
      </c>
      <c r="BT33" s="8">
        <f t="shared" ca="1" si="37"/>
        <v>41</v>
      </c>
      <c r="BU33" s="8">
        <f t="shared" ca="1" si="37"/>
        <v>50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FC Grönlingen</v>
      </c>
      <c r="BT40" s="2" t="str">
        <f ca="1">$F$5</f>
        <v>Maibach 1822 eV</v>
      </c>
      <c r="BU40" s="2" t="str">
        <f ca="1">$F$6</f>
        <v>Kickers Rodendorf</v>
      </c>
      <c r="BV40" s="2" t="str">
        <f ca="1">$F$7</f>
        <v>Mainz 05</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FC Grönlingen</v>
      </c>
      <c r="BS41" s="6"/>
      <c r="BT41" s="7">
        <f ca="1">BT30-BS31</f>
        <v>2</v>
      </c>
      <c r="BU41" s="7">
        <f ca="1">BU30-BS32</f>
        <v>21</v>
      </c>
      <c r="BV41" s="7">
        <f ca="1">BV30-BS33</f>
        <v>-12</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Maibach 1822 eV</v>
      </c>
      <c r="BS42" s="8">
        <f ca="1">IF(BT41="","",-1*BT41)</f>
        <v>-2</v>
      </c>
      <c r="BT42" s="6"/>
      <c r="BU42" s="7">
        <f ca="1">BU31-BT32</f>
        <v>6</v>
      </c>
      <c r="BV42" s="7">
        <f ca="1">BV31-BT33</f>
        <v>2</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Kickers Rodendorf</v>
      </c>
      <c r="BS43" s="8">
        <f ca="1">IF(BU41="","",-1*BU41)</f>
        <v>-21</v>
      </c>
      <c r="BT43" s="8">
        <f ca="1">IF(BU42="","",-1*BU42)</f>
        <v>-6</v>
      </c>
      <c r="BU43" s="6"/>
      <c r="BV43" s="7">
        <f ca="1">BV32-BU33</f>
        <v>-11</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ca="1" si="38"/>
        <v>Mainz 05</v>
      </c>
      <c r="BS44" s="8">
        <f ca="1">IF(BV41="","",-1*BV41)</f>
        <v>12</v>
      </c>
      <c r="BT44" s="8">
        <f ca="1">IF(BV42="","",-1*BV42)</f>
        <v>-2</v>
      </c>
      <c r="BU44" s="8">
        <f ca="1">IF(BV43="","",-1*BV43)</f>
        <v>11</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FC Grönlingen</v>
      </c>
      <c r="BT51" s="2" t="str">
        <f ca="1">$F$5</f>
        <v>Maibach 1822 eV</v>
      </c>
      <c r="BU51" s="2" t="str">
        <f ca="1">$F$6</f>
        <v>Kickers Rodendorf</v>
      </c>
      <c r="BV51" s="2" t="str">
        <f ca="1">$F$7</f>
        <v>Mainz 05</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FC Grönlingen</v>
      </c>
      <c r="BS52" s="6"/>
      <c r="BT52" s="7">
        <f t="shared" ref="BT52:CA58" ca="1" si="41">SUMIFS($AE$64:$AE$135,$V$64:$V$135,$BR52,$W$64:$W$135,BT$51)+SUMIFS($AF$64:$AF$135,$W$64:$W$135,$BR52,$V$64:$V$135,BT$51)</f>
        <v>1</v>
      </c>
      <c r="BU52" s="7">
        <f t="shared" ca="1" si="41"/>
        <v>2</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Maibach 1822 eV</v>
      </c>
      <c r="BS53" s="8">
        <f t="shared" ref="BS53:BU60" ca="1" si="42">SUMIFS($AE$64:$AE$135,$V$64:$V$135,$BR53,$W$64:$W$135,BS$51)+SUMIFS($AF$64:$AF$135,$W$64:$W$135,$BR53,$V$64:$V$135,BS$51)</f>
        <v>1</v>
      </c>
      <c r="BT53" s="6"/>
      <c r="BU53" s="7">
        <f ca="1">SUMIFS($AE$64:$AE$135,$V$64:$V$135,$BR53,$W$64:$W$135,BU$51)+SUMIFS($AF$64:$AF$135,$W$64:$W$135,$BR53,$V$64:$V$135,BU$51)</f>
        <v>2</v>
      </c>
      <c r="BV53" s="7">
        <f ca="1">SUMIFS($AE$64:$AE$135,$V$64:$V$135,$BR53,$W$64:$W$135,BV$51)+SUMIFS($AF$64:$AF$135,$W$64:$W$135,$BR53,$V$64:$V$135,BV$51)</f>
        <v>1</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Kickers Rodendorf</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ca="1" si="40"/>
        <v>Mainz 05</v>
      </c>
      <c r="BS55" s="8">
        <f t="shared" ca="1" si="42"/>
        <v>2</v>
      </c>
      <c r="BT55" s="8">
        <f t="shared" ca="1" si="42"/>
        <v>1</v>
      </c>
      <c r="BU55" s="8">
        <f t="shared" ca="1" si="42"/>
        <v>2</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4'!$AH28="","",'Finals 4'!$AH28)</f>
        <v>FC Grönlingen</v>
      </c>
      <c r="U64" s="65" t="s">
        <v>6</v>
      </c>
      <c r="V64" s="39" t="str">
        <f ca="1">'Finals 4'!$I12</f>
        <v/>
      </c>
      <c r="W64" s="32" t="str">
        <f ca="1">'Finals 4'!$K12</f>
        <v/>
      </c>
      <c r="X64" s="32" t="str">
        <f ca="1">IF(AA64=1,'Finals 4'!$L12,"")</f>
        <v/>
      </c>
      <c r="Y64" s="33" t="str">
        <f ca="1">IF(AA64=1,'Finals 4'!$N12,"")</f>
        <v/>
      </c>
      <c r="Z64" s="31" t="str">
        <f ca="1">V64&amp;W64</f>
        <v/>
      </c>
      <c r="AA64" s="12">
        <f ca="1">IF(AND('Finals 4'!$L12&lt;&gt;"",'Finals 4'!$N12&lt;&gt;"",'Finals 4'!$L12&lt;&gt;'Finals 4'!$N12,OR(AND('Finals 4'!$O12="",'Finals 4'!$Q12=""),AND('Finals 4'!$O12&lt;&gt;"",'Finals 4'!$Q12&lt;&gt;"",'Finals 4'!$O12&lt;&gt;'Finals 4'!$Q12)),'Finals 4'!$I12&lt;&gt;"",'Finals 4'!$K12&lt;&gt;"",'Finals 4'!$I12&lt;&gt;'Finals 4'!$K12),1,0)</f>
        <v>0</v>
      </c>
      <c r="AB64" s="141" t="str">
        <f ca="1">IF(AA64&gt;0,X64&amp;Language!$E$96&amp;Y64,"")</f>
        <v/>
      </c>
      <c r="AD64" s="142"/>
      <c r="AE64" s="147">
        <f ca="1">IF($AA64=0,0,IF($X64&gt;$Y64,1,0)+IF($AG64&gt;$AH64,1,0))</f>
        <v>0</v>
      </c>
      <c r="AF64" s="142">
        <f ca="1">IF($AA64=0,0,IF($X64&lt;$Y64,1,0)+IF($AG64&lt;$AH64,1,0))</f>
        <v>0</v>
      </c>
      <c r="AG64" s="147" t="str">
        <f ca="1">IF(AA64=1,'Finals 4'!$O12,"")</f>
        <v/>
      </c>
      <c r="AH64" s="721" t="str">
        <f ca="1">IF(AA64=1,'Finals 4'!$Q12,"")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4'!$AH29="","",'Finals 4'!$AH29)</f>
        <v>Maibach 1822 eV</v>
      </c>
      <c r="U65" s="66" t="s">
        <v>7</v>
      </c>
      <c r="V65" s="40" t="str">
        <f ca="1">'Finals 4'!$I13</f>
        <v>FSV Rauen</v>
      </c>
      <c r="W65" s="12" t="str">
        <f ca="1">'Finals 4'!$K13</f>
        <v/>
      </c>
      <c r="X65" s="12" t="str">
        <f ca="1">IF(AA65=1,'Finals 4'!$L13,"")</f>
        <v/>
      </c>
      <c r="Y65" s="35" t="str">
        <f ca="1">IF(AA65=1,'Finals 4'!$N13,"")</f>
        <v/>
      </c>
      <c r="Z65" s="34" t="str">
        <f t="shared" ref="Z65:Z73" ca="1" si="43">V65&amp;W65</f>
        <v>FSV Rauen</v>
      </c>
      <c r="AA65" s="12">
        <f ca="1">IF(AND('Finals 4'!$L13&lt;&gt;"",'Finals 4'!$N13&lt;&gt;"",'Finals 4'!$L13&lt;&gt;'Finals 4'!$N13,OR(AND('Finals 4'!$O13="",'Finals 4'!$Q13=""),AND('Finals 4'!$O13&lt;&gt;"",'Finals 4'!$Q13&lt;&gt;"",'Finals 4'!$O13&lt;&gt;'Finals 4'!$Q13)),'Finals 4'!$I13&lt;&gt;"",'Finals 4'!$K13&lt;&gt;"",'Finals 4'!$I13&lt;&gt;'Finals 4'!$K13),1,0)</f>
        <v>0</v>
      </c>
      <c r="AB65" s="12" t="str">
        <f ca="1">IF(AA65&gt;0,X65&amp;Language!$E$96&amp;Y65,"")</f>
        <v/>
      </c>
      <c r="AD65" s="143"/>
      <c r="AE65" s="148">
        <f t="shared" ref="AE65:AE88" ca="1" si="44">IF($AA65=0,0,IF($X65&gt;$Y65,1,0)+IF($AG65&gt;$AH65,1,0))</f>
        <v>0</v>
      </c>
      <c r="AF65" s="143">
        <f t="shared" ref="AF65:AF88" ca="1" si="45">IF($AA65=0,0,IF($X65&lt;$Y65,1,0)+IF($AG65&lt;$AH65,1,0))</f>
        <v>0</v>
      </c>
      <c r="AG65" s="148" t="str">
        <f ca="1">IF(AA65=1,'Finals 4'!$O13,"")</f>
        <v/>
      </c>
      <c r="AH65" s="12" t="str">
        <f ca="1">IF(AA65=1,'Finals 4'!$Q13,"")</f>
        <v/>
      </c>
      <c r="AI65" s="143" t="str">
        <f ca="1">IF(AA65&gt;0,AE65&amp;Language!$E$96&amp;AF65,"")</f>
        <v/>
      </c>
      <c r="AJ65" s="12"/>
      <c r="AK65" s="12"/>
      <c r="AL65" s="12"/>
      <c r="AM65" s="12"/>
      <c r="AN65" s="12"/>
      <c r="AO65" s="12"/>
      <c r="AP65" s="12"/>
      <c r="AQ65" s="12"/>
    </row>
    <row r="66" spans="2:43" s="2" customFormat="1" ht="13.5" thickBot="1" x14ac:dyDescent="0.25">
      <c r="F66" s="196">
        <v>1</v>
      </c>
      <c r="G66" s="197" t="s">
        <v>107</v>
      </c>
      <c r="P66" s="45" t="s">
        <v>8</v>
      </c>
      <c r="Q66" s="60" t="str">
        <f ca="1">IF('Finals 4'!$AH30="","",'Finals 4'!$AH30)</f>
        <v>Kickers Rodendorf</v>
      </c>
      <c r="U66" s="66" t="s">
        <v>8</v>
      </c>
      <c r="V66" s="40" t="str">
        <f ca="1">'Finals 4'!$I14</f>
        <v>FC Grönlingen</v>
      </c>
      <c r="W66" s="12" t="str">
        <f ca="1">'Finals 4'!$K14</f>
        <v>Mainz 05</v>
      </c>
      <c r="X66" s="12">
        <f ca="1">IF(AA66=1,'Finals 4'!$L14,"")</f>
        <v>19</v>
      </c>
      <c r="Y66" s="35">
        <f ca="1">IF(AA66=1,'Finals 4'!$N14,"")</f>
        <v>25</v>
      </c>
      <c r="Z66" s="34" t="str">
        <f t="shared" ca="1" si="43"/>
        <v>FC GrönlingenMainz 05</v>
      </c>
      <c r="AA66" s="12">
        <f ca="1">IF(AND('Finals 4'!$L14&lt;&gt;"",'Finals 4'!$N14&lt;&gt;"",'Finals 4'!$L14&lt;&gt;'Finals 4'!$N14,OR(AND('Finals 4'!$O14="",'Finals 4'!$Q14=""),AND('Finals 4'!$O14&lt;&gt;"",'Finals 4'!$Q14&lt;&gt;"",'Finals 4'!$O14&lt;&gt;'Finals 4'!$Q14)),'Finals 4'!$I14&lt;&gt;"",'Finals 4'!$K14&lt;&gt;"",'Finals 4'!$I14&lt;&gt;'Finals 4'!$K14),1,0)</f>
        <v>1</v>
      </c>
      <c r="AB66" s="12" t="str">
        <f ca="1">IF(AA66&gt;0,X66&amp;Language!$E$96&amp;Y66,"")</f>
        <v>19-25</v>
      </c>
      <c r="AD66" s="143"/>
      <c r="AE66" s="148">
        <f t="shared" ca="1" si="44"/>
        <v>0</v>
      </c>
      <c r="AF66" s="143">
        <f t="shared" ca="1" si="45"/>
        <v>2</v>
      </c>
      <c r="AG66" s="148">
        <f ca="1">IF(AA66=1,'Finals 4'!$O14,"")</f>
        <v>19</v>
      </c>
      <c r="AH66" s="12">
        <f ca="1">IF(AA66=1,'Finals 4'!$Q14,"")</f>
        <v>25</v>
      </c>
      <c r="AI66" s="143" t="str">
        <f ca="1">IF(AA66&gt;0,AE66&amp;Language!$E$96&amp;AF66,"")</f>
        <v>0-2</v>
      </c>
      <c r="AJ66" s="3"/>
      <c r="AK66" s="12"/>
      <c r="AL66" s="12"/>
      <c r="AM66" s="12"/>
      <c r="AN66" s="12"/>
      <c r="AO66" s="12"/>
      <c r="AP66" s="12"/>
      <c r="AQ66" s="12"/>
    </row>
    <row r="67" spans="2:43" s="2" customFormat="1" x14ac:dyDescent="0.2">
      <c r="P67" s="45" t="s">
        <v>9</v>
      </c>
      <c r="Q67" s="60" t="str">
        <f ca="1">IF('Finals 4'!$AH31="","",'Finals 4'!$AH31)</f>
        <v>Mainz 05</v>
      </c>
      <c r="U67" s="66" t="s">
        <v>9</v>
      </c>
      <c r="V67" s="40" t="str">
        <f ca="1">'Finals 4'!$I15</f>
        <v>Eintracht Frankfurt</v>
      </c>
      <c r="W67" s="12" t="str">
        <f ca="1">'Finals 4'!$K15</f>
        <v>Real Madrid</v>
      </c>
      <c r="X67" s="12">
        <f ca="1">IF(AA67=1,'Finals 4'!$L15,"")</f>
        <v>25</v>
      </c>
      <c r="Y67" s="35">
        <f ca="1">IF(AA67=1,'Finals 4'!$N15,"")</f>
        <v>20</v>
      </c>
      <c r="Z67" s="34" t="str">
        <f t="shared" ca="1" si="43"/>
        <v>Eintracht FrankfurtReal Madrid</v>
      </c>
      <c r="AA67" s="12">
        <f ca="1">IF(AND('Finals 4'!$L15&lt;&gt;"",'Finals 4'!$N15&lt;&gt;"",'Finals 4'!$L15&lt;&gt;'Finals 4'!$N15,OR(AND('Finals 4'!$O15="",'Finals 4'!$Q15=""),AND('Finals 4'!$O15&lt;&gt;"",'Finals 4'!$Q15&lt;&gt;"",'Finals 4'!$O15&lt;&gt;'Finals 4'!$Q15)),'Finals 4'!$I15&lt;&gt;"",'Finals 4'!$K15&lt;&gt;"",'Finals 4'!$I15&lt;&gt;'Finals 4'!$K15),1,0)</f>
        <v>1</v>
      </c>
      <c r="AB67" s="12" t="str">
        <f ca="1">IF(AA67&gt;0,X67&amp;Language!$E$96&amp;Y67,"")</f>
        <v>25-20</v>
      </c>
      <c r="AD67" s="143"/>
      <c r="AE67" s="148">
        <f t="shared" ca="1" si="44"/>
        <v>1</v>
      </c>
      <c r="AF67" s="143">
        <f t="shared" ca="1" si="45"/>
        <v>1</v>
      </c>
      <c r="AG67" s="148">
        <f ca="1">IF(AA67=1,'Finals 4'!$O15,"")</f>
        <v>20</v>
      </c>
      <c r="AH67" s="12">
        <f ca="1">IF(AA67=1,'Finals 4'!$Q15,"")</f>
        <v>25</v>
      </c>
      <c r="AI67" s="143" t="str">
        <f ca="1">IF(AA67&gt;0,AE67&amp;Language!$E$96&amp;AF67,"")</f>
        <v>1-1</v>
      </c>
      <c r="AJ67" s="12"/>
      <c r="AK67" s="3"/>
      <c r="AL67" s="12"/>
      <c r="AM67" s="12"/>
      <c r="AN67" s="12"/>
      <c r="AO67" s="12"/>
      <c r="AP67" s="12"/>
      <c r="AQ67" s="12"/>
    </row>
    <row r="68" spans="2:43" s="2" customFormat="1" x14ac:dyDescent="0.2">
      <c r="P68" s="45"/>
      <c r="Q68" s="60" t="str">
        <f>""</f>
        <v/>
      </c>
      <c r="U68" s="66" t="s">
        <v>10</v>
      </c>
      <c r="V68" s="40" t="str">
        <f ca="1">'Finals 4'!$I16</f>
        <v>Borussia Dortmund</v>
      </c>
      <c r="W68" s="12" t="str">
        <f ca="1">'Finals 4'!$K16</f>
        <v>SSV Wildbach</v>
      </c>
      <c r="X68" s="12">
        <f ca="1">IF(AA68=1,'Finals 4'!$L16,"")</f>
        <v>25</v>
      </c>
      <c r="Y68" s="35">
        <f ca="1">IF(AA68=1,'Finals 4'!$N16,"")</f>
        <v>21</v>
      </c>
      <c r="Z68" s="34" t="str">
        <f t="shared" ca="1" si="43"/>
        <v>Borussia DortmundSSV Wildbach</v>
      </c>
      <c r="AA68" s="12">
        <f ca="1">IF(AND('Finals 4'!$L16&lt;&gt;"",'Finals 4'!$N16&lt;&gt;"",'Finals 4'!$L16&lt;&gt;'Finals 4'!$N16,OR(AND('Finals 4'!$O16="",'Finals 4'!$Q16=""),AND('Finals 4'!$O16&lt;&gt;"",'Finals 4'!$Q16&lt;&gt;"",'Finals 4'!$O16&lt;&gt;'Finals 4'!$Q16)),'Finals 4'!$I16&lt;&gt;"",'Finals 4'!$K16&lt;&gt;"",'Finals 4'!$I16&lt;&gt;'Finals 4'!$K16),1,0)</f>
        <v>1</v>
      </c>
      <c r="AB68" s="12" t="str">
        <f ca="1">IF(AA68&gt;0,X68&amp;Language!$E$96&amp;Y68,"")</f>
        <v>25-21</v>
      </c>
      <c r="AD68" s="143"/>
      <c r="AE68" s="148">
        <f t="shared" ca="1" si="44"/>
        <v>2</v>
      </c>
      <c r="AF68" s="143">
        <f t="shared" ca="1" si="45"/>
        <v>0</v>
      </c>
      <c r="AG68" s="148">
        <f ca="1">IF(AA68=1,'Finals 4'!$O16,"")</f>
        <v>25</v>
      </c>
      <c r="AH68" s="12">
        <f ca="1">IF(AA68=1,'Finals 4'!$Q16,"")</f>
        <v>19</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4'!$I17</f>
        <v>1. FC Riedwald</v>
      </c>
      <c r="W69" s="12" t="str">
        <f ca="1">'Finals 4'!$K17</f>
        <v>Manchester City</v>
      </c>
      <c r="X69" s="12">
        <f ca="1">IF(AA69=1,'Finals 4'!$L17,"")</f>
        <v>25</v>
      </c>
      <c r="Y69" s="35">
        <f ca="1">IF(AA69=1,'Finals 4'!$N17,"")</f>
        <v>22</v>
      </c>
      <c r="Z69" s="34" t="str">
        <f t="shared" ca="1" si="43"/>
        <v>1. FC RiedwaldManchester City</v>
      </c>
      <c r="AA69" s="12">
        <f ca="1">IF(AND('Finals 4'!$L17&lt;&gt;"",'Finals 4'!$N17&lt;&gt;"",'Finals 4'!$L17&lt;&gt;'Finals 4'!$N17,OR(AND('Finals 4'!$O17="",'Finals 4'!$Q17=""),AND('Finals 4'!$O17&lt;&gt;"",'Finals 4'!$Q17&lt;&gt;"",'Finals 4'!$O17&lt;&gt;'Finals 4'!$Q17)),'Finals 4'!$I17&lt;&gt;"",'Finals 4'!$K17&lt;&gt;"",'Finals 4'!$I17&lt;&gt;'Finals 4'!$K17),1,0)</f>
        <v>1</v>
      </c>
      <c r="AB69" s="12" t="str">
        <f ca="1">IF(AA69&gt;0,X69&amp;Language!$E$96&amp;Y69,"")</f>
        <v>25-22</v>
      </c>
      <c r="AD69" s="143"/>
      <c r="AE69" s="148">
        <f t="shared" ca="1" si="44"/>
        <v>2</v>
      </c>
      <c r="AF69" s="143">
        <f t="shared" ca="1" si="45"/>
        <v>0</v>
      </c>
      <c r="AG69" s="148">
        <f ca="1">IF(AA69=1,'Finals 4'!$O17,"")</f>
        <v>25</v>
      </c>
      <c r="AH69" s="12">
        <f ca="1">IF(AA69=1,'Finals 4'!$Q17,"")</f>
        <v>20</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4'!$I18</f>
        <v>Maibach 1822 eV</v>
      </c>
      <c r="W70" s="12" t="str">
        <f ca="1">'Finals 4'!$K18</f>
        <v>Kickers Rodendorf</v>
      </c>
      <c r="X70" s="12">
        <f ca="1">IF(AA70=1,'Finals 4'!$L18,"")</f>
        <v>25</v>
      </c>
      <c r="Y70" s="35">
        <f ca="1">IF(AA70=1,'Finals 4'!$N18,"")</f>
        <v>23</v>
      </c>
      <c r="Z70" s="34" t="str">
        <f t="shared" ca="1" si="43"/>
        <v>Maibach 1822 eVKickers Rodendorf</v>
      </c>
      <c r="AA70" s="12">
        <f ca="1">IF(AND('Finals 4'!$L18&lt;&gt;"",'Finals 4'!$N18&lt;&gt;"",'Finals 4'!$L18&lt;&gt;'Finals 4'!$N18,OR(AND('Finals 4'!$O18="",'Finals 4'!$Q18=""),AND('Finals 4'!$O18&lt;&gt;"",'Finals 4'!$Q18&lt;&gt;"",'Finals 4'!$O18&lt;&gt;'Finals 4'!$Q18)),'Finals 4'!$I18&lt;&gt;"",'Finals 4'!$K18&lt;&gt;"",'Finals 4'!$I18&lt;&gt;'Finals 4'!$K18),1,0)</f>
        <v>1</v>
      </c>
      <c r="AB70" s="12" t="str">
        <f ca="1">IF(AA70&gt;0,X70&amp;Language!$E$96&amp;Y70,"")</f>
        <v>25-23</v>
      </c>
      <c r="AD70" s="143"/>
      <c r="AE70" s="148">
        <f t="shared" ca="1" si="44"/>
        <v>2</v>
      </c>
      <c r="AF70" s="143">
        <f t="shared" ca="1" si="45"/>
        <v>0</v>
      </c>
      <c r="AG70" s="148">
        <f ca="1">IF(AA70=1,'Finals 4'!$O18,"")</f>
        <v>25</v>
      </c>
      <c r="AH70" s="12">
        <f ca="1">IF(AA70=1,'Finals 4'!$Q18,"")</f>
        <v>21</v>
      </c>
      <c r="AI70" s="143" t="str">
        <f ca="1">IF(AA70&gt;0,AE70&amp;Language!$E$96&amp;AF70,"")</f>
        <v>2-0</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4'!$I19</f>
        <v>1. FC Nürnberg</v>
      </c>
      <c r="W71" s="12" t="str">
        <f ca="1">'Finals 4'!$K19</f>
        <v>VFB Essenheim</v>
      </c>
      <c r="X71" s="12">
        <f ca="1">IF(AA71=1,'Finals 4'!$L19,"")</f>
        <v>25</v>
      </c>
      <c r="Y71" s="35">
        <f ca="1">IF(AA71=1,'Finals 4'!$N19,"")</f>
        <v>17</v>
      </c>
      <c r="Z71" s="34" t="str">
        <f t="shared" ca="1" si="43"/>
        <v>1. FC NürnbergVFB Essenheim</v>
      </c>
      <c r="AA71" s="12">
        <f ca="1">IF(AND('Finals 4'!$L19&lt;&gt;"",'Finals 4'!$N19&lt;&gt;"",'Finals 4'!$L19&lt;&gt;'Finals 4'!$N19,OR(AND('Finals 4'!$O19="",'Finals 4'!$Q19=""),AND('Finals 4'!$O19&lt;&gt;"",'Finals 4'!$Q19&lt;&gt;"",'Finals 4'!$O19&lt;&gt;'Finals 4'!$Q19)),'Finals 4'!$I19&lt;&gt;"",'Finals 4'!$K19&lt;&gt;"",'Finals 4'!$I19&lt;&gt;'Finals 4'!$K19),1,0)</f>
        <v>1</v>
      </c>
      <c r="AB71" s="12" t="str">
        <f ca="1">IF(AA71&gt;0,X71&amp;Language!$E$96&amp;Y71,"")</f>
        <v>25-17</v>
      </c>
      <c r="AD71" s="143"/>
      <c r="AE71" s="148">
        <f t="shared" ca="1" si="44"/>
        <v>2</v>
      </c>
      <c r="AF71" s="143">
        <f t="shared" ca="1" si="45"/>
        <v>0</v>
      </c>
      <c r="AG71" s="148">
        <f ca="1">IF(AA71=1,'Finals 4'!$O19,"")</f>
        <v>25</v>
      </c>
      <c r="AH71" s="12">
        <f ca="1">IF(AA71=1,'Finals 4'!$Q19,"")</f>
        <v>22</v>
      </c>
      <c r="AI71" s="143" t="str">
        <f ca="1">IF(AA71&gt;0,AE71&amp;Language!$E$96&amp;AF71,"")</f>
        <v>2-0</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4'!$I20</f>
        <v>Inter Mailand</v>
      </c>
      <c r="W72" s="12" t="str">
        <f ca="1">'Finals 4'!$K20</f>
        <v>FC Barcelona</v>
      </c>
      <c r="X72" s="12">
        <f ca="1">IF(AA72=1,'Finals 4'!$L20,"")</f>
        <v>23</v>
      </c>
      <c r="Y72" s="35">
        <f ca="1">IF(AA72=1,'Finals 4'!$N20,"")</f>
        <v>25</v>
      </c>
      <c r="Z72" s="34" t="str">
        <f t="shared" ca="1" si="43"/>
        <v>Inter MailandFC Barcelona</v>
      </c>
      <c r="AA72" s="12">
        <f ca="1">IF(AND('Finals 4'!$L20&lt;&gt;"",'Finals 4'!$N20&lt;&gt;"",'Finals 4'!$L20&lt;&gt;'Finals 4'!$N20,OR(AND('Finals 4'!$O20="",'Finals 4'!$Q20=""),AND('Finals 4'!$O20&lt;&gt;"",'Finals 4'!$Q20&lt;&gt;"",'Finals 4'!$O20&lt;&gt;'Finals 4'!$Q20)),'Finals 4'!$I20&lt;&gt;"",'Finals 4'!$K20&lt;&gt;"",'Finals 4'!$I20&lt;&gt;'Finals 4'!$K20),1,0)</f>
        <v>1</v>
      </c>
      <c r="AB72" s="12" t="str">
        <f ca="1">IF(AA72&gt;0,X72&amp;Language!$E$96&amp;Y72,"")</f>
        <v>23-25</v>
      </c>
      <c r="AD72" s="143"/>
      <c r="AE72" s="148">
        <f t="shared" ca="1" si="44"/>
        <v>0</v>
      </c>
      <c r="AF72" s="143">
        <f t="shared" ca="1" si="45"/>
        <v>2</v>
      </c>
      <c r="AG72" s="148">
        <f ca="1">IF(AA72=1,'Finals 4'!$O20,"")</f>
        <v>22</v>
      </c>
      <c r="AH72" s="12">
        <f ca="1">IF(AA72=1,'Finals 4'!$Q20,"")</f>
        <v>25</v>
      </c>
      <c r="AI72" s="143" t="str">
        <f ca="1">IF(AA72&gt;0,AE72&amp;Language!$E$96&amp;AF72,"")</f>
        <v>0-2</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4'!$I21</f>
        <v/>
      </c>
      <c r="W73" s="12" t="str">
        <f ca="1">'Finals 4'!$K21</f>
        <v>1. FC Riedwald</v>
      </c>
      <c r="X73" s="12" t="str">
        <f ca="1">IF(AA73=1,'Finals 4'!$L21,"")</f>
        <v/>
      </c>
      <c r="Y73" s="35" t="str">
        <f ca="1">IF(AA73=1,'Finals 4'!$N21,"")</f>
        <v/>
      </c>
      <c r="Z73" s="34" t="str">
        <f t="shared" ca="1" si="43"/>
        <v>1. FC Riedwald</v>
      </c>
      <c r="AA73" s="12">
        <f ca="1">IF(AND('Finals 4'!$L21&lt;&gt;"",'Finals 4'!$N21&lt;&gt;"",'Finals 4'!$L21&lt;&gt;'Finals 4'!$N21,OR(AND('Finals 4'!$O21="",'Finals 4'!$Q21=""),AND('Finals 4'!$O21&lt;&gt;"",'Finals 4'!$Q21&lt;&gt;"",'Finals 4'!$O21&lt;&gt;'Finals 4'!$Q21)),'Finals 4'!$I21&lt;&gt;"",'Finals 4'!$K21&lt;&gt;"",'Finals 4'!$I21&lt;&gt;'Finals 4'!$K21),1,0)</f>
        <v>0</v>
      </c>
      <c r="AB73" s="12" t="str">
        <f ca="1">IF(AA73&gt;0,X73&amp;Language!$E$96&amp;Y73,"")</f>
        <v/>
      </c>
      <c r="AD73" s="143"/>
      <c r="AE73" s="148">
        <f t="shared" ca="1" si="44"/>
        <v>0</v>
      </c>
      <c r="AF73" s="143">
        <f t="shared" ca="1" si="45"/>
        <v>0</v>
      </c>
      <c r="AG73" s="148" t="str">
        <f ca="1">IF(AA73=1,'Finals 4'!$O21,"")</f>
        <v/>
      </c>
      <c r="AH73" s="12" t="str">
        <f ca="1">IF(AA73=1,'Finals 4'!$Q21,"")</f>
        <v/>
      </c>
      <c r="AI73" s="143" t="str">
        <f ca="1">IF(AA73&gt;0,AE73&amp;Language!$E$96&amp;AF73,"")</f>
        <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4'!$I22</f>
        <v>Mainz 05</v>
      </c>
      <c r="W74" s="12" t="str">
        <f ca="1">'Finals 4'!$K22</f>
        <v>Maibach 1822 eV</v>
      </c>
      <c r="X74" s="12">
        <f ca="1">IF(AA74=1,'Finals 4'!$L22,"")</f>
        <v>16</v>
      </c>
      <c r="Y74" s="35">
        <f ca="1">IF(AA74=1,'Finals 4'!$N22,"")</f>
        <v>25</v>
      </c>
      <c r="Z74" s="34" t="str">
        <f ca="1">V74&amp;W74</f>
        <v>Mainz 05Maibach 1822 eV</v>
      </c>
      <c r="AA74" s="12">
        <f ca="1">IF(AND('Finals 4'!$L22&lt;&gt;"",'Finals 4'!$N22&lt;&gt;"",'Finals 4'!$L22&lt;&gt;'Finals 4'!$N22,OR(AND('Finals 4'!$O22="",'Finals 4'!$Q22=""),AND('Finals 4'!$O22&lt;&gt;"",'Finals 4'!$Q22&lt;&gt;"",'Finals 4'!$O22&lt;&gt;'Finals 4'!$Q22)),'Finals 4'!$I22&lt;&gt;"",'Finals 4'!$K22&lt;&gt;"",'Finals 4'!$I22&lt;&gt;'Finals 4'!$K22),1,0)</f>
        <v>1</v>
      </c>
      <c r="AB74" s="12" t="str">
        <f ca="1">IF(AA74&gt;0,X74&amp;Language!$E$96&amp;Y74,"")</f>
        <v>16-25</v>
      </c>
      <c r="AD74" s="143"/>
      <c r="AE74" s="148">
        <f t="shared" ca="1" si="44"/>
        <v>1</v>
      </c>
      <c r="AF74" s="143">
        <f t="shared" ca="1" si="45"/>
        <v>1</v>
      </c>
      <c r="AG74" s="148">
        <f ca="1">IF(AA74=1,'Finals 4'!$O22,"")</f>
        <v>25</v>
      </c>
      <c r="AH74" s="12">
        <f ca="1">IF(AA74=1,'Finals 4'!$Q22,"")</f>
        <v>18</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4'!$I23</f>
        <v>Real Madrid</v>
      </c>
      <c r="W75" s="12" t="str">
        <f ca="1">'Finals 4'!$K23</f>
        <v>1. FC Nürnberg</v>
      </c>
      <c r="X75" s="12">
        <f ca="1">IF(AA75=1,'Finals 4'!$L23,"")</f>
        <v>14</v>
      </c>
      <c r="Y75" s="35">
        <f ca="1">IF(AA75=1,'Finals 4'!$N23,"")</f>
        <v>25</v>
      </c>
      <c r="Z75" s="34" t="str">
        <f t="shared" ref="Z75:Z88" ca="1" si="46">V75&amp;W75</f>
        <v>Real Madrid1. FC Nürnberg</v>
      </c>
      <c r="AA75" s="12">
        <f ca="1">IF(AND('Finals 4'!$L23&lt;&gt;"",'Finals 4'!$N23&lt;&gt;"",'Finals 4'!$L23&lt;&gt;'Finals 4'!$N23,OR(AND('Finals 4'!$O23="",'Finals 4'!$Q23=""),AND('Finals 4'!$O23&lt;&gt;"",'Finals 4'!$Q23&lt;&gt;"",'Finals 4'!$O23&lt;&gt;'Finals 4'!$Q23)),'Finals 4'!$I23&lt;&gt;"",'Finals 4'!$K23&lt;&gt;"",'Finals 4'!$I23&lt;&gt;'Finals 4'!$K23),1,0)</f>
        <v>1</v>
      </c>
      <c r="AB75" s="12" t="str">
        <f ca="1">IF(AA75&gt;0,X75&amp;Language!$E$96&amp;Y75,"")</f>
        <v>14-25</v>
      </c>
      <c r="AD75" s="143"/>
      <c r="AE75" s="148">
        <f t="shared" ca="1" si="44"/>
        <v>1</v>
      </c>
      <c r="AF75" s="143">
        <f t="shared" ca="1" si="45"/>
        <v>1</v>
      </c>
      <c r="AG75" s="148">
        <f ca="1">IF(AA75=1,'Finals 4'!$O23,"")</f>
        <v>25</v>
      </c>
      <c r="AH75" s="12">
        <f ca="1">IF(AA75=1,'Finals 4'!$Q23,"")</f>
        <v>19</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4'!$I24</f>
        <v>SSV Wildbach</v>
      </c>
      <c r="W76" s="12" t="str">
        <f ca="1">'Finals 4'!$K24</f>
        <v>Inter Mailand</v>
      </c>
      <c r="X76" s="12">
        <f ca="1">IF(AA76=1,'Finals 4'!$L24,"")</f>
        <v>22</v>
      </c>
      <c r="Y76" s="35">
        <f ca="1">IF(AA76=1,'Finals 4'!$N24,"")</f>
        <v>25</v>
      </c>
      <c r="Z76" s="34" t="str">
        <f t="shared" ca="1" si="46"/>
        <v>SSV WildbachInter Mailand</v>
      </c>
      <c r="AA76" s="12">
        <f ca="1">IF(AND('Finals 4'!$L24&lt;&gt;"",'Finals 4'!$N24&lt;&gt;"",'Finals 4'!$L24&lt;&gt;'Finals 4'!$N24,OR(AND('Finals 4'!$O24="",'Finals 4'!$Q24=""),AND('Finals 4'!$O24&lt;&gt;"",'Finals 4'!$Q24&lt;&gt;"",'Finals 4'!$O24&lt;&gt;'Finals 4'!$Q24)),'Finals 4'!$I24&lt;&gt;"",'Finals 4'!$K24&lt;&gt;"",'Finals 4'!$I24&lt;&gt;'Finals 4'!$K24),1,0)</f>
        <v>1</v>
      </c>
      <c r="AB76" s="12" t="str">
        <f ca="1">IF(AA76&gt;0,X76&amp;Language!$E$96&amp;Y76,"")</f>
        <v>22-25</v>
      </c>
      <c r="AD76" s="143"/>
      <c r="AE76" s="148">
        <f t="shared" ca="1" si="44"/>
        <v>1</v>
      </c>
      <c r="AF76" s="143">
        <f t="shared" ca="1" si="45"/>
        <v>1</v>
      </c>
      <c r="AG76" s="148">
        <f ca="1">IF(AA76=1,'Finals 4'!$O24,"")</f>
        <v>25</v>
      </c>
      <c r="AH76" s="12">
        <f ca="1">IF(AA76=1,'Finals 4'!$Q24,"")</f>
        <v>20</v>
      </c>
      <c r="AI76" s="143" t="str">
        <f ca="1">IF(AA76&gt;0,AE76&amp;Language!$E$96&amp;AF76,"")</f>
        <v>1-1</v>
      </c>
    </row>
    <row r="77" spans="2:43" s="2" customFormat="1" x14ac:dyDescent="0.2">
      <c r="B77" s="3"/>
      <c r="C77" s="3"/>
      <c r="D77" s="3"/>
      <c r="E77" s="3"/>
      <c r="F77" s="12"/>
      <c r="G77" s="12"/>
      <c r="H77" s="12"/>
      <c r="I77" s="12"/>
      <c r="J77" s="12"/>
      <c r="K77" s="12"/>
      <c r="L77" s="12"/>
      <c r="M77" s="12"/>
      <c r="U77" s="66" t="s">
        <v>28</v>
      </c>
      <c r="V77" s="40" t="str">
        <f ca="1">'Finals 4'!$I25</f>
        <v>Manchester City</v>
      </c>
      <c r="W77" s="12" t="str">
        <f ca="1">'Finals 4'!$K25</f>
        <v>FSV Rauen</v>
      </c>
      <c r="X77" s="12">
        <f ca="1">IF(AA77=1,'Finals 4'!$L25,"")</f>
        <v>19</v>
      </c>
      <c r="Y77" s="35">
        <f ca="1">IF(AA77=1,'Finals 4'!$N25,"")</f>
        <v>25</v>
      </c>
      <c r="Z77" s="34" t="str">
        <f t="shared" ca="1" si="46"/>
        <v>Manchester CityFSV Rauen</v>
      </c>
      <c r="AA77" s="12">
        <f ca="1">IF(AND('Finals 4'!$L25&lt;&gt;"",'Finals 4'!$N25&lt;&gt;"",'Finals 4'!$L25&lt;&gt;'Finals 4'!$N25,OR(AND('Finals 4'!$O25="",'Finals 4'!$Q25=""),AND('Finals 4'!$O25&lt;&gt;"",'Finals 4'!$Q25&lt;&gt;"",'Finals 4'!$O25&lt;&gt;'Finals 4'!$Q25)),'Finals 4'!$I25&lt;&gt;"",'Finals 4'!$K25&lt;&gt;"",'Finals 4'!$I25&lt;&gt;'Finals 4'!$K25),1,0)</f>
        <v>1</v>
      </c>
      <c r="AB77" s="12" t="str">
        <f ca="1">IF(AA77&gt;0,X77&amp;Language!$E$96&amp;Y77,"")</f>
        <v>19-25</v>
      </c>
      <c r="AD77" s="143"/>
      <c r="AE77" s="148">
        <f t="shared" ca="1" si="44"/>
        <v>1</v>
      </c>
      <c r="AF77" s="143">
        <f t="shared" ca="1" si="45"/>
        <v>1</v>
      </c>
      <c r="AG77" s="148">
        <f ca="1">IF(AA77=1,'Finals 4'!$O25,"")</f>
        <v>25</v>
      </c>
      <c r="AH77" s="12">
        <f ca="1">IF(AA77=1,'Finals 4'!$Q25,"")</f>
        <v>21</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4'!$I26</f>
        <v>Kickers Rodendorf</v>
      </c>
      <c r="W78" s="12" t="str">
        <f ca="1">'Finals 4'!$K26</f>
        <v>FC Grönlingen</v>
      </c>
      <c r="X78" s="12">
        <f ca="1">IF(AA78=1,'Finals 4'!$L26,"")</f>
        <v>17</v>
      </c>
      <c r="Y78" s="35">
        <f ca="1">IF(AA78=1,'Finals 4'!$N26,"")</f>
        <v>25</v>
      </c>
      <c r="Z78" s="34" t="str">
        <f t="shared" ca="1" si="46"/>
        <v>Kickers RodendorfFC Grönlingen</v>
      </c>
      <c r="AA78" s="12">
        <f ca="1">IF(AND('Finals 4'!$L26&lt;&gt;"",'Finals 4'!$N26&lt;&gt;"",'Finals 4'!$L26&lt;&gt;'Finals 4'!$N26,OR(AND('Finals 4'!$O26="",'Finals 4'!$Q26=""),AND('Finals 4'!$O26&lt;&gt;"",'Finals 4'!$Q26&lt;&gt;"",'Finals 4'!$O26&lt;&gt;'Finals 4'!$Q26)),'Finals 4'!$I26&lt;&gt;"",'Finals 4'!$K26&lt;&gt;"",'Finals 4'!$I26&lt;&gt;'Finals 4'!$K26),1,0)</f>
        <v>1</v>
      </c>
      <c r="AB78" s="12" t="str">
        <f ca="1">IF(AA78&gt;0,X78&amp;Language!$E$96&amp;Y78,"")</f>
        <v>17-25</v>
      </c>
      <c r="AD78" s="143"/>
      <c r="AE78" s="148">
        <f t="shared" ca="1" si="44"/>
        <v>0</v>
      </c>
      <c r="AF78" s="143">
        <f t="shared" ca="1" si="45"/>
        <v>2</v>
      </c>
      <c r="AG78" s="148">
        <f ca="1">IF(AA78=1,'Finals 4'!$O26,"")</f>
        <v>12</v>
      </c>
      <c r="AH78" s="12">
        <f ca="1">IF(AA78=1,'Finals 4'!$Q26,"")</f>
        <v>25</v>
      </c>
      <c r="AI78" s="143" t="str">
        <f ca="1">IF(AA78&gt;0,AE78&amp;Language!$E$96&amp;AF78,"")</f>
        <v>0-2</v>
      </c>
    </row>
    <row r="79" spans="2:43" s="2" customFormat="1" x14ac:dyDescent="0.2">
      <c r="B79" s="3"/>
      <c r="C79" s="3"/>
      <c r="D79" s="3"/>
      <c r="E79" s="3"/>
      <c r="F79" s="12"/>
      <c r="G79" s="12"/>
      <c r="H79" s="12"/>
      <c r="I79" s="12"/>
      <c r="J79" s="12"/>
      <c r="K79" s="12"/>
      <c r="L79" s="12"/>
      <c r="M79" s="12"/>
      <c r="U79" s="66" t="s">
        <v>30</v>
      </c>
      <c r="V79" s="40" t="str">
        <f ca="1">'Finals 4'!$I27</f>
        <v>VFB Essenheim</v>
      </c>
      <c r="W79" s="12" t="str">
        <f ca="1">'Finals 4'!$K27</f>
        <v>Eintracht Frankfurt</v>
      </c>
      <c r="X79" s="12">
        <f ca="1">IF(AA79=1,'Finals 4'!$L27,"")</f>
        <v>14</v>
      </c>
      <c r="Y79" s="35">
        <f ca="1">IF(AA79=1,'Finals 4'!$N27,"")</f>
        <v>25</v>
      </c>
      <c r="Z79" s="34" t="str">
        <f t="shared" ca="1" si="46"/>
        <v>VFB EssenheimEintracht Frankfurt</v>
      </c>
      <c r="AA79" s="12">
        <f ca="1">IF(AND('Finals 4'!$L27&lt;&gt;"",'Finals 4'!$N27&lt;&gt;"",'Finals 4'!$L27&lt;&gt;'Finals 4'!$N27,OR(AND('Finals 4'!$O27="",'Finals 4'!$Q27=""),AND('Finals 4'!$O27&lt;&gt;"",'Finals 4'!$Q27&lt;&gt;"",'Finals 4'!$O27&lt;&gt;'Finals 4'!$Q27)),'Finals 4'!$I27&lt;&gt;"",'Finals 4'!$K27&lt;&gt;"",'Finals 4'!$I27&lt;&gt;'Finals 4'!$K27),1,0)</f>
        <v>1</v>
      </c>
      <c r="AB79" s="12" t="str">
        <f ca="1">IF(AA79&gt;0,X79&amp;Language!$E$96&amp;Y79,"")</f>
        <v>14-25</v>
      </c>
      <c r="AD79" s="143"/>
      <c r="AE79" s="148">
        <f t="shared" ca="1" si="44"/>
        <v>1</v>
      </c>
      <c r="AF79" s="143">
        <f t="shared" ca="1" si="45"/>
        <v>1</v>
      </c>
      <c r="AG79" s="148">
        <f ca="1">IF(AA79=1,'Finals 4'!$O27,"")</f>
        <v>25</v>
      </c>
      <c r="AH79" s="12">
        <f ca="1">IF(AA79=1,'Finals 4'!$Q27,"")</f>
        <v>23</v>
      </c>
      <c r="AI79" s="143" t="str">
        <f ca="1">IF(AA79&gt;0,AE79&amp;Language!$E$96&amp;AF79,"")</f>
        <v>1-1</v>
      </c>
    </row>
    <row r="80" spans="2:43" s="2" customFormat="1" x14ac:dyDescent="0.2">
      <c r="B80" s="3"/>
      <c r="C80" s="3"/>
      <c r="D80" s="3"/>
      <c r="E80" s="3"/>
      <c r="F80" s="12"/>
      <c r="G80" s="12"/>
      <c r="H80" s="12"/>
      <c r="I80" s="12"/>
      <c r="J80" s="12"/>
      <c r="K80" s="12"/>
      <c r="L80" s="12"/>
      <c r="M80" s="12"/>
      <c r="U80" s="66" t="s">
        <v>31</v>
      </c>
      <c r="V80" s="40" t="str">
        <f ca="1">'Finals 4'!$I28</f>
        <v>FC Barcelona</v>
      </c>
      <c r="W80" s="12" t="str">
        <f ca="1">'Finals 4'!$K28</f>
        <v>Borussia Dortmund</v>
      </c>
      <c r="X80" s="12">
        <f ca="1">IF(AA80=1,'Finals 4'!$L28,"")</f>
        <v>21</v>
      </c>
      <c r="Y80" s="35">
        <f ca="1">IF(AA80=1,'Finals 4'!$N28,"")</f>
        <v>25</v>
      </c>
      <c r="Z80" s="34" t="str">
        <f t="shared" ca="1" si="46"/>
        <v>FC BarcelonaBorussia Dortmund</v>
      </c>
      <c r="AA80" s="12">
        <f ca="1">IF(AND('Finals 4'!$L28&lt;&gt;"",'Finals 4'!$N28&lt;&gt;"",'Finals 4'!$L28&lt;&gt;'Finals 4'!$N28,OR(AND('Finals 4'!$O28="",'Finals 4'!$Q28=""),AND('Finals 4'!$O28&lt;&gt;"",'Finals 4'!$Q28&lt;&gt;"",'Finals 4'!$O28&lt;&gt;'Finals 4'!$Q28)),'Finals 4'!$I28&lt;&gt;"",'Finals 4'!$K28&lt;&gt;"",'Finals 4'!$I28&lt;&gt;'Finals 4'!$K28),1,0)</f>
        <v>1</v>
      </c>
      <c r="AB80" s="12" t="str">
        <f ca="1">IF(AA80&gt;0,X80&amp;Language!$E$96&amp;Y80,"")</f>
        <v>21-25</v>
      </c>
      <c r="AD80" s="143"/>
      <c r="AE80" s="148">
        <f t="shared" ca="1" si="44"/>
        <v>1</v>
      </c>
      <c r="AF80" s="143">
        <f t="shared" ca="1" si="45"/>
        <v>1</v>
      </c>
      <c r="AG80" s="148">
        <f ca="1">IF(AA80=1,'Finals 4'!$O28,"")</f>
        <v>25</v>
      </c>
      <c r="AH80" s="12">
        <f ca="1">IF(AA80=1,'Finals 4'!$Q28,"")</f>
        <v>17</v>
      </c>
      <c r="AI80" s="143" t="str">
        <f ca="1">IF(AA80&gt;0,AE80&amp;Language!$E$96&amp;AF80,"")</f>
        <v>1-1</v>
      </c>
    </row>
    <row r="81" spans="2:35" s="2" customFormat="1" x14ac:dyDescent="0.2">
      <c r="B81" s="3"/>
      <c r="C81" s="3"/>
      <c r="D81" s="3"/>
      <c r="E81" s="3"/>
      <c r="F81" s="12"/>
      <c r="G81" s="12"/>
      <c r="H81" s="12"/>
      <c r="I81" s="12"/>
      <c r="J81" s="12"/>
      <c r="K81" s="12"/>
      <c r="L81" s="12"/>
      <c r="M81" s="12"/>
      <c r="U81" s="66" t="s">
        <v>32</v>
      </c>
      <c r="V81" s="40" t="str">
        <f ca="1">'Finals 4'!$I29</f>
        <v/>
      </c>
      <c r="W81" s="12" t="str">
        <f ca="1">'Finals 4'!$K29</f>
        <v>Manchester City</v>
      </c>
      <c r="X81" s="12" t="str">
        <f ca="1">IF(AA81=1,'Finals 4'!$L29,"")</f>
        <v/>
      </c>
      <c r="Y81" s="35" t="str">
        <f ca="1">IF(AA81=1,'Finals 4'!$N29,"")</f>
        <v/>
      </c>
      <c r="Z81" s="34" t="str">
        <f t="shared" ca="1" si="46"/>
        <v>Manchester City</v>
      </c>
      <c r="AA81" s="12">
        <f ca="1">IF(AND('Finals 4'!$L29&lt;&gt;"",'Finals 4'!$N29&lt;&gt;"",'Finals 4'!$L29&lt;&gt;'Finals 4'!$N29,OR(AND('Finals 4'!$O29="",'Finals 4'!$Q29=""),AND('Finals 4'!$O29&lt;&gt;"",'Finals 4'!$Q29&lt;&gt;"",'Finals 4'!$O29&lt;&gt;'Finals 4'!$Q29)),'Finals 4'!$I29&lt;&gt;"",'Finals 4'!$K29&lt;&gt;"",'Finals 4'!$I29&lt;&gt;'Finals 4'!$K29),1,0)</f>
        <v>0</v>
      </c>
      <c r="AB81" s="12" t="str">
        <f ca="1">IF(AA81&gt;0,X81&amp;Language!$E$96&amp;Y81,"")</f>
        <v/>
      </c>
      <c r="AD81" s="143"/>
      <c r="AE81" s="148">
        <f t="shared" ca="1" si="44"/>
        <v>0</v>
      </c>
      <c r="AF81" s="143">
        <f t="shared" ca="1" si="45"/>
        <v>0</v>
      </c>
      <c r="AG81" s="148" t="str">
        <f ca="1">IF(AA81=1,'Finals 4'!$O29,"")</f>
        <v/>
      </c>
      <c r="AH81" s="12" t="str">
        <f ca="1">IF(AA81=1,'Finals 4'!$Q29,"")</f>
        <v/>
      </c>
      <c r="AI81" s="143" t="str">
        <f ca="1">IF(AA81&gt;0,AE81&amp;Language!$E$96&amp;AF81,"")</f>
        <v/>
      </c>
    </row>
    <row r="82" spans="2:35" s="2" customFormat="1" x14ac:dyDescent="0.2">
      <c r="B82" s="3"/>
      <c r="C82" s="3"/>
      <c r="D82" s="3"/>
      <c r="E82" s="3"/>
      <c r="F82" s="12"/>
      <c r="G82" s="12"/>
      <c r="H82" s="12"/>
      <c r="I82" s="12"/>
      <c r="J82" s="12"/>
      <c r="K82" s="12"/>
      <c r="L82" s="12"/>
      <c r="M82" s="12"/>
      <c r="U82" s="66" t="s">
        <v>33</v>
      </c>
      <c r="V82" s="40" t="str">
        <f ca="1">'Finals 4'!$I30</f>
        <v>Mainz 05</v>
      </c>
      <c r="W82" s="12" t="str">
        <f ca="1">'Finals 4'!$K30</f>
        <v>Kickers Rodendorf</v>
      </c>
      <c r="X82" s="12">
        <f ca="1">IF(AA82=1,'Finals 4'!$L30,"")</f>
        <v>25</v>
      </c>
      <c r="Y82" s="35">
        <f ca="1">IF(AA82=1,'Finals 4'!$N30,"")</f>
        <v>20</v>
      </c>
      <c r="Z82" s="34" t="str">
        <f t="shared" ca="1" si="46"/>
        <v>Mainz 05Kickers Rodendorf</v>
      </c>
      <c r="AA82" s="12">
        <f ca="1">IF(AND('Finals 4'!$L30&lt;&gt;"",'Finals 4'!$N30&lt;&gt;"",'Finals 4'!$L30&lt;&gt;'Finals 4'!$N30,OR(AND('Finals 4'!$O30="",'Finals 4'!$Q30=""),AND('Finals 4'!$O30&lt;&gt;"",'Finals 4'!$Q30&lt;&gt;"",'Finals 4'!$O30&lt;&gt;'Finals 4'!$Q30)),'Finals 4'!$I30&lt;&gt;"",'Finals 4'!$K30&lt;&gt;"",'Finals 4'!$I30&lt;&gt;'Finals 4'!$K30),1,0)</f>
        <v>1</v>
      </c>
      <c r="AB82" s="12" t="str">
        <f ca="1">IF(AA82&gt;0,X82&amp;Language!$E$96&amp;Y82,"")</f>
        <v>25-20</v>
      </c>
      <c r="AD82" s="143"/>
      <c r="AE82" s="148">
        <f t="shared" ca="1" si="44"/>
        <v>2</v>
      </c>
      <c r="AF82" s="143">
        <f t="shared" ca="1" si="45"/>
        <v>0</v>
      </c>
      <c r="AG82" s="148">
        <f ca="1">IF(AA82=1,'Finals 4'!$O30,"")</f>
        <v>25</v>
      </c>
      <c r="AH82" s="12">
        <f ca="1">IF(AA82=1,'Finals 4'!$Q30,"")</f>
        <v>19</v>
      </c>
      <c r="AI82" s="143" t="str">
        <f ca="1">IF(AA82&gt;0,AE82&amp;Language!$E$96&amp;AF82,"")</f>
        <v>2-0</v>
      </c>
    </row>
    <row r="83" spans="2:35" s="2" customFormat="1" x14ac:dyDescent="0.2">
      <c r="B83" s="3"/>
      <c r="C83" s="3"/>
      <c r="D83" s="3"/>
      <c r="E83" s="3"/>
      <c r="F83" s="12"/>
      <c r="G83" s="12"/>
      <c r="H83" s="12"/>
      <c r="I83" s="12"/>
      <c r="J83" s="12"/>
      <c r="K83" s="12"/>
      <c r="L83" s="12"/>
      <c r="M83" s="12"/>
      <c r="U83" s="66" t="s">
        <v>34</v>
      </c>
      <c r="V83" s="40" t="str">
        <f ca="1">'Finals 4'!$I31</f>
        <v>Real Madrid</v>
      </c>
      <c r="W83" s="12" t="str">
        <f ca="1">'Finals 4'!$K31</f>
        <v>VFB Essenheim</v>
      </c>
      <c r="X83" s="12">
        <f ca="1">IF(AA83=1,'Finals 4'!$L31,"")</f>
        <v>25</v>
      </c>
      <c r="Y83" s="35">
        <f ca="1">IF(AA83=1,'Finals 4'!$N31,"")</f>
        <v>2</v>
      </c>
      <c r="Z83" s="34" t="str">
        <f t="shared" ca="1" si="46"/>
        <v>Real MadridVFB Essenheim</v>
      </c>
      <c r="AA83" s="12">
        <f ca="1">IF(AND('Finals 4'!$L31&lt;&gt;"",'Finals 4'!$N31&lt;&gt;"",'Finals 4'!$L31&lt;&gt;'Finals 4'!$N31,OR(AND('Finals 4'!$O31="",'Finals 4'!$Q31=""),AND('Finals 4'!$O31&lt;&gt;"",'Finals 4'!$Q31&lt;&gt;"",'Finals 4'!$O31&lt;&gt;'Finals 4'!$Q31)),'Finals 4'!$I31&lt;&gt;"",'Finals 4'!$K31&lt;&gt;"",'Finals 4'!$I31&lt;&gt;'Finals 4'!$K31),1,0)</f>
        <v>1</v>
      </c>
      <c r="AB83" s="12" t="str">
        <f ca="1">IF(AA83&gt;0,X83&amp;Language!$E$96&amp;Y83,"")</f>
        <v>25-2</v>
      </c>
      <c r="AD83" s="143"/>
      <c r="AE83" s="148">
        <f t="shared" ca="1" si="44"/>
        <v>2</v>
      </c>
      <c r="AF83" s="143">
        <f t="shared" ca="1" si="45"/>
        <v>0</v>
      </c>
      <c r="AG83" s="148">
        <f ca="1">IF(AA83=1,'Finals 4'!$O31,"")</f>
        <v>25</v>
      </c>
      <c r="AH83" s="12">
        <f ca="1">IF(AA83=1,'Finals 4'!$Q31,"")</f>
        <v>20</v>
      </c>
      <c r="AI83" s="143" t="str">
        <f ca="1">IF(AA83&gt;0,AE83&amp;Language!$E$96&amp;AF83,"")</f>
        <v>2-0</v>
      </c>
    </row>
    <row r="84" spans="2:35" s="2" customFormat="1" x14ac:dyDescent="0.2">
      <c r="B84" s="3"/>
      <c r="C84" s="3"/>
      <c r="D84" s="3"/>
      <c r="E84" s="3"/>
      <c r="F84" s="12"/>
      <c r="G84" s="12"/>
      <c r="H84" s="12"/>
      <c r="I84" s="12"/>
      <c r="J84" s="12"/>
      <c r="K84" s="12"/>
      <c r="L84" s="12"/>
      <c r="M84" s="12"/>
      <c r="U84" s="66" t="s">
        <v>35</v>
      </c>
      <c r="V84" s="40" t="str">
        <f ca="1">'Finals 4'!$I32</f>
        <v>SSV Wildbach</v>
      </c>
      <c r="W84" s="12" t="str">
        <f ca="1">'Finals 4'!$K32</f>
        <v>FC Barcelona</v>
      </c>
      <c r="X84" s="12">
        <f ca="1">IF(AA84=1,'Finals 4'!$L32,"")</f>
        <v>25</v>
      </c>
      <c r="Y84" s="35">
        <f ca="1">IF(AA84=1,'Finals 4'!$N32,"")</f>
        <v>16</v>
      </c>
      <c r="Z84" s="34" t="str">
        <f t="shared" ca="1" si="46"/>
        <v>SSV WildbachFC Barcelona</v>
      </c>
      <c r="AA84" s="12">
        <f ca="1">IF(AND('Finals 4'!$L32&lt;&gt;"",'Finals 4'!$N32&lt;&gt;"",'Finals 4'!$L32&lt;&gt;'Finals 4'!$N32,OR(AND('Finals 4'!$O32="",'Finals 4'!$Q32=""),AND('Finals 4'!$O32&lt;&gt;"",'Finals 4'!$Q32&lt;&gt;"",'Finals 4'!$O32&lt;&gt;'Finals 4'!$Q32)),'Finals 4'!$I32&lt;&gt;"",'Finals 4'!$K32&lt;&gt;"",'Finals 4'!$I32&lt;&gt;'Finals 4'!$K32),1,0)</f>
        <v>1</v>
      </c>
      <c r="AB84" s="12" t="str">
        <f ca="1">IF(AA84&gt;0,X84&amp;Language!$E$96&amp;Y84,"")</f>
        <v>25-16</v>
      </c>
      <c r="AD84" s="143"/>
      <c r="AE84" s="148">
        <f t="shared" ca="1" si="44"/>
        <v>2</v>
      </c>
      <c r="AF84" s="143">
        <f t="shared" ca="1" si="45"/>
        <v>0</v>
      </c>
      <c r="AG84" s="148">
        <f ca="1">IF(AA84=1,'Finals 4'!$O32,"")</f>
        <v>25</v>
      </c>
      <c r="AH84" s="12">
        <f ca="1">IF(AA84=1,'Finals 4'!$Q32,"")</f>
        <v>21</v>
      </c>
      <c r="AI84" s="143" t="str">
        <f ca="1">IF(AA84&gt;0,AE84&amp;Language!$E$96&amp;AF84,"")</f>
        <v>2-0</v>
      </c>
    </row>
    <row r="85" spans="2:35" s="2" customFormat="1" x14ac:dyDescent="0.2">
      <c r="B85" s="3"/>
      <c r="C85" s="3"/>
      <c r="D85" s="3"/>
      <c r="E85" s="3"/>
      <c r="F85" s="12"/>
      <c r="G85" s="12"/>
      <c r="H85" s="12"/>
      <c r="I85" s="12"/>
      <c r="J85" s="12"/>
      <c r="K85" s="12"/>
      <c r="L85" s="12"/>
      <c r="M85" s="12"/>
      <c r="U85" s="66" t="s">
        <v>36</v>
      </c>
      <c r="V85" s="40" t="str">
        <f ca="1">'Finals 4'!$I33</f>
        <v>FSV Rauen</v>
      </c>
      <c r="W85" s="12" t="str">
        <f ca="1">'Finals 4'!$K33</f>
        <v>1. FC Riedwald</v>
      </c>
      <c r="X85" s="12">
        <f ca="1">IF(AA85=1,'Finals 4'!$L33,"")</f>
        <v>25</v>
      </c>
      <c r="Y85" s="35">
        <f ca="1">IF(AA85=1,'Finals 4'!$N33,"")</f>
        <v>2</v>
      </c>
      <c r="Z85" s="34" t="str">
        <f t="shared" ca="1" si="46"/>
        <v>FSV Rauen1. FC Riedwald</v>
      </c>
      <c r="AA85" s="12">
        <f ca="1">IF(AND('Finals 4'!$L33&lt;&gt;"",'Finals 4'!$N33&lt;&gt;"",'Finals 4'!$L33&lt;&gt;'Finals 4'!$N33,OR(AND('Finals 4'!$O33="",'Finals 4'!$Q33=""),AND('Finals 4'!$O33&lt;&gt;"",'Finals 4'!$Q33&lt;&gt;"",'Finals 4'!$O33&lt;&gt;'Finals 4'!$Q33)),'Finals 4'!$I33&lt;&gt;"",'Finals 4'!$K33&lt;&gt;"",'Finals 4'!$I33&lt;&gt;'Finals 4'!$K33),1,0)</f>
        <v>1</v>
      </c>
      <c r="AB85" s="12" t="str">
        <f ca="1">IF(AA85&gt;0,X85&amp;Language!$E$96&amp;Y85,"")</f>
        <v>25-2</v>
      </c>
      <c r="AD85" s="143"/>
      <c r="AE85" s="148">
        <f t="shared" ca="1" si="44"/>
        <v>2</v>
      </c>
      <c r="AF85" s="143">
        <f t="shared" ca="1" si="45"/>
        <v>0</v>
      </c>
      <c r="AG85" s="148">
        <f ca="1">IF(AA85=1,'Finals 4'!$O33,"")</f>
        <v>25</v>
      </c>
      <c r="AH85" s="12">
        <f ca="1">IF(AA85=1,'Finals 4'!$Q33,"")</f>
        <v>22</v>
      </c>
      <c r="AI85" s="143" t="str">
        <f ca="1">IF(AA85&gt;0,AE85&amp;Language!$E$96&amp;AF85,"")</f>
        <v>2-0</v>
      </c>
    </row>
    <row r="86" spans="2:35" s="2" customFormat="1" x14ac:dyDescent="0.2">
      <c r="B86" s="3"/>
      <c r="C86" s="3"/>
      <c r="D86" s="3"/>
      <c r="E86" s="3"/>
      <c r="F86" s="12"/>
      <c r="G86" s="12"/>
      <c r="H86" s="12"/>
      <c r="I86" s="12"/>
      <c r="J86" s="12"/>
      <c r="K86" s="12"/>
      <c r="L86" s="12"/>
      <c r="M86" s="12"/>
      <c r="U86" s="66" t="s">
        <v>37</v>
      </c>
      <c r="V86" s="40" t="str">
        <f ca="1">'Finals 4'!$I34</f>
        <v>FC Grönlingen</v>
      </c>
      <c r="W86" s="12" t="str">
        <f ca="1">'Finals 4'!$K34</f>
        <v>Maibach 1822 eV</v>
      </c>
      <c r="X86" s="12">
        <f ca="1">IF(AA86=1,'Finals 4'!$L34,"")</f>
        <v>13</v>
      </c>
      <c r="Y86" s="35">
        <f ca="1">IF(AA86=1,'Finals 4'!$N34,"")</f>
        <v>25</v>
      </c>
      <c r="Z86" s="34" t="str">
        <f t="shared" ca="1" si="46"/>
        <v>FC GrönlingenMaibach 1822 eV</v>
      </c>
      <c r="AA86" s="12">
        <f ca="1">IF(AND('Finals 4'!$L34&lt;&gt;"",'Finals 4'!$N34&lt;&gt;"",'Finals 4'!$L34&lt;&gt;'Finals 4'!$N34,OR(AND('Finals 4'!$O34="",'Finals 4'!$Q34=""),AND('Finals 4'!$O34&lt;&gt;"",'Finals 4'!$Q34&lt;&gt;"",'Finals 4'!$O34&lt;&gt;'Finals 4'!$Q34)),'Finals 4'!$I34&lt;&gt;"",'Finals 4'!$K34&lt;&gt;"",'Finals 4'!$I34&lt;&gt;'Finals 4'!$K34),1,0)</f>
        <v>1</v>
      </c>
      <c r="AB86" s="12" t="str">
        <f ca="1">IF(AA86&gt;0,X86&amp;Language!$E$96&amp;Y86,"")</f>
        <v>13-25</v>
      </c>
      <c r="AD86" s="143"/>
      <c r="AE86" s="148">
        <f t="shared" ca="1" si="44"/>
        <v>1</v>
      </c>
      <c r="AF86" s="143">
        <f t="shared" ca="1" si="45"/>
        <v>1</v>
      </c>
      <c r="AG86" s="148">
        <f ca="1">IF(AA86=1,'Finals 4'!$O34,"")</f>
        <v>25</v>
      </c>
      <c r="AH86" s="12">
        <f ca="1">IF(AA86=1,'Finals 4'!$Q34,"")</f>
        <v>11</v>
      </c>
      <c r="AI86" s="143" t="str">
        <f ca="1">IF(AA86&gt;0,AE86&amp;Language!$E$96&amp;AF86,"")</f>
        <v>1-1</v>
      </c>
    </row>
    <row r="87" spans="2:35" s="2" customFormat="1" ht="12.75" thickBot="1" x14ac:dyDescent="0.25">
      <c r="B87" s="3"/>
      <c r="C87" s="3"/>
      <c r="D87" s="3"/>
      <c r="E87" s="3"/>
      <c r="F87" s="12"/>
      <c r="G87" s="12"/>
      <c r="H87" s="12"/>
      <c r="I87" s="12"/>
      <c r="J87" s="12"/>
      <c r="K87" s="12"/>
      <c r="L87" s="12"/>
      <c r="M87" s="12"/>
      <c r="U87" s="66" t="s">
        <v>38</v>
      </c>
      <c r="V87" s="40" t="str">
        <f ca="1">'Finals 4'!$I35</f>
        <v>Eintracht Frankfurt</v>
      </c>
      <c r="W87" s="12" t="str">
        <f ca="1">'Finals 4'!$K35</f>
        <v>1. FC Nürnberg</v>
      </c>
      <c r="X87" s="12">
        <f ca="1">IF(AA87=1,'Finals 4'!$L35,"")</f>
        <v>19</v>
      </c>
      <c r="Y87" s="35">
        <f ca="1">IF(AA87=1,'Finals 4'!$N35,"")</f>
        <v>25</v>
      </c>
      <c r="Z87" s="34" t="str">
        <f t="shared" ca="1" si="46"/>
        <v>Eintracht Frankfurt1. FC Nürnberg</v>
      </c>
      <c r="AA87" s="686">
        <f ca="1">IF(AND('Finals 4'!$L35&lt;&gt;"",'Finals 4'!$N35&lt;&gt;"",'Finals 4'!$L35&lt;&gt;'Finals 4'!$N35,OR(AND('Finals 4'!$O35="",'Finals 4'!$Q35=""),AND('Finals 4'!$O35&lt;&gt;"",'Finals 4'!$Q35&lt;&gt;"",'Finals 4'!$O35&lt;&gt;'Finals 4'!$Q35)),'Finals 4'!$I35&lt;&gt;"",'Finals 4'!$K35&lt;&gt;"",'Finals 4'!$I35&lt;&gt;'Finals 4'!$K35),1,0)</f>
        <v>1</v>
      </c>
      <c r="AB87" s="12" t="str">
        <f ca="1">IF(AA87&gt;0,X87&amp;Language!$E$96&amp;Y87,"")</f>
        <v>19-25</v>
      </c>
      <c r="AD87" s="143"/>
      <c r="AE87" s="148">
        <f t="shared" ca="1" si="44"/>
        <v>1</v>
      </c>
      <c r="AF87" s="143">
        <f t="shared" ca="1" si="45"/>
        <v>1</v>
      </c>
      <c r="AG87" s="148">
        <f ca="1">IF(AA87=1,'Finals 4'!$O35,"")</f>
        <v>25</v>
      </c>
      <c r="AH87" s="12">
        <f ca="1">IF(AA87=1,'Finals 4'!$Q35,"")</f>
        <v>17</v>
      </c>
      <c r="AI87" s="143" t="str">
        <f ca="1">IF(AA87&gt;0,AE87&amp;Language!$E$96&amp;AF87,"")</f>
        <v>1-1</v>
      </c>
    </row>
    <row r="88" spans="2:35" s="2" customFormat="1" ht="13.5" thickTop="1" thickBot="1" x14ac:dyDescent="0.25">
      <c r="B88" s="3"/>
      <c r="C88" s="3"/>
      <c r="D88" s="3"/>
      <c r="E88" s="3"/>
      <c r="F88" s="12"/>
      <c r="G88" s="12"/>
      <c r="H88" s="12"/>
      <c r="I88" s="12"/>
      <c r="J88" s="12"/>
      <c r="K88" s="12"/>
      <c r="L88" s="12"/>
      <c r="M88" s="12"/>
      <c r="U88" s="684" t="s">
        <v>39</v>
      </c>
      <c r="V88" s="738" t="str">
        <f ca="1">'Finals 4'!$I36</f>
        <v>Borussia Dortmund</v>
      </c>
      <c r="W88" s="686" t="str">
        <f ca="1">'Finals 4'!$K36</f>
        <v>Inter Mailand</v>
      </c>
      <c r="X88" s="686">
        <f ca="1">IF(AA88=1,'Finals 4'!$L36,"")</f>
        <v>17</v>
      </c>
      <c r="Y88" s="739">
        <f ca="1">IF(AA88=1,'Finals 4'!$N36,"")</f>
        <v>25</v>
      </c>
      <c r="Z88" s="685" t="str">
        <f t="shared" ca="1" si="46"/>
        <v>Borussia DortmundInter Mailand</v>
      </c>
      <c r="AA88" s="686">
        <f ca="1">IF(AND('Finals 4'!$L36&lt;&gt;"",'Finals 4'!$N36&lt;&gt;"",'Finals 4'!$L36&lt;&gt;'Finals 4'!$N36,OR(AND('Finals 4'!$O36="",'Finals 4'!$Q36=""),AND('Finals 4'!$O36&lt;&gt;"",'Finals 4'!$Q36&lt;&gt;"",'Finals 4'!$N36&lt;&gt;'Finals 4'!$Q36)),'Finals 4'!$I36&lt;&gt;"",'Finals 4'!$K36&lt;&gt;"",'Finals 4'!$I36&lt;&gt;'Finals 4'!$K36),1,0)</f>
        <v>1</v>
      </c>
      <c r="AB88" s="686" t="str">
        <f ca="1">IF(AA88&gt;0,X88&amp;Language!$E$96&amp;Y88,"")</f>
        <v>17-25</v>
      </c>
      <c r="AC88" s="687"/>
      <c r="AD88" s="688"/>
      <c r="AE88" s="722">
        <f t="shared" ca="1" si="44"/>
        <v>1</v>
      </c>
      <c r="AF88" s="688">
        <f t="shared" ca="1" si="45"/>
        <v>1</v>
      </c>
      <c r="AG88" s="722">
        <f ca="1">IF(AA88=1,'Finals 4'!$O36,"")</f>
        <v>25</v>
      </c>
      <c r="AH88" s="686">
        <f ca="1">IF(AA88=1,'Finals 4'!$Q36,"")</f>
        <v>16</v>
      </c>
      <c r="AI88" s="688" t="str">
        <f ca="1">IF(AA88&gt;0,AE88&amp;Language!$E$96&amp;AF88,"")</f>
        <v>1-1</v>
      </c>
    </row>
    <row r="89" spans="2:35" s="2" customFormat="1" ht="12.75" thickTop="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FSV Rauen</v>
      </c>
      <c r="AA137" s="12">
        <f t="shared" ref="AA137:AA160" ca="1" si="47">AA65</f>
        <v>0</v>
      </c>
      <c r="AB137" s="12" t="str">
        <f ca="1">IF(AA137&gt;0,Y65&amp;Language!$E$96&amp;X65,"")</f>
        <v/>
      </c>
      <c r="AC137" s="2"/>
      <c r="AD137" s="143"/>
      <c r="AE137" s="709"/>
      <c r="AF137" s="710"/>
      <c r="AG137" s="710"/>
      <c r="AH137" s="710"/>
      <c r="AI137" s="711" t="str">
        <f ca="1">IF(AA65&gt;0,AF65&amp;Language!$E$96&amp;AE65,"")</f>
        <v/>
      </c>
    </row>
    <row r="138" spans="2:35" x14ac:dyDescent="0.2">
      <c r="Y138" s="66" t="s">
        <v>8</v>
      </c>
      <c r="Z138" s="34" t="str">
        <f t="shared" ref="Z138:Z160" ca="1" si="48">W66&amp;V66</f>
        <v>Mainz 05FC Grönlingen</v>
      </c>
      <c r="AA138" s="12">
        <f t="shared" ca="1" si="47"/>
        <v>1</v>
      </c>
      <c r="AB138" s="12" t="str">
        <f ca="1">IF(AA138&gt;0,Y66&amp;Language!$E$96&amp;X66,"")</f>
        <v>25-19</v>
      </c>
      <c r="AC138" s="2"/>
      <c r="AD138" s="143"/>
      <c r="AE138" s="709"/>
      <c r="AF138" s="710"/>
      <c r="AG138" s="710"/>
      <c r="AH138" s="710"/>
      <c r="AI138" s="711" t="str">
        <f ca="1">IF(AA66&gt;0,AF66&amp;Language!$E$96&amp;AE66,"")</f>
        <v>2-0</v>
      </c>
    </row>
    <row r="139" spans="2:35" x14ac:dyDescent="0.2">
      <c r="Y139" s="66" t="s">
        <v>9</v>
      </c>
      <c r="Z139" s="34" t="str">
        <f t="shared" ca="1" si="48"/>
        <v>Real MadridEintracht Frankfurt</v>
      </c>
      <c r="AA139" s="12">
        <f t="shared" ca="1" si="47"/>
        <v>1</v>
      </c>
      <c r="AB139" s="12" t="str">
        <f ca="1">IF(AA139&gt;0,Y67&amp;Language!$E$96&amp;X67,"")</f>
        <v>20-25</v>
      </c>
      <c r="AC139" s="2"/>
      <c r="AD139" s="143"/>
      <c r="AE139" s="709"/>
      <c r="AF139" s="710"/>
      <c r="AG139" s="710"/>
      <c r="AH139" s="710"/>
      <c r="AI139" s="711" t="str">
        <f ca="1">IF(AA67&gt;0,AF67&amp;Language!$E$96&amp;AE67,"")</f>
        <v>1-1</v>
      </c>
    </row>
    <row r="140" spans="2:35" x14ac:dyDescent="0.2">
      <c r="Y140" s="66" t="s">
        <v>10</v>
      </c>
      <c r="Z140" s="34" t="str">
        <f t="shared" ca="1" si="48"/>
        <v>SSV WildbachBorussia Dortmund</v>
      </c>
      <c r="AA140" s="12">
        <f t="shared" ca="1" si="47"/>
        <v>1</v>
      </c>
      <c r="AB140" s="12" t="str">
        <f ca="1">IF(AA140&gt;0,Y68&amp;Language!$E$96&amp;X68,"")</f>
        <v>21-25</v>
      </c>
      <c r="AC140" s="2"/>
      <c r="AD140" s="143"/>
      <c r="AE140" s="709"/>
      <c r="AF140" s="710"/>
      <c r="AG140" s="710"/>
      <c r="AH140" s="710"/>
      <c r="AI140" s="711" t="str">
        <f ca="1">IF(AA68&gt;0,AF68&amp;Language!$E$96&amp;AE68,"")</f>
        <v>0-2</v>
      </c>
    </row>
    <row r="141" spans="2:35" x14ac:dyDescent="0.2">
      <c r="Y141" s="66" t="s">
        <v>11</v>
      </c>
      <c r="Z141" s="34" t="str">
        <f t="shared" ca="1" si="48"/>
        <v>Manchester City1. FC Riedwald</v>
      </c>
      <c r="AA141" s="12">
        <f t="shared" ca="1" si="47"/>
        <v>1</v>
      </c>
      <c r="AB141" s="12" t="str">
        <f ca="1">IF(AA141&gt;0,Y69&amp;Language!$E$96&amp;X69,"")</f>
        <v>22-25</v>
      </c>
      <c r="AC141" s="2"/>
      <c r="AD141" s="143"/>
      <c r="AE141" s="709"/>
      <c r="AF141" s="710"/>
      <c r="AG141" s="710"/>
      <c r="AH141" s="710"/>
      <c r="AI141" s="711" t="str">
        <f ca="1">IF(AA69&gt;0,AF69&amp;Language!$E$96&amp;AE69,"")</f>
        <v>0-2</v>
      </c>
    </row>
    <row r="142" spans="2:35" x14ac:dyDescent="0.2">
      <c r="Y142" s="66" t="s">
        <v>16</v>
      </c>
      <c r="Z142" s="34" t="str">
        <f t="shared" ca="1" si="48"/>
        <v>Kickers RodendorfMaibach 1822 eV</v>
      </c>
      <c r="AA142" s="12">
        <f t="shared" ca="1" si="47"/>
        <v>1</v>
      </c>
      <c r="AB142" s="12" t="str">
        <f ca="1">IF(AA142&gt;0,Y70&amp;Language!$E$96&amp;X70,"")</f>
        <v>23-25</v>
      </c>
      <c r="AC142" s="2"/>
      <c r="AD142" s="143"/>
      <c r="AE142" s="709"/>
      <c r="AF142" s="710"/>
      <c r="AG142" s="710"/>
      <c r="AH142" s="710"/>
      <c r="AI142" s="711" t="str">
        <f ca="1">IF(AA70&gt;0,AF70&amp;Language!$E$96&amp;AE70,"")</f>
        <v>0-2</v>
      </c>
    </row>
    <row r="143" spans="2:35" x14ac:dyDescent="0.2">
      <c r="Y143" s="66" t="s">
        <v>17</v>
      </c>
      <c r="Z143" s="34" t="str">
        <f t="shared" ca="1" si="48"/>
        <v>VFB Essenheim1. FC Nürnberg</v>
      </c>
      <c r="AA143" s="12">
        <f t="shared" ca="1" si="47"/>
        <v>1</v>
      </c>
      <c r="AB143" s="12" t="str">
        <f ca="1">IF(AA143&gt;0,Y71&amp;Language!$E$96&amp;X71,"")</f>
        <v>17-25</v>
      </c>
      <c r="AC143" s="2"/>
      <c r="AD143" s="143"/>
      <c r="AE143" s="709"/>
      <c r="AF143" s="710"/>
      <c r="AG143" s="710"/>
      <c r="AH143" s="710"/>
      <c r="AI143" s="711" t="str">
        <f ca="1">IF(AA71&gt;0,AF71&amp;Language!$E$96&amp;AE71,"")</f>
        <v>0-2</v>
      </c>
    </row>
    <row r="144" spans="2:35" x14ac:dyDescent="0.2">
      <c r="Y144" s="66" t="s">
        <v>18</v>
      </c>
      <c r="Z144" s="34" t="str">
        <f t="shared" ca="1" si="48"/>
        <v>FC BarcelonaInter Mailand</v>
      </c>
      <c r="AA144" s="12">
        <f t="shared" ca="1" si="47"/>
        <v>1</v>
      </c>
      <c r="AB144" s="12" t="str">
        <f ca="1">IF(AA144&gt;0,Y72&amp;Language!$E$96&amp;X72,"")</f>
        <v>25-23</v>
      </c>
      <c r="AC144" s="2"/>
      <c r="AD144" s="143"/>
      <c r="AE144" s="709"/>
      <c r="AF144" s="710"/>
      <c r="AG144" s="710"/>
      <c r="AH144" s="710"/>
      <c r="AI144" s="711" t="str">
        <f ca="1">IF(AA72&gt;0,AF72&amp;Language!$E$96&amp;AE72,"")</f>
        <v>2-0</v>
      </c>
    </row>
    <row r="145" spans="25:35" x14ac:dyDescent="0.2">
      <c r="Y145" s="66" t="s">
        <v>24</v>
      </c>
      <c r="Z145" s="34" t="str">
        <f t="shared" ca="1" si="48"/>
        <v>1. FC Riedwald</v>
      </c>
      <c r="AA145" s="12">
        <f t="shared" ca="1" si="47"/>
        <v>0</v>
      </c>
      <c r="AB145" s="12" t="str">
        <f ca="1">IF(AA145&gt;0,Y73&amp;Language!$E$96&amp;X73,"")</f>
        <v/>
      </c>
      <c r="AC145" s="2"/>
      <c r="AD145" s="143"/>
      <c r="AE145" s="709"/>
      <c r="AF145" s="710"/>
      <c r="AG145" s="710"/>
      <c r="AH145" s="710"/>
      <c r="AI145" s="711" t="str">
        <f ca="1">IF(AA73&gt;0,AF73&amp;Language!$E$96&amp;AE73,"")</f>
        <v/>
      </c>
    </row>
    <row r="146" spans="25:35" x14ac:dyDescent="0.2">
      <c r="Y146" s="66" t="s">
        <v>25</v>
      </c>
      <c r="Z146" s="34" t="str">
        <f t="shared" ca="1" si="48"/>
        <v>Maibach 1822 eVMainz 05</v>
      </c>
      <c r="AA146" s="12">
        <f t="shared" ca="1" si="47"/>
        <v>1</v>
      </c>
      <c r="AB146" s="12" t="str">
        <f ca="1">IF(AA146&gt;0,Y74&amp;Language!$E$96&amp;X74,"")</f>
        <v>25-16</v>
      </c>
      <c r="AC146" s="2"/>
      <c r="AD146" s="143"/>
      <c r="AE146" s="709"/>
      <c r="AF146" s="710"/>
      <c r="AG146" s="710"/>
      <c r="AH146" s="710"/>
      <c r="AI146" s="711" t="str">
        <f ca="1">IF(AA74&gt;0,AF74&amp;Language!$E$96&amp;AE74,"")</f>
        <v>1-1</v>
      </c>
    </row>
    <row r="147" spans="25:35" x14ac:dyDescent="0.2">
      <c r="Y147" s="66" t="s">
        <v>26</v>
      </c>
      <c r="Z147" s="34" t="str">
        <f t="shared" ca="1" si="48"/>
        <v>1. FC NürnbergReal Madrid</v>
      </c>
      <c r="AA147" s="12">
        <f t="shared" ca="1" si="47"/>
        <v>1</v>
      </c>
      <c r="AB147" s="12" t="str">
        <f ca="1">IF(AA147&gt;0,Y75&amp;Language!$E$96&amp;X75,"")</f>
        <v>25-14</v>
      </c>
      <c r="AC147" s="2"/>
      <c r="AD147" s="143"/>
      <c r="AE147" s="709"/>
      <c r="AF147" s="710"/>
      <c r="AG147" s="710"/>
      <c r="AH147" s="710"/>
      <c r="AI147" s="711" t="str">
        <f ca="1">IF(AA75&gt;0,AF75&amp;Language!$E$96&amp;AE75,"")</f>
        <v>1-1</v>
      </c>
    </row>
    <row r="148" spans="25:35" x14ac:dyDescent="0.2">
      <c r="Y148" s="66" t="s">
        <v>27</v>
      </c>
      <c r="Z148" s="34" t="str">
        <f t="shared" ca="1" si="48"/>
        <v>Inter MailandSSV Wildbach</v>
      </c>
      <c r="AA148" s="12">
        <f t="shared" ca="1" si="47"/>
        <v>1</v>
      </c>
      <c r="AB148" s="12" t="str">
        <f ca="1">IF(AA148&gt;0,Y76&amp;Language!$E$96&amp;X76,"")</f>
        <v>25-22</v>
      </c>
      <c r="AC148" s="2"/>
      <c r="AD148" s="143"/>
      <c r="AE148" s="709"/>
      <c r="AF148" s="710"/>
      <c r="AG148" s="710"/>
      <c r="AH148" s="710"/>
      <c r="AI148" s="711" t="str">
        <f ca="1">IF(AA76&gt;0,AF76&amp;Language!$E$96&amp;AE76,"")</f>
        <v>1-1</v>
      </c>
    </row>
    <row r="149" spans="25:35" x14ac:dyDescent="0.2">
      <c r="Y149" s="66" t="s">
        <v>28</v>
      </c>
      <c r="Z149" s="34" t="str">
        <f t="shared" ca="1" si="48"/>
        <v>FSV RauenManchester City</v>
      </c>
      <c r="AA149" s="12">
        <f t="shared" ca="1" si="47"/>
        <v>1</v>
      </c>
      <c r="AB149" s="12" t="str">
        <f ca="1">IF(AA149&gt;0,Y77&amp;Language!$E$96&amp;X77,"")</f>
        <v>25-19</v>
      </c>
      <c r="AC149" s="2"/>
      <c r="AD149" s="143"/>
      <c r="AE149" s="709"/>
      <c r="AF149" s="710"/>
      <c r="AG149" s="710"/>
      <c r="AH149" s="710"/>
      <c r="AI149" s="711" t="str">
        <f ca="1">IF(AA77&gt;0,AF77&amp;Language!$E$96&amp;AE77,"")</f>
        <v>1-1</v>
      </c>
    </row>
    <row r="150" spans="25:35" x14ac:dyDescent="0.2">
      <c r="Y150" s="66" t="s">
        <v>29</v>
      </c>
      <c r="Z150" s="34" t="str">
        <f t="shared" ca="1" si="48"/>
        <v>FC GrönlingenKickers Rodendorf</v>
      </c>
      <c r="AA150" s="12">
        <f t="shared" ca="1" si="47"/>
        <v>1</v>
      </c>
      <c r="AB150" s="12" t="str">
        <f ca="1">IF(AA150&gt;0,Y78&amp;Language!$E$96&amp;X78,"")</f>
        <v>25-17</v>
      </c>
      <c r="AC150" s="2"/>
      <c r="AD150" s="143"/>
      <c r="AE150" s="709"/>
      <c r="AF150" s="710"/>
      <c r="AG150" s="710"/>
      <c r="AH150" s="710"/>
      <c r="AI150" s="711" t="str">
        <f ca="1">IF(AA78&gt;0,AF78&amp;Language!$E$96&amp;AE78,"")</f>
        <v>2-0</v>
      </c>
    </row>
    <row r="151" spans="25:35" x14ac:dyDescent="0.2">
      <c r="Y151" s="66" t="s">
        <v>30</v>
      </c>
      <c r="Z151" s="34" t="str">
        <f t="shared" ca="1" si="48"/>
        <v>Eintracht FrankfurtVFB Essenheim</v>
      </c>
      <c r="AA151" s="12">
        <f t="shared" ca="1" si="47"/>
        <v>1</v>
      </c>
      <c r="AB151" s="12" t="str">
        <f ca="1">IF(AA151&gt;0,Y79&amp;Language!$E$96&amp;X79,"")</f>
        <v>25-14</v>
      </c>
      <c r="AC151" s="2"/>
      <c r="AD151" s="143"/>
      <c r="AE151" s="709"/>
      <c r="AF151" s="710"/>
      <c r="AG151" s="710"/>
      <c r="AH151" s="710"/>
      <c r="AI151" s="711" t="str">
        <f ca="1">IF(AA79&gt;0,AF79&amp;Language!$E$96&amp;AE79,"")</f>
        <v>1-1</v>
      </c>
    </row>
    <row r="152" spans="25:35" x14ac:dyDescent="0.2">
      <c r="Y152" s="66" t="s">
        <v>31</v>
      </c>
      <c r="Z152" s="34" t="str">
        <f t="shared" ca="1" si="48"/>
        <v>Borussia DortmundFC Barcelona</v>
      </c>
      <c r="AA152" s="12">
        <f t="shared" ca="1" si="47"/>
        <v>1</v>
      </c>
      <c r="AB152" s="12" t="str">
        <f ca="1">IF(AA152&gt;0,Y80&amp;Language!$E$96&amp;X80,"")</f>
        <v>25-21</v>
      </c>
      <c r="AC152" s="2"/>
      <c r="AD152" s="143"/>
      <c r="AE152" s="709"/>
      <c r="AF152" s="710"/>
      <c r="AG152" s="710"/>
      <c r="AH152" s="710"/>
      <c r="AI152" s="711" t="str">
        <f ca="1">IF(AA80&gt;0,AF80&amp;Language!$E$96&amp;AE80,"")</f>
        <v>1-1</v>
      </c>
    </row>
    <row r="153" spans="25:35" x14ac:dyDescent="0.2">
      <c r="Y153" s="66" t="s">
        <v>32</v>
      </c>
      <c r="Z153" s="34" t="str">
        <f t="shared" ca="1" si="48"/>
        <v>Manchester City</v>
      </c>
      <c r="AA153" s="12">
        <f t="shared" ca="1" si="47"/>
        <v>0</v>
      </c>
      <c r="AB153" s="12" t="str">
        <f ca="1">IF(AA153&gt;0,Y81&amp;Language!$E$96&amp;X81,"")</f>
        <v/>
      </c>
      <c r="AC153" s="2"/>
      <c r="AD153" s="143"/>
      <c r="AE153" s="709"/>
      <c r="AF153" s="710"/>
      <c r="AG153" s="710"/>
      <c r="AH153" s="710"/>
      <c r="AI153" s="711" t="str">
        <f ca="1">IF(AA81&gt;0,AF81&amp;Language!$E$96&amp;AE81,"")</f>
        <v/>
      </c>
    </row>
    <row r="154" spans="25:35" x14ac:dyDescent="0.2">
      <c r="Y154" s="66" t="s">
        <v>33</v>
      </c>
      <c r="Z154" s="34" t="str">
        <f t="shared" ca="1" si="48"/>
        <v>Kickers RodendorfMainz 05</v>
      </c>
      <c r="AA154" s="12">
        <f t="shared" ca="1" si="47"/>
        <v>1</v>
      </c>
      <c r="AB154" s="12" t="str">
        <f ca="1">IF(AA154&gt;0,Y82&amp;Language!$E$96&amp;X82,"")</f>
        <v>20-25</v>
      </c>
      <c r="AC154" s="2"/>
      <c r="AD154" s="143"/>
      <c r="AE154" s="709"/>
      <c r="AF154" s="710"/>
      <c r="AG154" s="710"/>
      <c r="AH154" s="710"/>
      <c r="AI154" s="711" t="str">
        <f ca="1">IF(AA82&gt;0,AF82&amp;Language!$E$96&amp;AE82,"")</f>
        <v>0-2</v>
      </c>
    </row>
    <row r="155" spans="25:35" x14ac:dyDescent="0.2">
      <c r="Y155" s="66" t="s">
        <v>34</v>
      </c>
      <c r="Z155" s="34" t="str">
        <f t="shared" ca="1" si="48"/>
        <v>VFB EssenheimReal Madrid</v>
      </c>
      <c r="AA155" s="12">
        <f t="shared" ca="1" si="47"/>
        <v>1</v>
      </c>
      <c r="AB155" s="12" t="str">
        <f ca="1">IF(AA155&gt;0,Y83&amp;Language!$E$96&amp;X83,"")</f>
        <v>2-25</v>
      </c>
      <c r="AC155" s="2"/>
      <c r="AD155" s="143"/>
      <c r="AE155" s="709"/>
      <c r="AF155" s="710"/>
      <c r="AG155" s="710"/>
      <c r="AH155" s="710"/>
      <c r="AI155" s="711" t="str">
        <f ca="1">IF(AA83&gt;0,AF83&amp;Language!$E$96&amp;AE83,"")</f>
        <v>0-2</v>
      </c>
    </row>
    <row r="156" spans="25:35" x14ac:dyDescent="0.2">
      <c r="Y156" s="66" t="s">
        <v>35</v>
      </c>
      <c r="Z156" s="34" t="str">
        <f t="shared" ca="1" si="48"/>
        <v>FC BarcelonaSSV Wildbach</v>
      </c>
      <c r="AA156" s="12">
        <f t="shared" ca="1" si="47"/>
        <v>1</v>
      </c>
      <c r="AB156" s="12" t="str">
        <f ca="1">IF(AA156&gt;0,Y84&amp;Language!$E$96&amp;X84,"")</f>
        <v>16-25</v>
      </c>
      <c r="AC156" s="2"/>
      <c r="AD156" s="143"/>
      <c r="AE156" s="709"/>
      <c r="AF156" s="710"/>
      <c r="AG156" s="710"/>
      <c r="AH156" s="710"/>
      <c r="AI156" s="711" t="str">
        <f ca="1">IF(AA84&gt;0,AF84&amp;Language!$E$96&amp;AE84,"")</f>
        <v>0-2</v>
      </c>
    </row>
    <row r="157" spans="25:35" x14ac:dyDescent="0.2">
      <c r="Y157" s="66" t="s">
        <v>36</v>
      </c>
      <c r="Z157" s="34" t="str">
        <f t="shared" ca="1" si="48"/>
        <v>1. FC RiedwaldFSV Rauen</v>
      </c>
      <c r="AA157" s="12">
        <f t="shared" ca="1" si="47"/>
        <v>1</v>
      </c>
      <c r="AB157" s="12" t="str">
        <f ca="1">IF(AA157&gt;0,Y85&amp;Language!$E$96&amp;X85,"")</f>
        <v>2-25</v>
      </c>
      <c r="AC157" s="2"/>
      <c r="AD157" s="143"/>
      <c r="AE157" s="709"/>
      <c r="AF157" s="710"/>
      <c r="AG157" s="710"/>
      <c r="AH157" s="710"/>
      <c r="AI157" s="711" t="str">
        <f ca="1">IF(AA85&gt;0,AF85&amp;Language!$E$96&amp;AE85,"")</f>
        <v>0-2</v>
      </c>
    </row>
    <row r="158" spans="25:35" x14ac:dyDescent="0.2">
      <c r="Y158" s="66" t="s">
        <v>37</v>
      </c>
      <c r="Z158" s="34" t="str">
        <f t="shared" ca="1" si="48"/>
        <v>Maibach 1822 eVFC Grönlingen</v>
      </c>
      <c r="AA158" s="12">
        <f t="shared" ca="1" si="47"/>
        <v>1</v>
      </c>
      <c r="AB158" s="12" t="str">
        <f ca="1">IF(AA158&gt;0,Y86&amp;Language!$E$96&amp;X86,"")</f>
        <v>25-13</v>
      </c>
      <c r="AC158" s="2"/>
      <c r="AD158" s="143"/>
      <c r="AE158" s="709"/>
      <c r="AF158" s="710"/>
      <c r="AG158" s="710"/>
      <c r="AH158" s="710"/>
      <c r="AI158" s="711" t="str">
        <f ca="1">IF(AA86&gt;0,AF86&amp;Language!$E$96&amp;AE86,"")</f>
        <v>1-1</v>
      </c>
    </row>
    <row r="159" spans="25:35" x14ac:dyDescent="0.2">
      <c r="Y159" s="66" t="s">
        <v>38</v>
      </c>
      <c r="Z159" s="34" t="str">
        <f t="shared" ca="1" si="48"/>
        <v>1. FC NürnbergEintracht Frankfurt</v>
      </c>
      <c r="AA159" s="12">
        <f t="shared" ca="1" si="47"/>
        <v>1</v>
      </c>
      <c r="AB159" s="12" t="str">
        <f ca="1">IF(AA159&gt;0,Y87&amp;Language!$E$96&amp;X87,"")</f>
        <v>25-19</v>
      </c>
      <c r="AC159" s="2"/>
      <c r="AD159" s="143"/>
      <c r="AE159" s="709"/>
      <c r="AF159" s="710"/>
      <c r="AG159" s="710"/>
      <c r="AH159" s="710"/>
      <c r="AI159" s="711" t="str">
        <f ca="1">IF(AA87&gt;0,AF87&amp;Language!$E$96&amp;AE87,"")</f>
        <v>1-1</v>
      </c>
    </row>
    <row r="160" spans="25:35" ht="12.75" thickBot="1" x14ac:dyDescent="0.25">
      <c r="Y160" s="684" t="s">
        <v>39</v>
      </c>
      <c r="Z160" s="685" t="str">
        <f t="shared" ca="1" si="48"/>
        <v>Inter MailandBorussia Dortmund</v>
      </c>
      <c r="AA160" s="686">
        <f t="shared" ca="1" si="47"/>
        <v>1</v>
      </c>
      <c r="AB160" s="686" t="str">
        <f ca="1">IF(AA160&gt;0,Y88&amp;Language!$E$96&amp;X88,"")</f>
        <v>25-17</v>
      </c>
      <c r="AC160" s="687"/>
      <c r="AD160" s="688"/>
      <c r="AE160" s="705"/>
      <c r="AF160" s="706"/>
      <c r="AG160" s="706"/>
      <c r="AH160" s="706"/>
      <c r="AI160" s="712" t="str">
        <f ca="1">IF(AA88&gt;0,AF88&amp;Language!$E$96&amp;AE88,"")</f>
        <v>1-1</v>
      </c>
    </row>
    <row r="161" spans="25:35" ht="12.75" thickTop="1"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1.004</v>
      </c>
      <c r="E4" s="266">
        <f ca="1">IF($AI$15,RANK(AH17,AH$17:AH$25,1),RANK(X17,X$17:X$25,1))</f>
        <v>1</v>
      </c>
      <c r="F4" s="1" t="str">
        <f ca="1">$Q64</f>
        <v>FSV Rauen</v>
      </c>
      <c r="G4" s="1">
        <f ca="1">SUMIFS($X$64:$X$135,$V$64:$V$135,$F4)+SUMIFS($Y$64:$Y$135,$W$64:$W$135,$F4)+SUMIFS($AG$64:$AG$135,$V$64:$V$135,$F4)+SUMIFS($AH$64:$AH$135,$W$64:$W$135,$F4)</f>
        <v>96</v>
      </c>
      <c r="H4" s="1">
        <f ca="1">SUMIFS($Y$64:$Y$135,$V$64:$V$135,$F4)+SUMIFS($X$64:$X$135,$W$64:$W$135,$F4)+SUMIFS($AH$64:$AH$135,$V$64:$V$135,$F4)+SUMIFS($AG$64:$AG$135,$W$64:$W$135,$F4)</f>
        <v>68</v>
      </c>
      <c r="I4" s="12">
        <f ca="1">IF(Settings!$G$7,G4-H4,IF(H4=0,IF(G4=0,0,Settings!$F$7),G4/H4))</f>
        <v>28</v>
      </c>
      <c r="J4" s="1">
        <f ca="1">SUMPRODUCT(($V$64:$V$135=F4)*$AE$64:$AE$135*$AA$64:$AA$135)+SUMPRODUCT(($W$64:$W$135=F4)*$AF$64:$AF$135*$AA$64:$AA$135)</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28</v>
      </c>
    </row>
    <row r="5" spans="1:44" s="2" customFormat="1" x14ac:dyDescent="0.2">
      <c r="A5" s="254"/>
      <c r="B5" s="1">
        <v>2</v>
      </c>
      <c r="C5" s="21">
        <f t="shared" ref="C5:C12" ca="1" si="0">RANK(D5,$D$4:$D$12,1)</f>
        <v>2</v>
      </c>
      <c r="D5" s="12">
        <f t="shared" ref="D5:D12" ca="1" si="1">E5+ROW()/1000+(F5="")*10</f>
        <v>2.0049999999999999</v>
      </c>
      <c r="E5" s="266">
        <f t="shared" ref="E5:E12" ca="1" si="2">IF($AI$15,RANK(AH18,AH$17:AH$25,1),RANK(X18,X$17:X$25,1))</f>
        <v>2</v>
      </c>
      <c r="F5" s="1" t="str">
        <f t="shared" ref="F5:F12" ca="1" si="3">$Q65</f>
        <v>1. FC Riedwald</v>
      </c>
      <c r="G5" s="1">
        <f t="shared" ref="G5:G12" ca="1" si="4">SUMIFS($X$64:$X$135,$V$64:$V$135,$F5)+SUMIFS($Y$64:$Y$135,$W$64:$W$135,$F5)+SUMIFS($AG$64:$AG$135,$V$64:$V$135,$F5)+SUMIFS($AH$64:$AH$135,$W$64:$W$135,$F5)</f>
        <v>74</v>
      </c>
      <c r="H5" s="1">
        <f t="shared" ref="H5:H12" ca="1" si="5">SUMIFS($Y$64:$Y$135,$V$64:$V$135,$F5)+SUMIFS($X$64:$X$135,$W$64:$W$135,$F5)+SUMIFS($AH$64:$AH$135,$V$64:$V$135,$F5)+SUMIFS($AG$64:$AG$135,$W$64:$W$135,$F5)</f>
        <v>92</v>
      </c>
      <c r="I5" s="12">
        <f ca="1">IF(Settings!$G$7,G5-H5,IF(H5=0,IF(G5=0,0,Settings!$F$7),G5/H5))</f>
        <v>-18</v>
      </c>
      <c r="J5" s="1">
        <f t="shared" ref="J5:J12" ca="1" si="6">SUMPRODUCT(($V$64:$V$135=F5)*$AE$64:$AE$135*$AA$64:$AA$135)+SUMPRODUCT(($W$64:$W$135=F5)*$AF$64:$AF$135*$AA$64:$AA$135)</f>
        <v>2</v>
      </c>
      <c r="K5" s="1">
        <f t="shared" ref="K5:K12" ca="1" si="7">SUMPRODUCT(($V$64:$V$135=F5)*$AA$64:$AA$135)+SUMPRODUCT(($W$64:$W$135=F5)*$AA$64:$AA$135)</f>
        <v>2</v>
      </c>
      <c r="L5" s="1">
        <f t="shared" ref="L5:L12" ca="1" si="8">K5-M5-N5</f>
        <v>1</v>
      </c>
      <c r="M5" s="1">
        <f t="shared" ref="M5:M12" ca="1" si="9">SUMPRODUCT(($V$64:$W$135=F5)*($AE$64:$AE$135=$AF$64:$AF$135)*$AA$64:$AA$135)</f>
        <v>0</v>
      </c>
      <c r="N5" s="1">
        <f t="shared" ref="N5:N12" ca="1" si="10">SUMPRODUCT(($V$64:$V$135=F5)*($AE$64:$AE$135&lt;$AF$64:$AF$135)*$AA$64:$AA$135)+SUMPRODUCT(($W$64:$W$135=F5)*($AE$64:$AE$135&gt;$AF$64:$AF$135)*$AA$64:$AA$135)</f>
        <v>1</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-18</v>
      </c>
    </row>
    <row r="6" spans="1:44" s="2" customFormat="1" x14ac:dyDescent="0.2">
      <c r="A6" s="254"/>
      <c r="B6" s="1">
        <v>3</v>
      </c>
      <c r="C6" s="21">
        <f t="shared" ca="1" si="0"/>
        <v>3</v>
      </c>
      <c r="D6" s="12">
        <f t="shared" ca="1" si="1"/>
        <v>3.0059999999999998</v>
      </c>
      <c r="E6" s="266">
        <f t="shared" ca="1" si="2"/>
        <v>3</v>
      </c>
      <c r="F6" s="1" t="str">
        <f t="shared" ca="1" si="3"/>
        <v>Manchester City</v>
      </c>
      <c r="G6" s="1">
        <f t="shared" ca="1" si="4"/>
        <v>86</v>
      </c>
      <c r="H6" s="1">
        <f t="shared" ca="1" si="5"/>
        <v>96</v>
      </c>
      <c r="I6" s="12">
        <f ca="1">IF(Settings!$G$7,G6-H6,IF(H6=0,IF(G6=0,0,Settings!$F$7),G6/H6))</f>
        <v>-10</v>
      </c>
      <c r="J6" s="1">
        <f t="shared" ca="1" si="6"/>
        <v>1</v>
      </c>
      <c r="K6" s="1">
        <f t="shared" ca="1" si="7"/>
        <v>2</v>
      </c>
      <c r="L6" s="1">
        <f t="shared" ca="1" si="8"/>
        <v>0</v>
      </c>
      <c r="M6" s="1">
        <f t="shared" ca="1" si="9"/>
        <v>1</v>
      </c>
      <c r="N6" s="1">
        <f t="shared" ca="1" si="10"/>
        <v>1</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-10</v>
      </c>
    </row>
    <row r="7" spans="1:44" s="2" customFormat="1" x14ac:dyDescent="0.2">
      <c r="A7" s="254"/>
      <c r="B7" s="1">
        <v>4</v>
      </c>
      <c r="C7" s="21">
        <f t="shared" ca="1" si="0"/>
        <v>4</v>
      </c>
      <c r="D7" s="12">
        <f t="shared" ca="1" si="1"/>
        <v>14.007</v>
      </c>
      <c r="E7" s="266">
        <f t="shared" ca="1" si="2"/>
        <v>4</v>
      </c>
      <c r="F7" s="1" t="str">
        <f t="shared" ca="1"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14.007999999999999</v>
      </c>
      <c r="E8" s="266">
        <f t="shared" ca="1" si="2"/>
        <v>4</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14.009</v>
      </c>
      <c r="E9" s="266">
        <f t="shared" ca="1" si="2"/>
        <v>4</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14.01</v>
      </c>
      <c r="E10" s="266">
        <f t="shared" ca="1" si="2"/>
        <v>4</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14.010999999999999</v>
      </c>
      <c r="E11" s="266">
        <f t="shared" ca="1" si="2"/>
        <v>4</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14.012</v>
      </c>
      <c r="E12" s="266">
        <f t="shared" ca="1" si="2"/>
        <v>4</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6</v>
      </c>
      <c r="C13" s="12"/>
      <c r="D13" s="12"/>
      <c r="E13" s="12"/>
      <c r="F13" s="12">
        <f ca="1">9-COUNTBLANK($F$4:$F$12)</f>
        <v>3</v>
      </c>
      <c r="G13" s="12"/>
      <c r="H13" s="12"/>
      <c r="I13" s="12"/>
      <c r="J13" s="12"/>
      <c r="K13" s="27">
        <f ca="1">QUOTIENT(SUM(K4:K12),2)</f>
        <v>3</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FSV Rauen</v>
      </c>
      <c r="D17" s="1">
        <f t="shared" ref="D17:G25" ca="1" si="11">K4</f>
        <v>2</v>
      </c>
      <c r="E17" s="1">
        <f t="shared" ca="1" si="11"/>
        <v>1</v>
      </c>
      <c r="F17" s="1">
        <f t="shared" ca="1" si="11"/>
        <v>1</v>
      </c>
      <c r="G17" s="1">
        <f t="shared" ca="1" si="11"/>
        <v>0</v>
      </c>
      <c r="H17" s="1">
        <f t="shared" ref="H17:K25" ca="1" si="12">G4</f>
        <v>96</v>
      </c>
      <c r="I17" s="1">
        <f t="shared" ca="1" si="12"/>
        <v>68</v>
      </c>
      <c r="J17" s="12">
        <f t="shared" ca="1" si="12"/>
        <v>28</v>
      </c>
      <c r="K17" s="1">
        <f t="shared" ca="1" si="12"/>
        <v>3</v>
      </c>
      <c r="L17" s="29">
        <f ca="1">IF($C17="",0,K17*$F$64+(J17+$H$65)*$F$65)</f>
        <v>3528000</v>
      </c>
      <c r="M17" s="13">
        <f ca="1">IF($AI$15,COUNTIF($K$17:$K$25,K17),COUNTIF($L$17:$L$25,L17))</f>
        <v>1</v>
      </c>
      <c r="N17" s="13">
        <f t="array" aca="1" ref="N17" ca="1">IF($AI$15,SUM(($K$17:$K$25&gt;=K17)/COUNTIF($K$17:$K$25,$K$17:$K$25)),SUM(($L$17:$L$25&gt;=L17)/COUNTIF($L$17:$L$25,$L$17:$L$25)))</f>
        <v>1</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IF($C17="",0,AA17*$F$64+(AB17+$H$65)*$F$65)</f>
        <v>500000</v>
      </c>
      <c r="X17" s="20">
        <f ca="1">RANK($L17,$L$17:$L$25)+RANK($W17,$W$17:$W$25)/100+(9-$Y17)/10000</f>
        <v>1.0108999999999999</v>
      </c>
      <c r="Y17" s="12">
        <f ca="1">'Finals 4'!$AI36</f>
        <v>0</v>
      </c>
      <c r="Z17" s="1">
        <f ca="1">RANK($W17,$W$17:$W$25)+(9-$Y17)/10</f>
        <v>1.9</v>
      </c>
      <c r="AA17" s="1">
        <f ca="1">SUM(E30:BP30)</f>
        <v>0</v>
      </c>
      <c r="AB17" s="1">
        <f ca="1">SUM(E41:BP41)</f>
        <v>0</v>
      </c>
      <c r="AC17" s="1"/>
      <c r="AD17" s="260">
        <f ca="1">RANK($K17,$K$17:$K$25)</f>
        <v>1</v>
      </c>
      <c r="AE17" s="29">
        <f ca="1">(J17+$H$65)*$F$65</f>
        <v>528000</v>
      </c>
      <c r="AF17" s="1">
        <f ca="1">RANK($AE17,$AE$17:$AE$25)</f>
        <v>1</v>
      </c>
      <c r="AG17" s="1">
        <f ca="1">RANK($W17,$W$17:$W$25)</f>
        <v>1</v>
      </c>
      <c r="AH17" s="262">
        <f ca="1">AD17+AG17/100+AF17/10000+(10-Y17)/1000000</f>
        <v>1.0101100000000001</v>
      </c>
      <c r="AI17" s="1"/>
    </row>
    <row r="18" spans="2:80" s="2" customFormat="1" x14ac:dyDescent="0.2">
      <c r="C18" s="2" t="str">
        <f t="shared" ref="C18:C25" ca="1" si="21">$Q65</f>
        <v>1. FC Riedwald</v>
      </c>
      <c r="D18" s="1">
        <f t="shared" ca="1" si="11"/>
        <v>2</v>
      </c>
      <c r="E18" s="1">
        <f t="shared" ca="1" si="11"/>
        <v>1</v>
      </c>
      <c r="F18" s="1">
        <f t="shared" ca="1" si="11"/>
        <v>0</v>
      </c>
      <c r="G18" s="1">
        <f t="shared" ca="1" si="11"/>
        <v>1</v>
      </c>
      <c r="H18" s="1">
        <f t="shared" ca="1" si="12"/>
        <v>74</v>
      </c>
      <c r="I18" s="1">
        <f t="shared" ca="1" si="12"/>
        <v>92</v>
      </c>
      <c r="J18" s="12">
        <f t="shared" ca="1" si="12"/>
        <v>-18</v>
      </c>
      <c r="K18" s="1">
        <f t="shared" ca="1" si="12"/>
        <v>2</v>
      </c>
      <c r="L18" s="29">
        <f t="shared" ref="L18:L25" ca="1" si="22">IF($C18="",0,K18*$F$64+(J18+$H$65)*$F$65)</f>
        <v>2482000</v>
      </c>
      <c r="M18" s="13">
        <f t="shared" ref="M18:M25" ca="1" si="23">IF($AI$15,COUNTIF($K$17:$K$25,K18),COUNTIF($L$17:$L$25,L18))</f>
        <v>1</v>
      </c>
      <c r="N18" s="13">
        <f t="array" aca="1" ref="N18" ca="1">IF($AI$15,SUM(($K$17:$K$25&gt;=K18)/COUNTIF($K$17:$K$25,$K$17:$K$25)),SUM(($L$17:$L$25&gt;=L18)/COUNTIF($L$17:$L$25,$L$17:$L$25)))</f>
        <v>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IF($C18="",0,AA18*$F$64+(AB18+$H$65)*$F$65)</f>
        <v>500000</v>
      </c>
      <c r="X18" s="21">
        <f t="shared" ref="X18:X25" ca="1" si="25">RANK($L18,$L$17:$L$25)+RANK($W18,$W$17:$W$25)/100+(9-$Y18)/10000</f>
        <v>2.0108999999999999</v>
      </c>
      <c r="Y18" s="12">
        <f ca="1">'Finals 4'!$AI37</f>
        <v>0</v>
      </c>
      <c r="Z18" s="1">
        <f t="shared" ref="Z18:Z25" ca="1" si="26">RANK($W18,$W$17:$W$25)+(9-$Y18)/10</f>
        <v>1.9</v>
      </c>
      <c r="AA18" s="1">
        <f t="shared" ref="AA18:AA25" ca="1" si="27">SUM(E31:BP31)</f>
        <v>0</v>
      </c>
      <c r="AB18" s="1">
        <f t="shared" ref="AB18:AB25" ca="1" si="28">SUM(E42:BP42)</f>
        <v>0</v>
      </c>
      <c r="AC18" s="1"/>
      <c r="AD18" s="260">
        <f t="shared" ref="AD18:AD25" ca="1" si="29">RANK($K18,$K$17:$K$25)</f>
        <v>2</v>
      </c>
      <c r="AE18" s="29">
        <f t="shared" ref="AE18:AE25" ca="1" si="30">(J18+$H$65)*$F$65</f>
        <v>482000</v>
      </c>
      <c r="AF18" s="1">
        <f t="shared" ref="AF18:AF25" ca="1" si="31">RANK($AE18,$AE$17:$AE$25)</f>
        <v>9</v>
      </c>
      <c r="AG18" s="1">
        <f t="shared" ref="AG18:AG25" ca="1" si="32">RANK($W18,$W$17:$W$25)</f>
        <v>1</v>
      </c>
      <c r="AH18" s="263">
        <f t="shared" ref="AH18:AH25" ca="1" si="33">AD18+AG18/100+AF18/10000+(10-Y18)/1000000</f>
        <v>2.01091</v>
      </c>
      <c r="AI18" s="1"/>
    </row>
    <row r="19" spans="2:80" s="2" customFormat="1" x14ac:dyDescent="0.2">
      <c r="C19" s="2" t="str">
        <f t="shared" ca="1" si="21"/>
        <v>Manchester City</v>
      </c>
      <c r="D19" s="1">
        <f t="shared" ca="1" si="11"/>
        <v>2</v>
      </c>
      <c r="E19" s="1">
        <f t="shared" ca="1" si="11"/>
        <v>0</v>
      </c>
      <c r="F19" s="1">
        <f t="shared" ca="1" si="11"/>
        <v>1</v>
      </c>
      <c r="G19" s="1">
        <f t="shared" ca="1" si="11"/>
        <v>1</v>
      </c>
      <c r="H19" s="1">
        <f t="shared" ca="1" si="12"/>
        <v>86</v>
      </c>
      <c r="I19" s="1">
        <f t="shared" ca="1" si="12"/>
        <v>96</v>
      </c>
      <c r="J19" s="12">
        <f t="shared" ca="1" si="12"/>
        <v>-10</v>
      </c>
      <c r="K19" s="1">
        <f t="shared" ca="1" si="12"/>
        <v>1</v>
      </c>
      <c r="L19" s="29">
        <f t="shared" ca="1" si="22"/>
        <v>1490000</v>
      </c>
      <c r="M19" s="13">
        <f t="shared" ca="1" si="23"/>
        <v>1</v>
      </c>
      <c r="N19" s="13">
        <f t="array" aca="1" ref="N19" ca="1">IF($AI$15,SUM(($K$17:$K$25&gt;=K19)/COUNTIF($K$17:$K$25,$K$17:$K$25)),SUM(($L$17:$L$25&gt;=L19)/COUNTIF($L$17:$L$25,$L$17:$L$25)))</f>
        <v>3</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ca="1" si="24"/>
        <v>500000</v>
      </c>
      <c r="X19" s="21">
        <f t="shared" ca="1" si="25"/>
        <v>3.0108999999999999</v>
      </c>
      <c r="Y19" s="12">
        <f ca="1">'Finals 4'!$AI38</f>
        <v>0</v>
      </c>
      <c r="Z19" s="1">
        <f t="shared" ca="1" si="26"/>
        <v>1.9</v>
      </c>
      <c r="AA19" s="1">
        <f t="shared" ca="1" si="27"/>
        <v>0</v>
      </c>
      <c r="AB19" s="1">
        <f t="shared" ca="1" si="28"/>
        <v>0</v>
      </c>
      <c r="AC19" s="1"/>
      <c r="AD19" s="260">
        <f t="shared" ca="1" si="29"/>
        <v>3</v>
      </c>
      <c r="AE19" s="29">
        <f t="shared" ca="1" si="30"/>
        <v>490000</v>
      </c>
      <c r="AF19" s="1">
        <f t="shared" ca="1" si="31"/>
        <v>8</v>
      </c>
      <c r="AG19" s="1">
        <f t="shared" ca="1" si="32"/>
        <v>1</v>
      </c>
      <c r="AH19" s="263">
        <f t="shared" ca="1" si="33"/>
        <v>3.0108099999999998</v>
      </c>
      <c r="AI19" s="1"/>
    </row>
    <row r="20" spans="2:80" s="2" customFormat="1" x14ac:dyDescent="0.2">
      <c r="C20" s="2" t="str">
        <f t="shared" ca="1"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ca="1" si="22"/>
        <v>0</v>
      </c>
      <c r="M20" s="13">
        <f t="shared" ca="1" si="23"/>
        <v>6</v>
      </c>
      <c r="N20" s="13">
        <f t="array" aca="1" ref="N20" ca="1">IF($AI$15,SUM(($K$17:$K$25&gt;=K20)/COUNTIF($K$17:$K$25,$K$17:$K$25)),SUM(($L$17:$L$25&gt;=L20)/COUNTIF($L$17:$L$25,$L$17:$L$25)))</f>
        <v>3.9999999999999991</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ca="1" si="24"/>
        <v>0</v>
      </c>
      <c r="X20" s="21">
        <f t="shared" ca="1" si="25"/>
        <v>4.0408999999999997</v>
      </c>
      <c r="Y20" s="12">
        <f ca="1">'Finals 4'!$AI39</f>
        <v>0</v>
      </c>
      <c r="Z20" s="1">
        <f t="shared" ca="1" si="26"/>
        <v>4.9000000000000004</v>
      </c>
      <c r="AA20" s="1">
        <f t="shared" ca="1" si="27"/>
        <v>0</v>
      </c>
      <c r="AB20" s="1">
        <f t="shared" ca="1" si="28"/>
        <v>0</v>
      </c>
      <c r="AC20" s="1"/>
      <c r="AD20" s="260">
        <f t="shared" ca="1" si="29"/>
        <v>4</v>
      </c>
      <c r="AE20" s="29">
        <f t="shared" ca="1" si="30"/>
        <v>500000</v>
      </c>
      <c r="AF20" s="1">
        <f t="shared" ca="1" si="31"/>
        <v>2</v>
      </c>
      <c r="AG20" s="1">
        <f t="shared" ca="1" si="32"/>
        <v>4</v>
      </c>
      <c r="AH20" s="263">
        <f t="shared" ca="1" si="33"/>
        <v>4.0402100000000001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si="22"/>
        <v>0</v>
      </c>
      <c r="M21" s="13">
        <f t="shared" ca="1" si="23"/>
        <v>6</v>
      </c>
      <c r="N21" s="13">
        <f t="array" aca="1" ref="N21" ca="1">IF($AI$15,SUM(($K$17:$K$25&gt;=K21)/COUNTIF($K$17:$K$25,$K$17:$K$25)),SUM(($L$17:$L$25&gt;=L21)/COUNTIF($L$17:$L$25,$L$17:$L$25)))</f>
        <v>3.9999999999999991</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si="24"/>
        <v>0</v>
      </c>
      <c r="X21" s="21">
        <f t="shared" ca="1" si="25"/>
        <v>4.0408999999999997</v>
      </c>
      <c r="Y21" s="12">
        <v>0</v>
      </c>
      <c r="Z21" s="1">
        <f t="shared" ca="1" si="26"/>
        <v>4.9000000000000004</v>
      </c>
      <c r="AA21" s="1">
        <f t="shared" ca="1" si="27"/>
        <v>0</v>
      </c>
      <c r="AB21" s="1">
        <f t="shared" ca="1" si="28"/>
        <v>0</v>
      </c>
      <c r="AC21" s="1"/>
      <c r="AD21" s="260">
        <f t="shared" ca="1" si="29"/>
        <v>4</v>
      </c>
      <c r="AE21" s="29">
        <f t="shared" ca="1" si="30"/>
        <v>500000</v>
      </c>
      <c r="AF21" s="1">
        <f t="shared" ca="1" si="31"/>
        <v>2</v>
      </c>
      <c r="AG21" s="1">
        <f t="shared" ca="1" si="32"/>
        <v>4</v>
      </c>
      <c r="AH21" s="263">
        <f t="shared" ca="1" si="33"/>
        <v>4.0402100000000001</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si="22"/>
        <v>0</v>
      </c>
      <c r="M22" s="13">
        <f t="shared" ca="1" si="23"/>
        <v>6</v>
      </c>
      <c r="N22" s="13">
        <f t="array" aca="1" ref="N22" ca="1">IF($AI$15,SUM(($K$17:$K$25&gt;=K22)/COUNTIF($K$17:$K$25,$K$17:$K$25)),SUM(($L$17:$L$25&gt;=L22)/COUNTIF($L$17:$L$25,$L$17:$L$25)))</f>
        <v>3.9999999999999991</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si="24"/>
        <v>0</v>
      </c>
      <c r="X22" s="21">
        <f t="shared" ca="1" si="25"/>
        <v>4.0408999999999997</v>
      </c>
      <c r="Y22" s="12">
        <v>0</v>
      </c>
      <c r="Z22" s="1">
        <f t="shared" ca="1" si="26"/>
        <v>4.9000000000000004</v>
      </c>
      <c r="AA22" s="1">
        <f t="shared" ca="1" si="27"/>
        <v>0</v>
      </c>
      <c r="AB22" s="1">
        <f t="shared" ca="1" si="28"/>
        <v>0</v>
      </c>
      <c r="AC22" s="1"/>
      <c r="AD22" s="260">
        <f t="shared" ca="1" si="29"/>
        <v>4</v>
      </c>
      <c r="AE22" s="29">
        <f t="shared" ca="1" si="30"/>
        <v>500000</v>
      </c>
      <c r="AF22" s="1">
        <f t="shared" ca="1" si="31"/>
        <v>2</v>
      </c>
      <c r="AG22" s="1">
        <f t="shared" ca="1" si="32"/>
        <v>4</v>
      </c>
      <c r="AH22" s="263">
        <f t="shared" ca="1" si="33"/>
        <v>4.0402100000000001</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si="22"/>
        <v>0</v>
      </c>
      <c r="M23" s="13">
        <f t="shared" ca="1" si="23"/>
        <v>6</v>
      </c>
      <c r="N23" s="13">
        <f t="array" aca="1" ref="N23" ca="1">IF($AI$15,SUM(($K$17:$K$25&gt;=K23)/COUNTIF($K$17:$K$25,$K$17:$K$25)),SUM(($L$17:$L$25&gt;=L23)/COUNTIF($L$17:$L$25,$L$17:$L$25)))</f>
        <v>3.9999999999999991</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si="24"/>
        <v>0</v>
      </c>
      <c r="X23" s="21">
        <f t="shared" ca="1" si="25"/>
        <v>4.0408999999999997</v>
      </c>
      <c r="Y23" s="12">
        <v>0</v>
      </c>
      <c r="Z23" s="1">
        <f t="shared" ca="1" si="26"/>
        <v>4.9000000000000004</v>
      </c>
      <c r="AA23" s="1">
        <f t="shared" ca="1" si="27"/>
        <v>0</v>
      </c>
      <c r="AB23" s="1">
        <f t="shared" ca="1" si="28"/>
        <v>0</v>
      </c>
      <c r="AC23" s="1"/>
      <c r="AD23" s="260">
        <f t="shared" ca="1" si="29"/>
        <v>4</v>
      </c>
      <c r="AE23" s="29">
        <f t="shared" ca="1" si="30"/>
        <v>500000</v>
      </c>
      <c r="AF23" s="1">
        <f t="shared" ca="1" si="31"/>
        <v>2</v>
      </c>
      <c r="AG23" s="1">
        <f t="shared" ca="1" si="32"/>
        <v>4</v>
      </c>
      <c r="AH23" s="263">
        <f t="shared" ca="1" si="33"/>
        <v>4.0402100000000001</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si="22"/>
        <v>0</v>
      </c>
      <c r="M24" s="13">
        <f t="shared" ca="1" si="23"/>
        <v>6</v>
      </c>
      <c r="N24" s="13">
        <f t="array" aca="1" ref="N24" ca="1">IF($AI$15,SUM(($K$17:$K$25&gt;=K24)/COUNTIF($K$17:$K$25,$K$17:$K$25)),SUM(($L$17:$L$25&gt;=L24)/COUNTIF($L$17:$L$25,$L$17:$L$25)))</f>
        <v>3.9999999999999991</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si="24"/>
        <v>0</v>
      </c>
      <c r="X24" s="21">
        <f t="shared" ca="1" si="25"/>
        <v>4.0408999999999997</v>
      </c>
      <c r="Y24" s="12">
        <v>0</v>
      </c>
      <c r="Z24" s="1">
        <f t="shared" ca="1" si="26"/>
        <v>4.9000000000000004</v>
      </c>
      <c r="AA24" s="1">
        <f t="shared" ca="1" si="27"/>
        <v>0</v>
      </c>
      <c r="AB24" s="1">
        <f t="shared" ca="1" si="28"/>
        <v>0</v>
      </c>
      <c r="AC24" s="1"/>
      <c r="AD24" s="260">
        <f t="shared" ca="1" si="29"/>
        <v>4</v>
      </c>
      <c r="AE24" s="29">
        <f t="shared" ca="1" si="30"/>
        <v>500000</v>
      </c>
      <c r="AF24" s="1">
        <f t="shared" ca="1" si="31"/>
        <v>2</v>
      </c>
      <c r="AG24" s="1">
        <f t="shared" ca="1" si="32"/>
        <v>4</v>
      </c>
      <c r="AH24" s="263">
        <f t="shared" ca="1" si="33"/>
        <v>4.0402100000000001</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si="22"/>
        <v>0</v>
      </c>
      <c r="M25" s="13">
        <f t="shared" ca="1" si="23"/>
        <v>6</v>
      </c>
      <c r="N25" s="13">
        <f t="array" aca="1" ref="N25" ca="1">IF($AI$15,SUM(($K$17:$K$25&gt;=K25)/COUNTIF($K$17:$K$25,$K$17:$K$25)),SUM(($L$17:$L$25&gt;=L25)/COUNTIF($L$17:$L$25,$L$17:$L$25)))</f>
        <v>3.9999999999999991</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si="24"/>
        <v>0</v>
      </c>
      <c r="X25" s="22">
        <f t="shared" ca="1" si="25"/>
        <v>4.0408999999999997</v>
      </c>
      <c r="Y25" s="12">
        <v>0</v>
      </c>
      <c r="Z25" s="1">
        <f t="shared" ca="1" si="26"/>
        <v>4.9000000000000004</v>
      </c>
      <c r="AA25" s="1">
        <f t="shared" ca="1" si="27"/>
        <v>0</v>
      </c>
      <c r="AB25" s="1">
        <f t="shared" ca="1" si="28"/>
        <v>0</v>
      </c>
      <c r="AC25" s="1"/>
      <c r="AD25" s="260">
        <f t="shared" ca="1" si="29"/>
        <v>4</v>
      </c>
      <c r="AE25" s="29">
        <f t="shared" ca="1" si="30"/>
        <v>500000</v>
      </c>
      <c r="AF25" s="1">
        <f t="shared" ca="1" si="31"/>
        <v>2</v>
      </c>
      <c r="AG25" s="1">
        <f t="shared" ca="1" si="32"/>
        <v>4</v>
      </c>
      <c r="AH25" s="264">
        <f t="shared" ca="1" si="33"/>
        <v>4.0402100000000001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FSV Rauen</v>
      </c>
      <c r="BT29" s="2" t="str">
        <f ca="1">$F$5</f>
        <v>1. FC Riedwald</v>
      </c>
      <c r="BU29" s="2" t="str">
        <f ca="1">$F$6</f>
        <v>Manchester City</v>
      </c>
      <c r="BV29" s="2" t="str">
        <f ca="1">$F$7</f>
        <v/>
      </c>
      <c r="BW29" s="2" t="str">
        <f>$F$8</f>
        <v/>
      </c>
      <c r="BX29" s="2" t="str">
        <f>$F$9</f>
        <v/>
      </c>
      <c r="BY29" s="2" t="str">
        <f>$F$10</f>
        <v/>
      </c>
      <c r="BZ29" s="2" t="str">
        <f>$F$11</f>
        <v/>
      </c>
      <c r="CA29" s="2" t="str">
        <f>$F$12</f>
        <v/>
      </c>
      <c r="CB29" s="51"/>
    </row>
    <row r="30" spans="2:80" s="2" customFormat="1" x14ac:dyDescent="0.2">
      <c r="C30" s="2" t="str">
        <f ca="1">$Q64</f>
        <v>FSV Rauen</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FSV Rauen</v>
      </c>
      <c r="BS30" s="6"/>
      <c r="BT30" s="7">
        <f t="shared" ref="BT30:CA37" ca="1" si="35">SUMIFS($X$64:$X$135,$V$64:$V$135,$BR30,$W$64:$W$135,BT$29)+SUMIFS($Y$64:$Y$135,$W$64:$W$135,$BR30,$V$64:$V$135,BT$29)+SUMIFS($AG$64:$AG$135,$V$64:$V$135,$BR30,$W$64:$W$135,BT$29)+SUMIFS($AH$64:$AH$135,$W$64:$W$135,$BR30,$V$64:$V$135,BT$29)</f>
        <v>50</v>
      </c>
      <c r="BU30" s="7">
        <f t="shared" ca="1" si="35"/>
        <v>46</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1. FC Riedwald</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1. FC Riedwald</v>
      </c>
      <c r="BS31" s="8">
        <f ca="1">SUMIFS($X$64:$X$135,$V$64:$V$135,$BR31,$W$64:$W$135,BS$29)+SUMIFS($Y$64:$Y$135,$W$64:$W$135,$BR31,$V$64:$V$135,BS$29)+SUMIFS($AG$64:$AG$135,$V$64:$V$135,$BR31,$W$64:$W$135,BS$29)+SUMIFS($AH$64:$AH$135,$W$64:$W$135,$BR31,$V$64:$V$135,BS$29)</f>
        <v>24</v>
      </c>
      <c r="BT31" s="6"/>
      <c r="BU31" s="7">
        <f ca="1">SUMIFS($X$64:$X$135,$V$64:$V$135,$BR31,$W$64:$W$135,BU$29)+SUMIFS($Y$64:$Y$135,$W$64:$W$135,$BR31,$V$64:$V$135,BU$29)+SUMIFS($AG$64:$AG$135,$V$64:$V$135,$BR31,$W$64:$W$135,BU$29)+SUMIFS($AH$64:$AH$135,$W$64:$W$135,$BR31,$V$64:$V$135,BU$29)</f>
        <v>50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ca="1" si="36"/>
        <v>Manchester City</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ca="1" si="34"/>
        <v>Manchester City</v>
      </c>
      <c r="BS32" s="8">
        <f t="shared" ref="BS32:BY38" ca="1" si="37">SUMIFS($X$64:$X$135,$V$64:$V$135,$BR32,$W$64:$W$135,BS$29)+SUMIFS($Y$64:$Y$135,$W$64:$W$135,$BR32,$V$64:$V$135,BS$29)+SUMIFS($AG$64:$AG$135,$V$64:$V$135,$BR32,$W$64:$W$135,BS$29)+SUMIFS($AH$64:$AH$135,$W$64:$W$135,$BR32,$V$64:$V$135,BS$29)</f>
        <v>44</v>
      </c>
      <c r="BT32" s="8">
        <f t="shared" ca="1" si="37"/>
        <v>42</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ca="1"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ca="1"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FSV Rauen</v>
      </c>
      <c r="BT40" s="2" t="str">
        <f ca="1">$F$5</f>
        <v>1. FC Riedwald</v>
      </c>
      <c r="BU40" s="2" t="str">
        <f ca="1">$F$6</f>
        <v>Manchester City</v>
      </c>
      <c r="BV40" s="2" t="str">
        <f ca="1">$F$7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FSV Rauen</v>
      </c>
      <c r="BS41" s="6"/>
      <c r="BT41" s="7">
        <f ca="1">BT30-BS31</f>
        <v>26</v>
      </c>
      <c r="BU41" s="7">
        <f ca="1">BU30-BS32</f>
        <v>2</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1. FC Riedwald</v>
      </c>
      <c r="BS42" s="8">
        <f ca="1">IF(BT41="","",-1*BT41)</f>
        <v>-26</v>
      </c>
      <c r="BT42" s="6"/>
      <c r="BU42" s="7">
        <f ca="1">BU31-BT32</f>
        <v>8</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ca="1" si="38"/>
        <v>Manchester City</v>
      </c>
      <c r="BS43" s="8">
        <f ca="1">IF(BU41="","",-1*BU41)</f>
        <v>-2</v>
      </c>
      <c r="BT43" s="8">
        <f ca="1">IF(BU42="","",-1*BU42)</f>
        <v>-8</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ca="1"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FSV Rauen</v>
      </c>
      <c r="BT51" s="2" t="str">
        <f ca="1">$F$5</f>
        <v>1. FC Riedwald</v>
      </c>
      <c r="BU51" s="2" t="str">
        <f ca="1">$F$6</f>
        <v>Manchester City</v>
      </c>
      <c r="BV51" s="2" t="str">
        <f ca="1">$F$7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FSV Rauen</v>
      </c>
      <c r="BS52" s="6"/>
      <c r="BT52" s="7">
        <f t="shared" ref="BT52:CA58" ca="1" si="41">SUMIFS($AE$64:$AE$135,$V$64:$V$135,$BR52,$W$64:$W$135,BT$51)+SUMIFS($AF$64:$AF$135,$W$64:$W$135,$BR52,$V$64:$V$135,BT$51)</f>
        <v>2</v>
      </c>
      <c r="BU52" s="7">
        <f t="shared" ca="1" si="41"/>
        <v>1</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1. FC Riedwald</v>
      </c>
      <c r="BS53" s="8">
        <f t="shared" ref="BS53:BU60" ca="1" si="42">SUMIFS($AE$64:$AE$135,$V$64:$V$135,$BR53,$W$64:$W$135,BS$51)+SUMIFS($AF$64:$AF$135,$W$64:$W$135,$BR53,$V$64:$V$135,BS$51)</f>
        <v>0</v>
      </c>
      <c r="BT53" s="6"/>
      <c r="BU53" s="7">
        <f ca="1">SUMIFS($AE$64:$AE$135,$V$64:$V$135,$BR53,$W$64:$W$135,BU$51)+SUMIFS($AF$64:$AF$135,$W$64:$W$135,$BR53,$V$64:$V$135,BU$51)</f>
        <v>2</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ca="1" si="40"/>
        <v>Manchester City</v>
      </c>
      <c r="BS54" s="8">
        <f t="shared" ca="1" si="42"/>
        <v>1</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ca="1"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4'!$AH36="","",'Finals 4'!$AH36)</f>
        <v>FSV Rauen</v>
      </c>
      <c r="U64" s="65" t="s">
        <v>6</v>
      </c>
      <c r="V64" s="39" t="str">
        <f ca="1">'Finals 4'!$I12</f>
        <v/>
      </c>
      <c r="W64" s="32" t="str">
        <f ca="1">'Finals 4'!$K12</f>
        <v/>
      </c>
      <c r="X64" s="32" t="str">
        <f ca="1">IF(AA64=1,'Finals 4'!$L12,"")</f>
        <v/>
      </c>
      <c r="Y64" s="33" t="str">
        <f ca="1">IF(AA64=1,'Finals 4'!$N12,"")</f>
        <v/>
      </c>
      <c r="Z64" s="31" t="str">
        <f ca="1">V64&amp;W64</f>
        <v/>
      </c>
      <c r="AA64" s="12">
        <f ca="1">IF(AND('Finals 4'!$L12&lt;&gt;"",'Finals 4'!$N12&lt;&gt;"",'Finals 4'!$L12&lt;&gt;'Finals 4'!$N12,OR(AND('Finals 4'!$O12="",'Finals 4'!$Q12=""),AND('Finals 4'!$O12&lt;&gt;"",'Finals 4'!$Q12&lt;&gt;"",'Finals 4'!$O12&lt;&gt;'Finals 4'!$Q12)),'Finals 4'!$I12&lt;&gt;"",'Finals 4'!$K12&lt;&gt;"",'Finals 4'!$I12&lt;&gt;'Finals 4'!$K12),1,0)</f>
        <v>0</v>
      </c>
      <c r="AB64" s="141" t="str">
        <f ca="1">IF(AA64&gt;0,X64&amp;Language!$E$96&amp;Y64,"")</f>
        <v/>
      </c>
      <c r="AD64" s="142"/>
      <c r="AE64" s="147">
        <f ca="1">IF($AA64=0,0,IF($X64&gt;$Y64,1,0)+IF($AG64&gt;$AH64,1,0))</f>
        <v>0</v>
      </c>
      <c r="AF64" s="142">
        <f ca="1">IF($AA64=0,0,IF($X64&lt;$Y64,1,0)+IF($AG64&lt;$AH64,1,0))</f>
        <v>0</v>
      </c>
      <c r="AG64" s="147" t="str">
        <f ca="1">IF(AA64=1,'Finals 4'!$O12,"")</f>
        <v/>
      </c>
      <c r="AH64" s="721" t="str">
        <f ca="1">IF(AA64=1,'Finals 4'!$Q12,"")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4'!$AH37="","",'Finals 4'!$AH37)</f>
        <v>1. FC Riedwald</v>
      </c>
      <c r="U65" s="66" t="s">
        <v>7</v>
      </c>
      <c r="V65" s="40" t="str">
        <f ca="1">'Finals 4'!$I13</f>
        <v>FSV Rauen</v>
      </c>
      <c r="W65" s="12" t="str">
        <f ca="1">'Finals 4'!$K13</f>
        <v/>
      </c>
      <c r="X65" s="12" t="str">
        <f ca="1">IF(AA65=1,'Finals 4'!$L13,"")</f>
        <v/>
      </c>
      <c r="Y65" s="35" t="str">
        <f ca="1">IF(AA65=1,'Finals 4'!$N13,"")</f>
        <v/>
      </c>
      <c r="Z65" s="34" t="str">
        <f t="shared" ref="Z65:Z73" ca="1" si="43">V65&amp;W65</f>
        <v>FSV Rauen</v>
      </c>
      <c r="AA65" s="12">
        <f ca="1">IF(AND('Finals 4'!$L13&lt;&gt;"",'Finals 4'!$N13&lt;&gt;"",'Finals 4'!$L13&lt;&gt;'Finals 4'!$N13,OR(AND('Finals 4'!$O13="",'Finals 4'!$Q13=""),AND('Finals 4'!$O13&lt;&gt;"",'Finals 4'!$Q13&lt;&gt;"",'Finals 4'!$O13&lt;&gt;'Finals 4'!$Q13)),'Finals 4'!$I13&lt;&gt;"",'Finals 4'!$K13&lt;&gt;"",'Finals 4'!$I13&lt;&gt;'Finals 4'!$K13),1,0)</f>
        <v>0</v>
      </c>
      <c r="AB65" s="12" t="str">
        <f ca="1">IF(AA65&gt;0,X65&amp;Language!$E$96&amp;Y65,"")</f>
        <v/>
      </c>
      <c r="AD65" s="143"/>
      <c r="AE65" s="148">
        <f t="shared" ref="AE65:AE88" ca="1" si="44">IF($AA65=0,0,IF($X65&gt;$Y65,1,0)+IF($AG65&gt;$AH65,1,0))</f>
        <v>0</v>
      </c>
      <c r="AF65" s="143">
        <f t="shared" ref="AF65:AF88" ca="1" si="45">IF($AA65=0,0,IF($X65&lt;$Y65,1,0)+IF($AG65&lt;$AH65,1,0))</f>
        <v>0</v>
      </c>
      <c r="AG65" s="148" t="str">
        <f ca="1">IF(AA65=1,'Finals 4'!$O13,"")</f>
        <v/>
      </c>
      <c r="AH65" s="12" t="str">
        <f ca="1">IF(AA65=1,'Finals 4'!$Q13,"")</f>
        <v/>
      </c>
      <c r="AI65" s="143" t="str">
        <f ca="1">IF(AA65&gt;0,AE65&amp;Language!$E$96&amp;AF65,"")</f>
        <v/>
      </c>
      <c r="AJ65" s="12"/>
      <c r="AK65" s="12"/>
      <c r="AL65" s="12"/>
      <c r="AM65" s="12"/>
      <c r="AN65" s="12"/>
      <c r="AO65" s="12"/>
      <c r="AP65" s="12"/>
      <c r="AQ65" s="12"/>
    </row>
    <row r="66" spans="2:43" s="2" customFormat="1" ht="13.5" thickBot="1" x14ac:dyDescent="0.25">
      <c r="F66" s="196">
        <v>1</v>
      </c>
      <c r="G66" s="197" t="s">
        <v>107</v>
      </c>
      <c r="P66" s="45" t="s">
        <v>8</v>
      </c>
      <c r="Q66" s="60" t="str">
        <f ca="1">IF('Finals 4'!$AH38="","",'Finals 4'!$AH38)</f>
        <v>Manchester City</v>
      </c>
      <c r="U66" s="66" t="s">
        <v>8</v>
      </c>
      <c r="V66" s="40" t="str">
        <f ca="1">'Finals 4'!$I14</f>
        <v>FC Grönlingen</v>
      </c>
      <c r="W66" s="12" t="str">
        <f ca="1">'Finals 4'!$K14</f>
        <v>Mainz 05</v>
      </c>
      <c r="X66" s="12">
        <f ca="1">IF(AA66=1,'Finals 4'!$L14,"")</f>
        <v>19</v>
      </c>
      <c r="Y66" s="35">
        <f ca="1">IF(AA66=1,'Finals 4'!$N14,"")</f>
        <v>25</v>
      </c>
      <c r="Z66" s="34" t="str">
        <f t="shared" ca="1" si="43"/>
        <v>FC GrönlingenMainz 05</v>
      </c>
      <c r="AA66" s="12">
        <f ca="1">IF(AND('Finals 4'!$L14&lt;&gt;"",'Finals 4'!$N14&lt;&gt;"",'Finals 4'!$L14&lt;&gt;'Finals 4'!$N14,OR(AND('Finals 4'!$O14="",'Finals 4'!$Q14=""),AND('Finals 4'!$O14&lt;&gt;"",'Finals 4'!$Q14&lt;&gt;"",'Finals 4'!$O14&lt;&gt;'Finals 4'!$Q14)),'Finals 4'!$I14&lt;&gt;"",'Finals 4'!$K14&lt;&gt;"",'Finals 4'!$I14&lt;&gt;'Finals 4'!$K14),1,0)</f>
        <v>1</v>
      </c>
      <c r="AB66" s="12" t="str">
        <f ca="1">IF(AA66&gt;0,X66&amp;Language!$E$96&amp;Y66,"")</f>
        <v>19-25</v>
      </c>
      <c r="AD66" s="143"/>
      <c r="AE66" s="148">
        <f t="shared" ca="1" si="44"/>
        <v>0</v>
      </c>
      <c r="AF66" s="143">
        <f t="shared" ca="1" si="45"/>
        <v>2</v>
      </c>
      <c r="AG66" s="148">
        <f ca="1">IF(AA66=1,'Finals 4'!$O14,"")</f>
        <v>19</v>
      </c>
      <c r="AH66" s="12">
        <f ca="1">IF(AA66=1,'Finals 4'!$Q14,"")</f>
        <v>25</v>
      </c>
      <c r="AI66" s="143" t="str">
        <f ca="1">IF(AA66&gt;0,AE66&amp;Language!$E$96&amp;AF66,"")</f>
        <v>0-2</v>
      </c>
      <c r="AJ66" s="3"/>
      <c r="AK66" s="12"/>
      <c r="AL66" s="12"/>
      <c r="AM66" s="12"/>
      <c r="AN66" s="12"/>
      <c r="AO66" s="12"/>
      <c r="AP66" s="12"/>
      <c r="AQ66" s="12"/>
    </row>
    <row r="67" spans="2:43" s="2" customFormat="1" x14ac:dyDescent="0.2">
      <c r="P67" s="45" t="s">
        <v>9</v>
      </c>
      <c r="Q67" s="60" t="str">
        <f ca="1">IF('Finals 4'!$AH39="","",'Finals 4'!$AH39)</f>
        <v/>
      </c>
      <c r="U67" s="66" t="s">
        <v>9</v>
      </c>
      <c r="V67" s="40" t="str">
        <f ca="1">'Finals 4'!$I15</f>
        <v>Eintracht Frankfurt</v>
      </c>
      <c r="W67" s="12" t="str">
        <f ca="1">'Finals 4'!$K15</f>
        <v>Real Madrid</v>
      </c>
      <c r="X67" s="12">
        <f ca="1">IF(AA67=1,'Finals 4'!$L15,"")</f>
        <v>25</v>
      </c>
      <c r="Y67" s="35">
        <f ca="1">IF(AA67=1,'Finals 4'!$N15,"")</f>
        <v>20</v>
      </c>
      <c r="Z67" s="34" t="str">
        <f t="shared" ca="1" si="43"/>
        <v>Eintracht FrankfurtReal Madrid</v>
      </c>
      <c r="AA67" s="12">
        <f ca="1">IF(AND('Finals 4'!$L15&lt;&gt;"",'Finals 4'!$N15&lt;&gt;"",'Finals 4'!$L15&lt;&gt;'Finals 4'!$N15,OR(AND('Finals 4'!$O15="",'Finals 4'!$Q15=""),AND('Finals 4'!$O15&lt;&gt;"",'Finals 4'!$Q15&lt;&gt;"",'Finals 4'!$O15&lt;&gt;'Finals 4'!$Q15)),'Finals 4'!$I15&lt;&gt;"",'Finals 4'!$K15&lt;&gt;"",'Finals 4'!$I15&lt;&gt;'Finals 4'!$K15),1,0)</f>
        <v>1</v>
      </c>
      <c r="AB67" s="12" t="str">
        <f ca="1">IF(AA67&gt;0,X67&amp;Language!$E$96&amp;Y67,"")</f>
        <v>25-20</v>
      </c>
      <c r="AD67" s="143"/>
      <c r="AE67" s="148">
        <f t="shared" ca="1" si="44"/>
        <v>1</v>
      </c>
      <c r="AF67" s="143">
        <f t="shared" ca="1" si="45"/>
        <v>1</v>
      </c>
      <c r="AG67" s="148">
        <f ca="1">IF(AA67=1,'Finals 4'!$O15,"")</f>
        <v>20</v>
      </c>
      <c r="AH67" s="12">
        <f ca="1">IF(AA67=1,'Finals 4'!$Q15,"")</f>
        <v>25</v>
      </c>
      <c r="AI67" s="143" t="str">
        <f ca="1">IF(AA67&gt;0,AE67&amp;Language!$E$96&amp;AF67,"")</f>
        <v>1-1</v>
      </c>
      <c r="AJ67" s="12"/>
      <c r="AK67" s="3"/>
      <c r="AL67" s="12"/>
      <c r="AM67" s="12"/>
      <c r="AN67" s="12"/>
      <c r="AO67" s="12"/>
      <c r="AP67" s="12"/>
      <c r="AQ67" s="12"/>
    </row>
    <row r="68" spans="2:43" s="2" customFormat="1" x14ac:dyDescent="0.2">
      <c r="P68" s="45"/>
      <c r="Q68" s="60" t="str">
        <f>""</f>
        <v/>
      </c>
      <c r="U68" s="66" t="s">
        <v>10</v>
      </c>
      <c r="V68" s="40" t="str">
        <f ca="1">'Finals 4'!$I16</f>
        <v>Borussia Dortmund</v>
      </c>
      <c r="W68" s="12" t="str">
        <f ca="1">'Finals 4'!$K16</f>
        <v>SSV Wildbach</v>
      </c>
      <c r="X68" s="12">
        <f ca="1">IF(AA68=1,'Finals 4'!$L16,"")</f>
        <v>25</v>
      </c>
      <c r="Y68" s="35">
        <f ca="1">IF(AA68=1,'Finals 4'!$N16,"")</f>
        <v>21</v>
      </c>
      <c r="Z68" s="34" t="str">
        <f t="shared" ca="1" si="43"/>
        <v>Borussia DortmundSSV Wildbach</v>
      </c>
      <c r="AA68" s="12">
        <f ca="1">IF(AND('Finals 4'!$L16&lt;&gt;"",'Finals 4'!$N16&lt;&gt;"",'Finals 4'!$L16&lt;&gt;'Finals 4'!$N16,OR(AND('Finals 4'!$O16="",'Finals 4'!$Q16=""),AND('Finals 4'!$O16&lt;&gt;"",'Finals 4'!$Q16&lt;&gt;"",'Finals 4'!$O16&lt;&gt;'Finals 4'!$Q16)),'Finals 4'!$I16&lt;&gt;"",'Finals 4'!$K16&lt;&gt;"",'Finals 4'!$I16&lt;&gt;'Finals 4'!$K16),1,0)</f>
        <v>1</v>
      </c>
      <c r="AB68" s="12" t="str">
        <f ca="1">IF(AA68&gt;0,X68&amp;Language!$E$96&amp;Y68,"")</f>
        <v>25-21</v>
      </c>
      <c r="AD68" s="143"/>
      <c r="AE68" s="148">
        <f t="shared" ca="1" si="44"/>
        <v>2</v>
      </c>
      <c r="AF68" s="143">
        <f t="shared" ca="1" si="45"/>
        <v>0</v>
      </c>
      <c r="AG68" s="148">
        <f ca="1">IF(AA68=1,'Finals 4'!$O16,"")</f>
        <v>25</v>
      </c>
      <c r="AH68" s="12">
        <f ca="1">IF(AA68=1,'Finals 4'!$Q16,"")</f>
        <v>19</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4'!$I17</f>
        <v>1. FC Riedwald</v>
      </c>
      <c r="W69" s="12" t="str">
        <f ca="1">'Finals 4'!$K17</f>
        <v>Manchester City</v>
      </c>
      <c r="X69" s="12">
        <f ca="1">IF(AA69=1,'Finals 4'!$L17,"")</f>
        <v>25</v>
      </c>
      <c r="Y69" s="35">
        <f ca="1">IF(AA69=1,'Finals 4'!$N17,"")</f>
        <v>22</v>
      </c>
      <c r="Z69" s="34" t="str">
        <f t="shared" ca="1" si="43"/>
        <v>1. FC RiedwaldManchester City</v>
      </c>
      <c r="AA69" s="12">
        <f ca="1">IF(AND('Finals 4'!$L17&lt;&gt;"",'Finals 4'!$N17&lt;&gt;"",'Finals 4'!$L17&lt;&gt;'Finals 4'!$N17,OR(AND('Finals 4'!$O17="",'Finals 4'!$Q17=""),AND('Finals 4'!$O17&lt;&gt;"",'Finals 4'!$Q17&lt;&gt;"",'Finals 4'!$O17&lt;&gt;'Finals 4'!$Q17)),'Finals 4'!$I17&lt;&gt;"",'Finals 4'!$K17&lt;&gt;"",'Finals 4'!$I17&lt;&gt;'Finals 4'!$K17),1,0)</f>
        <v>1</v>
      </c>
      <c r="AB69" s="12" t="str">
        <f ca="1">IF(AA69&gt;0,X69&amp;Language!$E$96&amp;Y69,"")</f>
        <v>25-22</v>
      </c>
      <c r="AD69" s="143"/>
      <c r="AE69" s="148">
        <f t="shared" ca="1" si="44"/>
        <v>2</v>
      </c>
      <c r="AF69" s="143">
        <f t="shared" ca="1" si="45"/>
        <v>0</v>
      </c>
      <c r="AG69" s="148">
        <f ca="1">IF(AA69=1,'Finals 4'!$O17,"")</f>
        <v>25</v>
      </c>
      <c r="AH69" s="12">
        <f ca="1">IF(AA69=1,'Finals 4'!$Q17,"")</f>
        <v>20</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4'!$I18</f>
        <v>Maibach 1822 eV</v>
      </c>
      <c r="W70" s="12" t="str">
        <f ca="1">'Finals 4'!$K18</f>
        <v>Kickers Rodendorf</v>
      </c>
      <c r="X70" s="12">
        <f ca="1">IF(AA70=1,'Finals 4'!$L18,"")</f>
        <v>25</v>
      </c>
      <c r="Y70" s="35">
        <f ca="1">IF(AA70=1,'Finals 4'!$N18,"")</f>
        <v>23</v>
      </c>
      <c r="Z70" s="34" t="str">
        <f t="shared" ca="1" si="43"/>
        <v>Maibach 1822 eVKickers Rodendorf</v>
      </c>
      <c r="AA70" s="12">
        <f ca="1">IF(AND('Finals 4'!$L18&lt;&gt;"",'Finals 4'!$N18&lt;&gt;"",'Finals 4'!$L18&lt;&gt;'Finals 4'!$N18,OR(AND('Finals 4'!$O18="",'Finals 4'!$Q18=""),AND('Finals 4'!$O18&lt;&gt;"",'Finals 4'!$Q18&lt;&gt;"",'Finals 4'!$O18&lt;&gt;'Finals 4'!$Q18)),'Finals 4'!$I18&lt;&gt;"",'Finals 4'!$K18&lt;&gt;"",'Finals 4'!$I18&lt;&gt;'Finals 4'!$K18),1,0)</f>
        <v>1</v>
      </c>
      <c r="AB70" s="12" t="str">
        <f ca="1">IF(AA70&gt;0,X70&amp;Language!$E$96&amp;Y70,"")</f>
        <v>25-23</v>
      </c>
      <c r="AD70" s="143"/>
      <c r="AE70" s="148">
        <f t="shared" ca="1" si="44"/>
        <v>2</v>
      </c>
      <c r="AF70" s="143">
        <f t="shared" ca="1" si="45"/>
        <v>0</v>
      </c>
      <c r="AG70" s="148">
        <f ca="1">IF(AA70=1,'Finals 4'!$O18,"")</f>
        <v>25</v>
      </c>
      <c r="AH70" s="12">
        <f ca="1">IF(AA70=1,'Finals 4'!$Q18,"")</f>
        <v>21</v>
      </c>
      <c r="AI70" s="143" t="str">
        <f ca="1">IF(AA70&gt;0,AE70&amp;Language!$E$96&amp;AF70,"")</f>
        <v>2-0</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4'!$I19</f>
        <v>1. FC Nürnberg</v>
      </c>
      <c r="W71" s="12" t="str">
        <f ca="1">'Finals 4'!$K19</f>
        <v>VFB Essenheim</v>
      </c>
      <c r="X71" s="12">
        <f ca="1">IF(AA71=1,'Finals 4'!$L19,"")</f>
        <v>25</v>
      </c>
      <c r="Y71" s="35">
        <f ca="1">IF(AA71=1,'Finals 4'!$N19,"")</f>
        <v>17</v>
      </c>
      <c r="Z71" s="34" t="str">
        <f t="shared" ca="1" si="43"/>
        <v>1. FC NürnbergVFB Essenheim</v>
      </c>
      <c r="AA71" s="12">
        <f ca="1">IF(AND('Finals 4'!$L19&lt;&gt;"",'Finals 4'!$N19&lt;&gt;"",'Finals 4'!$L19&lt;&gt;'Finals 4'!$N19,OR(AND('Finals 4'!$O19="",'Finals 4'!$Q19=""),AND('Finals 4'!$O19&lt;&gt;"",'Finals 4'!$Q19&lt;&gt;"",'Finals 4'!$O19&lt;&gt;'Finals 4'!$Q19)),'Finals 4'!$I19&lt;&gt;"",'Finals 4'!$K19&lt;&gt;"",'Finals 4'!$I19&lt;&gt;'Finals 4'!$K19),1,0)</f>
        <v>1</v>
      </c>
      <c r="AB71" s="12" t="str">
        <f ca="1">IF(AA71&gt;0,X71&amp;Language!$E$96&amp;Y71,"")</f>
        <v>25-17</v>
      </c>
      <c r="AD71" s="143"/>
      <c r="AE71" s="148">
        <f t="shared" ca="1" si="44"/>
        <v>2</v>
      </c>
      <c r="AF71" s="143">
        <f t="shared" ca="1" si="45"/>
        <v>0</v>
      </c>
      <c r="AG71" s="148">
        <f ca="1">IF(AA71=1,'Finals 4'!$O19,"")</f>
        <v>25</v>
      </c>
      <c r="AH71" s="12">
        <f ca="1">IF(AA71=1,'Finals 4'!$Q19,"")</f>
        <v>22</v>
      </c>
      <c r="AI71" s="143" t="str">
        <f ca="1">IF(AA71&gt;0,AE71&amp;Language!$E$96&amp;AF71,"")</f>
        <v>2-0</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4'!$I20</f>
        <v>Inter Mailand</v>
      </c>
      <c r="W72" s="12" t="str">
        <f ca="1">'Finals 4'!$K20</f>
        <v>FC Barcelona</v>
      </c>
      <c r="X72" s="12">
        <f ca="1">IF(AA72=1,'Finals 4'!$L20,"")</f>
        <v>23</v>
      </c>
      <c r="Y72" s="35">
        <f ca="1">IF(AA72=1,'Finals 4'!$N20,"")</f>
        <v>25</v>
      </c>
      <c r="Z72" s="34" t="str">
        <f t="shared" ca="1" si="43"/>
        <v>Inter MailandFC Barcelona</v>
      </c>
      <c r="AA72" s="12">
        <f ca="1">IF(AND('Finals 4'!$L20&lt;&gt;"",'Finals 4'!$N20&lt;&gt;"",'Finals 4'!$L20&lt;&gt;'Finals 4'!$N20,OR(AND('Finals 4'!$O20="",'Finals 4'!$Q20=""),AND('Finals 4'!$O20&lt;&gt;"",'Finals 4'!$Q20&lt;&gt;"",'Finals 4'!$O20&lt;&gt;'Finals 4'!$Q20)),'Finals 4'!$I20&lt;&gt;"",'Finals 4'!$K20&lt;&gt;"",'Finals 4'!$I20&lt;&gt;'Finals 4'!$K20),1,0)</f>
        <v>1</v>
      </c>
      <c r="AB72" s="12" t="str">
        <f ca="1">IF(AA72&gt;0,X72&amp;Language!$E$96&amp;Y72,"")</f>
        <v>23-25</v>
      </c>
      <c r="AD72" s="143"/>
      <c r="AE72" s="148">
        <f t="shared" ca="1" si="44"/>
        <v>0</v>
      </c>
      <c r="AF72" s="143">
        <f t="shared" ca="1" si="45"/>
        <v>2</v>
      </c>
      <c r="AG72" s="148">
        <f ca="1">IF(AA72=1,'Finals 4'!$O20,"")</f>
        <v>22</v>
      </c>
      <c r="AH72" s="12">
        <f ca="1">IF(AA72=1,'Finals 4'!$Q20,"")</f>
        <v>25</v>
      </c>
      <c r="AI72" s="143" t="str">
        <f ca="1">IF(AA72&gt;0,AE72&amp;Language!$E$96&amp;AF72,"")</f>
        <v>0-2</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4'!$I21</f>
        <v/>
      </c>
      <c r="W73" s="12" t="str">
        <f ca="1">'Finals 4'!$K21</f>
        <v>1. FC Riedwald</v>
      </c>
      <c r="X73" s="12" t="str">
        <f ca="1">IF(AA73=1,'Finals 4'!$L21,"")</f>
        <v/>
      </c>
      <c r="Y73" s="35" t="str">
        <f ca="1">IF(AA73=1,'Finals 4'!$N21,"")</f>
        <v/>
      </c>
      <c r="Z73" s="34" t="str">
        <f t="shared" ca="1" si="43"/>
        <v>1. FC Riedwald</v>
      </c>
      <c r="AA73" s="12">
        <f ca="1">IF(AND('Finals 4'!$L21&lt;&gt;"",'Finals 4'!$N21&lt;&gt;"",'Finals 4'!$L21&lt;&gt;'Finals 4'!$N21,OR(AND('Finals 4'!$O21="",'Finals 4'!$Q21=""),AND('Finals 4'!$O21&lt;&gt;"",'Finals 4'!$Q21&lt;&gt;"",'Finals 4'!$O21&lt;&gt;'Finals 4'!$Q21)),'Finals 4'!$I21&lt;&gt;"",'Finals 4'!$K21&lt;&gt;"",'Finals 4'!$I21&lt;&gt;'Finals 4'!$K21),1,0)</f>
        <v>0</v>
      </c>
      <c r="AB73" s="12" t="str">
        <f ca="1">IF(AA73&gt;0,X73&amp;Language!$E$96&amp;Y73,"")</f>
        <v/>
      </c>
      <c r="AD73" s="143"/>
      <c r="AE73" s="148">
        <f t="shared" ca="1" si="44"/>
        <v>0</v>
      </c>
      <c r="AF73" s="143">
        <f t="shared" ca="1" si="45"/>
        <v>0</v>
      </c>
      <c r="AG73" s="148" t="str">
        <f ca="1">IF(AA73=1,'Finals 4'!$O21,"")</f>
        <v/>
      </c>
      <c r="AH73" s="12" t="str">
        <f ca="1">IF(AA73=1,'Finals 4'!$Q21,"")</f>
        <v/>
      </c>
      <c r="AI73" s="143" t="str">
        <f ca="1">IF(AA73&gt;0,AE73&amp;Language!$E$96&amp;AF73,"")</f>
        <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4'!$I22</f>
        <v>Mainz 05</v>
      </c>
      <c r="W74" s="12" t="str">
        <f ca="1">'Finals 4'!$K22</f>
        <v>Maibach 1822 eV</v>
      </c>
      <c r="X74" s="12">
        <f ca="1">IF(AA74=1,'Finals 4'!$L22,"")</f>
        <v>16</v>
      </c>
      <c r="Y74" s="35">
        <f ca="1">IF(AA74=1,'Finals 4'!$N22,"")</f>
        <v>25</v>
      </c>
      <c r="Z74" s="34" t="str">
        <f ca="1">V74&amp;W74</f>
        <v>Mainz 05Maibach 1822 eV</v>
      </c>
      <c r="AA74" s="12">
        <f ca="1">IF(AND('Finals 4'!$L22&lt;&gt;"",'Finals 4'!$N22&lt;&gt;"",'Finals 4'!$L22&lt;&gt;'Finals 4'!$N22,OR(AND('Finals 4'!$O22="",'Finals 4'!$Q22=""),AND('Finals 4'!$O22&lt;&gt;"",'Finals 4'!$Q22&lt;&gt;"",'Finals 4'!$O22&lt;&gt;'Finals 4'!$Q22)),'Finals 4'!$I22&lt;&gt;"",'Finals 4'!$K22&lt;&gt;"",'Finals 4'!$I22&lt;&gt;'Finals 4'!$K22),1,0)</f>
        <v>1</v>
      </c>
      <c r="AB74" s="12" t="str">
        <f ca="1">IF(AA74&gt;0,X74&amp;Language!$E$96&amp;Y74,"")</f>
        <v>16-25</v>
      </c>
      <c r="AD74" s="143"/>
      <c r="AE74" s="148">
        <f t="shared" ca="1" si="44"/>
        <v>1</v>
      </c>
      <c r="AF74" s="143">
        <f t="shared" ca="1" si="45"/>
        <v>1</v>
      </c>
      <c r="AG74" s="148">
        <f ca="1">IF(AA74=1,'Finals 4'!$O22,"")</f>
        <v>25</v>
      </c>
      <c r="AH74" s="12">
        <f ca="1">IF(AA74=1,'Finals 4'!$Q22,"")</f>
        <v>18</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4'!$I23</f>
        <v>Real Madrid</v>
      </c>
      <c r="W75" s="12" t="str">
        <f ca="1">'Finals 4'!$K23</f>
        <v>1. FC Nürnberg</v>
      </c>
      <c r="X75" s="12">
        <f ca="1">IF(AA75=1,'Finals 4'!$L23,"")</f>
        <v>14</v>
      </c>
      <c r="Y75" s="35">
        <f ca="1">IF(AA75=1,'Finals 4'!$N23,"")</f>
        <v>25</v>
      </c>
      <c r="Z75" s="34" t="str">
        <f t="shared" ref="Z75:Z88" ca="1" si="46">V75&amp;W75</f>
        <v>Real Madrid1. FC Nürnberg</v>
      </c>
      <c r="AA75" s="12">
        <f ca="1">IF(AND('Finals 4'!$L23&lt;&gt;"",'Finals 4'!$N23&lt;&gt;"",'Finals 4'!$L23&lt;&gt;'Finals 4'!$N23,OR(AND('Finals 4'!$O23="",'Finals 4'!$Q23=""),AND('Finals 4'!$O23&lt;&gt;"",'Finals 4'!$Q23&lt;&gt;"",'Finals 4'!$O23&lt;&gt;'Finals 4'!$Q23)),'Finals 4'!$I23&lt;&gt;"",'Finals 4'!$K23&lt;&gt;"",'Finals 4'!$I23&lt;&gt;'Finals 4'!$K23),1,0)</f>
        <v>1</v>
      </c>
      <c r="AB75" s="12" t="str">
        <f ca="1">IF(AA75&gt;0,X75&amp;Language!$E$96&amp;Y75,"")</f>
        <v>14-25</v>
      </c>
      <c r="AD75" s="143"/>
      <c r="AE75" s="148">
        <f t="shared" ca="1" si="44"/>
        <v>1</v>
      </c>
      <c r="AF75" s="143">
        <f t="shared" ca="1" si="45"/>
        <v>1</v>
      </c>
      <c r="AG75" s="148">
        <f ca="1">IF(AA75=1,'Finals 4'!$O23,"")</f>
        <v>25</v>
      </c>
      <c r="AH75" s="12">
        <f ca="1">IF(AA75=1,'Finals 4'!$Q23,"")</f>
        <v>19</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4'!$I24</f>
        <v>SSV Wildbach</v>
      </c>
      <c r="W76" s="12" t="str">
        <f ca="1">'Finals 4'!$K24</f>
        <v>Inter Mailand</v>
      </c>
      <c r="X76" s="12">
        <f ca="1">IF(AA76=1,'Finals 4'!$L24,"")</f>
        <v>22</v>
      </c>
      <c r="Y76" s="35">
        <f ca="1">IF(AA76=1,'Finals 4'!$N24,"")</f>
        <v>25</v>
      </c>
      <c r="Z76" s="34" t="str">
        <f t="shared" ca="1" si="46"/>
        <v>SSV WildbachInter Mailand</v>
      </c>
      <c r="AA76" s="12">
        <f ca="1">IF(AND('Finals 4'!$L24&lt;&gt;"",'Finals 4'!$N24&lt;&gt;"",'Finals 4'!$L24&lt;&gt;'Finals 4'!$N24,OR(AND('Finals 4'!$O24="",'Finals 4'!$Q24=""),AND('Finals 4'!$O24&lt;&gt;"",'Finals 4'!$Q24&lt;&gt;"",'Finals 4'!$O24&lt;&gt;'Finals 4'!$Q24)),'Finals 4'!$I24&lt;&gt;"",'Finals 4'!$K24&lt;&gt;"",'Finals 4'!$I24&lt;&gt;'Finals 4'!$K24),1,0)</f>
        <v>1</v>
      </c>
      <c r="AB76" s="12" t="str">
        <f ca="1">IF(AA76&gt;0,X76&amp;Language!$E$96&amp;Y76,"")</f>
        <v>22-25</v>
      </c>
      <c r="AD76" s="143"/>
      <c r="AE76" s="148">
        <f t="shared" ca="1" si="44"/>
        <v>1</v>
      </c>
      <c r="AF76" s="143">
        <f t="shared" ca="1" si="45"/>
        <v>1</v>
      </c>
      <c r="AG76" s="148">
        <f ca="1">IF(AA76=1,'Finals 4'!$O24,"")</f>
        <v>25</v>
      </c>
      <c r="AH76" s="12">
        <f ca="1">IF(AA76=1,'Finals 4'!$Q24,"")</f>
        <v>20</v>
      </c>
      <c r="AI76" s="143" t="str">
        <f ca="1">IF(AA76&gt;0,AE76&amp;Language!$E$96&amp;AF76,"")</f>
        <v>1-1</v>
      </c>
    </row>
    <row r="77" spans="2:43" s="2" customFormat="1" x14ac:dyDescent="0.2">
      <c r="B77" s="3"/>
      <c r="C77" s="3"/>
      <c r="D77" s="3"/>
      <c r="E77" s="3"/>
      <c r="F77" s="12"/>
      <c r="G77" s="12"/>
      <c r="H77" s="12"/>
      <c r="I77" s="12"/>
      <c r="J77" s="12"/>
      <c r="K77" s="12"/>
      <c r="L77" s="12"/>
      <c r="M77" s="12"/>
      <c r="U77" s="66" t="s">
        <v>28</v>
      </c>
      <c r="V77" s="40" t="str">
        <f ca="1">'Finals 4'!$I25</f>
        <v>Manchester City</v>
      </c>
      <c r="W77" s="12" t="str">
        <f ca="1">'Finals 4'!$K25</f>
        <v>FSV Rauen</v>
      </c>
      <c r="X77" s="12">
        <f ca="1">IF(AA77=1,'Finals 4'!$L25,"")</f>
        <v>19</v>
      </c>
      <c r="Y77" s="35">
        <f ca="1">IF(AA77=1,'Finals 4'!$N25,"")</f>
        <v>25</v>
      </c>
      <c r="Z77" s="34" t="str">
        <f t="shared" ca="1" si="46"/>
        <v>Manchester CityFSV Rauen</v>
      </c>
      <c r="AA77" s="12">
        <f ca="1">IF(AND('Finals 4'!$L25&lt;&gt;"",'Finals 4'!$N25&lt;&gt;"",'Finals 4'!$L25&lt;&gt;'Finals 4'!$N25,OR(AND('Finals 4'!$O25="",'Finals 4'!$Q25=""),AND('Finals 4'!$O25&lt;&gt;"",'Finals 4'!$Q25&lt;&gt;"",'Finals 4'!$O25&lt;&gt;'Finals 4'!$Q25)),'Finals 4'!$I25&lt;&gt;"",'Finals 4'!$K25&lt;&gt;"",'Finals 4'!$I25&lt;&gt;'Finals 4'!$K25),1,0)</f>
        <v>1</v>
      </c>
      <c r="AB77" s="12" t="str">
        <f ca="1">IF(AA77&gt;0,X77&amp;Language!$E$96&amp;Y77,"")</f>
        <v>19-25</v>
      </c>
      <c r="AD77" s="143"/>
      <c r="AE77" s="148">
        <f t="shared" ca="1" si="44"/>
        <v>1</v>
      </c>
      <c r="AF77" s="143">
        <f t="shared" ca="1" si="45"/>
        <v>1</v>
      </c>
      <c r="AG77" s="148">
        <f ca="1">IF(AA77=1,'Finals 4'!$O25,"")</f>
        <v>25</v>
      </c>
      <c r="AH77" s="12">
        <f ca="1">IF(AA77=1,'Finals 4'!$Q25,"")</f>
        <v>21</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4'!$I26</f>
        <v>Kickers Rodendorf</v>
      </c>
      <c r="W78" s="12" t="str">
        <f ca="1">'Finals 4'!$K26</f>
        <v>FC Grönlingen</v>
      </c>
      <c r="X78" s="12">
        <f ca="1">IF(AA78=1,'Finals 4'!$L26,"")</f>
        <v>17</v>
      </c>
      <c r="Y78" s="35">
        <f ca="1">IF(AA78=1,'Finals 4'!$N26,"")</f>
        <v>25</v>
      </c>
      <c r="Z78" s="34" t="str">
        <f t="shared" ca="1" si="46"/>
        <v>Kickers RodendorfFC Grönlingen</v>
      </c>
      <c r="AA78" s="12">
        <f ca="1">IF(AND('Finals 4'!$L26&lt;&gt;"",'Finals 4'!$N26&lt;&gt;"",'Finals 4'!$L26&lt;&gt;'Finals 4'!$N26,OR(AND('Finals 4'!$O26="",'Finals 4'!$Q26=""),AND('Finals 4'!$O26&lt;&gt;"",'Finals 4'!$Q26&lt;&gt;"",'Finals 4'!$O26&lt;&gt;'Finals 4'!$Q26)),'Finals 4'!$I26&lt;&gt;"",'Finals 4'!$K26&lt;&gt;"",'Finals 4'!$I26&lt;&gt;'Finals 4'!$K26),1,0)</f>
        <v>1</v>
      </c>
      <c r="AB78" s="12" t="str">
        <f ca="1">IF(AA78&gt;0,X78&amp;Language!$E$96&amp;Y78,"")</f>
        <v>17-25</v>
      </c>
      <c r="AD78" s="143"/>
      <c r="AE78" s="148">
        <f t="shared" ca="1" si="44"/>
        <v>0</v>
      </c>
      <c r="AF78" s="143">
        <f t="shared" ca="1" si="45"/>
        <v>2</v>
      </c>
      <c r="AG78" s="148">
        <f ca="1">IF(AA78=1,'Finals 4'!$O26,"")</f>
        <v>12</v>
      </c>
      <c r="AH78" s="12">
        <f ca="1">IF(AA78=1,'Finals 4'!$Q26,"")</f>
        <v>25</v>
      </c>
      <c r="AI78" s="143" t="str">
        <f ca="1">IF(AA78&gt;0,AE78&amp;Language!$E$96&amp;AF78,"")</f>
        <v>0-2</v>
      </c>
    </row>
    <row r="79" spans="2:43" s="2" customFormat="1" x14ac:dyDescent="0.2">
      <c r="B79" s="3"/>
      <c r="C79" s="3"/>
      <c r="D79" s="3"/>
      <c r="E79" s="3"/>
      <c r="F79" s="12"/>
      <c r="G79" s="12"/>
      <c r="H79" s="12"/>
      <c r="I79" s="12"/>
      <c r="J79" s="12"/>
      <c r="K79" s="12"/>
      <c r="L79" s="12"/>
      <c r="M79" s="12"/>
      <c r="U79" s="66" t="s">
        <v>30</v>
      </c>
      <c r="V79" s="40" t="str">
        <f ca="1">'Finals 4'!$I27</f>
        <v>VFB Essenheim</v>
      </c>
      <c r="W79" s="12" t="str">
        <f ca="1">'Finals 4'!$K27</f>
        <v>Eintracht Frankfurt</v>
      </c>
      <c r="X79" s="12">
        <f ca="1">IF(AA79=1,'Finals 4'!$L27,"")</f>
        <v>14</v>
      </c>
      <c r="Y79" s="35">
        <f ca="1">IF(AA79=1,'Finals 4'!$N27,"")</f>
        <v>25</v>
      </c>
      <c r="Z79" s="34" t="str">
        <f t="shared" ca="1" si="46"/>
        <v>VFB EssenheimEintracht Frankfurt</v>
      </c>
      <c r="AA79" s="12">
        <f ca="1">IF(AND('Finals 4'!$L27&lt;&gt;"",'Finals 4'!$N27&lt;&gt;"",'Finals 4'!$L27&lt;&gt;'Finals 4'!$N27,OR(AND('Finals 4'!$O27="",'Finals 4'!$Q27=""),AND('Finals 4'!$O27&lt;&gt;"",'Finals 4'!$Q27&lt;&gt;"",'Finals 4'!$O27&lt;&gt;'Finals 4'!$Q27)),'Finals 4'!$I27&lt;&gt;"",'Finals 4'!$K27&lt;&gt;"",'Finals 4'!$I27&lt;&gt;'Finals 4'!$K27),1,0)</f>
        <v>1</v>
      </c>
      <c r="AB79" s="12" t="str">
        <f ca="1">IF(AA79&gt;0,X79&amp;Language!$E$96&amp;Y79,"")</f>
        <v>14-25</v>
      </c>
      <c r="AD79" s="143"/>
      <c r="AE79" s="148">
        <f t="shared" ca="1" si="44"/>
        <v>1</v>
      </c>
      <c r="AF79" s="143">
        <f t="shared" ca="1" si="45"/>
        <v>1</v>
      </c>
      <c r="AG79" s="148">
        <f ca="1">IF(AA79=1,'Finals 4'!$O27,"")</f>
        <v>25</v>
      </c>
      <c r="AH79" s="12">
        <f ca="1">IF(AA79=1,'Finals 4'!$Q27,"")</f>
        <v>23</v>
      </c>
      <c r="AI79" s="143" t="str">
        <f ca="1">IF(AA79&gt;0,AE79&amp;Language!$E$96&amp;AF79,"")</f>
        <v>1-1</v>
      </c>
    </row>
    <row r="80" spans="2:43" s="2" customFormat="1" x14ac:dyDescent="0.2">
      <c r="B80" s="3"/>
      <c r="C80" s="3"/>
      <c r="D80" s="3"/>
      <c r="E80" s="3"/>
      <c r="F80" s="12"/>
      <c r="G80" s="12"/>
      <c r="H80" s="12"/>
      <c r="I80" s="12"/>
      <c r="J80" s="12"/>
      <c r="K80" s="12"/>
      <c r="L80" s="12"/>
      <c r="M80" s="12"/>
      <c r="U80" s="66" t="s">
        <v>31</v>
      </c>
      <c r="V80" s="40" t="str">
        <f ca="1">'Finals 4'!$I28</f>
        <v>FC Barcelona</v>
      </c>
      <c r="W80" s="12" t="str">
        <f ca="1">'Finals 4'!$K28</f>
        <v>Borussia Dortmund</v>
      </c>
      <c r="X80" s="12">
        <f ca="1">IF(AA80=1,'Finals 4'!$L28,"")</f>
        <v>21</v>
      </c>
      <c r="Y80" s="35">
        <f ca="1">IF(AA80=1,'Finals 4'!$N28,"")</f>
        <v>25</v>
      </c>
      <c r="Z80" s="34" t="str">
        <f t="shared" ca="1" si="46"/>
        <v>FC BarcelonaBorussia Dortmund</v>
      </c>
      <c r="AA80" s="12">
        <f ca="1">IF(AND('Finals 4'!$L28&lt;&gt;"",'Finals 4'!$N28&lt;&gt;"",'Finals 4'!$L28&lt;&gt;'Finals 4'!$N28,OR(AND('Finals 4'!$O28="",'Finals 4'!$Q28=""),AND('Finals 4'!$O28&lt;&gt;"",'Finals 4'!$Q28&lt;&gt;"",'Finals 4'!$O28&lt;&gt;'Finals 4'!$Q28)),'Finals 4'!$I28&lt;&gt;"",'Finals 4'!$K28&lt;&gt;"",'Finals 4'!$I28&lt;&gt;'Finals 4'!$K28),1,0)</f>
        <v>1</v>
      </c>
      <c r="AB80" s="12" t="str">
        <f ca="1">IF(AA80&gt;0,X80&amp;Language!$E$96&amp;Y80,"")</f>
        <v>21-25</v>
      </c>
      <c r="AD80" s="143"/>
      <c r="AE80" s="148">
        <f t="shared" ca="1" si="44"/>
        <v>1</v>
      </c>
      <c r="AF80" s="143">
        <f t="shared" ca="1" si="45"/>
        <v>1</v>
      </c>
      <c r="AG80" s="148">
        <f ca="1">IF(AA80=1,'Finals 4'!$O28,"")</f>
        <v>25</v>
      </c>
      <c r="AH80" s="12">
        <f ca="1">IF(AA80=1,'Finals 4'!$Q28,"")</f>
        <v>17</v>
      </c>
      <c r="AI80" s="143" t="str">
        <f ca="1">IF(AA80&gt;0,AE80&amp;Language!$E$96&amp;AF80,"")</f>
        <v>1-1</v>
      </c>
    </row>
    <row r="81" spans="2:35" s="2" customFormat="1" x14ac:dyDescent="0.2">
      <c r="B81" s="3"/>
      <c r="C81" s="3"/>
      <c r="D81" s="3"/>
      <c r="E81" s="3"/>
      <c r="F81" s="12"/>
      <c r="G81" s="12"/>
      <c r="H81" s="12"/>
      <c r="I81" s="12"/>
      <c r="J81" s="12"/>
      <c r="K81" s="12"/>
      <c r="L81" s="12"/>
      <c r="M81" s="12"/>
      <c r="U81" s="66" t="s">
        <v>32</v>
      </c>
      <c r="V81" s="40" t="str">
        <f ca="1">'Finals 4'!$I29</f>
        <v/>
      </c>
      <c r="W81" s="12" t="str">
        <f ca="1">'Finals 4'!$K29</f>
        <v>Manchester City</v>
      </c>
      <c r="X81" s="12" t="str">
        <f ca="1">IF(AA81=1,'Finals 4'!$L29,"")</f>
        <v/>
      </c>
      <c r="Y81" s="35" t="str">
        <f ca="1">IF(AA81=1,'Finals 4'!$N29,"")</f>
        <v/>
      </c>
      <c r="Z81" s="34" t="str">
        <f t="shared" ca="1" si="46"/>
        <v>Manchester City</v>
      </c>
      <c r="AA81" s="12">
        <f ca="1">IF(AND('Finals 4'!$L29&lt;&gt;"",'Finals 4'!$N29&lt;&gt;"",'Finals 4'!$L29&lt;&gt;'Finals 4'!$N29,OR(AND('Finals 4'!$O29="",'Finals 4'!$Q29=""),AND('Finals 4'!$O29&lt;&gt;"",'Finals 4'!$Q29&lt;&gt;"",'Finals 4'!$O29&lt;&gt;'Finals 4'!$Q29)),'Finals 4'!$I29&lt;&gt;"",'Finals 4'!$K29&lt;&gt;"",'Finals 4'!$I29&lt;&gt;'Finals 4'!$K29),1,0)</f>
        <v>0</v>
      </c>
      <c r="AB81" s="12" t="str">
        <f ca="1">IF(AA81&gt;0,X81&amp;Language!$E$96&amp;Y81,"")</f>
        <v/>
      </c>
      <c r="AD81" s="143"/>
      <c r="AE81" s="148">
        <f t="shared" ca="1" si="44"/>
        <v>0</v>
      </c>
      <c r="AF81" s="143">
        <f t="shared" ca="1" si="45"/>
        <v>0</v>
      </c>
      <c r="AG81" s="148" t="str">
        <f ca="1">IF(AA81=1,'Finals 4'!$O29,"")</f>
        <v/>
      </c>
      <c r="AH81" s="12" t="str">
        <f ca="1">IF(AA81=1,'Finals 4'!$Q29,"")</f>
        <v/>
      </c>
      <c r="AI81" s="143" t="str">
        <f ca="1">IF(AA81&gt;0,AE81&amp;Language!$E$96&amp;AF81,"")</f>
        <v/>
      </c>
    </row>
    <row r="82" spans="2:35" s="2" customFormat="1" x14ac:dyDescent="0.2">
      <c r="B82" s="3"/>
      <c r="C82" s="3"/>
      <c r="D82" s="3"/>
      <c r="E82" s="3"/>
      <c r="F82" s="12"/>
      <c r="G82" s="12"/>
      <c r="H82" s="12"/>
      <c r="I82" s="12"/>
      <c r="J82" s="12"/>
      <c r="K82" s="12"/>
      <c r="L82" s="12"/>
      <c r="M82" s="12"/>
      <c r="U82" s="66" t="s">
        <v>33</v>
      </c>
      <c r="V82" s="40" t="str">
        <f ca="1">'Finals 4'!$I30</f>
        <v>Mainz 05</v>
      </c>
      <c r="W82" s="12" t="str">
        <f ca="1">'Finals 4'!$K30</f>
        <v>Kickers Rodendorf</v>
      </c>
      <c r="X82" s="12">
        <f ca="1">IF(AA82=1,'Finals 4'!$L30,"")</f>
        <v>25</v>
      </c>
      <c r="Y82" s="35">
        <f ca="1">IF(AA82=1,'Finals 4'!$N30,"")</f>
        <v>20</v>
      </c>
      <c r="Z82" s="34" t="str">
        <f t="shared" ca="1" si="46"/>
        <v>Mainz 05Kickers Rodendorf</v>
      </c>
      <c r="AA82" s="12">
        <f ca="1">IF(AND('Finals 4'!$L30&lt;&gt;"",'Finals 4'!$N30&lt;&gt;"",'Finals 4'!$L30&lt;&gt;'Finals 4'!$N30,OR(AND('Finals 4'!$O30="",'Finals 4'!$Q30=""),AND('Finals 4'!$O30&lt;&gt;"",'Finals 4'!$Q30&lt;&gt;"",'Finals 4'!$O30&lt;&gt;'Finals 4'!$Q30)),'Finals 4'!$I30&lt;&gt;"",'Finals 4'!$K30&lt;&gt;"",'Finals 4'!$I30&lt;&gt;'Finals 4'!$K30),1,0)</f>
        <v>1</v>
      </c>
      <c r="AB82" s="12" t="str">
        <f ca="1">IF(AA82&gt;0,X82&amp;Language!$E$96&amp;Y82,"")</f>
        <v>25-20</v>
      </c>
      <c r="AD82" s="143"/>
      <c r="AE82" s="148">
        <f t="shared" ca="1" si="44"/>
        <v>2</v>
      </c>
      <c r="AF82" s="143">
        <f t="shared" ca="1" si="45"/>
        <v>0</v>
      </c>
      <c r="AG82" s="148">
        <f ca="1">IF(AA82=1,'Finals 4'!$O30,"")</f>
        <v>25</v>
      </c>
      <c r="AH82" s="12">
        <f ca="1">IF(AA82=1,'Finals 4'!$Q30,"")</f>
        <v>19</v>
      </c>
      <c r="AI82" s="143" t="str">
        <f ca="1">IF(AA82&gt;0,AE82&amp;Language!$E$96&amp;AF82,"")</f>
        <v>2-0</v>
      </c>
    </row>
    <row r="83" spans="2:35" s="2" customFormat="1" x14ac:dyDescent="0.2">
      <c r="B83" s="3"/>
      <c r="C83" s="3"/>
      <c r="D83" s="3"/>
      <c r="E83" s="3"/>
      <c r="F83" s="12"/>
      <c r="G83" s="12"/>
      <c r="H83" s="12"/>
      <c r="I83" s="12"/>
      <c r="J83" s="12"/>
      <c r="K83" s="12"/>
      <c r="L83" s="12"/>
      <c r="M83" s="12"/>
      <c r="U83" s="66" t="s">
        <v>34</v>
      </c>
      <c r="V83" s="40" t="str">
        <f ca="1">'Finals 4'!$I31</f>
        <v>Real Madrid</v>
      </c>
      <c r="W83" s="12" t="str">
        <f ca="1">'Finals 4'!$K31</f>
        <v>VFB Essenheim</v>
      </c>
      <c r="X83" s="12">
        <f ca="1">IF(AA83=1,'Finals 4'!$L31,"")</f>
        <v>25</v>
      </c>
      <c r="Y83" s="35">
        <f ca="1">IF(AA83=1,'Finals 4'!$N31,"")</f>
        <v>2</v>
      </c>
      <c r="Z83" s="34" t="str">
        <f t="shared" ca="1" si="46"/>
        <v>Real MadridVFB Essenheim</v>
      </c>
      <c r="AA83" s="12">
        <f ca="1">IF(AND('Finals 4'!$L31&lt;&gt;"",'Finals 4'!$N31&lt;&gt;"",'Finals 4'!$L31&lt;&gt;'Finals 4'!$N31,OR(AND('Finals 4'!$O31="",'Finals 4'!$Q31=""),AND('Finals 4'!$O31&lt;&gt;"",'Finals 4'!$Q31&lt;&gt;"",'Finals 4'!$O31&lt;&gt;'Finals 4'!$Q31)),'Finals 4'!$I31&lt;&gt;"",'Finals 4'!$K31&lt;&gt;"",'Finals 4'!$I31&lt;&gt;'Finals 4'!$K31),1,0)</f>
        <v>1</v>
      </c>
      <c r="AB83" s="12" t="str">
        <f ca="1">IF(AA83&gt;0,X83&amp;Language!$E$96&amp;Y83,"")</f>
        <v>25-2</v>
      </c>
      <c r="AD83" s="143"/>
      <c r="AE83" s="148">
        <f t="shared" ca="1" si="44"/>
        <v>2</v>
      </c>
      <c r="AF83" s="143">
        <f t="shared" ca="1" si="45"/>
        <v>0</v>
      </c>
      <c r="AG83" s="148">
        <f ca="1">IF(AA83=1,'Finals 4'!$O31,"")</f>
        <v>25</v>
      </c>
      <c r="AH83" s="12">
        <f ca="1">IF(AA83=1,'Finals 4'!$Q31,"")</f>
        <v>20</v>
      </c>
      <c r="AI83" s="143" t="str">
        <f ca="1">IF(AA83&gt;0,AE83&amp;Language!$E$96&amp;AF83,"")</f>
        <v>2-0</v>
      </c>
    </row>
    <row r="84" spans="2:35" s="2" customFormat="1" x14ac:dyDescent="0.2">
      <c r="B84" s="3"/>
      <c r="C84" s="3"/>
      <c r="D84" s="3"/>
      <c r="E84" s="3"/>
      <c r="F84" s="12"/>
      <c r="G84" s="12"/>
      <c r="H84" s="12"/>
      <c r="I84" s="12"/>
      <c r="J84" s="12"/>
      <c r="K84" s="12"/>
      <c r="L84" s="12"/>
      <c r="M84" s="12"/>
      <c r="U84" s="66" t="s">
        <v>35</v>
      </c>
      <c r="V84" s="40" t="str">
        <f ca="1">'Finals 4'!$I32</f>
        <v>SSV Wildbach</v>
      </c>
      <c r="W84" s="12" t="str">
        <f ca="1">'Finals 4'!$K32</f>
        <v>FC Barcelona</v>
      </c>
      <c r="X84" s="12">
        <f ca="1">IF(AA84=1,'Finals 4'!$L32,"")</f>
        <v>25</v>
      </c>
      <c r="Y84" s="35">
        <f ca="1">IF(AA84=1,'Finals 4'!$N32,"")</f>
        <v>16</v>
      </c>
      <c r="Z84" s="34" t="str">
        <f t="shared" ca="1" si="46"/>
        <v>SSV WildbachFC Barcelona</v>
      </c>
      <c r="AA84" s="12">
        <f ca="1">IF(AND('Finals 4'!$L32&lt;&gt;"",'Finals 4'!$N32&lt;&gt;"",'Finals 4'!$L32&lt;&gt;'Finals 4'!$N32,OR(AND('Finals 4'!$O32="",'Finals 4'!$Q32=""),AND('Finals 4'!$O32&lt;&gt;"",'Finals 4'!$Q32&lt;&gt;"",'Finals 4'!$O32&lt;&gt;'Finals 4'!$Q32)),'Finals 4'!$I32&lt;&gt;"",'Finals 4'!$K32&lt;&gt;"",'Finals 4'!$I32&lt;&gt;'Finals 4'!$K32),1,0)</f>
        <v>1</v>
      </c>
      <c r="AB84" s="12" t="str">
        <f ca="1">IF(AA84&gt;0,X84&amp;Language!$E$96&amp;Y84,"")</f>
        <v>25-16</v>
      </c>
      <c r="AD84" s="143"/>
      <c r="AE84" s="148">
        <f t="shared" ca="1" si="44"/>
        <v>2</v>
      </c>
      <c r="AF84" s="143">
        <f t="shared" ca="1" si="45"/>
        <v>0</v>
      </c>
      <c r="AG84" s="148">
        <f ca="1">IF(AA84=1,'Finals 4'!$O32,"")</f>
        <v>25</v>
      </c>
      <c r="AH84" s="12">
        <f ca="1">IF(AA84=1,'Finals 4'!$Q32,"")</f>
        <v>21</v>
      </c>
      <c r="AI84" s="143" t="str">
        <f ca="1">IF(AA84&gt;0,AE84&amp;Language!$E$96&amp;AF84,"")</f>
        <v>2-0</v>
      </c>
    </row>
    <row r="85" spans="2:35" s="2" customFormat="1" x14ac:dyDescent="0.2">
      <c r="B85" s="3"/>
      <c r="C85" s="3"/>
      <c r="D85" s="3"/>
      <c r="E85" s="3"/>
      <c r="F85" s="12"/>
      <c r="G85" s="12"/>
      <c r="H85" s="12"/>
      <c r="I85" s="12"/>
      <c r="J85" s="12"/>
      <c r="K85" s="12"/>
      <c r="L85" s="12"/>
      <c r="M85" s="12"/>
      <c r="U85" s="66" t="s">
        <v>36</v>
      </c>
      <c r="V85" s="40" t="str">
        <f ca="1">'Finals 4'!$I33</f>
        <v>FSV Rauen</v>
      </c>
      <c r="W85" s="12" t="str">
        <f ca="1">'Finals 4'!$K33</f>
        <v>1. FC Riedwald</v>
      </c>
      <c r="X85" s="12">
        <f ca="1">IF(AA85=1,'Finals 4'!$L33,"")</f>
        <v>25</v>
      </c>
      <c r="Y85" s="35">
        <f ca="1">IF(AA85=1,'Finals 4'!$N33,"")</f>
        <v>2</v>
      </c>
      <c r="Z85" s="34" t="str">
        <f t="shared" ca="1" si="46"/>
        <v>FSV Rauen1. FC Riedwald</v>
      </c>
      <c r="AA85" s="12">
        <f ca="1">IF(AND('Finals 4'!$L33&lt;&gt;"",'Finals 4'!$N33&lt;&gt;"",'Finals 4'!$L33&lt;&gt;'Finals 4'!$N33,OR(AND('Finals 4'!$O33="",'Finals 4'!$Q33=""),AND('Finals 4'!$O33&lt;&gt;"",'Finals 4'!$Q33&lt;&gt;"",'Finals 4'!$O33&lt;&gt;'Finals 4'!$Q33)),'Finals 4'!$I33&lt;&gt;"",'Finals 4'!$K33&lt;&gt;"",'Finals 4'!$I33&lt;&gt;'Finals 4'!$K33),1,0)</f>
        <v>1</v>
      </c>
      <c r="AB85" s="12" t="str">
        <f ca="1">IF(AA85&gt;0,X85&amp;Language!$E$96&amp;Y85,"")</f>
        <v>25-2</v>
      </c>
      <c r="AD85" s="143"/>
      <c r="AE85" s="148">
        <f t="shared" ca="1" si="44"/>
        <v>2</v>
      </c>
      <c r="AF85" s="143">
        <f t="shared" ca="1" si="45"/>
        <v>0</v>
      </c>
      <c r="AG85" s="148">
        <f ca="1">IF(AA85=1,'Finals 4'!$O33,"")</f>
        <v>25</v>
      </c>
      <c r="AH85" s="12">
        <f ca="1">IF(AA85=1,'Finals 4'!$Q33,"")</f>
        <v>22</v>
      </c>
      <c r="AI85" s="143" t="str">
        <f ca="1">IF(AA85&gt;0,AE85&amp;Language!$E$96&amp;AF85,"")</f>
        <v>2-0</v>
      </c>
    </row>
    <row r="86" spans="2:35" s="2" customFormat="1" x14ac:dyDescent="0.2">
      <c r="B86" s="3"/>
      <c r="C86" s="3"/>
      <c r="D86" s="3"/>
      <c r="E86" s="3"/>
      <c r="F86" s="12"/>
      <c r="G86" s="12"/>
      <c r="H86" s="12"/>
      <c r="I86" s="12"/>
      <c r="J86" s="12"/>
      <c r="K86" s="12"/>
      <c r="L86" s="12"/>
      <c r="M86" s="12"/>
      <c r="U86" s="66" t="s">
        <v>37</v>
      </c>
      <c r="V86" s="40" t="str">
        <f ca="1">'Finals 4'!$I34</f>
        <v>FC Grönlingen</v>
      </c>
      <c r="W86" s="12" t="str">
        <f ca="1">'Finals 4'!$K34</f>
        <v>Maibach 1822 eV</v>
      </c>
      <c r="X86" s="12">
        <f ca="1">IF(AA86=1,'Finals 4'!$L34,"")</f>
        <v>13</v>
      </c>
      <c r="Y86" s="35">
        <f ca="1">IF(AA86=1,'Finals 4'!$N34,"")</f>
        <v>25</v>
      </c>
      <c r="Z86" s="34" t="str">
        <f t="shared" ca="1" si="46"/>
        <v>FC GrönlingenMaibach 1822 eV</v>
      </c>
      <c r="AA86" s="12">
        <f ca="1">IF(AND('Finals 4'!$L34&lt;&gt;"",'Finals 4'!$N34&lt;&gt;"",'Finals 4'!$L34&lt;&gt;'Finals 4'!$N34,OR(AND('Finals 4'!$O34="",'Finals 4'!$Q34=""),AND('Finals 4'!$O34&lt;&gt;"",'Finals 4'!$Q34&lt;&gt;"",'Finals 4'!$O34&lt;&gt;'Finals 4'!$Q34)),'Finals 4'!$I34&lt;&gt;"",'Finals 4'!$K34&lt;&gt;"",'Finals 4'!$I34&lt;&gt;'Finals 4'!$K34),1,0)</f>
        <v>1</v>
      </c>
      <c r="AB86" s="12" t="str">
        <f ca="1">IF(AA86&gt;0,X86&amp;Language!$E$96&amp;Y86,"")</f>
        <v>13-25</v>
      </c>
      <c r="AD86" s="143"/>
      <c r="AE86" s="148">
        <f t="shared" ca="1" si="44"/>
        <v>1</v>
      </c>
      <c r="AF86" s="143">
        <f t="shared" ca="1" si="45"/>
        <v>1</v>
      </c>
      <c r="AG86" s="148">
        <f ca="1">IF(AA86=1,'Finals 4'!$O34,"")</f>
        <v>25</v>
      </c>
      <c r="AH86" s="12">
        <f ca="1">IF(AA86=1,'Finals 4'!$Q34,"")</f>
        <v>11</v>
      </c>
      <c r="AI86" s="143" t="str">
        <f ca="1">IF(AA86&gt;0,AE86&amp;Language!$E$96&amp;AF86,"")</f>
        <v>1-1</v>
      </c>
    </row>
    <row r="87" spans="2:35" s="2" customFormat="1" ht="12.75" thickBot="1" x14ac:dyDescent="0.25">
      <c r="B87" s="3"/>
      <c r="C87" s="3"/>
      <c r="D87" s="3"/>
      <c r="E87" s="3"/>
      <c r="F87" s="12"/>
      <c r="G87" s="12"/>
      <c r="H87" s="12"/>
      <c r="I87" s="12"/>
      <c r="J87" s="12"/>
      <c r="K87" s="12"/>
      <c r="L87" s="12"/>
      <c r="M87" s="12"/>
      <c r="U87" s="66" t="s">
        <v>38</v>
      </c>
      <c r="V87" s="40" t="str">
        <f ca="1">'Finals 4'!$I35</f>
        <v>Eintracht Frankfurt</v>
      </c>
      <c r="W87" s="12" t="str">
        <f ca="1">'Finals 4'!$K35</f>
        <v>1. FC Nürnberg</v>
      </c>
      <c r="X87" s="12">
        <f ca="1">IF(AA87=1,'Finals 4'!$L35,"")</f>
        <v>19</v>
      </c>
      <c r="Y87" s="35">
        <f ca="1">IF(AA87=1,'Finals 4'!$N35,"")</f>
        <v>25</v>
      </c>
      <c r="Z87" s="34" t="str">
        <f t="shared" ca="1" si="46"/>
        <v>Eintracht Frankfurt1. FC Nürnberg</v>
      </c>
      <c r="AA87" s="686">
        <f ca="1">IF(AND('Finals 4'!$L35&lt;&gt;"",'Finals 4'!$N35&lt;&gt;"",'Finals 4'!$L35&lt;&gt;'Finals 4'!$N35,OR(AND('Finals 4'!$O35="",'Finals 4'!$Q35=""),AND('Finals 4'!$O35&lt;&gt;"",'Finals 4'!$Q35&lt;&gt;"",'Finals 4'!$O35&lt;&gt;'Finals 4'!$Q35)),'Finals 4'!$I35&lt;&gt;"",'Finals 4'!$K35&lt;&gt;"",'Finals 4'!$I35&lt;&gt;'Finals 4'!$K35),1,0)</f>
        <v>1</v>
      </c>
      <c r="AB87" s="12" t="str">
        <f ca="1">IF(AA87&gt;0,X87&amp;Language!$E$96&amp;Y87,"")</f>
        <v>19-25</v>
      </c>
      <c r="AD87" s="143"/>
      <c r="AE87" s="148">
        <f t="shared" ca="1" si="44"/>
        <v>1</v>
      </c>
      <c r="AF87" s="143">
        <f t="shared" ca="1" si="45"/>
        <v>1</v>
      </c>
      <c r="AG87" s="148">
        <f ca="1">IF(AA87=1,'Finals 4'!$O35,"")</f>
        <v>25</v>
      </c>
      <c r="AH87" s="12">
        <f ca="1">IF(AA87=1,'Finals 4'!$Q35,"")</f>
        <v>17</v>
      </c>
      <c r="AI87" s="143" t="str">
        <f ca="1">IF(AA87&gt;0,AE87&amp;Language!$E$96&amp;AF87,"")</f>
        <v>1-1</v>
      </c>
    </row>
    <row r="88" spans="2:35" s="2" customFormat="1" ht="13.5" thickTop="1" thickBot="1" x14ac:dyDescent="0.25">
      <c r="B88" s="3"/>
      <c r="C88" s="3"/>
      <c r="D88" s="3"/>
      <c r="E88" s="3"/>
      <c r="F88" s="12"/>
      <c r="G88" s="12"/>
      <c r="H88" s="12"/>
      <c r="I88" s="12"/>
      <c r="J88" s="12"/>
      <c r="K88" s="12"/>
      <c r="L88" s="12"/>
      <c r="M88" s="12"/>
      <c r="U88" s="684" t="s">
        <v>39</v>
      </c>
      <c r="V88" s="738" t="str">
        <f ca="1">'Finals 4'!$I36</f>
        <v>Borussia Dortmund</v>
      </c>
      <c r="W88" s="686" t="str">
        <f ca="1">'Finals 4'!$K36</f>
        <v>Inter Mailand</v>
      </c>
      <c r="X88" s="686">
        <f ca="1">IF(AA88=1,'Finals 4'!$L36,"")</f>
        <v>17</v>
      </c>
      <c r="Y88" s="739">
        <f ca="1">IF(AA88=1,'Finals 4'!$N36,"")</f>
        <v>25</v>
      </c>
      <c r="Z88" s="685" t="str">
        <f t="shared" ca="1" si="46"/>
        <v>Borussia DortmundInter Mailand</v>
      </c>
      <c r="AA88" s="686">
        <f ca="1">IF(AND('Finals 4'!$L36&lt;&gt;"",'Finals 4'!$N36&lt;&gt;"",'Finals 4'!$L36&lt;&gt;'Finals 4'!$N36,OR(AND('Finals 4'!$O36="",'Finals 4'!$Q36=""),AND('Finals 4'!$O36&lt;&gt;"",'Finals 4'!$Q36&lt;&gt;"",'Finals 4'!$N36&lt;&gt;'Finals 4'!$Q36)),'Finals 4'!$I36&lt;&gt;"",'Finals 4'!$K36&lt;&gt;"",'Finals 4'!$I36&lt;&gt;'Finals 4'!$K36),1,0)</f>
        <v>1</v>
      </c>
      <c r="AB88" s="686" t="str">
        <f ca="1">IF(AA88&gt;0,X88&amp;Language!$E$96&amp;Y88,"")</f>
        <v>17-25</v>
      </c>
      <c r="AC88" s="687"/>
      <c r="AD88" s="688"/>
      <c r="AE88" s="722">
        <f t="shared" ca="1" si="44"/>
        <v>1</v>
      </c>
      <c r="AF88" s="688">
        <f t="shared" ca="1" si="45"/>
        <v>1</v>
      </c>
      <c r="AG88" s="722">
        <f ca="1">IF(AA88=1,'Finals 4'!$O36,"")</f>
        <v>25</v>
      </c>
      <c r="AH88" s="686">
        <f ca="1">IF(AA88=1,'Finals 4'!$Q36,"")</f>
        <v>16</v>
      </c>
      <c r="AI88" s="688" t="str">
        <f ca="1">IF(AA88&gt;0,AE88&amp;Language!$E$96&amp;AF88,"")</f>
        <v>1-1</v>
      </c>
    </row>
    <row r="89" spans="2:35" s="2" customFormat="1" ht="12.75" thickTop="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FSV Rauen</v>
      </c>
      <c r="AA137" s="12">
        <f t="shared" ref="AA137:AA160" ca="1" si="47">AA65</f>
        <v>0</v>
      </c>
      <c r="AB137" s="12" t="str">
        <f ca="1">IF(AA137&gt;0,Y65&amp;Language!$E$96&amp;X65,"")</f>
        <v/>
      </c>
      <c r="AC137" s="2"/>
      <c r="AD137" s="143"/>
      <c r="AE137" s="709"/>
      <c r="AF137" s="710"/>
      <c r="AG137" s="710"/>
      <c r="AH137" s="710"/>
      <c r="AI137" s="711" t="str">
        <f ca="1">IF(AA65&gt;0,AF65&amp;Language!$E$96&amp;AE65,"")</f>
        <v/>
      </c>
    </row>
    <row r="138" spans="2:35" x14ac:dyDescent="0.2">
      <c r="Y138" s="66" t="s">
        <v>8</v>
      </c>
      <c r="Z138" s="34" t="str">
        <f t="shared" ref="Z138:Z160" ca="1" si="48">W66&amp;V66</f>
        <v>Mainz 05FC Grönlingen</v>
      </c>
      <c r="AA138" s="12">
        <f t="shared" ca="1" si="47"/>
        <v>1</v>
      </c>
      <c r="AB138" s="12" t="str">
        <f ca="1">IF(AA138&gt;0,Y66&amp;Language!$E$96&amp;X66,"")</f>
        <v>25-19</v>
      </c>
      <c r="AC138" s="2"/>
      <c r="AD138" s="143"/>
      <c r="AE138" s="709"/>
      <c r="AF138" s="710"/>
      <c r="AG138" s="710"/>
      <c r="AH138" s="710"/>
      <c r="AI138" s="711" t="str">
        <f ca="1">IF(AA66&gt;0,AF66&amp;Language!$E$96&amp;AE66,"")</f>
        <v>2-0</v>
      </c>
    </row>
    <row r="139" spans="2:35" x14ac:dyDescent="0.2">
      <c r="Y139" s="66" t="s">
        <v>9</v>
      </c>
      <c r="Z139" s="34" t="str">
        <f t="shared" ca="1" si="48"/>
        <v>Real MadridEintracht Frankfurt</v>
      </c>
      <c r="AA139" s="12">
        <f t="shared" ca="1" si="47"/>
        <v>1</v>
      </c>
      <c r="AB139" s="12" t="str">
        <f ca="1">IF(AA139&gt;0,Y67&amp;Language!$E$96&amp;X67,"")</f>
        <v>20-25</v>
      </c>
      <c r="AC139" s="2"/>
      <c r="AD139" s="143"/>
      <c r="AE139" s="709"/>
      <c r="AF139" s="710"/>
      <c r="AG139" s="710"/>
      <c r="AH139" s="710"/>
      <c r="AI139" s="711" t="str">
        <f ca="1">IF(AA67&gt;0,AF67&amp;Language!$E$96&amp;AE67,"")</f>
        <v>1-1</v>
      </c>
    </row>
    <row r="140" spans="2:35" x14ac:dyDescent="0.2">
      <c r="Y140" s="66" t="s">
        <v>10</v>
      </c>
      <c r="Z140" s="34" t="str">
        <f t="shared" ca="1" si="48"/>
        <v>SSV WildbachBorussia Dortmund</v>
      </c>
      <c r="AA140" s="12">
        <f t="shared" ca="1" si="47"/>
        <v>1</v>
      </c>
      <c r="AB140" s="12" t="str">
        <f ca="1">IF(AA140&gt;0,Y68&amp;Language!$E$96&amp;X68,"")</f>
        <v>21-25</v>
      </c>
      <c r="AC140" s="2"/>
      <c r="AD140" s="143"/>
      <c r="AE140" s="709"/>
      <c r="AF140" s="710"/>
      <c r="AG140" s="710"/>
      <c r="AH140" s="710"/>
      <c r="AI140" s="711" t="str">
        <f ca="1">IF(AA68&gt;0,AF68&amp;Language!$E$96&amp;AE68,"")</f>
        <v>0-2</v>
      </c>
    </row>
    <row r="141" spans="2:35" x14ac:dyDescent="0.2">
      <c r="Y141" s="66" t="s">
        <v>11</v>
      </c>
      <c r="Z141" s="34" t="str">
        <f t="shared" ca="1" si="48"/>
        <v>Manchester City1. FC Riedwald</v>
      </c>
      <c r="AA141" s="12">
        <f t="shared" ca="1" si="47"/>
        <v>1</v>
      </c>
      <c r="AB141" s="12" t="str">
        <f ca="1">IF(AA141&gt;0,Y69&amp;Language!$E$96&amp;X69,"")</f>
        <v>22-25</v>
      </c>
      <c r="AC141" s="2"/>
      <c r="AD141" s="143"/>
      <c r="AE141" s="709"/>
      <c r="AF141" s="710"/>
      <c r="AG141" s="710"/>
      <c r="AH141" s="710"/>
      <c r="AI141" s="711" t="str">
        <f ca="1">IF(AA69&gt;0,AF69&amp;Language!$E$96&amp;AE69,"")</f>
        <v>0-2</v>
      </c>
    </row>
    <row r="142" spans="2:35" x14ac:dyDescent="0.2">
      <c r="Y142" s="66" t="s">
        <v>16</v>
      </c>
      <c r="Z142" s="34" t="str">
        <f t="shared" ca="1" si="48"/>
        <v>Kickers RodendorfMaibach 1822 eV</v>
      </c>
      <c r="AA142" s="12">
        <f t="shared" ca="1" si="47"/>
        <v>1</v>
      </c>
      <c r="AB142" s="12" t="str">
        <f ca="1">IF(AA142&gt;0,Y70&amp;Language!$E$96&amp;X70,"")</f>
        <v>23-25</v>
      </c>
      <c r="AC142" s="2"/>
      <c r="AD142" s="143"/>
      <c r="AE142" s="709"/>
      <c r="AF142" s="710"/>
      <c r="AG142" s="710"/>
      <c r="AH142" s="710"/>
      <c r="AI142" s="711" t="str">
        <f ca="1">IF(AA70&gt;0,AF70&amp;Language!$E$96&amp;AE70,"")</f>
        <v>0-2</v>
      </c>
    </row>
    <row r="143" spans="2:35" x14ac:dyDescent="0.2">
      <c r="Y143" s="66" t="s">
        <v>17</v>
      </c>
      <c r="Z143" s="34" t="str">
        <f t="shared" ca="1" si="48"/>
        <v>VFB Essenheim1. FC Nürnberg</v>
      </c>
      <c r="AA143" s="12">
        <f t="shared" ca="1" si="47"/>
        <v>1</v>
      </c>
      <c r="AB143" s="12" t="str">
        <f ca="1">IF(AA143&gt;0,Y71&amp;Language!$E$96&amp;X71,"")</f>
        <v>17-25</v>
      </c>
      <c r="AC143" s="2"/>
      <c r="AD143" s="143"/>
      <c r="AE143" s="709"/>
      <c r="AF143" s="710"/>
      <c r="AG143" s="710"/>
      <c r="AH143" s="710"/>
      <c r="AI143" s="711" t="str">
        <f ca="1">IF(AA71&gt;0,AF71&amp;Language!$E$96&amp;AE71,"")</f>
        <v>0-2</v>
      </c>
    </row>
    <row r="144" spans="2:35" x14ac:dyDescent="0.2">
      <c r="Y144" s="66" t="s">
        <v>18</v>
      </c>
      <c r="Z144" s="34" t="str">
        <f t="shared" ca="1" si="48"/>
        <v>FC BarcelonaInter Mailand</v>
      </c>
      <c r="AA144" s="12">
        <f t="shared" ca="1" si="47"/>
        <v>1</v>
      </c>
      <c r="AB144" s="12" t="str">
        <f ca="1">IF(AA144&gt;0,Y72&amp;Language!$E$96&amp;X72,"")</f>
        <v>25-23</v>
      </c>
      <c r="AC144" s="2"/>
      <c r="AD144" s="143"/>
      <c r="AE144" s="709"/>
      <c r="AF144" s="710"/>
      <c r="AG144" s="710"/>
      <c r="AH144" s="710"/>
      <c r="AI144" s="711" t="str">
        <f ca="1">IF(AA72&gt;0,AF72&amp;Language!$E$96&amp;AE72,"")</f>
        <v>2-0</v>
      </c>
    </row>
    <row r="145" spans="25:35" x14ac:dyDescent="0.2">
      <c r="Y145" s="66" t="s">
        <v>24</v>
      </c>
      <c r="Z145" s="34" t="str">
        <f t="shared" ca="1" si="48"/>
        <v>1. FC Riedwald</v>
      </c>
      <c r="AA145" s="12">
        <f t="shared" ca="1" si="47"/>
        <v>0</v>
      </c>
      <c r="AB145" s="12" t="str">
        <f ca="1">IF(AA145&gt;0,Y73&amp;Language!$E$96&amp;X73,"")</f>
        <v/>
      </c>
      <c r="AC145" s="2"/>
      <c r="AD145" s="143"/>
      <c r="AE145" s="709"/>
      <c r="AF145" s="710"/>
      <c r="AG145" s="710"/>
      <c r="AH145" s="710"/>
      <c r="AI145" s="711" t="str">
        <f ca="1">IF(AA73&gt;0,AF73&amp;Language!$E$96&amp;AE73,"")</f>
        <v/>
      </c>
    </row>
    <row r="146" spans="25:35" x14ac:dyDescent="0.2">
      <c r="Y146" s="66" t="s">
        <v>25</v>
      </c>
      <c r="Z146" s="34" t="str">
        <f t="shared" ca="1" si="48"/>
        <v>Maibach 1822 eVMainz 05</v>
      </c>
      <c r="AA146" s="12">
        <f t="shared" ca="1" si="47"/>
        <v>1</v>
      </c>
      <c r="AB146" s="12" t="str">
        <f ca="1">IF(AA146&gt;0,Y74&amp;Language!$E$96&amp;X74,"")</f>
        <v>25-16</v>
      </c>
      <c r="AC146" s="2"/>
      <c r="AD146" s="143"/>
      <c r="AE146" s="709"/>
      <c r="AF146" s="710"/>
      <c r="AG146" s="710"/>
      <c r="AH146" s="710"/>
      <c r="AI146" s="711" t="str">
        <f ca="1">IF(AA74&gt;0,AF74&amp;Language!$E$96&amp;AE74,"")</f>
        <v>1-1</v>
      </c>
    </row>
    <row r="147" spans="25:35" x14ac:dyDescent="0.2">
      <c r="Y147" s="66" t="s">
        <v>26</v>
      </c>
      <c r="Z147" s="34" t="str">
        <f t="shared" ca="1" si="48"/>
        <v>1. FC NürnbergReal Madrid</v>
      </c>
      <c r="AA147" s="12">
        <f t="shared" ca="1" si="47"/>
        <v>1</v>
      </c>
      <c r="AB147" s="12" t="str">
        <f ca="1">IF(AA147&gt;0,Y75&amp;Language!$E$96&amp;X75,"")</f>
        <v>25-14</v>
      </c>
      <c r="AC147" s="2"/>
      <c r="AD147" s="143"/>
      <c r="AE147" s="709"/>
      <c r="AF147" s="710"/>
      <c r="AG147" s="710"/>
      <c r="AH147" s="710"/>
      <c r="AI147" s="711" t="str">
        <f ca="1">IF(AA75&gt;0,AF75&amp;Language!$E$96&amp;AE75,"")</f>
        <v>1-1</v>
      </c>
    </row>
    <row r="148" spans="25:35" x14ac:dyDescent="0.2">
      <c r="Y148" s="66" t="s">
        <v>27</v>
      </c>
      <c r="Z148" s="34" t="str">
        <f t="shared" ca="1" si="48"/>
        <v>Inter MailandSSV Wildbach</v>
      </c>
      <c r="AA148" s="12">
        <f t="shared" ca="1" si="47"/>
        <v>1</v>
      </c>
      <c r="AB148" s="12" t="str">
        <f ca="1">IF(AA148&gt;0,Y76&amp;Language!$E$96&amp;X76,"")</f>
        <v>25-22</v>
      </c>
      <c r="AC148" s="2"/>
      <c r="AD148" s="143"/>
      <c r="AE148" s="709"/>
      <c r="AF148" s="710"/>
      <c r="AG148" s="710"/>
      <c r="AH148" s="710"/>
      <c r="AI148" s="711" t="str">
        <f ca="1">IF(AA76&gt;0,AF76&amp;Language!$E$96&amp;AE76,"")</f>
        <v>1-1</v>
      </c>
    </row>
    <row r="149" spans="25:35" x14ac:dyDescent="0.2">
      <c r="Y149" s="66" t="s">
        <v>28</v>
      </c>
      <c r="Z149" s="34" t="str">
        <f t="shared" ca="1" si="48"/>
        <v>FSV RauenManchester City</v>
      </c>
      <c r="AA149" s="12">
        <f t="shared" ca="1" si="47"/>
        <v>1</v>
      </c>
      <c r="AB149" s="12" t="str">
        <f ca="1">IF(AA149&gt;0,Y77&amp;Language!$E$96&amp;X77,"")</f>
        <v>25-19</v>
      </c>
      <c r="AC149" s="2"/>
      <c r="AD149" s="143"/>
      <c r="AE149" s="709"/>
      <c r="AF149" s="710"/>
      <c r="AG149" s="710"/>
      <c r="AH149" s="710"/>
      <c r="AI149" s="711" t="str">
        <f ca="1">IF(AA77&gt;0,AF77&amp;Language!$E$96&amp;AE77,"")</f>
        <v>1-1</v>
      </c>
    </row>
    <row r="150" spans="25:35" x14ac:dyDescent="0.2">
      <c r="Y150" s="66" t="s">
        <v>29</v>
      </c>
      <c r="Z150" s="34" t="str">
        <f t="shared" ca="1" si="48"/>
        <v>FC GrönlingenKickers Rodendorf</v>
      </c>
      <c r="AA150" s="12">
        <f t="shared" ca="1" si="47"/>
        <v>1</v>
      </c>
      <c r="AB150" s="12" t="str">
        <f ca="1">IF(AA150&gt;0,Y78&amp;Language!$E$96&amp;X78,"")</f>
        <v>25-17</v>
      </c>
      <c r="AC150" s="2"/>
      <c r="AD150" s="143"/>
      <c r="AE150" s="709"/>
      <c r="AF150" s="710"/>
      <c r="AG150" s="710"/>
      <c r="AH150" s="710"/>
      <c r="AI150" s="711" t="str">
        <f ca="1">IF(AA78&gt;0,AF78&amp;Language!$E$96&amp;AE78,"")</f>
        <v>2-0</v>
      </c>
    </row>
    <row r="151" spans="25:35" x14ac:dyDescent="0.2">
      <c r="Y151" s="66" t="s">
        <v>30</v>
      </c>
      <c r="Z151" s="34" t="str">
        <f t="shared" ca="1" si="48"/>
        <v>Eintracht FrankfurtVFB Essenheim</v>
      </c>
      <c r="AA151" s="12">
        <f t="shared" ca="1" si="47"/>
        <v>1</v>
      </c>
      <c r="AB151" s="12" t="str">
        <f ca="1">IF(AA151&gt;0,Y79&amp;Language!$E$96&amp;X79,"")</f>
        <v>25-14</v>
      </c>
      <c r="AC151" s="2"/>
      <c r="AD151" s="143"/>
      <c r="AE151" s="709"/>
      <c r="AF151" s="710"/>
      <c r="AG151" s="710"/>
      <c r="AH151" s="710"/>
      <c r="AI151" s="711" t="str">
        <f ca="1">IF(AA79&gt;0,AF79&amp;Language!$E$96&amp;AE79,"")</f>
        <v>1-1</v>
      </c>
    </row>
    <row r="152" spans="25:35" x14ac:dyDescent="0.2">
      <c r="Y152" s="66" t="s">
        <v>31</v>
      </c>
      <c r="Z152" s="34" t="str">
        <f t="shared" ca="1" si="48"/>
        <v>Borussia DortmundFC Barcelona</v>
      </c>
      <c r="AA152" s="12">
        <f t="shared" ca="1" si="47"/>
        <v>1</v>
      </c>
      <c r="AB152" s="12" t="str">
        <f ca="1">IF(AA152&gt;0,Y80&amp;Language!$E$96&amp;X80,"")</f>
        <v>25-21</v>
      </c>
      <c r="AC152" s="2"/>
      <c r="AD152" s="143"/>
      <c r="AE152" s="709"/>
      <c r="AF152" s="710"/>
      <c r="AG152" s="710"/>
      <c r="AH152" s="710"/>
      <c r="AI152" s="711" t="str">
        <f ca="1">IF(AA80&gt;0,AF80&amp;Language!$E$96&amp;AE80,"")</f>
        <v>1-1</v>
      </c>
    </row>
    <row r="153" spans="25:35" x14ac:dyDescent="0.2">
      <c r="Y153" s="66" t="s">
        <v>32</v>
      </c>
      <c r="Z153" s="34" t="str">
        <f t="shared" ca="1" si="48"/>
        <v>Manchester City</v>
      </c>
      <c r="AA153" s="12">
        <f t="shared" ca="1" si="47"/>
        <v>0</v>
      </c>
      <c r="AB153" s="12" t="str">
        <f ca="1">IF(AA153&gt;0,Y81&amp;Language!$E$96&amp;X81,"")</f>
        <v/>
      </c>
      <c r="AC153" s="2"/>
      <c r="AD153" s="143"/>
      <c r="AE153" s="709"/>
      <c r="AF153" s="710"/>
      <c r="AG153" s="710"/>
      <c r="AH153" s="710"/>
      <c r="AI153" s="711" t="str">
        <f ca="1">IF(AA81&gt;0,AF81&amp;Language!$E$96&amp;AE81,"")</f>
        <v/>
      </c>
    </row>
    <row r="154" spans="25:35" x14ac:dyDescent="0.2">
      <c r="Y154" s="66" t="s">
        <v>33</v>
      </c>
      <c r="Z154" s="34" t="str">
        <f t="shared" ca="1" si="48"/>
        <v>Kickers RodendorfMainz 05</v>
      </c>
      <c r="AA154" s="12">
        <f t="shared" ca="1" si="47"/>
        <v>1</v>
      </c>
      <c r="AB154" s="12" t="str">
        <f ca="1">IF(AA154&gt;0,Y82&amp;Language!$E$96&amp;X82,"")</f>
        <v>20-25</v>
      </c>
      <c r="AC154" s="2"/>
      <c r="AD154" s="143"/>
      <c r="AE154" s="709"/>
      <c r="AF154" s="710"/>
      <c r="AG154" s="710"/>
      <c r="AH154" s="710"/>
      <c r="AI154" s="711" t="str">
        <f ca="1">IF(AA82&gt;0,AF82&amp;Language!$E$96&amp;AE82,"")</f>
        <v>0-2</v>
      </c>
    </row>
    <row r="155" spans="25:35" x14ac:dyDescent="0.2">
      <c r="Y155" s="66" t="s">
        <v>34</v>
      </c>
      <c r="Z155" s="34" t="str">
        <f t="shared" ca="1" si="48"/>
        <v>VFB EssenheimReal Madrid</v>
      </c>
      <c r="AA155" s="12">
        <f t="shared" ca="1" si="47"/>
        <v>1</v>
      </c>
      <c r="AB155" s="12" t="str">
        <f ca="1">IF(AA155&gt;0,Y83&amp;Language!$E$96&amp;X83,"")</f>
        <v>2-25</v>
      </c>
      <c r="AC155" s="2"/>
      <c r="AD155" s="143"/>
      <c r="AE155" s="709"/>
      <c r="AF155" s="710"/>
      <c r="AG155" s="710"/>
      <c r="AH155" s="710"/>
      <c r="AI155" s="711" t="str">
        <f ca="1">IF(AA83&gt;0,AF83&amp;Language!$E$96&amp;AE83,"")</f>
        <v>0-2</v>
      </c>
    </row>
    <row r="156" spans="25:35" x14ac:dyDescent="0.2">
      <c r="Y156" s="66" t="s">
        <v>35</v>
      </c>
      <c r="Z156" s="34" t="str">
        <f t="shared" ca="1" si="48"/>
        <v>FC BarcelonaSSV Wildbach</v>
      </c>
      <c r="AA156" s="12">
        <f t="shared" ca="1" si="47"/>
        <v>1</v>
      </c>
      <c r="AB156" s="12" t="str">
        <f ca="1">IF(AA156&gt;0,Y84&amp;Language!$E$96&amp;X84,"")</f>
        <v>16-25</v>
      </c>
      <c r="AC156" s="2"/>
      <c r="AD156" s="143"/>
      <c r="AE156" s="709"/>
      <c r="AF156" s="710"/>
      <c r="AG156" s="710"/>
      <c r="AH156" s="710"/>
      <c r="AI156" s="711" t="str">
        <f ca="1">IF(AA84&gt;0,AF84&amp;Language!$E$96&amp;AE84,"")</f>
        <v>0-2</v>
      </c>
    </row>
    <row r="157" spans="25:35" x14ac:dyDescent="0.2">
      <c r="Y157" s="66" t="s">
        <v>36</v>
      </c>
      <c r="Z157" s="34" t="str">
        <f t="shared" ca="1" si="48"/>
        <v>1. FC RiedwaldFSV Rauen</v>
      </c>
      <c r="AA157" s="12">
        <f t="shared" ca="1" si="47"/>
        <v>1</v>
      </c>
      <c r="AB157" s="12" t="str">
        <f ca="1">IF(AA157&gt;0,Y85&amp;Language!$E$96&amp;X85,"")</f>
        <v>2-25</v>
      </c>
      <c r="AC157" s="2"/>
      <c r="AD157" s="143"/>
      <c r="AE157" s="709"/>
      <c r="AF157" s="710"/>
      <c r="AG157" s="710"/>
      <c r="AH157" s="710"/>
      <c r="AI157" s="711" t="str">
        <f ca="1">IF(AA85&gt;0,AF85&amp;Language!$E$96&amp;AE85,"")</f>
        <v>0-2</v>
      </c>
    </row>
    <row r="158" spans="25:35" x14ac:dyDescent="0.2">
      <c r="Y158" s="66" t="s">
        <v>37</v>
      </c>
      <c r="Z158" s="34" t="str">
        <f t="shared" ca="1" si="48"/>
        <v>Maibach 1822 eVFC Grönlingen</v>
      </c>
      <c r="AA158" s="12">
        <f t="shared" ca="1" si="47"/>
        <v>1</v>
      </c>
      <c r="AB158" s="12" t="str">
        <f ca="1">IF(AA158&gt;0,Y86&amp;Language!$E$96&amp;X86,"")</f>
        <v>25-13</v>
      </c>
      <c r="AC158" s="2"/>
      <c r="AD158" s="143"/>
      <c r="AE158" s="709"/>
      <c r="AF158" s="710"/>
      <c r="AG158" s="710"/>
      <c r="AH158" s="710"/>
      <c r="AI158" s="711" t="str">
        <f ca="1">IF(AA86&gt;0,AF86&amp;Language!$E$96&amp;AE86,"")</f>
        <v>1-1</v>
      </c>
    </row>
    <row r="159" spans="25:35" x14ac:dyDescent="0.2">
      <c r="Y159" s="66" t="s">
        <v>38</v>
      </c>
      <c r="Z159" s="34" t="str">
        <f t="shared" ca="1" si="48"/>
        <v>1. FC NürnbergEintracht Frankfurt</v>
      </c>
      <c r="AA159" s="12">
        <f t="shared" ca="1" si="47"/>
        <v>1</v>
      </c>
      <c r="AB159" s="12" t="str">
        <f ca="1">IF(AA159&gt;0,Y87&amp;Language!$E$96&amp;X87,"")</f>
        <v>25-19</v>
      </c>
      <c r="AC159" s="2"/>
      <c r="AD159" s="143"/>
      <c r="AE159" s="709"/>
      <c r="AF159" s="710"/>
      <c r="AG159" s="710"/>
      <c r="AH159" s="710"/>
      <c r="AI159" s="711" t="str">
        <f ca="1">IF(AA87&gt;0,AF87&amp;Language!$E$96&amp;AE87,"")</f>
        <v>1-1</v>
      </c>
    </row>
    <row r="160" spans="25:35" ht="12.75" thickBot="1" x14ac:dyDescent="0.25">
      <c r="Y160" s="684" t="s">
        <v>39</v>
      </c>
      <c r="Z160" s="685" t="str">
        <f t="shared" ca="1" si="48"/>
        <v>Inter MailandBorussia Dortmund</v>
      </c>
      <c r="AA160" s="686">
        <f t="shared" ca="1" si="47"/>
        <v>1</v>
      </c>
      <c r="AB160" s="686" t="str">
        <f ca="1">IF(AA160&gt;0,Y88&amp;Language!$E$96&amp;X88,"")</f>
        <v>25-17</v>
      </c>
      <c r="AC160" s="687"/>
      <c r="AD160" s="688"/>
      <c r="AE160" s="705"/>
      <c r="AF160" s="706"/>
      <c r="AG160" s="706"/>
      <c r="AH160" s="706"/>
      <c r="AI160" s="712" t="str">
        <f ca="1">IF(AA88&gt;0,AF88&amp;Language!$E$96&amp;AE88,"")</f>
        <v>1-1</v>
      </c>
    </row>
    <row r="161" spans="25:35" ht="12.75" thickTop="1"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9" customWidth="1"/>
    <col min="3" max="3" width="8.140625" style="9" customWidth="1"/>
    <col min="4" max="4" width="6.85546875" style="9" customWidth="1"/>
    <col min="5" max="5" width="7.140625" style="9" customWidth="1"/>
    <col min="6" max="6" width="11.28515625" style="9" customWidth="1"/>
    <col min="7" max="7" width="7.42578125" style="9" customWidth="1"/>
    <col min="8" max="9" width="6.42578125" style="9" customWidth="1"/>
    <col min="10" max="10" width="8.28515625" style="9" customWidth="1"/>
    <col min="11" max="11" width="7.42578125" style="9" customWidth="1"/>
    <col min="12" max="12" width="16.28515625" style="9" customWidth="1"/>
    <col min="13" max="13" width="6.28515625" style="9" customWidth="1"/>
    <col min="14" max="14" width="7.140625" style="9" customWidth="1"/>
    <col min="15" max="15" width="9.85546875" style="9" customWidth="1"/>
    <col min="16" max="16" width="12.42578125" style="9" customWidth="1"/>
    <col min="17" max="17" width="21" style="9" customWidth="1"/>
    <col min="18" max="18" width="8" style="9" customWidth="1"/>
    <col min="19" max="19" width="7.42578125" style="9" customWidth="1"/>
    <col min="20" max="20" width="6" style="9" customWidth="1"/>
    <col min="21" max="21" width="5.7109375" style="9" customWidth="1"/>
    <col min="22" max="22" width="17.5703125" style="9" customWidth="1"/>
    <col min="23" max="23" width="21.140625" style="9" customWidth="1"/>
    <col min="24" max="24" width="8.42578125" style="9" customWidth="1"/>
    <col min="25" max="25" width="7.140625" style="9" customWidth="1"/>
    <col min="26" max="26" width="14.42578125" style="9" customWidth="1"/>
    <col min="27" max="27" width="8.7109375" style="9" customWidth="1"/>
    <col min="28" max="28" width="8.85546875" style="9" customWidth="1"/>
    <col min="29" max="29" width="12.5703125" style="9" customWidth="1"/>
    <col min="30" max="30" width="10.5703125" style="9" customWidth="1"/>
    <col min="31" max="31" width="12.85546875" style="9" customWidth="1"/>
    <col min="32" max="32" width="8" style="9" customWidth="1"/>
    <col min="33" max="33" width="9" style="9" customWidth="1"/>
    <col min="34" max="34" width="10" style="9" customWidth="1"/>
    <col min="35" max="35" width="9.28515625" style="9" customWidth="1"/>
    <col min="36" max="36" width="8" style="9" customWidth="1"/>
    <col min="37" max="39" width="4.7109375" style="9" customWidth="1"/>
    <col min="40" max="40" width="8.5703125" style="9" customWidth="1"/>
    <col min="41" max="41" width="9" style="9" customWidth="1"/>
    <col min="42" max="43" width="4.7109375" style="9" customWidth="1"/>
    <col min="44" max="44" width="7.5703125" style="9" customWidth="1"/>
    <col min="45" max="45" width="8.42578125" style="9" customWidth="1"/>
    <col min="46" max="69" width="4.7109375" style="9" customWidth="1"/>
    <col min="70" max="80" width="6.7109375" style="9" customWidth="1"/>
    <col min="81" max="16384" width="2.7109375" style="9"/>
  </cols>
  <sheetData>
    <row r="1" spans="1:44" s="2" customFormat="1" x14ac:dyDescent="0.2"/>
    <row r="2" spans="1:44" s="2" customFormat="1" x14ac:dyDescent="0.2">
      <c r="B2" s="12"/>
      <c r="C2" s="12"/>
      <c r="D2" s="12"/>
      <c r="E2" s="12"/>
      <c r="F2" s="1"/>
      <c r="G2" s="1"/>
      <c r="H2" s="1"/>
      <c r="I2" s="1"/>
      <c r="J2" s="1" t="s">
        <v>397</v>
      </c>
      <c r="K2" s="1"/>
      <c r="L2" s="1"/>
      <c r="M2" s="1"/>
      <c r="N2" s="12"/>
      <c r="O2" s="1"/>
      <c r="P2" s="1"/>
      <c r="Q2" s="1"/>
      <c r="W2" s="2" t="s">
        <v>152</v>
      </c>
    </row>
    <row r="3" spans="1:44" s="2" customFormat="1" ht="13.5" customHeight="1" thickBot="1" x14ac:dyDescent="0.25">
      <c r="B3" s="1"/>
      <c r="C3" s="12"/>
      <c r="D3" s="12"/>
      <c r="E3" s="12"/>
      <c r="F3" s="12"/>
      <c r="G3" s="69" t="s">
        <v>107</v>
      </c>
      <c r="H3" s="69" t="s">
        <v>108</v>
      </c>
      <c r="I3" s="767" t="s">
        <v>109</v>
      </c>
      <c r="J3" s="767" t="s">
        <v>110</v>
      </c>
      <c r="K3" s="767" t="s">
        <v>103</v>
      </c>
      <c r="L3" s="27" t="s">
        <v>104</v>
      </c>
      <c r="M3" s="27" t="s">
        <v>105</v>
      </c>
      <c r="N3" s="27" t="s">
        <v>106</v>
      </c>
      <c r="O3" s="110"/>
      <c r="P3" s="111"/>
      <c r="Q3" s="111"/>
      <c r="R3" s="111"/>
      <c r="S3" s="111"/>
      <c r="T3" s="111"/>
      <c r="U3" s="111"/>
      <c r="V3" s="111"/>
      <c r="W3" s="1025"/>
      <c r="X3" s="1026"/>
      <c r="Y3" s="1026"/>
      <c r="Z3" s="1026"/>
      <c r="AA3" s="1026"/>
      <c r="AB3" s="1025"/>
      <c r="AC3" s="1026"/>
      <c r="AD3" s="1026"/>
      <c r="AE3" s="1026"/>
      <c r="AF3" s="1026"/>
      <c r="AG3" s="1025"/>
      <c r="AH3" s="1026"/>
      <c r="AI3" s="1026"/>
      <c r="AJ3" s="1026"/>
      <c r="AK3" s="1026"/>
      <c r="AL3" s="1025"/>
      <c r="AM3" s="1026"/>
      <c r="AN3" s="1026"/>
      <c r="AO3" s="1026"/>
      <c r="AP3" s="1026"/>
    </row>
    <row r="4" spans="1:44" s="2" customFormat="1" ht="12.75" thickTop="1" x14ac:dyDescent="0.2">
      <c r="A4" s="254"/>
      <c r="B4" s="1">
        <v>1</v>
      </c>
      <c r="C4" s="20">
        <f ca="1">RANK(D4,$D$4:$D$12,1)</f>
        <v>1</v>
      </c>
      <c r="D4" s="12">
        <f ca="1">E4+ROW()/1000+(F4="")*10</f>
        <v>11.004</v>
      </c>
      <c r="E4" s="266">
        <f ca="1">IF($AI$15,RANK(AH17,AH$17:AH$25,1),RANK(X17,X$17:X$25,1))</f>
        <v>1</v>
      </c>
      <c r="F4" s="1" t="str">
        <f ca="1">$Q64</f>
        <v/>
      </c>
      <c r="G4" s="1">
        <f ca="1">SUMIFS($X$64:$X$135,$V$64:$V$135,$F4)+SUMIFS($Y$64:$Y$135,$W$64:$W$135,$F4)+SUMIFS($AG$64:$AG$135,$V$64:$V$135,$F4)+SUMIFS($AH$64:$AH$135,$W$64:$W$135,$F4)</f>
        <v>0</v>
      </c>
      <c r="H4" s="1">
        <f ca="1">SUMIFS($Y$64:$Y$135,$V$64:$V$135,$F4)+SUMIFS($X$64:$X$135,$W$64:$W$135,$F4)+SUMIFS($AH$64:$AH$135,$V$64:$V$135,$F4)+SUMIFS($AG$64:$AG$135,$W$64:$W$135,$F4)</f>
        <v>0</v>
      </c>
      <c r="I4" s="12">
        <f ca="1">IF(Settings!$G$7,G4-H4,IF(H4=0,IF(G4=0,0,Settings!$F$7),G4/H4))</f>
        <v>0</v>
      </c>
      <c r="J4" s="1">
        <f ca="1">SUMPRODUCT(($V$64:$V$135=F4)*$AE$64:$AE$135*$AA$64:$AA$135)+SUMPRODUCT(($W$64:$W$135=F4)*$AF$64:$AF$135*$AA$64:$AA$135)</f>
        <v>0</v>
      </c>
      <c r="K4" s="1">
        <f ca="1">SUMPRODUCT(($V$64:$V$135=F4)*$AA$64:$AA$135)+SUMPRODUCT(($W$64:$W$135=F4)*$AA$64:$AA$135)</f>
        <v>0</v>
      </c>
      <c r="L4" s="1">
        <f ca="1">K4-M4-N4</f>
        <v>0</v>
      </c>
      <c r="M4" s="1">
        <f ca="1">SUMPRODUCT(($V$64:$W$135=F4)*($AE$64:$AE$135=$AF$64:$AF$135)*$AA$64:$AA$135)</f>
        <v>0</v>
      </c>
      <c r="N4" s="1">
        <f ca="1">SUMPRODUCT(($V$64:$V$135=F4)*($AE$64:$AE$135&lt;$AF$64:$AF$135)*$AA$64:$AA$135)+SUMPRODUCT(($W$64:$W$135=F4)*($AE$64:$AE$135&gt;$AF$64:$AF$135)*$AA$64:$AA$135)</f>
        <v>0</v>
      </c>
      <c r="O4" s="119"/>
      <c r="P4" s="119"/>
      <c r="Q4" s="119"/>
      <c r="R4" s="119"/>
      <c r="V4" s="1"/>
      <c r="W4" s="588"/>
      <c r="X4" s="589"/>
      <c r="Y4" s="590"/>
      <c r="Z4" s="591"/>
      <c r="AA4" s="592"/>
      <c r="AB4" s="593"/>
      <c r="AC4" s="594"/>
      <c r="AD4" s="595"/>
      <c r="AE4" s="591"/>
      <c r="AF4" s="591"/>
      <c r="AG4" s="593"/>
      <c r="AH4" s="594"/>
      <c r="AI4" s="595"/>
      <c r="AJ4" s="591"/>
      <c r="AK4" s="596"/>
      <c r="AL4" s="594"/>
      <c r="AM4" s="594"/>
      <c r="AN4" s="595"/>
      <c r="AO4" s="591"/>
      <c r="AP4" s="596"/>
      <c r="AR4" s="2">
        <f ca="1">IF(Settings!$G$7,$I4,ROUND($I4,Settings!$H$7))</f>
        <v>0</v>
      </c>
    </row>
    <row r="5" spans="1:44" s="2" customFormat="1" x14ac:dyDescent="0.2">
      <c r="A5" s="254"/>
      <c r="B5" s="1">
        <v>2</v>
      </c>
      <c r="C5" s="21">
        <f t="shared" ref="C5:C12" ca="1" si="0">RANK(D5,$D$4:$D$12,1)</f>
        <v>2</v>
      </c>
      <c r="D5" s="12">
        <f t="shared" ref="D5:D12" ca="1" si="1">E5+ROW()/1000+(F5="")*10</f>
        <v>11.004999999999999</v>
      </c>
      <c r="E5" s="266">
        <f t="shared" ref="E5:E12" ca="1" si="2">IF($AI$15,RANK(AH18,AH$17:AH$25,1),RANK(X18,X$17:X$25,1))</f>
        <v>1</v>
      </c>
      <c r="F5" s="1" t="str">
        <f t="shared" ref="F5:F12" ca="1" si="3">$Q65</f>
        <v/>
      </c>
      <c r="G5" s="1">
        <f t="shared" ref="G5:G12" ca="1" si="4">SUMIFS($X$64:$X$135,$V$64:$V$135,$F5)+SUMIFS($Y$64:$Y$135,$W$64:$W$135,$F5)+SUMIFS($AG$64:$AG$135,$V$64:$V$135,$F5)+SUMIFS($AH$64:$AH$135,$W$64:$W$135,$F5)</f>
        <v>0</v>
      </c>
      <c r="H5" s="1">
        <f t="shared" ref="H5:H12" ca="1" si="5">SUMIFS($Y$64:$Y$135,$V$64:$V$135,$F5)+SUMIFS($X$64:$X$135,$W$64:$W$135,$F5)+SUMIFS($AH$64:$AH$135,$V$64:$V$135,$F5)+SUMIFS($AG$64:$AG$135,$W$64:$W$135,$F5)</f>
        <v>0</v>
      </c>
      <c r="I5" s="12">
        <f ca="1">IF(Settings!$G$7,G5-H5,IF(H5=0,IF(G5=0,0,Settings!$F$7),G5/H5))</f>
        <v>0</v>
      </c>
      <c r="J5" s="1">
        <f t="shared" ref="J5:J12" ca="1" si="6">SUMPRODUCT(($V$64:$V$135=F5)*$AE$64:$AE$135*$AA$64:$AA$135)+SUMPRODUCT(($W$64:$W$135=F5)*$AF$64:$AF$135*$AA$64:$AA$135)</f>
        <v>0</v>
      </c>
      <c r="K5" s="1">
        <f t="shared" ref="K5:K12" ca="1" si="7">SUMPRODUCT(($V$64:$V$135=F5)*$AA$64:$AA$135)+SUMPRODUCT(($W$64:$W$135=F5)*$AA$64:$AA$135)</f>
        <v>0</v>
      </c>
      <c r="L5" s="1">
        <f t="shared" ref="L5:L12" ca="1" si="8">K5-M5-N5</f>
        <v>0</v>
      </c>
      <c r="M5" s="1">
        <f t="shared" ref="M5:M12" ca="1" si="9">SUMPRODUCT(($V$64:$W$135=F5)*($AE$64:$AE$135=$AF$64:$AF$135)*$AA$64:$AA$135)</f>
        <v>0</v>
      </c>
      <c r="N5" s="1">
        <f t="shared" ref="N5:N12" ca="1" si="10">SUMPRODUCT(($V$64:$V$135=F5)*($AE$64:$AE$135&lt;$AF$64:$AF$135)*$AA$64:$AA$135)+SUMPRODUCT(($W$64:$W$135=F5)*($AE$64:$AE$135&gt;$AF$64:$AF$135)*$AA$64:$AA$135)</f>
        <v>0</v>
      </c>
      <c r="O5" s="23"/>
      <c r="P5" s="24"/>
      <c r="V5" s="1"/>
      <c r="W5" s="593"/>
      <c r="X5" s="594"/>
      <c r="Y5" s="591"/>
      <c r="Z5" s="591"/>
      <c r="AA5" s="596"/>
      <c r="AB5" s="593"/>
      <c r="AC5" s="594"/>
      <c r="AD5" s="595"/>
      <c r="AE5" s="591"/>
      <c r="AF5" s="591"/>
      <c r="AG5" s="593"/>
      <c r="AH5" s="594"/>
      <c r="AI5" s="595"/>
      <c r="AJ5" s="591"/>
      <c r="AK5" s="596"/>
      <c r="AL5" s="594"/>
      <c r="AM5" s="594"/>
      <c r="AN5" s="595"/>
      <c r="AO5" s="591"/>
      <c r="AP5" s="596"/>
      <c r="AR5" s="2">
        <f ca="1">IF(Settings!$G$7,$I5,ROUND($I5,Settings!$H$7))</f>
        <v>0</v>
      </c>
    </row>
    <row r="6" spans="1:44" s="2" customFormat="1" x14ac:dyDescent="0.2">
      <c r="A6" s="254"/>
      <c r="B6" s="1">
        <v>3</v>
      </c>
      <c r="C6" s="21">
        <f t="shared" ca="1" si="0"/>
        <v>3</v>
      </c>
      <c r="D6" s="12">
        <f t="shared" ca="1" si="1"/>
        <v>11.006</v>
      </c>
      <c r="E6" s="266">
        <f t="shared" ca="1" si="2"/>
        <v>1</v>
      </c>
      <c r="F6" s="1" t="str">
        <f t="shared" si="3"/>
        <v/>
      </c>
      <c r="G6" s="1">
        <f t="shared" ca="1" si="4"/>
        <v>0</v>
      </c>
      <c r="H6" s="1">
        <f t="shared" ca="1" si="5"/>
        <v>0</v>
      </c>
      <c r="I6" s="12">
        <f ca="1">IF(Settings!$G$7,G6-H6,IF(H6=0,IF(G6=0,0,Settings!$F$7),G6/H6))</f>
        <v>0</v>
      </c>
      <c r="J6" s="1">
        <f t="shared" ca="1" si="6"/>
        <v>0</v>
      </c>
      <c r="K6" s="1">
        <f t="shared" ca="1" si="7"/>
        <v>0</v>
      </c>
      <c r="L6" s="1">
        <f t="shared" ca="1" si="8"/>
        <v>0</v>
      </c>
      <c r="M6" s="1">
        <f t="shared" ca="1" si="9"/>
        <v>0</v>
      </c>
      <c r="N6" s="1">
        <f t="shared" ca="1" si="10"/>
        <v>0</v>
      </c>
      <c r="O6" s="23"/>
      <c r="P6" s="24"/>
      <c r="V6" s="1"/>
      <c r="W6" s="593"/>
      <c r="X6" s="594"/>
      <c r="Y6" s="591"/>
      <c r="Z6" s="591"/>
      <c r="AA6" s="596"/>
      <c r="AB6" s="593"/>
      <c r="AC6" s="594"/>
      <c r="AD6" s="595"/>
      <c r="AE6" s="591"/>
      <c r="AF6" s="591"/>
      <c r="AG6" s="593"/>
      <c r="AH6" s="594"/>
      <c r="AI6" s="595"/>
      <c r="AJ6" s="591"/>
      <c r="AK6" s="596"/>
      <c r="AL6" s="594"/>
      <c r="AM6" s="594"/>
      <c r="AN6" s="595"/>
      <c r="AO6" s="591"/>
      <c r="AP6" s="596"/>
      <c r="AR6" s="2">
        <f ca="1">IF(Settings!$G$7,$I6,ROUND($I6,Settings!$H$7))</f>
        <v>0</v>
      </c>
    </row>
    <row r="7" spans="1:44" s="2" customFormat="1" x14ac:dyDescent="0.2">
      <c r="A7" s="254"/>
      <c r="B7" s="1">
        <v>4</v>
      </c>
      <c r="C7" s="21">
        <f t="shared" ca="1" si="0"/>
        <v>4</v>
      </c>
      <c r="D7" s="12">
        <f t="shared" ca="1" si="1"/>
        <v>11.007</v>
      </c>
      <c r="E7" s="266">
        <f t="shared" ca="1" si="2"/>
        <v>1</v>
      </c>
      <c r="F7" s="1" t="str">
        <f t="shared" si="3"/>
        <v/>
      </c>
      <c r="G7" s="1">
        <f t="shared" ca="1" si="4"/>
        <v>0</v>
      </c>
      <c r="H7" s="1">
        <f t="shared" ca="1" si="5"/>
        <v>0</v>
      </c>
      <c r="I7" s="12">
        <f ca="1">IF(Settings!$G$7,G7-H7,IF(H7=0,IF(G7=0,0,Settings!$F$7),G7/H7))</f>
        <v>0</v>
      </c>
      <c r="J7" s="1">
        <f t="shared" ca="1" si="6"/>
        <v>0</v>
      </c>
      <c r="K7" s="1">
        <f t="shared" ca="1" si="7"/>
        <v>0</v>
      </c>
      <c r="L7" s="1">
        <f t="shared" ca="1" si="8"/>
        <v>0</v>
      </c>
      <c r="M7" s="1">
        <f t="shared" ca="1" si="9"/>
        <v>0</v>
      </c>
      <c r="N7" s="1">
        <f t="shared" ca="1" si="10"/>
        <v>0</v>
      </c>
      <c r="O7" s="23"/>
      <c r="P7" s="24"/>
      <c r="V7" s="1"/>
      <c r="W7" s="593"/>
      <c r="X7" s="594"/>
      <c r="Y7" s="591"/>
      <c r="Z7" s="591"/>
      <c r="AA7" s="596"/>
      <c r="AB7" s="593"/>
      <c r="AC7" s="594"/>
      <c r="AD7" s="595"/>
      <c r="AE7" s="591"/>
      <c r="AF7" s="591"/>
      <c r="AG7" s="593"/>
      <c r="AH7" s="594"/>
      <c r="AI7" s="595"/>
      <c r="AJ7" s="591"/>
      <c r="AK7" s="596"/>
      <c r="AL7" s="594"/>
      <c r="AM7" s="594"/>
      <c r="AN7" s="595"/>
      <c r="AO7" s="591"/>
      <c r="AP7" s="596"/>
      <c r="AR7" s="2">
        <f ca="1">IF(Settings!$G$7,$I7,ROUND($I7,Settings!$H$7))</f>
        <v>0</v>
      </c>
    </row>
    <row r="8" spans="1:44" s="2" customFormat="1" x14ac:dyDescent="0.2">
      <c r="A8" s="254"/>
      <c r="B8" s="1">
        <v>5</v>
      </c>
      <c r="C8" s="21">
        <f t="shared" ca="1" si="0"/>
        <v>5</v>
      </c>
      <c r="D8" s="12">
        <f t="shared" ca="1" si="1"/>
        <v>11.007999999999999</v>
      </c>
      <c r="E8" s="266">
        <f t="shared" ca="1" si="2"/>
        <v>1</v>
      </c>
      <c r="F8" s="1" t="str">
        <f t="shared" si="3"/>
        <v/>
      </c>
      <c r="G8" s="1">
        <f t="shared" ca="1" si="4"/>
        <v>0</v>
      </c>
      <c r="H8" s="1">
        <f t="shared" ca="1" si="5"/>
        <v>0</v>
      </c>
      <c r="I8" s="12">
        <f ca="1">IF(Settings!$G$7,G8-H8,IF(H8=0,IF(G8=0,0,Settings!$F$7),G8/H8))</f>
        <v>0</v>
      </c>
      <c r="J8" s="1">
        <f t="shared" ca="1" si="6"/>
        <v>0</v>
      </c>
      <c r="K8" s="1">
        <f t="shared" ca="1" si="7"/>
        <v>0</v>
      </c>
      <c r="L8" s="1">
        <f t="shared" ca="1" si="8"/>
        <v>0</v>
      </c>
      <c r="M8" s="1">
        <f t="shared" ca="1" si="9"/>
        <v>0</v>
      </c>
      <c r="N8" s="1">
        <f t="shared" ca="1" si="10"/>
        <v>0</v>
      </c>
      <c r="P8" s="24"/>
      <c r="W8" s="593"/>
      <c r="X8" s="594"/>
      <c r="Y8" s="591"/>
      <c r="Z8" s="591"/>
      <c r="AA8" s="596"/>
      <c r="AB8" s="593"/>
      <c r="AC8" s="594"/>
      <c r="AD8" s="595"/>
      <c r="AE8" s="591"/>
      <c r="AF8" s="591"/>
      <c r="AG8" s="593"/>
      <c r="AH8" s="594"/>
      <c r="AI8" s="595"/>
      <c r="AJ8" s="591"/>
      <c r="AK8" s="596"/>
      <c r="AL8" s="594"/>
      <c r="AM8" s="594"/>
      <c r="AN8" s="595"/>
      <c r="AO8" s="591"/>
      <c r="AP8" s="596"/>
      <c r="AR8" s="2">
        <f ca="1">IF(Settings!$G$7,$I8,ROUND($I8,Settings!$H$7))</f>
        <v>0</v>
      </c>
    </row>
    <row r="9" spans="1:44" s="2" customFormat="1" x14ac:dyDescent="0.2">
      <c r="A9" s="254"/>
      <c r="B9" s="1">
        <v>6</v>
      </c>
      <c r="C9" s="21">
        <f t="shared" ca="1" si="0"/>
        <v>6</v>
      </c>
      <c r="D9" s="12">
        <f t="shared" ca="1" si="1"/>
        <v>11.009</v>
      </c>
      <c r="E9" s="266">
        <f t="shared" ca="1" si="2"/>
        <v>1</v>
      </c>
      <c r="F9" s="1" t="str">
        <f t="shared" si="3"/>
        <v/>
      </c>
      <c r="G9" s="1">
        <f t="shared" ca="1" si="4"/>
        <v>0</v>
      </c>
      <c r="H9" s="1">
        <f t="shared" ca="1" si="5"/>
        <v>0</v>
      </c>
      <c r="I9" s="12">
        <f ca="1">IF(Settings!$G$7,G9-H9,IF(H9=0,IF(G9=0,0,Settings!$F$7),G9/H9))</f>
        <v>0</v>
      </c>
      <c r="J9" s="1">
        <f t="shared" ca="1" si="6"/>
        <v>0</v>
      </c>
      <c r="K9" s="1">
        <f t="shared" ca="1" si="7"/>
        <v>0</v>
      </c>
      <c r="L9" s="1">
        <f t="shared" ca="1" si="8"/>
        <v>0</v>
      </c>
      <c r="M9" s="1">
        <f t="shared" ca="1" si="9"/>
        <v>0</v>
      </c>
      <c r="N9" s="1">
        <f t="shared" ca="1" si="10"/>
        <v>0</v>
      </c>
      <c r="P9" s="24"/>
      <c r="W9" s="593"/>
      <c r="X9" s="594"/>
      <c r="Y9" s="591"/>
      <c r="Z9" s="591"/>
      <c r="AA9" s="596"/>
      <c r="AB9" s="593"/>
      <c r="AC9" s="594"/>
      <c r="AD9" s="595"/>
      <c r="AE9" s="591"/>
      <c r="AF9" s="591"/>
      <c r="AG9" s="593"/>
      <c r="AH9" s="594"/>
      <c r="AI9" s="595"/>
      <c r="AJ9" s="591"/>
      <c r="AK9" s="596"/>
      <c r="AL9" s="594"/>
      <c r="AM9" s="594"/>
      <c r="AN9" s="595"/>
      <c r="AO9" s="591"/>
      <c r="AP9" s="596"/>
      <c r="AR9" s="2">
        <f ca="1">IF(Settings!$G$7,$I9,ROUND($I9,Settings!$H$7))</f>
        <v>0</v>
      </c>
    </row>
    <row r="10" spans="1:44" s="2" customFormat="1" x14ac:dyDescent="0.2">
      <c r="A10" s="254"/>
      <c r="B10" s="1">
        <v>7</v>
      </c>
      <c r="C10" s="21">
        <f t="shared" ca="1" si="0"/>
        <v>7</v>
      </c>
      <c r="D10" s="12">
        <f t="shared" ca="1" si="1"/>
        <v>11.01</v>
      </c>
      <c r="E10" s="266">
        <f t="shared" ca="1" si="2"/>
        <v>1</v>
      </c>
      <c r="F10" s="1" t="str">
        <f t="shared" si="3"/>
        <v/>
      </c>
      <c r="G10" s="1">
        <f t="shared" ca="1" si="4"/>
        <v>0</v>
      </c>
      <c r="H10" s="1">
        <f t="shared" ca="1" si="5"/>
        <v>0</v>
      </c>
      <c r="I10" s="12">
        <f ca="1">IF(Settings!$G$7,G10-H10,IF(H10=0,IF(G10=0,0,Settings!$F$7),G10/H10))</f>
        <v>0</v>
      </c>
      <c r="J10" s="1">
        <f t="shared" ca="1" si="6"/>
        <v>0</v>
      </c>
      <c r="K10" s="1">
        <f t="shared" ca="1" si="7"/>
        <v>0</v>
      </c>
      <c r="L10" s="1">
        <f t="shared" ca="1" si="8"/>
        <v>0</v>
      </c>
      <c r="M10" s="1">
        <f t="shared" ca="1" si="9"/>
        <v>0</v>
      </c>
      <c r="N10" s="1">
        <f t="shared" ca="1" si="10"/>
        <v>0</v>
      </c>
      <c r="P10" s="24"/>
      <c r="W10" s="593"/>
      <c r="X10" s="594"/>
      <c r="Y10" s="591"/>
      <c r="Z10" s="591"/>
      <c r="AA10" s="596"/>
      <c r="AB10" s="593"/>
      <c r="AC10" s="594"/>
      <c r="AD10" s="595"/>
      <c r="AE10" s="591"/>
      <c r="AF10" s="591"/>
      <c r="AG10" s="593"/>
      <c r="AH10" s="594"/>
      <c r="AI10" s="595"/>
      <c r="AJ10" s="591"/>
      <c r="AK10" s="596"/>
      <c r="AL10" s="594"/>
      <c r="AM10" s="594"/>
      <c r="AN10" s="595"/>
      <c r="AO10" s="591"/>
      <c r="AP10" s="596"/>
      <c r="AR10" s="2">
        <f ca="1">IF(Settings!$G$7,$I10,ROUND($I10,Settings!$H$7))</f>
        <v>0</v>
      </c>
    </row>
    <row r="11" spans="1:44" s="2" customFormat="1" x14ac:dyDescent="0.2">
      <c r="A11" s="254"/>
      <c r="B11" s="1">
        <v>8</v>
      </c>
      <c r="C11" s="21">
        <f t="shared" ca="1" si="0"/>
        <v>8</v>
      </c>
      <c r="D11" s="12">
        <f t="shared" ca="1" si="1"/>
        <v>11.010999999999999</v>
      </c>
      <c r="E11" s="266">
        <f t="shared" ca="1" si="2"/>
        <v>1</v>
      </c>
      <c r="F11" s="1" t="str">
        <f t="shared" si="3"/>
        <v/>
      </c>
      <c r="G11" s="1">
        <f t="shared" ca="1" si="4"/>
        <v>0</v>
      </c>
      <c r="H11" s="1">
        <f t="shared" ca="1" si="5"/>
        <v>0</v>
      </c>
      <c r="I11" s="12">
        <f ca="1">IF(Settings!$G$7,G11-H11,IF(H11=0,IF(G11=0,0,Settings!$F$7),G11/H11))</f>
        <v>0</v>
      </c>
      <c r="J11" s="1">
        <f t="shared" ca="1" si="6"/>
        <v>0</v>
      </c>
      <c r="K11" s="1">
        <f t="shared" ca="1" si="7"/>
        <v>0</v>
      </c>
      <c r="L11" s="1">
        <f t="shared" ca="1" si="8"/>
        <v>0</v>
      </c>
      <c r="M11" s="1">
        <f t="shared" ca="1" si="9"/>
        <v>0</v>
      </c>
      <c r="N11" s="1">
        <f t="shared" ca="1" si="10"/>
        <v>0</v>
      </c>
      <c r="O11" s="12"/>
      <c r="P11" s="12"/>
      <c r="Q11" s="12"/>
      <c r="R11" s="12"/>
      <c r="S11" s="12"/>
      <c r="T11" s="12"/>
      <c r="U11" s="12"/>
      <c r="V11" s="12"/>
      <c r="W11" s="593"/>
      <c r="X11" s="594"/>
      <c r="Y11" s="591"/>
      <c r="Z11" s="591"/>
      <c r="AA11" s="596"/>
      <c r="AB11" s="593"/>
      <c r="AC11" s="594"/>
      <c r="AD11" s="595"/>
      <c r="AE11" s="591"/>
      <c r="AF11" s="591"/>
      <c r="AG11" s="593"/>
      <c r="AH11" s="594"/>
      <c r="AI11" s="595"/>
      <c r="AJ11" s="591"/>
      <c r="AK11" s="596"/>
      <c r="AL11" s="594"/>
      <c r="AM11" s="594"/>
      <c r="AN11" s="595"/>
      <c r="AO11" s="591"/>
      <c r="AP11" s="596"/>
      <c r="AR11" s="2">
        <f ca="1">IF(Settings!$G$7,$I11,ROUND($I11,Settings!$H$7))</f>
        <v>0</v>
      </c>
    </row>
    <row r="12" spans="1:44" s="2" customFormat="1" ht="12.75" thickBot="1" x14ac:dyDescent="0.25">
      <c r="A12" s="254"/>
      <c r="B12" s="1">
        <v>9</v>
      </c>
      <c r="C12" s="22">
        <f t="shared" ca="1" si="0"/>
        <v>9</v>
      </c>
      <c r="D12" s="12">
        <f t="shared" ca="1" si="1"/>
        <v>11.012</v>
      </c>
      <c r="E12" s="266">
        <f t="shared" ca="1" si="2"/>
        <v>1</v>
      </c>
      <c r="F12" s="1" t="str">
        <f t="shared" si="3"/>
        <v/>
      </c>
      <c r="G12" s="1">
        <f t="shared" ca="1" si="4"/>
        <v>0</v>
      </c>
      <c r="H12" s="1">
        <f t="shared" ca="1" si="5"/>
        <v>0</v>
      </c>
      <c r="I12" s="12">
        <f ca="1">IF(Settings!$G$7,G12-H12,IF(H12=0,IF(G12=0,0,Settings!$F$7),G12/H12))</f>
        <v>0</v>
      </c>
      <c r="J12" s="1">
        <f t="shared" ca="1" si="6"/>
        <v>0</v>
      </c>
      <c r="K12" s="28">
        <f t="shared" ca="1" si="7"/>
        <v>0</v>
      </c>
      <c r="L12" s="1">
        <f t="shared" ca="1" si="8"/>
        <v>0</v>
      </c>
      <c r="M12" s="1">
        <f t="shared" ca="1" si="9"/>
        <v>0</v>
      </c>
      <c r="N12" s="1">
        <f t="shared" ca="1" si="10"/>
        <v>0</v>
      </c>
      <c r="O12" s="1"/>
      <c r="P12" s="1"/>
      <c r="Q12" s="1"/>
      <c r="R12" s="1"/>
      <c r="S12" s="1"/>
      <c r="T12" s="1"/>
      <c r="U12" s="1"/>
      <c r="V12" s="1"/>
      <c r="W12" s="597"/>
      <c r="X12" s="598"/>
      <c r="Y12" s="599"/>
      <c r="Z12" s="599"/>
      <c r="AA12" s="600"/>
      <c r="AB12" s="597"/>
      <c r="AC12" s="598"/>
      <c r="AD12" s="601"/>
      <c r="AE12" s="599"/>
      <c r="AF12" s="599"/>
      <c r="AG12" s="597"/>
      <c r="AH12" s="598"/>
      <c r="AI12" s="601"/>
      <c r="AJ12" s="599"/>
      <c r="AK12" s="600"/>
      <c r="AL12" s="598"/>
      <c r="AM12" s="598"/>
      <c r="AN12" s="601"/>
      <c r="AO12" s="599"/>
      <c r="AP12" s="600"/>
      <c r="AR12" s="2">
        <f ca="1">IF(Settings!$G$7,$I12,ROUND($I12,Settings!$H$7))</f>
        <v>0</v>
      </c>
    </row>
    <row r="13" spans="1:44" s="2" customFormat="1" ht="12.75" thickTop="1" x14ac:dyDescent="0.2">
      <c r="B13" s="12">
        <f ca="1">$F$13*($F$13-1)</f>
        <v>0</v>
      </c>
      <c r="C13" s="12"/>
      <c r="D13" s="12"/>
      <c r="E13" s="12"/>
      <c r="F13" s="12">
        <f ca="1">9-COUNTBLANK($F$4:$F$12)</f>
        <v>0</v>
      </c>
      <c r="G13" s="12"/>
      <c r="H13" s="12"/>
      <c r="I13" s="12"/>
      <c r="J13" s="12"/>
      <c r="K13" s="27">
        <f ca="1">QUOTIENT(SUM(K4:K12),2)</f>
        <v>0</v>
      </c>
      <c r="L13" s="1"/>
      <c r="M13" s="1"/>
      <c r="N13" s="1"/>
      <c r="O13" s="1"/>
      <c r="P13" s="1"/>
      <c r="Q13" s="1"/>
      <c r="R13" s="1"/>
      <c r="S13" s="1"/>
      <c r="T13" s="1"/>
      <c r="U13" s="1"/>
      <c r="V13" s="1"/>
      <c r="Y13" s="1"/>
      <c r="Z13" s="1"/>
    </row>
    <row r="14" spans="1:44" s="2" customFormat="1" x14ac:dyDescent="0.2">
      <c r="B14" s="12"/>
      <c r="C14" s="3"/>
      <c r="D14" s="12"/>
      <c r="E14" s="3"/>
      <c r="F14" s="12"/>
      <c r="O14" s="1"/>
      <c r="P14" s="1"/>
      <c r="Q14" s="1"/>
      <c r="R14" s="1"/>
      <c r="S14" s="1"/>
      <c r="T14" s="1"/>
      <c r="U14" s="1"/>
      <c r="V14" s="1"/>
      <c r="W14" s="1"/>
      <c r="Y14" s="1"/>
      <c r="Z14" s="1"/>
    </row>
    <row r="15" spans="1:44" s="2" customFormat="1" x14ac:dyDescent="0.2">
      <c r="O15" s="11"/>
      <c r="AD15" s="1027" t="s">
        <v>184</v>
      </c>
      <c r="AE15" s="1028"/>
      <c r="AF15" s="1028"/>
      <c r="AG15" s="1028"/>
      <c r="AH15" s="1029"/>
      <c r="AI15" s="2" t="b">
        <v>0</v>
      </c>
      <c r="AK15" s="254"/>
    </row>
    <row r="16" spans="1:44" s="2" customFormat="1" ht="15.75" thickBot="1" x14ac:dyDescent="0.25">
      <c r="B16" s="12" t="s">
        <v>5</v>
      </c>
      <c r="C16" s="727" t="s">
        <v>97</v>
      </c>
      <c r="D16" s="727" t="s">
        <v>103</v>
      </c>
      <c r="E16" s="727" t="s">
        <v>104</v>
      </c>
      <c r="F16" s="727" t="s">
        <v>105</v>
      </c>
      <c r="G16" s="727" t="s">
        <v>106</v>
      </c>
      <c r="H16" s="727" t="s">
        <v>107</v>
      </c>
      <c r="I16" s="727" t="s">
        <v>108</v>
      </c>
      <c r="J16" s="727" t="s">
        <v>109</v>
      </c>
      <c r="K16" s="727" t="s">
        <v>110</v>
      </c>
      <c r="L16" s="10" t="s">
        <v>398</v>
      </c>
      <c r="M16" s="69" t="s">
        <v>96</v>
      </c>
      <c r="N16" s="69" t="s">
        <v>14</v>
      </c>
      <c r="O16" s="30">
        <v>1</v>
      </c>
      <c r="P16" s="1">
        <v>2</v>
      </c>
      <c r="Q16" s="1">
        <v>3</v>
      </c>
      <c r="R16" s="1">
        <v>4</v>
      </c>
      <c r="S16" s="1">
        <v>5</v>
      </c>
      <c r="T16" s="1">
        <v>6</v>
      </c>
      <c r="U16" s="1">
        <v>7</v>
      </c>
      <c r="V16" s="1">
        <v>8</v>
      </c>
      <c r="W16" s="10" t="s">
        <v>98</v>
      </c>
      <c r="X16" s="191" t="s">
        <v>170</v>
      </c>
      <c r="Y16" s="10" t="s">
        <v>210</v>
      </c>
      <c r="Z16" s="191" t="s">
        <v>211</v>
      </c>
      <c r="AA16" s="1" t="s">
        <v>110</v>
      </c>
      <c r="AB16" s="1" t="s">
        <v>109</v>
      </c>
      <c r="AC16" s="1"/>
      <c r="AD16" s="261" t="s">
        <v>110</v>
      </c>
      <c r="AE16" s="265" t="s">
        <v>109</v>
      </c>
      <c r="AF16" s="1" t="s">
        <v>109</v>
      </c>
      <c r="AG16" s="1" t="s">
        <v>183</v>
      </c>
      <c r="AH16" s="191" t="s">
        <v>170</v>
      </c>
    </row>
    <row r="17" spans="2:80" s="2" customFormat="1" ht="12.75" thickTop="1" x14ac:dyDescent="0.2">
      <c r="C17" s="2" t="str">
        <f ca="1">$Q64</f>
        <v/>
      </c>
      <c r="D17" s="1">
        <f t="shared" ref="D17:G25" ca="1" si="11">K4</f>
        <v>0</v>
      </c>
      <c r="E17" s="1">
        <f t="shared" ca="1" si="11"/>
        <v>0</v>
      </c>
      <c r="F17" s="1">
        <f t="shared" ca="1" si="11"/>
        <v>0</v>
      </c>
      <c r="G17" s="1">
        <f t="shared" ca="1" si="11"/>
        <v>0</v>
      </c>
      <c r="H17" s="1">
        <f t="shared" ref="H17:K25" ca="1" si="12">G4</f>
        <v>0</v>
      </c>
      <c r="I17" s="1">
        <f t="shared" ca="1" si="12"/>
        <v>0</v>
      </c>
      <c r="J17" s="12">
        <f t="shared" ca="1" si="12"/>
        <v>0</v>
      </c>
      <c r="K17" s="1">
        <f t="shared" ca="1" si="12"/>
        <v>0</v>
      </c>
      <c r="L17" s="29">
        <f ca="1">IF($C17="",0,K17*$F$64+(J17+$H$65)*$F$65)</f>
        <v>0</v>
      </c>
      <c r="M17" s="13">
        <f ca="1">IF($AI$15,COUNTIF($K$17:$K$25,K17),COUNTIF($L$17:$L$25,L17))</f>
        <v>9</v>
      </c>
      <c r="N17" s="13">
        <f t="array" aca="1" ref="N17" ca="1">IF($AI$15,SUM(($K$17:$K$25&gt;=K17)/COUNTIF($K$17:$K$25,$K$17:$K$25)),SUM(($L$17:$L$25&gt;=L17)/COUNTIF($L$17:$L$25,$L$17:$L$25)))</f>
        <v>1.0000000000000002</v>
      </c>
      <c r="O17" s="52" t="str">
        <f t="shared" ref="O17:O25" ca="1" si="13">IF(AND(M17&gt;1,N17=1),C17,"")</f>
        <v/>
      </c>
      <c r="P17" s="53" t="str">
        <f t="shared" ref="P17:P25" ca="1" si="14">IF(AND(M17&gt;1,N17=2),C17,"")</f>
        <v/>
      </c>
      <c r="Q17" s="53" t="str">
        <f t="shared" ref="Q17:Q25" ca="1" si="15">IF(AND(M17&gt;1,N17=3),C17,"")</f>
        <v/>
      </c>
      <c r="R17" s="53" t="str">
        <f t="shared" ref="R17:R25" ca="1" si="16">IF(AND(M17&gt;1,N17=4),C17,"")</f>
        <v/>
      </c>
      <c r="S17" s="53" t="str">
        <f t="shared" ref="S17:S25" ca="1" si="17">IF(AND(M17&gt;1,N17=5),C17,"")</f>
        <v/>
      </c>
      <c r="T17" s="53" t="str">
        <f t="shared" ref="T17:T25" ca="1" si="18">IF(AND($M17&gt;1,$N17=6),$C17,"")</f>
        <v/>
      </c>
      <c r="U17" s="53" t="str">
        <f t="shared" ref="U17:U25" ca="1" si="19">IF(AND($M17&gt;1,$N17=7),$C17,"")</f>
        <v/>
      </c>
      <c r="V17" s="54" t="str">
        <f t="shared" ref="V17:V25" ca="1" si="20">IF(AND($M17&gt;1,$N17=8),$C17,"")</f>
        <v/>
      </c>
      <c r="W17" s="62">
        <f ca="1">IF($C17="",0,AA17*$F$64+(AB17+$H$65)*$F$65)</f>
        <v>0</v>
      </c>
      <c r="X17" s="20">
        <f ca="1">RANK($L17,$L$17:$L$25)+RANK($W17,$W$17:$W$25)/100+(9-$Y17)/10000</f>
        <v>1.0108999999999999</v>
      </c>
      <c r="Y17" s="12">
        <f ca="1">'Finals 4'!$AI44</f>
        <v>0</v>
      </c>
      <c r="Z17" s="1">
        <f ca="1">RANK($W17,$W$17:$W$25)+(9-$Y17)/10</f>
        <v>1.9</v>
      </c>
      <c r="AA17" s="1">
        <f ca="1">SUM(E30:BP30)</f>
        <v>0</v>
      </c>
      <c r="AB17" s="1">
        <f ca="1">SUM(E41:BP41)</f>
        <v>0</v>
      </c>
      <c r="AC17" s="1"/>
      <c r="AD17" s="260">
        <f ca="1">RANK($K17,$K$17:$K$25)</f>
        <v>1</v>
      </c>
      <c r="AE17" s="29">
        <f ca="1">(J17+$H$65)*$F$65</f>
        <v>500000</v>
      </c>
      <c r="AF17" s="1">
        <f ca="1">RANK($AE17,$AE$17:$AE$25)</f>
        <v>1</v>
      </c>
      <c r="AG17" s="1">
        <f ca="1">RANK($W17,$W$17:$W$25)</f>
        <v>1</v>
      </c>
      <c r="AH17" s="262">
        <f ca="1">AD17+AG17/100+AF17/10000+(10-Y17)/1000000</f>
        <v>1.0101100000000001</v>
      </c>
      <c r="AI17" s="1"/>
    </row>
    <row r="18" spans="2:80" s="2" customFormat="1" x14ac:dyDescent="0.2">
      <c r="C18" s="2" t="str">
        <f t="shared" ref="C18:C25" ca="1" si="21">$Q65</f>
        <v/>
      </c>
      <c r="D18" s="1">
        <f t="shared" ca="1" si="11"/>
        <v>0</v>
      </c>
      <c r="E18" s="1">
        <f t="shared" ca="1" si="11"/>
        <v>0</v>
      </c>
      <c r="F18" s="1">
        <f t="shared" ca="1" si="11"/>
        <v>0</v>
      </c>
      <c r="G18" s="1">
        <f t="shared" ca="1" si="11"/>
        <v>0</v>
      </c>
      <c r="H18" s="1">
        <f t="shared" ca="1" si="12"/>
        <v>0</v>
      </c>
      <c r="I18" s="1">
        <f t="shared" ca="1" si="12"/>
        <v>0</v>
      </c>
      <c r="J18" s="12">
        <f t="shared" ca="1" si="12"/>
        <v>0</v>
      </c>
      <c r="K18" s="1">
        <f t="shared" ca="1" si="12"/>
        <v>0</v>
      </c>
      <c r="L18" s="29">
        <f t="shared" ref="L18:L25" ca="1" si="22">IF($C18="",0,K18*$F$64+(J18+$H$65)*$F$65)</f>
        <v>0</v>
      </c>
      <c r="M18" s="13">
        <f t="shared" ref="M18:M25" ca="1" si="23">IF($AI$15,COUNTIF($K$17:$K$25,K18),COUNTIF($L$17:$L$25,L18))</f>
        <v>9</v>
      </c>
      <c r="N18" s="13">
        <f t="array" aca="1" ref="N18" ca="1">IF($AI$15,SUM(($K$17:$K$25&gt;=K18)/COUNTIF($K$17:$K$25,$K$17:$K$25)),SUM(($L$17:$L$25&gt;=L18)/COUNTIF($L$17:$L$25,$L$17:$L$25)))</f>
        <v>1.0000000000000002</v>
      </c>
      <c r="O18" s="5" t="str">
        <f t="shared" ca="1" si="13"/>
        <v/>
      </c>
      <c r="P18" s="3" t="str">
        <f t="shared" ca="1" si="14"/>
        <v/>
      </c>
      <c r="Q18" s="3" t="str">
        <f t="shared" ca="1" si="15"/>
        <v/>
      </c>
      <c r="R18" s="3" t="str">
        <f t="shared" ca="1" si="16"/>
        <v/>
      </c>
      <c r="S18" s="3" t="str">
        <f t="shared" ca="1" si="17"/>
        <v/>
      </c>
      <c r="T18" s="3" t="str">
        <f t="shared" ca="1" si="18"/>
        <v/>
      </c>
      <c r="U18" s="3" t="str">
        <f t="shared" ca="1" si="19"/>
        <v/>
      </c>
      <c r="V18" s="55" t="str">
        <f t="shared" ca="1" si="20"/>
        <v/>
      </c>
      <c r="W18" s="62">
        <f t="shared" ref="W18:W25" ca="1" si="24">IF($C18="",0,AA18*$F$64+(AB18+$H$65)*$F$65)</f>
        <v>0</v>
      </c>
      <c r="X18" s="21">
        <f t="shared" ref="X18:X25" ca="1" si="25">RANK($L18,$L$17:$L$25)+RANK($W18,$W$17:$W$25)/100+(9-$Y18)/10000</f>
        <v>1.0108999999999999</v>
      </c>
      <c r="Y18" s="12">
        <f ca="1">'Finals 4'!$AI45</f>
        <v>0</v>
      </c>
      <c r="Z18" s="1">
        <f t="shared" ref="Z18:Z25" ca="1" si="26">RANK($W18,$W$17:$W$25)+(9-$Y18)/10</f>
        <v>1.9</v>
      </c>
      <c r="AA18" s="1">
        <f t="shared" ref="AA18:AA25" ca="1" si="27">SUM(E31:BP31)</f>
        <v>0</v>
      </c>
      <c r="AB18" s="1">
        <f t="shared" ref="AB18:AB25" ca="1" si="28">SUM(E42:BP42)</f>
        <v>0</v>
      </c>
      <c r="AC18" s="1"/>
      <c r="AD18" s="260">
        <f t="shared" ref="AD18:AD25" ca="1" si="29">RANK($K18,$K$17:$K$25)</f>
        <v>1</v>
      </c>
      <c r="AE18" s="29">
        <f t="shared" ref="AE18:AE25" ca="1" si="30">(J18+$H$65)*$F$65</f>
        <v>500000</v>
      </c>
      <c r="AF18" s="1">
        <f t="shared" ref="AF18:AF25" ca="1" si="31">RANK($AE18,$AE$17:$AE$25)</f>
        <v>1</v>
      </c>
      <c r="AG18" s="1">
        <f t="shared" ref="AG18:AG25" ca="1" si="32">RANK($W18,$W$17:$W$25)</f>
        <v>1</v>
      </c>
      <c r="AH18" s="263">
        <f t="shared" ref="AH18:AH25" ca="1" si="33">AD18+AG18/100+AF18/10000+(10-Y18)/1000000</f>
        <v>1.0101100000000001</v>
      </c>
      <c r="AI18" s="1"/>
    </row>
    <row r="19" spans="2:80" s="2" customFormat="1" x14ac:dyDescent="0.2">
      <c r="C19" s="2" t="str">
        <f t="shared" si="21"/>
        <v/>
      </c>
      <c r="D19" s="1">
        <f t="shared" ca="1" si="11"/>
        <v>0</v>
      </c>
      <c r="E19" s="1">
        <f t="shared" ca="1" si="11"/>
        <v>0</v>
      </c>
      <c r="F19" s="1">
        <f t="shared" ca="1" si="11"/>
        <v>0</v>
      </c>
      <c r="G19" s="1">
        <f t="shared" ca="1" si="11"/>
        <v>0</v>
      </c>
      <c r="H19" s="1">
        <f t="shared" ca="1" si="12"/>
        <v>0</v>
      </c>
      <c r="I19" s="1">
        <f t="shared" ca="1" si="12"/>
        <v>0</v>
      </c>
      <c r="J19" s="12">
        <f t="shared" ca="1" si="12"/>
        <v>0</v>
      </c>
      <c r="K19" s="1">
        <f t="shared" ca="1" si="12"/>
        <v>0</v>
      </c>
      <c r="L19" s="29">
        <f t="shared" si="22"/>
        <v>0</v>
      </c>
      <c r="M19" s="13">
        <f t="shared" ca="1" si="23"/>
        <v>9</v>
      </c>
      <c r="N19" s="13">
        <f t="array" aca="1" ref="N19" ca="1">IF($AI$15,SUM(($K$17:$K$25&gt;=K19)/COUNTIF($K$17:$K$25,$K$17:$K$25)),SUM(($L$17:$L$25&gt;=L19)/COUNTIF($L$17:$L$25,$L$17:$L$25)))</f>
        <v>1.0000000000000002</v>
      </c>
      <c r="O19" s="5" t="str">
        <f t="shared" ca="1" si="13"/>
        <v/>
      </c>
      <c r="P19" s="3" t="str">
        <f t="shared" ca="1" si="14"/>
        <v/>
      </c>
      <c r="Q19" s="3" t="str">
        <f t="shared" ca="1" si="15"/>
        <v/>
      </c>
      <c r="R19" s="3" t="str">
        <f t="shared" ca="1" si="16"/>
        <v/>
      </c>
      <c r="S19" s="3" t="str">
        <f t="shared" ca="1" si="17"/>
        <v/>
      </c>
      <c r="T19" s="3" t="str">
        <f t="shared" ca="1" si="18"/>
        <v/>
      </c>
      <c r="U19" s="3" t="str">
        <f t="shared" ca="1" si="19"/>
        <v/>
      </c>
      <c r="V19" s="55" t="str">
        <f t="shared" ca="1" si="20"/>
        <v/>
      </c>
      <c r="W19" s="62">
        <f t="shared" si="24"/>
        <v>0</v>
      </c>
      <c r="X19" s="21">
        <f t="shared" ca="1" si="25"/>
        <v>1.0108999999999999</v>
      </c>
      <c r="Y19" s="12">
        <v>0</v>
      </c>
      <c r="Z19" s="1">
        <f t="shared" ca="1" si="26"/>
        <v>1.9</v>
      </c>
      <c r="AA19" s="1">
        <f t="shared" ca="1" si="27"/>
        <v>0</v>
      </c>
      <c r="AB19" s="1">
        <f t="shared" ca="1" si="28"/>
        <v>0</v>
      </c>
      <c r="AC19" s="1"/>
      <c r="AD19" s="260">
        <f t="shared" ca="1" si="29"/>
        <v>1</v>
      </c>
      <c r="AE19" s="29">
        <f t="shared" ca="1" si="30"/>
        <v>500000</v>
      </c>
      <c r="AF19" s="1">
        <f t="shared" ca="1" si="31"/>
        <v>1</v>
      </c>
      <c r="AG19" s="1">
        <f t="shared" ca="1" si="32"/>
        <v>1</v>
      </c>
      <c r="AH19" s="263">
        <f t="shared" ca="1" si="33"/>
        <v>1.0101100000000001</v>
      </c>
      <c r="AI19" s="1"/>
    </row>
    <row r="20" spans="2:80" s="2" customFormat="1" x14ac:dyDescent="0.2">
      <c r="C20" s="2" t="str">
        <f t="shared" si="21"/>
        <v/>
      </c>
      <c r="D20" s="1">
        <f t="shared" ca="1" si="11"/>
        <v>0</v>
      </c>
      <c r="E20" s="1">
        <f t="shared" ca="1" si="11"/>
        <v>0</v>
      </c>
      <c r="F20" s="1">
        <f t="shared" ca="1" si="11"/>
        <v>0</v>
      </c>
      <c r="G20" s="1">
        <f t="shared" ca="1" si="11"/>
        <v>0</v>
      </c>
      <c r="H20" s="1">
        <f t="shared" ca="1" si="12"/>
        <v>0</v>
      </c>
      <c r="I20" s="1">
        <f t="shared" ca="1" si="12"/>
        <v>0</v>
      </c>
      <c r="J20" s="12">
        <f t="shared" ca="1" si="12"/>
        <v>0</v>
      </c>
      <c r="K20" s="1">
        <f t="shared" ca="1" si="12"/>
        <v>0</v>
      </c>
      <c r="L20" s="29">
        <f t="shared" si="22"/>
        <v>0</v>
      </c>
      <c r="M20" s="13">
        <f t="shared" ca="1" si="23"/>
        <v>9</v>
      </c>
      <c r="N20" s="13">
        <f t="array" aca="1" ref="N20" ca="1">IF($AI$15,SUM(($K$17:$K$25&gt;=K20)/COUNTIF($K$17:$K$25,$K$17:$K$25)),SUM(($L$17:$L$25&gt;=L20)/COUNTIF($L$17:$L$25,$L$17:$L$25)))</f>
        <v>1.0000000000000002</v>
      </c>
      <c r="O20" s="5" t="str">
        <f t="shared" ca="1" si="13"/>
        <v/>
      </c>
      <c r="P20" s="3" t="str">
        <f t="shared" ca="1" si="14"/>
        <v/>
      </c>
      <c r="Q20" s="3" t="str">
        <f t="shared" ca="1" si="15"/>
        <v/>
      </c>
      <c r="R20" s="3" t="str">
        <f t="shared" ca="1" si="16"/>
        <v/>
      </c>
      <c r="S20" s="3" t="str">
        <f t="shared" ca="1" si="17"/>
        <v/>
      </c>
      <c r="T20" s="3" t="str">
        <f t="shared" ca="1" si="18"/>
        <v/>
      </c>
      <c r="U20" s="3" t="str">
        <f t="shared" ca="1" si="19"/>
        <v/>
      </c>
      <c r="V20" s="55" t="str">
        <f t="shared" ca="1" si="20"/>
        <v/>
      </c>
      <c r="W20" s="62">
        <f t="shared" si="24"/>
        <v>0</v>
      </c>
      <c r="X20" s="21">
        <f t="shared" ca="1" si="25"/>
        <v>1.0108999999999999</v>
      </c>
      <c r="Y20" s="12">
        <v>0</v>
      </c>
      <c r="Z20" s="1">
        <f t="shared" ca="1" si="26"/>
        <v>1.9</v>
      </c>
      <c r="AA20" s="1">
        <f t="shared" ca="1" si="27"/>
        <v>0</v>
      </c>
      <c r="AB20" s="1">
        <f t="shared" ca="1" si="28"/>
        <v>0</v>
      </c>
      <c r="AC20" s="1"/>
      <c r="AD20" s="260">
        <f t="shared" ca="1" si="29"/>
        <v>1</v>
      </c>
      <c r="AE20" s="29">
        <f t="shared" ca="1" si="30"/>
        <v>500000</v>
      </c>
      <c r="AF20" s="1">
        <f t="shared" ca="1" si="31"/>
        <v>1</v>
      </c>
      <c r="AG20" s="1">
        <f t="shared" ca="1" si="32"/>
        <v>1</v>
      </c>
      <c r="AH20" s="263">
        <f t="shared" ca="1" si="33"/>
        <v>1.0101100000000001</v>
      </c>
      <c r="AI20" s="1"/>
    </row>
    <row r="21" spans="2:80" s="2" customFormat="1" x14ac:dyDescent="0.2">
      <c r="C21" s="2" t="str">
        <f t="shared" si="21"/>
        <v/>
      </c>
      <c r="D21" s="1">
        <f t="shared" ca="1" si="11"/>
        <v>0</v>
      </c>
      <c r="E21" s="1">
        <f t="shared" ca="1" si="11"/>
        <v>0</v>
      </c>
      <c r="F21" s="1">
        <f t="shared" ca="1" si="11"/>
        <v>0</v>
      </c>
      <c r="G21" s="1">
        <f t="shared" ca="1" si="11"/>
        <v>0</v>
      </c>
      <c r="H21" s="1">
        <f t="shared" ca="1" si="12"/>
        <v>0</v>
      </c>
      <c r="I21" s="1">
        <f t="shared" ca="1" si="12"/>
        <v>0</v>
      </c>
      <c r="J21" s="12">
        <f t="shared" ca="1" si="12"/>
        <v>0</v>
      </c>
      <c r="K21" s="1">
        <f t="shared" ca="1" si="12"/>
        <v>0</v>
      </c>
      <c r="L21" s="29">
        <f t="shared" si="22"/>
        <v>0</v>
      </c>
      <c r="M21" s="13">
        <f t="shared" ca="1" si="23"/>
        <v>9</v>
      </c>
      <c r="N21" s="13">
        <f t="array" aca="1" ref="N21" ca="1">IF($AI$15,SUM(($K$17:$K$25&gt;=K21)/COUNTIF($K$17:$K$25,$K$17:$K$25)),SUM(($L$17:$L$25&gt;=L21)/COUNTIF($L$17:$L$25,$L$17:$L$25)))</f>
        <v>1.0000000000000002</v>
      </c>
      <c r="O21" s="5" t="str">
        <f t="shared" ca="1" si="13"/>
        <v/>
      </c>
      <c r="P21" s="3" t="str">
        <f t="shared" ca="1" si="14"/>
        <v/>
      </c>
      <c r="Q21" s="3" t="str">
        <f t="shared" ca="1" si="15"/>
        <v/>
      </c>
      <c r="R21" s="3" t="str">
        <f t="shared" ca="1" si="16"/>
        <v/>
      </c>
      <c r="S21" s="3" t="str">
        <f t="shared" ca="1" si="17"/>
        <v/>
      </c>
      <c r="T21" s="3" t="str">
        <f t="shared" ca="1" si="18"/>
        <v/>
      </c>
      <c r="U21" s="3" t="str">
        <f t="shared" ca="1" si="19"/>
        <v/>
      </c>
      <c r="V21" s="55" t="str">
        <f t="shared" ca="1" si="20"/>
        <v/>
      </c>
      <c r="W21" s="62">
        <f t="shared" si="24"/>
        <v>0</v>
      </c>
      <c r="X21" s="21">
        <f t="shared" ca="1" si="25"/>
        <v>1.0108999999999999</v>
      </c>
      <c r="Y21" s="12">
        <v>0</v>
      </c>
      <c r="Z21" s="1">
        <f t="shared" ca="1" si="26"/>
        <v>1.9</v>
      </c>
      <c r="AA21" s="1">
        <f t="shared" ca="1" si="27"/>
        <v>0</v>
      </c>
      <c r="AB21" s="1">
        <f t="shared" ca="1" si="28"/>
        <v>0</v>
      </c>
      <c r="AC21" s="1"/>
      <c r="AD21" s="260">
        <f t="shared" ca="1" si="29"/>
        <v>1</v>
      </c>
      <c r="AE21" s="29">
        <f t="shared" ca="1" si="30"/>
        <v>500000</v>
      </c>
      <c r="AF21" s="1">
        <f t="shared" ca="1" si="31"/>
        <v>1</v>
      </c>
      <c r="AG21" s="1">
        <f t="shared" ca="1" si="32"/>
        <v>1</v>
      </c>
      <c r="AH21" s="263">
        <f t="shared" ca="1" si="33"/>
        <v>1.0101100000000001</v>
      </c>
      <c r="AI21" s="1"/>
    </row>
    <row r="22" spans="2:80" s="2" customFormat="1" x14ac:dyDescent="0.2">
      <c r="C22" s="2" t="str">
        <f t="shared" si="21"/>
        <v/>
      </c>
      <c r="D22" s="1">
        <f t="shared" ca="1" si="11"/>
        <v>0</v>
      </c>
      <c r="E22" s="1">
        <f t="shared" ca="1" si="11"/>
        <v>0</v>
      </c>
      <c r="F22" s="1">
        <f t="shared" ca="1" si="11"/>
        <v>0</v>
      </c>
      <c r="G22" s="1">
        <f t="shared" ca="1" si="11"/>
        <v>0</v>
      </c>
      <c r="H22" s="1">
        <f t="shared" ca="1" si="12"/>
        <v>0</v>
      </c>
      <c r="I22" s="1">
        <f t="shared" ca="1" si="12"/>
        <v>0</v>
      </c>
      <c r="J22" s="12">
        <f t="shared" ca="1" si="12"/>
        <v>0</v>
      </c>
      <c r="K22" s="1">
        <f t="shared" ca="1" si="12"/>
        <v>0</v>
      </c>
      <c r="L22" s="29">
        <f t="shared" si="22"/>
        <v>0</v>
      </c>
      <c r="M22" s="13">
        <f t="shared" ca="1" si="23"/>
        <v>9</v>
      </c>
      <c r="N22" s="13">
        <f t="array" aca="1" ref="N22" ca="1">IF($AI$15,SUM(($K$17:$K$25&gt;=K22)/COUNTIF($K$17:$K$25,$K$17:$K$25)),SUM(($L$17:$L$25&gt;=L22)/COUNTIF($L$17:$L$25,$L$17:$L$25)))</f>
        <v>1.0000000000000002</v>
      </c>
      <c r="O22" s="5" t="str">
        <f t="shared" ca="1" si="13"/>
        <v/>
      </c>
      <c r="P22" s="3" t="str">
        <f t="shared" ca="1" si="14"/>
        <v/>
      </c>
      <c r="Q22" s="3" t="str">
        <f t="shared" ca="1" si="15"/>
        <v/>
      </c>
      <c r="R22" s="3" t="str">
        <f t="shared" ca="1" si="16"/>
        <v/>
      </c>
      <c r="S22" s="3" t="str">
        <f t="shared" ca="1" si="17"/>
        <v/>
      </c>
      <c r="T22" s="3" t="str">
        <f t="shared" ca="1" si="18"/>
        <v/>
      </c>
      <c r="U22" s="3" t="str">
        <f t="shared" ca="1" si="19"/>
        <v/>
      </c>
      <c r="V22" s="55" t="str">
        <f t="shared" ca="1" si="20"/>
        <v/>
      </c>
      <c r="W22" s="62">
        <f t="shared" si="24"/>
        <v>0</v>
      </c>
      <c r="X22" s="21">
        <f t="shared" ca="1" si="25"/>
        <v>1.0108999999999999</v>
      </c>
      <c r="Y22" s="12">
        <v>0</v>
      </c>
      <c r="Z22" s="1">
        <f t="shared" ca="1" si="26"/>
        <v>1.9</v>
      </c>
      <c r="AA22" s="1">
        <f t="shared" ca="1" si="27"/>
        <v>0</v>
      </c>
      <c r="AB22" s="1">
        <f t="shared" ca="1" si="28"/>
        <v>0</v>
      </c>
      <c r="AC22" s="1"/>
      <c r="AD22" s="260">
        <f t="shared" ca="1" si="29"/>
        <v>1</v>
      </c>
      <c r="AE22" s="29">
        <f t="shared" ca="1" si="30"/>
        <v>500000</v>
      </c>
      <c r="AF22" s="1">
        <f t="shared" ca="1" si="31"/>
        <v>1</v>
      </c>
      <c r="AG22" s="1">
        <f t="shared" ca="1" si="32"/>
        <v>1</v>
      </c>
      <c r="AH22" s="263">
        <f t="shared" ca="1" si="33"/>
        <v>1.0101100000000001</v>
      </c>
      <c r="AI22" s="1"/>
    </row>
    <row r="23" spans="2:80" s="2" customFormat="1" x14ac:dyDescent="0.2">
      <c r="C23" s="2" t="str">
        <f t="shared" si="21"/>
        <v/>
      </c>
      <c r="D23" s="1">
        <f t="shared" ca="1" si="11"/>
        <v>0</v>
      </c>
      <c r="E23" s="1">
        <f t="shared" ca="1" si="11"/>
        <v>0</v>
      </c>
      <c r="F23" s="1">
        <f t="shared" ca="1" si="11"/>
        <v>0</v>
      </c>
      <c r="G23" s="1">
        <f t="shared" ca="1" si="11"/>
        <v>0</v>
      </c>
      <c r="H23" s="1">
        <f t="shared" ca="1" si="12"/>
        <v>0</v>
      </c>
      <c r="I23" s="1">
        <f t="shared" ca="1" si="12"/>
        <v>0</v>
      </c>
      <c r="J23" s="12">
        <f t="shared" ca="1" si="12"/>
        <v>0</v>
      </c>
      <c r="K23" s="1">
        <f t="shared" ca="1" si="12"/>
        <v>0</v>
      </c>
      <c r="L23" s="29">
        <f t="shared" si="22"/>
        <v>0</v>
      </c>
      <c r="M23" s="13">
        <f t="shared" ca="1" si="23"/>
        <v>9</v>
      </c>
      <c r="N23" s="13">
        <f t="array" aca="1" ref="N23" ca="1">IF($AI$15,SUM(($K$17:$K$25&gt;=K23)/COUNTIF($K$17:$K$25,$K$17:$K$25)),SUM(($L$17:$L$25&gt;=L23)/COUNTIF($L$17:$L$25,$L$17:$L$25)))</f>
        <v>1.0000000000000002</v>
      </c>
      <c r="O23" s="5" t="str">
        <f t="shared" ca="1" si="13"/>
        <v/>
      </c>
      <c r="P23" s="3" t="str">
        <f t="shared" ca="1" si="14"/>
        <v/>
      </c>
      <c r="Q23" s="3" t="str">
        <f t="shared" ca="1" si="15"/>
        <v/>
      </c>
      <c r="R23" s="3" t="str">
        <f t="shared" ca="1" si="16"/>
        <v/>
      </c>
      <c r="S23" s="3" t="str">
        <f t="shared" ca="1" si="17"/>
        <v/>
      </c>
      <c r="T23" s="3" t="str">
        <f t="shared" ca="1" si="18"/>
        <v/>
      </c>
      <c r="U23" s="3" t="str">
        <f t="shared" ca="1" si="19"/>
        <v/>
      </c>
      <c r="V23" s="55" t="str">
        <f t="shared" ca="1" si="20"/>
        <v/>
      </c>
      <c r="W23" s="62">
        <f t="shared" si="24"/>
        <v>0</v>
      </c>
      <c r="X23" s="21">
        <f t="shared" ca="1" si="25"/>
        <v>1.0108999999999999</v>
      </c>
      <c r="Y23" s="12">
        <v>0</v>
      </c>
      <c r="Z23" s="1">
        <f t="shared" ca="1" si="26"/>
        <v>1.9</v>
      </c>
      <c r="AA23" s="1">
        <f t="shared" ca="1" si="27"/>
        <v>0</v>
      </c>
      <c r="AB23" s="1">
        <f t="shared" ca="1" si="28"/>
        <v>0</v>
      </c>
      <c r="AC23" s="1"/>
      <c r="AD23" s="260">
        <f t="shared" ca="1" si="29"/>
        <v>1</v>
      </c>
      <c r="AE23" s="29">
        <f t="shared" ca="1" si="30"/>
        <v>500000</v>
      </c>
      <c r="AF23" s="1">
        <f t="shared" ca="1" si="31"/>
        <v>1</v>
      </c>
      <c r="AG23" s="1">
        <f t="shared" ca="1" si="32"/>
        <v>1</v>
      </c>
      <c r="AH23" s="263">
        <f t="shared" ca="1" si="33"/>
        <v>1.0101100000000001</v>
      </c>
      <c r="AI23" s="1"/>
    </row>
    <row r="24" spans="2:80" s="2" customFormat="1" x14ac:dyDescent="0.2">
      <c r="C24" s="2" t="str">
        <f t="shared" si="21"/>
        <v/>
      </c>
      <c r="D24" s="1">
        <f t="shared" ca="1" si="11"/>
        <v>0</v>
      </c>
      <c r="E24" s="1">
        <f t="shared" ca="1" si="11"/>
        <v>0</v>
      </c>
      <c r="F24" s="1">
        <f t="shared" ca="1" si="11"/>
        <v>0</v>
      </c>
      <c r="G24" s="1">
        <f t="shared" ca="1" si="11"/>
        <v>0</v>
      </c>
      <c r="H24" s="1">
        <f t="shared" ca="1" si="12"/>
        <v>0</v>
      </c>
      <c r="I24" s="1">
        <f t="shared" ca="1" si="12"/>
        <v>0</v>
      </c>
      <c r="J24" s="12">
        <f t="shared" ca="1" si="12"/>
        <v>0</v>
      </c>
      <c r="K24" s="1">
        <f t="shared" ca="1" si="12"/>
        <v>0</v>
      </c>
      <c r="L24" s="29">
        <f t="shared" si="22"/>
        <v>0</v>
      </c>
      <c r="M24" s="13">
        <f t="shared" ca="1" si="23"/>
        <v>9</v>
      </c>
      <c r="N24" s="13">
        <f t="array" aca="1" ref="N24" ca="1">IF($AI$15,SUM(($K$17:$K$25&gt;=K24)/COUNTIF($K$17:$K$25,$K$17:$K$25)),SUM(($L$17:$L$25&gt;=L24)/COUNTIF($L$17:$L$25,$L$17:$L$25)))</f>
        <v>1.0000000000000002</v>
      </c>
      <c r="O24" s="5" t="str">
        <f t="shared" ca="1" si="13"/>
        <v/>
      </c>
      <c r="P24" s="3" t="str">
        <f t="shared" ca="1" si="14"/>
        <v/>
      </c>
      <c r="Q24" s="3" t="str">
        <f t="shared" ca="1" si="15"/>
        <v/>
      </c>
      <c r="R24" s="3" t="str">
        <f t="shared" ca="1" si="16"/>
        <v/>
      </c>
      <c r="S24" s="3" t="str">
        <f t="shared" ca="1" si="17"/>
        <v/>
      </c>
      <c r="T24" s="3" t="str">
        <f t="shared" ca="1" si="18"/>
        <v/>
      </c>
      <c r="U24" s="3" t="str">
        <f t="shared" ca="1" si="19"/>
        <v/>
      </c>
      <c r="V24" s="55" t="str">
        <f t="shared" ca="1" si="20"/>
        <v/>
      </c>
      <c r="W24" s="62">
        <f t="shared" si="24"/>
        <v>0</v>
      </c>
      <c r="X24" s="21">
        <f t="shared" ca="1" si="25"/>
        <v>1.0108999999999999</v>
      </c>
      <c r="Y24" s="12">
        <v>0</v>
      </c>
      <c r="Z24" s="1">
        <f t="shared" ca="1" si="26"/>
        <v>1.9</v>
      </c>
      <c r="AA24" s="1">
        <f t="shared" ca="1" si="27"/>
        <v>0</v>
      </c>
      <c r="AB24" s="1">
        <f t="shared" ca="1" si="28"/>
        <v>0</v>
      </c>
      <c r="AC24" s="1"/>
      <c r="AD24" s="260">
        <f t="shared" ca="1" si="29"/>
        <v>1</v>
      </c>
      <c r="AE24" s="29">
        <f t="shared" ca="1" si="30"/>
        <v>500000</v>
      </c>
      <c r="AF24" s="1">
        <f t="shared" ca="1" si="31"/>
        <v>1</v>
      </c>
      <c r="AG24" s="1">
        <f t="shared" ca="1" si="32"/>
        <v>1</v>
      </c>
      <c r="AH24" s="263">
        <f t="shared" ca="1" si="33"/>
        <v>1.0101100000000001</v>
      </c>
      <c r="AI24" s="1"/>
    </row>
    <row r="25" spans="2:80" s="2" customFormat="1" ht="12.75" thickBot="1" x14ac:dyDescent="0.25">
      <c r="C25" s="2" t="str">
        <f t="shared" si="21"/>
        <v/>
      </c>
      <c r="D25" s="1">
        <f t="shared" ca="1" si="11"/>
        <v>0</v>
      </c>
      <c r="E25" s="1">
        <f t="shared" ca="1" si="11"/>
        <v>0</v>
      </c>
      <c r="F25" s="1">
        <f t="shared" ca="1" si="11"/>
        <v>0</v>
      </c>
      <c r="G25" s="1">
        <f t="shared" ca="1" si="11"/>
        <v>0</v>
      </c>
      <c r="H25" s="1">
        <f t="shared" ca="1" si="12"/>
        <v>0</v>
      </c>
      <c r="I25" s="1">
        <f t="shared" ca="1" si="12"/>
        <v>0</v>
      </c>
      <c r="J25" s="12">
        <f t="shared" ca="1" si="12"/>
        <v>0</v>
      </c>
      <c r="K25" s="1">
        <f t="shared" ca="1" si="12"/>
        <v>0</v>
      </c>
      <c r="L25" s="29">
        <f t="shared" si="22"/>
        <v>0</v>
      </c>
      <c r="M25" s="13">
        <f t="shared" ca="1" si="23"/>
        <v>9</v>
      </c>
      <c r="N25" s="13">
        <f t="array" aca="1" ref="N25" ca="1">IF($AI$15,SUM(($K$17:$K$25&gt;=K25)/COUNTIF($K$17:$K$25,$K$17:$K$25)),SUM(($L$17:$L$25&gt;=L25)/COUNTIF($L$17:$L$25,$L$17:$L$25)))</f>
        <v>1.0000000000000002</v>
      </c>
      <c r="O25" s="56" t="str">
        <f t="shared" ca="1" si="13"/>
        <v/>
      </c>
      <c r="P25" s="57" t="str">
        <f t="shared" ca="1" si="14"/>
        <v/>
      </c>
      <c r="Q25" s="57" t="str">
        <f t="shared" ca="1" si="15"/>
        <v/>
      </c>
      <c r="R25" s="57" t="str">
        <f t="shared" ca="1" si="16"/>
        <v/>
      </c>
      <c r="S25" s="57" t="str">
        <f t="shared" ca="1" si="17"/>
        <v/>
      </c>
      <c r="T25" s="57" t="str">
        <f t="shared" ca="1" si="18"/>
        <v/>
      </c>
      <c r="U25" s="57" t="str">
        <f t="shared" ca="1" si="19"/>
        <v/>
      </c>
      <c r="V25" s="58" t="str">
        <f t="shared" ca="1" si="20"/>
        <v/>
      </c>
      <c r="W25" s="62">
        <f t="shared" si="24"/>
        <v>0</v>
      </c>
      <c r="X25" s="22">
        <f t="shared" ca="1" si="25"/>
        <v>1.0108999999999999</v>
      </c>
      <c r="Y25" s="12">
        <v>0</v>
      </c>
      <c r="Z25" s="1">
        <f t="shared" ca="1" si="26"/>
        <v>1.9</v>
      </c>
      <c r="AA25" s="1">
        <f t="shared" ca="1" si="27"/>
        <v>0</v>
      </c>
      <c r="AB25" s="1">
        <f t="shared" ca="1" si="28"/>
        <v>0</v>
      </c>
      <c r="AC25" s="1"/>
      <c r="AD25" s="260">
        <f t="shared" ca="1" si="29"/>
        <v>1</v>
      </c>
      <c r="AE25" s="29">
        <f t="shared" ca="1" si="30"/>
        <v>500000</v>
      </c>
      <c r="AF25" s="1">
        <f t="shared" ca="1" si="31"/>
        <v>1</v>
      </c>
      <c r="AG25" s="1">
        <f t="shared" ca="1" si="32"/>
        <v>1</v>
      </c>
      <c r="AH25" s="264">
        <f t="shared" ca="1" si="33"/>
        <v>1.0101100000000001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4" t="s">
        <v>99</v>
      </c>
    </row>
    <row r="29" spans="2:80" s="2" customFormat="1" ht="12.75" thickTop="1" x14ac:dyDescent="0.2">
      <c r="B29" s="2" t="s">
        <v>95</v>
      </c>
      <c r="E29" s="1023">
        <v>1</v>
      </c>
      <c r="F29" s="1020"/>
      <c r="G29" s="1020"/>
      <c r="H29" s="1020"/>
      <c r="I29" s="1020"/>
      <c r="J29" s="1020"/>
      <c r="K29" s="1020"/>
      <c r="L29" s="1022"/>
      <c r="M29" s="1019">
        <v>2</v>
      </c>
      <c r="N29" s="1020"/>
      <c r="O29" s="1020"/>
      <c r="P29" s="1020"/>
      <c r="Q29" s="1020"/>
      <c r="R29" s="1020"/>
      <c r="S29" s="1020"/>
      <c r="T29" s="1022"/>
      <c r="U29" s="1019">
        <v>3</v>
      </c>
      <c r="V29" s="1020"/>
      <c r="W29" s="1020"/>
      <c r="X29" s="1020"/>
      <c r="Y29" s="1020"/>
      <c r="Z29" s="1020"/>
      <c r="AA29" s="1020"/>
      <c r="AB29" s="1022"/>
      <c r="AC29" s="1019">
        <v>4</v>
      </c>
      <c r="AD29" s="1020"/>
      <c r="AE29" s="1020"/>
      <c r="AF29" s="1020"/>
      <c r="AG29" s="1020"/>
      <c r="AH29" s="1020"/>
      <c r="AI29" s="1020"/>
      <c r="AJ29" s="1022"/>
      <c r="AK29" s="1019">
        <v>5</v>
      </c>
      <c r="AL29" s="1020"/>
      <c r="AM29" s="1020"/>
      <c r="AN29" s="1020"/>
      <c r="AO29" s="1020"/>
      <c r="AP29" s="1020"/>
      <c r="AQ29" s="1020"/>
      <c r="AR29" s="1022"/>
      <c r="AS29" s="1019">
        <v>6</v>
      </c>
      <c r="AT29" s="1020"/>
      <c r="AU29" s="1020"/>
      <c r="AV29" s="1020"/>
      <c r="AW29" s="1020"/>
      <c r="AX29" s="1020"/>
      <c r="AY29" s="1020"/>
      <c r="AZ29" s="1022"/>
      <c r="BA29" s="1019">
        <v>7</v>
      </c>
      <c r="BB29" s="1020"/>
      <c r="BC29" s="1020"/>
      <c r="BD29" s="1020"/>
      <c r="BE29" s="1020"/>
      <c r="BF29" s="1020"/>
      <c r="BG29" s="1020"/>
      <c r="BH29" s="1022"/>
      <c r="BI29" s="1019">
        <v>8</v>
      </c>
      <c r="BJ29" s="1020"/>
      <c r="BK29" s="1020"/>
      <c r="BL29" s="1020"/>
      <c r="BM29" s="1020"/>
      <c r="BN29" s="1020"/>
      <c r="BO29" s="1020"/>
      <c r="BP29" s="1021"/>
      <c r="BQ29" s="12"/>
      <c r="BR29" s="4" t="s">
        <v>94</v>
      </c>
      <c r="BS29" s="2" t="str">
        <f ca="1">$F$4</f>
        <v/>
      </c>
      <c r="BT29" s="2" t="str">
        <f ca="1">$F$5</f>
        <v/>
      </c>
      <c r="BU29" s="2" t="str">
        <f>$F$6</f>
        <v/>
      </c>
      <c r="BV29" s="2" t="str">
        <f>$F$7</f>
        <v/>
      </c>
      <c r="BW29" s="2" t="str">
        <f>$F$8</f>
        <v/>
      </c>
      <c r="BX29" s="2" t="str">
        <f>$F$9</f>
        <v/>
      </c>
      <c r="BY29" s="2" t="str">
        <f>$F$10</f>
        <v/>
      </c>
      <c r="BZ29" s="2" t="str">
        <f>$F$11</f>
        <v/>
      </c>
      <c r="CA29" s="2" t="str">
        <f>$F$12</f>
        <v/>
      </c>
      <c r="CB29" s="51"/>
    </row>
    <row r="30" spans="2:80" s="2" customFormat="1" x14ac:dyDescent="0.2">
      <c r="C30" s="2" t="str">
        <f ca="1">$Q64</f>
        <v/>
      </c>
      <c r="E30" s="14">
        <f t="array" aca="1" ref="E30" ca="1">IF(O17=C17,SUM(IF(($BR$52:$BR$60=C17)*($BS$51:$CA$51=O18),$BS$52:$CA$60)),0)</f>
        <v>0</v>
      </c>
      <c r="F30" s="3">
        <f t="array" aca="1" ref="F30" ca="1">IF(O17=C17,SUM(IF(($BR$52:$BR$60=C17)*($BS$51:$CA$51=O19),$BS$52:$CA$60)),0)</f>
        <v>0</v>
      </c>
      <c r="G30" s="3">
        <f t="array" aca="1" ref="G30" ca="1">IF(O17=C17,SUM(IF(($BR$52:$BR$60=C17)*($BS$51:$CA$51=O20),$BS$52:$CA$60)),0)</f>
        <v>0</v>
      </c>
      <c r="H30" s="3">
        <f t="array" aca="1" ref="H30" ca="1">IF(O17=C17,SUM(IF(($BR$52:$BR$60=C17)*($BS$51:$CA$51=O21),$BS$52:$CA$60)),0)</f>
        <v>0</v>
      </c>
      <c r="I30" s="3">
        <f t="array" aca="1" ref="I30" ca="1">IF(O17=C17,SUM(IF(($BR$52:$BR$60=C17)*($BS$51:$CA$51=O22),$BS$52:$CA$60)),0)</f>
        <v>0</v>
      </c>
      <c r="J30" s="3">
        <f t="array" aca="1" ref="J30" ca="1">IF(O17=C17,SUM(IF(($BR$52:$BR$60=C17)*($BS$51:$CA$51=O23),$BS$52:$CA$60)),0)</f>
        <v>0</v>
      </c>
      <c r="K30" s="3">
        <f t="array" aca="1" ref="K30" ca="1">IF(O17=C17,SUM(IF(($BR$52:$BR$60=C17)*($BS$51:$CA$51=O$24),$BS$52:$CA$60)),0)</f>
        <v>0</v>
      </c>
      <c r="L30" s="3">
        <f t="array" aca="1" ref="L30" ca="1">IF(O17=C17,SUM(IF(($BR$52:$BR$60=C17)*($BS$51:$CA$51=O$25),$BS$52:$CA$60)),0)</f>
        <v>0</v>
      </c>
      <c r="M30" s="5">
        <f t="array" aca="1" ref="M30" ca="1">IF(P17=C17,SUM(IF(($BR$52:$BR$60=C17)*($BS$51:$CA$51=P18),$BS$52:$CA$60)),0)</f>
        <v>0</v>
      </c>
      <c r="N30" s="3">
        <f t="array" aca="1" ref="N30" ca="1">IF(P17=C17,SUM(IF(($BR$52:$BR$60=C17)*($BS$51:$CA$51=P19),$BS$52:$CA$60)),0)</f>
        <v>0</v>
      </c>
      <c r="O30" s="3">
        <f t="array" aca="1" ref="O30" ca="1">IF(P17=C17,SUM(IF(($BR$52:$BR$60=C17)*($BS$51:$CA$51=P20),$BS$52:$CA$60)),0)</f>
        <v>0</v>
      </c>
      <c r="P30" s="3">
        <f t="array" aca="1" ref="P30" ca="1">IF(P17=C17,SUM(IF(($BR$52:$BR$60=C17)*($BS$51:$CA$51=P21),$BS$52:$CA$60)),0)</f>
        <v>0</v>
      </c>
      <c r="Q30" s="3">
        <f t="array" aca="1" ref="Q30" ca="1">IF(P17=C17,SUM(IF(($BR$52:$BR$60=C17)*($BS$51:$CA$51=P22),$BS$52:$CA$60)),0)</f>
        <v>0</v>
      </c>
      <c r="R30" s="3">
        <f t="array" aca="1" ref="R30" ca="1">IF(P17=C17,SUM(IF(($BR$52:$BR$60=C17)*($BS$51:$CA$51=P23),$BS$52:$CA$60)),0)</f>
        <v>0</v>
      </c>
      <c r="S30" s="3">
        <f t="array" aca="1" ref="S30" ca="1">IF(P17=C17,SUM(IF(($BR$52:$BR$60=C17)*($BS$51:$CA$51=P$24),$BS$52:$CA$60)),0)</f>
        <v>0</v>
      </c>
      <c r="T30" s="3">
        <f t="array" aca="1" ref="T30" ca="1">IF(P17=C17,SUM(IF(($BR$52:$BR$60=C17)*($BS$51:$CA$51=P$25),$BS$52:$CA$60)),0)</f>
        <v>0</v>
      </c>
      <c r="U30" s="5">
        <f t="array" aca="1" ref="U30" ca="1">IF(Q17=C17,SUM(IF(($BR$52:$BR$60=C17)*($BS$51:$CA$51=Q18),$BS$52:$CA$60)),0)</f>
        <v>0</v>
      </c>
      <c r="V30" s="3">
        <f t="array" aca="1" ref="V30" ca="1">IF(Q17=C17,SUM(IF(($BR$52:$BR$60=C17)*($BS$51:$CA$51=Q19),$BS$52:$CA$60)),0)</f>
        <v>0</v>
      </c>
      <c r="W30" s="3">
        <f t="array" aca="1" ref="W30" ca="1">IF(Q17=C17,SUM(IF(($BR$52:$BR$60=C17)*($BS$51:$CA$51=Q20),$BS$52:$CA$60)),0)</f>
        <v>0</v>
      </c>
      <c r="X30" s="3">
        <f t="array" aca="1" ref="X30" ca="1">IF(Q17=C17,SUM(IF(($BR$52:$BR$60=C17)*($BS$51:$CA$51=Q21),$BS$52:$CA$60)),0)</f>
        <v>0</v>
      </c>
      <c r="Y30" s="3">
        <f t="array" aca="1" ref="Y30" ca="1">IF(Q17=C17,SUM(IF(($BR$52:$BR$60=C17)*($BS$51:$CA$51=Q22),$BS$52:$CA$60)),0)</f>
        <v>0</v>
      </c>
      <c r="Z30" s="3">
        <f t="array" aca="1" ref="Z30" ca="1">IF(Q17=C17,SUM(IF(($BR$52:$BR$60=C17)*($BS$51:$CA$51=Q23),$BS$52:$CA$60)),0)</f>
        <v>0</v>
      </c>
      <c r="AA30" s="3">
        <f t="array" aca="1" ref="AA30" ca="1">IF(Q17=C17,SUM(IF(($BR$52:$BR$60=C17)*($BS$51:$CA$51=Q$24),$BS$52:$CA$60)),0)</f>
        <v>0</v>
      </c>
      <c r="AB30" s="3">
        <f t="array" aca="1" ref="AB30" ca="1">IF(Q17=C17,SUM(IF(($BR$52:$BR$60=C17)*($BS$51:$CA$51=Q$25),$BS$52:$CA$60)),0)</f>
        <v>0</v>
      </c>
      <c r="AC30" s="5">
        <f t="array" aca="1" ref="AC30" ca="1">IF(R17=C17,SUM(IF(($BR$52:$BR$60=C17)*($BS$51:$CA$51=R18),$BS$52:$CA$60)),0)</f>
        <v>0</v>
      </c>
      <c r="AD30" s="3">
        <f t="array" aca="1" ref="AD30" ca="1">IF(R17=C17,SUM(IF(($BR$52:$BR$60=C17)*($BS$51:$CA$51=R19),$BS$52:$CA$60)),0)</f>
        <v>0</v>
      </c>
      <c r="AE30" s="3">
        <f t="array" aca="1" ref="AE30" ca="1">IF(R17=C17,SUM(IF(($BR$52:$BR$60=C17)*($BS$51:$CA$51=R20),$BS$52:$CA$60)),0)</f>
        <v>0</v>
      </c>
      <c r="AF30" s="3">
        <f t="array" aca="1" ref="AF30" ca="1">IF(R17=C17,SUM(IF(($BR$52:$BR$60=C17)*($BS$51:$CA$51=R21),$BS$52:$CA$60)),0)</f>
        <v>0</v>
      </c>
      <c r="AG30" s="3">
        <f t="array" aca="1" ref="AG30" ca="1">IF(R17=C17,SUM(IF(($BR$52:$BR$60=C17)*($BS$51:$CA$51=R22),$BS$52:$CA$60)),0)</f>
        <v>0</v>
      </c>
      <c r="AH30" s="3">
        <f t="array" aca="1" ref="AH30" ca="1">IF(R17=C17,SUM(IF(($BR$52:$BR$60=C17)*($BS$51:$CA$51=R23),$BS$52:$CA$60)),0)</f>
        <v>0</v>
      </c>
      <c r="AI30" s="3">
        <f t="array" aca="1" ref="AI30" ca="1">IF(R17=C17,SUM(IF(($BR$52:$BR$60=C17)*($BS$51:$CA$51=R$24),$BS$52:$CA$60)),0)</f>
        <v>0</v>
      </c>
      <c r="AJ30" s="3">
        <f t="array" aca="1" ref="AJ30" ca="1">IF(R17=C17,SUM(IF(($BR$52:$BR$60=C17)*($BS$51:$CA$51=R$25),$BS$52:$CA$60)),0)</f>
        <v>0</v>
      </c>
      <c r="AK30" s="5">
        <f t="array" aca="1" ref="AK30" ca="1">IF(S17=C17,SUM(IF(($BR$52:$BR$60=C17)*($BS$51:$CA$51=S18),$BS$52:$CA$60)),0)</f>
        <v>0</v>
      </c>
      <c r="AL30" s="3">
        <f t="array" aca="1" ref="AL30" ca="1">IF(S17=C17,SUM(IF(($BR$52:$BR$60=C17)*($BS$51:$CA$51=S19),$BS$52:$CA$60)),0)</f>
        <v>0</v>
      </c>
      <c r="AM30" s="3">
        <f t="array" aca="1" ref="AM30" ca="1">IF(S17=C17,SUM(IF(($BR$52:$BR$60=C17)*($BS$51:$CA$51=S20),$BS$52:$CA$60)),0)</f>
        <v>0</v>
      </c>
      <c r="AN30" s="3">
        <f t="array" aca="1" ref="AN30" ca="1">IF(S17=C17,SUM(IF(($BR$52:$BR$60=C17)*($BS$51:$CA$51=S21),$BS$52:$CA$60)),0)</f>
        <v>0</v>
      </c>
      <c r="AO30" s="3">
        <f t="array" aca="1" ref="AO30" ca="1">IF(S17=C17,SUM(IF(($BR$52:$BR$60=C17)*($BS$51:$CA$51=S22),$BS$52:$CA$60)),0)</f>
        <v>0</v>
      </c>
      <c r="AP30" s="3">
        <f t="array" aca="1" ref="AP30" ca="1">IF(S17=C17,SUM(IF(($BR$52:$BR$60=C17)*($BS$51:$CA$51=S23),$BS$52:$CA$60)),0)</f>
        <v>0</v>
      </c>
      <c r="AQ30" s="3">
        <f t="array" aca="1" ref="AQ30" ca="1">IF(S17=C17,SUM(IF(($BR$52:$BR$60=C17)*($BS$51:$CA$51=S$24),$BS$52:$CA$60)),0)</f>
        <v>0</v>
      </c>
      <c r="AR30" s="3">
        <f t="array" aca="1" ref="AR30" ca="1">IF(S17=C17,SUM(IF(($BR$52:$BR$60=C17)*($BS$51:$CA$51=S$25),$BS$52:$CA$60)),0)</f>
        <v>0</v>
      </c>
      <c r="AS30" s="5">
        <f t="array" aca="1" ref="AS30" ca="1">IF(T17=C17,SUM(IF(($BR$52:$BR$60=C17)*($BS$51:$CA$51=T18),$BS$52:$CA$60)),0)</f>
        <v>0</v>
      </c>
      <c r="AT30" s="3">
        <f t="array" aca="1" ref="AT30" ca="1">IF(T17=C17,SUM(IF(($BR$52:$BR$60=C17)*($BS$51:$CA$51=T19),$BS$52:$CA$60)),0)</f>
        <v>0</v>
      </c>
      <c r="AU30" s="3">
        <f t="array" aca="1" ref="AU30" ca="1">IF(T17=C17,SUM(IF(($BR$52:$BR$60=C17)*($BS$51:$CA$51=T20),$BS$52:$CA$60)),0)</f>
        <v>0</v>
      </c>
      <c r="AV30" s="3">
        <f t="array" aca="1" ref="AV30" ca="1">IF(T17=C17,SUM(IF(($BR$52:$BR$60=C17)*($BS$51:$CA$51=T21),$BS$52:$CA$60)),0)</f>
        <v>0</v>
      </c>
      <c r="AW30" s="3">
        <f t="array" aca="1" ref="AW30" ca="1">IF(T17=C17,SUM(IF(($BR$52:$BR$60=C17)*($BS$51:$CA$51=T22),$BS$52:$CA$60)),0)</f>
        <v>0</v>
      </c>
      <c r="AX30" s="3">
        <f t="array" aca="1" ref="AX30" ca="1">IF(T17=C17,SUM(IF(($BR$52:$BR$60=C17)*($BS$51:$CA$51=T23),$BS$52:$CA$60)),0)</f>
        <v>0</v>
      </c>
      <c r="AY30" s="3">
        <f t="array" aca="1" ref="AY30" ca="1">IF(T17=C17,SUM(IF(($BR$52:$BR$60=C17)*($BS$51:$CA$51=T$24),$BS$52:$CA$60)),0)</f>
        <v>0</v>
      </c>
      <c r="AZ30" s="3">
        <f t="array" aca="1" ref="AZ30" ca="1">IF(T17=C17,SUM(IF(($BR$52:$BR$60=C17)*($BS$51:$CA$51=T$25),$BS$52:$CA$60)),0)</f>
        <v>0</v>
      </c>
      <c r="BA30" s="5">
        <f t="array" aca="1" ref="BA30" ca="1">IF(U17=C17,SUM(IF(($BR$52:$BR$60=C17)*($BS$51:$CA$51=U$18),$BS$52:$CA$60)),0)</f>
        <v>0</v>
      </c>
      <c r="BB30" s="3">
        <f t="array" aca="1" ref="BB30" ca="1">IF(U17=C17,SUM(IF(($BR$52:$BR$60=C17)*($BS$51:$CA$51=U$19),$BS$52:$CA$60)),0)</f>
        <v>0</v>
      </c>
      <c r="BC30" s="3">
        <f t="array" aca="1" ref="BC30" ca="1">IF(U17=C17,SUM(IF(($BR$52:$BR$60=C17)*($BS$51:$CA$51=U$20),$BS$52:$CA$60)),0)</f>
        <v>0</v>
      </c>
      <c r="BD30" s="3">
        <f t="array" aca="1" ref="BD30" ca="1">IF(U17=C17,SUM(IF(($BR$52:$BR$60=C17)*($BS$51:$CA$51=U$21),$BS$52:$CA$60)),0)</f>
        <v>0</v>
      </c>
      <c r="BE30" s="3">
        <f t="array" aca="1" ref="BE30" ca="1">IF(U17=C17,SUM(IF(($BR$52:$BR$60=C17)*($BS$51:$CA$51=U$22),$BS$52:$CA$60)),0)</f>
        <v>0</v>
      </c>
      <c r="BF30" s="3">
        <f t="array" aca="1" ref="BF30" ca="1">IF(U17=C17,SUM(IF(($BR$52:$BR$60=C17)*($BS$51:$CA$51=U$23),$BS$52:$CA$60)),0)</f>
        <v>0</v>
      </c>
      <c r="BG30" s="3">
        <f t="array" aca="1" ref="BG30" ca="1">IF(U17=C17,SUM(IF(($BR$52:$BR$60=C17)*($BS$51:$CA$51=U$24),$BS$52:$CA$60)),0)</f>
        <v>0</v>
      </c>
      <c r="BH30" s="3">
        <f t="array" aca="1" ref="BH30" ca="1">IF(U17=C17,SUM(IF(($BR$52:$BR$60=C17)*($BS$51:$CA$51=U$25),$BS$52:$CA$60)),0)</f>
        <v>0</v>
      </c>
      <c r="BI30" s="5">
        <f t="array" aca="1" ref="BI30" ca="1">IF(V17=C17,SUM(IF(($BR$52:$BR$60=C17)*($BS$51:$CA$51=V$18),$BS$52:$CA$60)),0)</f>
        <v>0</v>
      </c>
      <c r="BJ30" s="3">
        <f t="array" aca="1" ref="BJ30" ca="1">IF(V17=C17,SUM(IF(($BR$52:$BR$60=C17)*($BS$51:$CA$51=V$19),$BS$52:$CA$60)),0)</f>
        <v>0</v>
      </c>
      <c r="BK30" s="3">
        <f t="array" aca="1" ref="BK30" ca="1">IF(V17=C17,SUM(IF(($BR$52:$BR$60=C17)*($BS$51:$CA$51=V$20),$BS$52:$CA$60)),0)</f>
        <v>0</v>
      </c>
      <c r="BL30" s="3">
        <f t="array" aca="1" ref="BL30" ca="1">IF(V17=C17,SUM(IF(($BR$52:$BR$60=C17)*($BS$51:$CA$51=V$21),$BS$52:$CA$60)),0)</f>
        <v>0</v>
      </c>
      <c r="BM30" s="3">
        <f t="array" aca="1" ref="BM30" ca="1">IF(V17=C17,SUM(IF(($BR$52:$BR$60=C17)*($BS$51:$CA$51=V$22),$BS$52:$CA$60)),0)</f>
        <v>0</v>
      </c>
      <c r="BN30" s="3">
        <f t="array" aca="1" ref="BN30" ca="1">IF(V17=C17,SUM(IF(($BR$52:$BR$60=C17)*($BS$51:$CA$51=V$23),$BS$52:$CA$60)),0)</f>
        <v>0</v>
      </c>
      <c r="BO30" s="3">
        <f t="array" aca="1" ref="BO30" ca="1">IF(V17=C17,SUM(IF(($BR$52:$BR$60=C17)*($BS$51:$CA$51=V$24),$BS$52:$CA$60)),0)</f>
        <v>0</v>
      </c>
      <c r="BP30" s="15">
        <f t="array" aca="1" ref="BP30" ca="1">IF(V17=C17,SUM(IF(($BR$52:$BR$60=C17)*($BS$51:$CA$51=V$25),$BS$52:$CA$60)),0)</f>
        <v>0</v>
      </c>
      <c r="BQ30" s="3"/>
      <c r="BR30" s="2" t="str">
        <f t="shared" ref="BR30:BR38" ca="1" si="34">F4</f>
        <v/>
      </c>
      <c r="BS30" s="6"/>
      <c r="BT30" s="7">
        <f t="shared" ref="BT30:CA37" ca="1" si="35">SUMIFS($X$64:$X$135,$V$64:$V$135,$BR30,$W$64:$W$135,BT$29)+SUMIFS($Y$64:$Y$135,$W$64:$W$135,$BR30,$V$64:$V$135,BT$29)+SUMIFS($AG$64:$AG$135,$V$64:$V$135,$BR30,$W$64:$W$135,BT$29)+SUMIFS($AH$64:$AH$135,$W$64:$W$135,$BR30,$V$64:$V$135,BT$29)</f>
        <v>0</v>
      </c>
      <c r="BU30" s="7">
        <f t="shared" ca="1" si="35"/>
        <v>0</v>
      </c>
      <c r="BV30" s="7">
        <f t="shared" ca="1" si="35"/>
        <v>0</v>
      </c>
      <c r="BW30" s="7">
        <f t="shared" ca="1" si="35"/>
        <v>0</v>
      </c>
      <c r="BX30" s="7">
        <f t="shared" ca="1" si="35"/>
        <v>0</v>
      </c>
      <c r="BY30" s="7">
        <f t="shared" ca="1" si="35"/>
        <v>0</v>
      </c>
      <c r="BZ30" s="7">
        <f t="shared" ca="1" si="35"/>
        <v>0</v>
      </c>
      <c r="CA30" s="7">
        <f t="shared" ca="1" si="35"/>
        <v>0</v>
      </c>
      <c r="CB30" s="3"/>
    </row>
    <row r="31" spans="2:80" s="2" customFormat="1" x14ac:dyDescent="0.2">
      <c r="C31" s="2" t="str">
        <f t="shared" ref="C31:C38" ca="1" si="36">$Q65</f>
        <v/>
      </c>
      <c r="E31" s="14">
        <f t="array" aca="1" ref="E31" ca="1">IF(O18=C18,SUM(IF(($BR$52:$BR$60=C18)*($BS$51:$CA$51=O17),$BS$52:$CA$60)),0)</f>
        <v>0</v>
      </c>
      <c r="F31" s="3">
        <f t="array" aca="1" ref="F31" ca="1">IF(O18=C18,SUM(IF(($BR$52:$BR$60=C18)*($BS$51:$CA$51=O19),$BS$52:$CA$60)),0)</f>
        <v>0</v>
      </c>
      <c r="G31" s="3">
        <f t="array" aca="1" ref="G31" ca="1">IF(O18=C18,SUM(IF(($BR$52:$BR$60=C18)*($BS$51:$CA$51=O20),$BS$52:$CA$60)),0)</f>
        <v>0</v>
      </c>
      <c r="H31" s="3">
        <f t="array" aca="1" ref="H31" ca="1">IF(O18=C18,SUM(IF(($BR$52:$BR$60=C18)*($BS$51:$CA$51=O21),$BS$52:$CA$60)),0)</f>
        <v>0</v>
      </c>
      <c r="I31" s="3">
        <f t="array" aca="1" ref="I31" ca="1">IF(O18=C18,SUM(IF(($BR$52:$BR$60=C18)*($BS$51:$CA$51=O22),$BS$52:$CA$60)),0)</f>
        <v>0</v>
      </c>
      <c r="J31" s="3">
        <f t="array" aca="1" ref="J31" ca="1">IF(O18=C18,SUM(IF(($BR$52:$BR$60=C18)*($BS$51:$CA$51=O23),$BS$52:$CA$60)),0)</f>
        <v>0</v>
      </c>
      <c r="K31" s="3">
        <f t="array" aca="1" ref="K31" ca="1">IF(O18=C18,SUM(IF(($BR$52:$BR$60=C18)*($BS$51:$CA$51=O$24),$BS$52:$CA$60)),0)</f>
        <v>0</v>
      </c>
      <c r="L31" s="3">
        <f t="array" aca="1" ref="L31" ca="1">IF(O18=C18,SUM(IF(($BR$52:$BR$60=C18)*($BS$51:$CA$51=O$25),$BS$52:$CA$60)),0)</f>
        <v>0</v>
      </c>
      <c r="M31" s="5">
        <f t="array" aca="1" ref="M31" ca="1">IF(P18=C18,SUM(IF(($BR$52:$BR$60=C18)*($BS$51:$CA$51=P17),$BS$52:$CA$60)),0)</f>
        <v>0</v>
      </c>
      <c r="N31" s="3">
        <f t="array" aca="1" ref="N31" ca="1">IF(P18=C18,SUM(IF(($BR$52:$BR$60=C18)*($BS$51:$CA$51=P19),$BS$52:$CA$60)),0)</f>
        <v>0</v>
      </c>
      <c r="O31" s="3">
        <f t="array" aca="1" ref="O31" ca="1">IF(P18=C18,SUM(IF(($BR$52:$BR$60=C18)*($BS$51:$CA$51=P20),$BS$52:$CA$60)),0)</f>
        <v>0</v>
      </c>
      <c r="P31" s="3">
        <f t="array" aca="1" ref="P31" ca="1">IF(P18=C18,SUM(IF(($BR$52:$BR$60=C18)*($BS$51:$CA$51=P21),$BS$52:$CA$60)),0)</f>
        <v>0</v>
      </c>
      <c r="Q31" s="3">
        <f t="array" aca="1" ref="Q31" ca="1">IF(P18=C18,SUM(IF(($BR$52:$BR$60=C18)*($BS$51:$CA$51=P22),$BS$52:$CA$60)),0)</f>
        <v>0</v>
      </c>
      <c r="R31" s="3">
        <f t="array" aca="1" ref="R31" ca="1">IF(P18=C18,SUM(IF(($BR$52:$BR$60=C18)*($BS$51:$CA$51=P23),$BS$52:$CA$60)),0)</f>
        <v>0</v>
      </c>
      <c r="S31" s="3">
        <f t="array" aca="1" ref="S31" ca="1">IF(P18=C18,SUM(IF(($BR$52:$BR$60=C18)*($BS$51:$CA$51=P$24),$BS$52:$CA$60)),0)</f>
        <v>0</v>
      </c>
      <c r="T31" s="3">
        <f t="array" aca="1" ref="T31" ca="1">IF(P18=C18,SUM(IF(($BR$52:$BR$60=C18)*($BS$51:$CA$51=P$25),$BS$52:$CA$60)),0)</f>
        <v>0</v>
      </c>
      <c r="U31" s="5">
        <f t="array" aca="1" ref="U31" ca="1">IF(Q18=C18,SUM(IF(($BR$52:$BR$60=C18)*($BS$51:$CA$51=Q17),$BS$52:$CA$60)),0)</f>
        <v>0</v>
      </c>
      <c r="V31" s="3">
        <f t="array" aca="1" ref="V31" ca="1">IF(Q18=C18,SUM(IF(($BR$52:$BR$60=C18)*($BS$51:$CA$51=Q19),$BS$52:$CA$60)),0)</f>
        <v>0</v>
      </c>
      <c r="W31" s="3">
        <f t="array" aca="1" ref="W31" ca="1">IF(Q18=C18,SUM(IF(($BR$52:$BR$60=C18)*($BS$51:$CA$51=Q20),$BS$52:$CA$60)),0)</f>
        <v>0</v>
      </c>
      <c r="X31" s="3">
        <f t="array" aca="1" ref="X31" ca="1">IF(Q18=C18,SUM(IF(($BR$52:$BR$60=C18)*($BS$51:$CA$51=Q21),$BS$52:$CA$60)),0)</f>
        <v>0</v>
      </c>
      <c r="Y31" s="3">
        <f t="array" aca="1" ref="Y31" ca="1">IF(Q18=C18,SUM(IF(($BR$52:$BR$60=C18)*($BS$51:$CA$51=Q22),$BS$52:$CA$60)),0)</f>
        <v>0</v>
      </c>
      <c r="Z31" s="3">
        <f t="array" aca="1" ref="Z31" ca="1">IF(Q18=C18,SUM(IF(($BR$52:$BR$60=C18)*($BS$51:$CA$51=Q23),$BS$52:$CA$60)),0)</f>
        <v>0</v>
      </c>
      <c r="AA31" s="3">
        <f t="array" aca="1" ref="AA31" ca="1">IF(Q18=C18,SUM(IF(($BR$52:$BR$60=C18)*($BS$51:$CA$51=Q$24),$BS$52:$CA$60)),0)</f>
        <v>0</v>
      </c>
      <c r="AB31" s="3">
        <f t="array" aca="1" ref="AB31" ca="1">IF(Q18=C18,SUM(IF(($BR$52:$BR$60=C18)*($BS$51:$CA$51=Q$25),$BS$52:$CA$60)),0)</f>
        <v>0</v>
      </c>
      <c r="AC31" s="5">
        <f t="array" aca="1" ref="AC31" ca="1">IF(R18=C18,SUM(IF(($BR$52:$BR$60=C18)*($BS$51:$CA$51=R17),$BS$52:$CA$60)),0)</f>
        <v>0</v>
      </c>
      <c r="AD31" s="3">
        <f t="array" aca="1" ref="AD31" ca="1">IF(R18=C18,SUM(IF(($BR$52:$BR$60=C18)*($BS$51:$CA$51=R19),$BS$52:$CA$60)),0)</f>
        <v>0</v>
      </c>
      <c r="AE31" s="3">
        <f t="array" aca="1" ref="AE31" ca="1">IF(R18=C18,SUM(IF(($BR$52:$BR$60=C18)*($BS$51:$CA$51=R20),$BS$52:$CA$60)),0)</f>
        <v>0</v>
      </c>
      <c r="AF31" s="3">
        <f t="array" aca="1" ref="AF31" ca="1">IF(R18=C18,SUM(IF(($BR$52:$BR$60=C18)*($BS$51:$CA$51=R21),$BS$52:$CA$60)),0)</f>
        <v>0</v>
      </c>
      <c r="AG31" s="3">
        <f t="array" aca="1" ref="AG31" ca="1">IF(R18=C18,SUM(IF(($BR$52:$BR$60=C18)*($BS$51:$CA$51=R22),$BS$52:$CA$60)),0)</f>
        <v>0</v>
      </c>
      <c r="AH31" s="3">
        <f t="array" aca="1" ref="AH31" ca="1">IF(R18=C18,SUM(IF(($BR$52:$BR$60=C18)*($BS$51:$CA$51=R23),$BS$52:$CA$60)),0)</f>
        <v>0</v>
      </c>
      <c r="AI31" s="3">
        <f t="array" aca="1" ref="AI31" ca="1">IF(R18=C18,SUM(IF(($BR$52:$BR$60=C18)*($BS$51:$CA$51=R$24),$BS$52:$CA$60)),0)</f>
        <v>0</v>
      </c>
      <c r="AJ31" s="3">
        <f t="array" aca="1" ref="AJ31" ca="1">IF(R18=C18,SUM(IF(($BR$52:$BR$60=C18)*($BS$51:$CA$51=R$25),$BS$52:$CA$60)),0)</f>
        <v>0</v>
      </c>
      <c r="AK31" s="5">
        <f t="array" aca="1" ref="AK31" ca="1">IF(S18=C18,SUM(IF(($BR$52:$BR$60=C18)*($BS$51:$CA$51=S17),$BS$52:$CA$60)),0)</f>
        <v>0</v>
      </c>
      <c r="AL31" s="3">
        <f t="array" aca="1" ref="AL31" ca="1">IF(S18=C18,SUM(IF(($BR$52:$BR$60=C18)*($BS$51:$CA$51=S19),$BS$52:$CA$60)),0)</f>
        <v>0</v>
      </c>
      <c r="AM31" s="3">
        <f t="array" aca="1" ref="AM31" ca="1">IF(S18=C18,SUM(IF(($BR$52:$BR$60=C18)*($BS$51:$CA$51=S20),$BS$52:$CA$60)),0)</f>
        <v>0</v>
      </c>
      <c r="AN31" s="3">
        <f t="array" aca="1" ref="AN31" ca="1">IF(S18=C18,SUM(IF(($BR$52:$BR$60=C18)*($BS$51:$CA$51=S21),$BS$52:$CA$60)),0)</f>
        <v>0</v>
      </c>
      <c r="AO31" s="3">
        <f t="array" aca="1" ref="AO31" ca="1">IF(S18=C18,SUM(IF(($BR$52:$BR$60=C18)*($BS$51:$CA$51=S22),$BS$52:$CA$60)),0)</f>
        <v>0</v>
      </c>
      <c r="AP31" s="3">
        <f t="array" aca="1" ref="AP31" ca="1">IF(S18=C18,SUM(IF(($BR$52:$BR$60=C18)*($BS$51:$CA$51=S23),$BS$52:$CA$60)),0)</f>
        <v>0</v>
      </c>
      <c r="AQ31" s="3">
        <f t="array" aca="1" ref="AQ31" ca="1">IF(S18=C18,SUM(IF(($BR$52:$BR$60=C18)*($BS$51:$CA$51=S$24),$BS$52:$CA$60)),0)</f>
        <v>0</v>
      </c>
      <c r="AR31" s="3">
        <f t="array" aca="1" ref="AR31" ca="1">IF(S18=C18,SUM(IF(($BR$52:$BR$60=C18)*($BS$51:$CA$51=S$25),$BS$52:$CA$60)),0)</f>
        <v>0</v>
      </c>
      <c r="AS31" s="5">
        <f t="array" aca="1" ref="AS31" ca="1">IF(T18=C18,SUM(IF(($BR$52:$BR$60=C18)*($BS$51:$CA$51=T17),$BS$52:$CA$60)),0)</f>
        <v>0</v>
      </c>
      <c r="AT31" s="3">
        <f t="array" aca="1" ref="AT31" ca="1">IF(T18=C18,SUM(IF(($BR$52:$BR$60=C18)*($BS$51:$CA$51=T19),$BS$52:$CA$60)),0)</f>
        <v>0</v>
      </c>
      <c r="AU31" s="3">
        <f t="array" aca="1" ref="AU31" ca="1">IF(T18=C18,SUM(IF(($BR$52:$BR$60=C18)*($BS$51:$CA$51=T20),$BS$52:$CA$60)),0)</f>
        <v>0</v>
      </c>
      <c r="AV31" s="3">
        <f t="array" aca="1" ref="AV31" ca="1">IF(T18=C18,SUM(IF(($BR$52:$BR$60=C18)*($BS$51:$CA$51=T21),$BS$52:$CA$60)),0)</f>
        <v>0</v>
      </c>
      <c r="AW31" s="3">
        <f t="array" aca="1" ref="AW31" ca="1">IF(T18=C18,SUM(IF(($BR$52:$BR$60=C18)*($BS$51:$CA$51=T22),$BS$52:$CA$60)),0)</f>
        <v>0</v>
      </c>
      <c r="AX31" s="3">
        <f t="array" aca="1" ref="AX31" ca="1">IF(T18=C18,SUM(IF(($BR$52:$BR$60=C18)*($BS$51:$CA$51=T23),$BS$52:$CA$60)),0)</f>
        <v>0</v>
      </c>
      <c r="AY31" s="3">
        <f t="array" aca="1" ref="AY31" ca="1">IF(T18=C18,SUM(IF(($BR$52:$BR$60=C18)*($BS$51:$CA$51=T$24),$BS$52:$CA$60)),0)</f>
        <v>0</v>
      </c>
      <c r="AZ31" s="3">
        <f t="array" aca="1" ref="AZ31" ca="1">IF(T18=C18,SUM(IF(($BR$52:$BR$60=C18)*($BS$51:$CA$51=T$25),$BS$52:$CA$60)),0)</f>
        <v>0</v>
      </c>
      <c r="BA31" s="5">
        <f t="array" aca="1" ref="BA31" ca="1">IF(U18=C18,SUM(IF(($BR$52:$BR$60=C18)*($BS$51:$CA$51=U$17),$BS$52:$CA$60)),0)</f>
        <v>0</v>
      </c>
      <c r="BB31" s="3">
        <f t="array" aca="1" ref="BB31" ca="1">IF(U18=C18,SUM(IF(($BR$52:$BR$60=C18)*($BS$51:$CA$51=U$19),$BS$52:$CA$60)),0)</f>
        <v>0</v>
      </c>
      <c r="BC31" s="3">
        <f t="array" aca="1" ref="BC31" ca="1">IF(U18=C18,SUM(IF(($BR$52:$BR$60=C18)*($BS$51:$CA$51=U$20),$BS$52:$CA$60)),0)</f>
        <v>0</v>
      </c>
      <c r="BD31" s="3">
        <f t="array" aca="1" ref="BD31" ca="1">IF(U18=C18,SUM(IF(($BR$52:$BR$60=C18)*($BS$51:$CA$51=U$21),$BS$52:$CA$60)),0)</f>
        <v>0</v>
      </c>
      <c r="BE31" s="3">
        <f t="array" aca="1" ref="BE31" ca="1">IF(U18=C18,SUM(IF(($BR$52:$BR$60=C18)*($BS$51:$CA$51=U$22),$BS$52:$CA$60)),0)</f>
        <v>0</v>
      </c>
      <c r="BF31" s="3">
        <f t="array" aca="1" ref="BF31" ca="1">IF(U18=C18,SUM(IF(($BR$52:$BR$60=C18)*($BS$51:$CA$51=U$23),$BS$52:$CA$60)),0)</f>
        <v>0</v>
      </c>
      <c r="BG31" s="3">
        <f t="array" aca="1" ref="BG31" ca="1">IF(U18=C18,SUM(IF(($BR$52:$BR$60=C18)*($BS$51:$CA$51=U$24),$BS$52:$CA$60)),0)</f>
        <v>0</v>
      </c>
      <c r="BH31" s="3">
        <f t="array" aca="1" ref="BH31" ca="1">IF(U18=C18,SUM(IF(($BR$52:$BR$60=C18)*($BS$51:$CA$51=U$25),$BS$52:$CA$60)),0)</f>
        <v>0</v>
      </c>
      <c r="BI31" s="5">
        <f t="array" aca="1" ref="BI31" ca="1">IF(V18=C18,SUM(IF(($BR$52:$BR$60=C18)*($BS$51:$CA$51=V$17),$BS$52:$CA$60)),0)</f>
        <v>0</v>
      </c>
      <c r="BJ31" s="3">
        <f t="array" aca="1" ref="BJ31" ca="1">IF(V18=C18,SUM(IF(($BR$52:$BR$60=C18)*($BS$51:$CA$51=V$19),$BS$52:$CA$60)),0)</f>
        <v>0</v>
      </c>
      <c r="BK31" s="3">
        <f t="array" aca="1" ref="BK31" ca="1">IF(V18=C18,SUM(IF(($BR$52:$BR$60=C18)*($BS$51:$CA$51=V$20),$BS$52:$CA$60)),0)</f>
        <v>0</v>
      </c>
      <c r="BL31" s="3">
        <f t="array" aca="1" ref="BL31" ca="1">IF(V18=C18,SUM(IF(($BR$52:$BR$60=C18)*($BS$51:$CA$51=V$21),$BS$52:$CA$60)),0)</f>
        <v>0</v>
      </c>
      <c r="BM31" s="3">
        <f t="array" aca="1" ref="BM31" ca="1">IF(V18=C18,SUM(IF(($BR$52:$BR$60=C18)*($BS$51:$CA$51=V$22),$BS$52:$CA$60)),0)</f>
        <v>0</v>
      </c>
      <c r="BN31" s="3">
        <f t="array" aca="1" ref="BN31" ca="1">IF(V18=C18,SUM(IF(($BR$52:$BR$60=C18)*($BS$51:$CA$51=V$23),$BS$52:$CA$60)),0)</f>
        <v>0</v>
      </c>
      <c r="BO31" s="3">
        <f t="array" aca="1" ref="BO31" ca="1">IF(V18=C18,SUM(IF(($BR$52:$BR$60=C18)*($BS$51:$CA$51=V$24),$BS$52:$CA$60)),0)</f>
        <v>0</v>
      </c>
      <c r="BP31" s="15">
        <f t="array" aca="1" ref="BP31" ca="1">IF(V18=C18,SUM(IF(($BR$52:$BR$60=C18)*($BS$51:$CA$51=V$25),$BS$52:$CA$60)),0)</f>
        <v>0</v>
      </c>
      <c r="BQ31" s="3"/>
      <c r="BR31" s="2" t="str">
        <f t="shared" ca="1" si="34"/>
        <v/>
      </c>
      <c r="BS31" s="8">
        <f ca="1">SUMIFS($X$64:$X$135,$V$64:$V$135,$BR31,$W$64:$W$135,BS$29)+SUMIFS($Y$64:$Y$135,$W$64:$W$135,$BR31,$V$64:$V$135,BS$29)+SUMIFS($AG$64:$AG$135,$V$64:$V$135,$BR31,$W$64:$W$135,BS$29)+SUMIFS($AH$64:$AH$135,$W$64:$W$135,$BR31,$V$64:$V$135,BS$29)</f>
        <v>0</v>
      </c>
      <c r="BT31" s="6"/>
      <c r="BU31" s="7">
        <f ca="1">SUMIFS($X$64:$X$135,$V$64:$V$135,$BR31,$W$64:$W$135,BU$29)+SUMIFS($Y$64:$Y$135,$W$64:$W$135,$BR31,$V$64:$V$135,BU$29)+SUMIFS($AG$64:$AG$135,$V$64:$V$135,$BR31,$W$64:$W$135,BU$29)+SUMIFS($AH$64:$AH$135,$W$64:$W$135,$BR31,$V$64:$V$135,BU$29)</f>
        <v>0</v>
      </c>
      <c r="BV31" s="7">
        <f t="shared" ca="1" si="35"/>
        <v>0</v>
      </c>
      <c r="BW31" s="7">
        <f t="shared" ca="1" si="35"/>
        <v>0</v>
      </c>
      <c r="BX31" s="7">
        <f t="shared" ca="1" si="35"/>
        <v>0</v>
      </c>
      <c r="BY31" s="7">
        <f t="shared" ca="1" si="35"/>
        <v>0</v>
      </c>
      <c r="BZ31" s="7">
        <f t="shared" ca="1" si="35"/>
        <v>0</v>
      </c>
      <c r="CA31" s="7">
        <f t="shared" ca="1" si="35"/>
        <v>0</v>
      </c>
      <c r="CB31" s="3"/>
    </row>
    <row r="32" spans="2:80" s="2" customFormat="1" x14ac:dyDescent="0.2">
      <c r="C32" s="2" t="str">
        <f t="shared" si="36"/>
        <v/>
      </c>
      <c r="E32" s="14">
        <f t="array" aca="1" ref="E32" ca="1">IF(O19=C19,SUM(IF(($BR$52:$BR$60=C19)*($BS$51:$CA$51=O17),$BS$52:$CA$60)),0)</f>
        <v>0</v>
      </c>
      <c r="F32" s="3">
        <f t="array" aca="1" ref="F32" ca="1">IF(O19=C19,SUM(IF(($BR$52:$BR$60=C19)*($BS$51:$CA$51=O18),$BS$52:$CA$60)),0)</f>
        <v>0</v>
      </c>
      <c r="G32" s="3">
        <f t="array" aca="1" ref="G32" ca="1">IF(O19=C19,SUM(IF(($BR$52:$BR$60=C19)*($BS$51:$CA$51=O20),$BS$52:$CA$60)),0)</f>
        <v>0</v>
      </c>
      <c r="H32" s="3">
        <f t="array" aca="1" ref="H32" ca="1">IF(O19=C19,SUM(IF(($BR$52:$BR$60=C19)*($BS$51:$CA$51=O21),$BS$52:$CA$60)),0)</f>
        <v>0</v>
      </c>
      <c r="I32" s="3">
        <f t="array" aca="1" ref="I32" ca="1">IF(O19=C19,SUM(IF(($BR$52:$BR$60=C19)*($BS$51:$CA$51=O22),$BS$52:$CA$60)),0)</f>
        <v>0</v>
      </c>
      <c r="J32" s="3">
        <f t="array" aca="1" ref="J32" ca="1">IF(O19=C19,SUM(IF(($BR$52:$BR$60=C19)*($BS$51:$CA$51=O23),$BS$52:$CA$60)),0)</f>
        <v>0</v>
      </c>
      <c r="K32" s="3">
        <f t="array" aca="1" ref="K32" ca="1">IF(O19=C19,SUM(IF(($BR$52:$BR$60=C19)*($BS$51:$CA$51=O$24),$BS$52:$CA$60)),0)</f>
        <v>0</v>
      </c>
      <c r="L32" s="3">
        <f t="array" aca="1" ref="L32" ca="1">IF(O19=C19,SUM(IF(($BR$52:$BR$60=C19)*($BS$51:$CA$51=O$25),$BS$52:$CA$60)),0)</f>
        <v>0</v>
      </c>
      <c r="M32" s="5">
        <f t="array" aca="1" ref="M32" ca="1">IF(P19=C19,SUM(IF(($BR$52:$BR$60=C19)*($BS$51:$CA$51=P17),$BS$52:$CA$60)),0)</f>
        <v>0</v>
      </c>
      <c r="N32" s="3">
        <f t="array" aca="1" ref="N32" ca="1">IF(P19=C19,SUM(IF(($BR$52:$BR$60=C19)*($BS$51:$CA$51=P18),$BS$52:$CA$60)),0)</f>
        <v>0</v>
      </c>
      <c r="O32" s="3">
        <f t="array" aca="1" ref="O32" ca="1">IF(P19=C19,SUM(IF(($BR$52:$BR$60=C19)*($BS$51:$CA$51=P20),$BS$52:$CA$60)),0)</f>
        <v>0</v>
      </c>
      <c r="P32" s="3">
        <f t="array" aca="1" ref="P32" ca="1">IF(P19=C19,SUM(IF(($BR$52:$BR$60=C19)*($BS$51:$CA$51=P21),$BS$52:$CA$60)),0)</f>
        <v>0</v>
      </c>
      <c r="Q32" s="3">
        <f t="array" aca="1" ref="Q32" ca="1">IF(P19=C19,SUM(IF(($BR$52:$BR$60=C19)*($BS$51:$CA$51=P22),$BS$52:$CA$60)),0)</f>
        <v>0</v>
      </c>
      <c r="R32" s="3">
        <f t="array" aca="1" ref="R32" ca="1">IF(P19=C19,SUM(IF(($BR$52:$BR$60=C19)*($BS$51:$CA$51=P23),$BS$52:$CA$60)),0)</f>
        <v>0</v>
      </c>
      <c r="S32" s="3">
        <f t="array" aca="1" ref="S32" ca="1">IF(P19=C19,SUM(IF(($BR$52:$BR$60=C19)*($BS$51:$CA$51=P$24),$BS$52:$CA$60)),0)</f>
        <v>0</v>
      </c>
      <c r="T32" s="3">
        <f t="array" aca="1" ref="T32" ca="1">IF(P19=C19,SUM(IF(($BR$52:$BR$60=C19)*($BS$51:$CA$51=P$25),$BS$52:$CA$60)),0)</f>
        <v>0</v>
      </c>
      <c r="U32" s="5">
        <f t="array" aca="1" ref="U32" ca="1">IF(Q19=C19,SUM(IF(($BR$52:$BR$60=C19)*($BS$51:$CA$51=Q17),$BS$52:$CA$60)),0)</f>
        <v>0</v>
      </c>
      <c r="V32" s="3">
        <f t="array" aca="1" ref="V32" ca="1">IF(Q19=C19,SUM(IF(($BR$52:$BR$60=C19)*($BS$51:$CA$51=Q18),$BS$52:$CA$60)),0)</f>
        <v>0</v>
      </c>
      <c r="W32" s="3">
        <f t="array" aca="1" ref="W32" ca="1">IF(Q19=C19,SUM(IF(($BR$52:$BR$60=C19)*($BS$51:$CA$51=Q20),$BS$52:$CA$60)),0)</f>
        <v>0</v>
      </c>
      <c r="X32" s="3">
        <f t="array" aca="1" ref="X32" ca="1">IF(Q19=C19,SUM(IF(($BR$52:$BR$60=C19)*($BS$51:$CA$51=Q21),$BS$52:$CA$60)),0)</f>
        <v>0</v>
      </c>
      <c r="Y32" s="3">
        <f t="array" aca="1" ref="Y32" ca="1">IF(Q19=C19,SUM(IF(($BR$52:$BR$60=C19)*($BS$51:$CA$51=Q22),$BS$52:$CA$60)),0)</f>
        <v>0</v>
      </c>
      <c r="Z32" s="3">
        <f t="array" aca="1" ref="Z32" ca="1">IF(Q19=C19,SUM(IF(($BR$52:$BR$60=C19)*($BS$51:$CA$51=Q23),$BS$52:$CA$60)),0)</f>
        <v>0</v>
      </c>
      <c r="AA32" s="3">
        <f t="array" aca="1" ref="AA32" ca="1">IF(Q19=C19,SUM(IF(($BR$52:$BR$60=C19)*($BS$51:$CA$51=Q$24),$BS$52:$CA$60)),0)</f>
        <v>0</v>
      </c>
      <c r="AB32" s="3">
        <f t="array" aca="1" ref="AB32" ca="1">IF(Q19=C19,SUM(IF(($BR$52:$BR$60=C19)*($BS$51:$CA$51=Q$25),$BS$52:$CA$60)),0)</f>
        <v>0</v>
      </c>
      <c r="AC32" s="5">
        <f t="array" aca="1" ref="AC32" ca="1">IF(R19=C19,SUM(IF(($BR$52:$BR$60=C19)*($BS$51:$CA$51=R17),$BS$52:$CA$60)),0)</f>
        <v>0</v>
      </c>
      <c r="AD32" s="3">
        <f t="array" aca="1" ref="AD32" ca="1">IF(R19=C19,SUM(IF(($BR$52:$BR$60=C19)*($BS$51:$CA$51=R18),$BS$52:$CA$60)),0)</f>
        <v>0</v>
      </c>
      <c r="AE32" s="3">
        <f t="array" aca="1" ref="AE32" ca="1">IF(R19=C19,SUM(IF(($BR$52:$BR$60=C19)*($BS$51:$CA$51=R20),$BS$52:$CA$60)),0)</f>
        <v>0</v>
      </c>
      <c r="AF32" s="3">
        <f t="array" aca="1" ref="AF32" ca="1">IF(R19=C19,SUM(IF(($BR$52:$BR$60=C19)*($BS$51:$CA$51=R21),$BS$52:$CA$60)),0)</f>
        <v>0</v>
      </c>
      <c r="AG32" s="3">
        <f t="array" aca="1" ref="AG32" ca="1">IF(R19=C19,SUM(IF(($BR$52:$BR$60=C19)*($BS$51:$CA$51=R22),$BS$52:$CA$60)),0)</f>
        <v>0</v>
      </c>
      <c r="AH32" s="3">
        <f t="array" aca="1" ref="AH32" ca="1">IF(R19=C19,SUM(IF(($BR$52:$BR$60=C19)*($BS$51:$CA$51=R23),$BS$52:$CA$60)),0)</f>
        <v>0</v>
      </c>
      <c r="AI32" s="3">
        <f t="array" aca="1" ref="AI32" ca="1">IF(R19=C19,SUM(IF(($BR$52:$BR$60=C19)*($BS$51:$CA$51=R$24),$BS$52:$CA$60)),0)</f>
        <v>0</v>
      </c>
      <c r="AJ32" s="3">
        <f t="array" aca="1" ref="AJ32" ca="1">IF(R19=C19,SUM(IF(($BR$52:$BR$60=C19)*($BS$51:$CA$51=R$25),$BS$52:$CA$60)),0)</f>
        <v>0</v>
      </c>
      <c r="AK32" s="5">
        <f t="array" aca="1" ref="AK32" ca="1">IF(S19=C19,SUM(IF(($BR$52:$BR$60=C19)*($BS$51:$CA$51=S17),$BS$52:$CA$60)),0)</f>
        <v>0</v>
      </c>
      <c r="AL32" s="3">
        <f t="array" aca="1" ref="AL32" ca="1">IF(S19=C19,SUM(IF(($BR$52:$BR$60=C19)*($BS$51:$CA$51=S18),$BS$52:$CA$60)),0)</f>
        <v>0</v>
      </c>
      <c r="AM32" s="3">
        <f t="array" aca="1" ref="AM32" ca="1">IF(S19=C19,SUM(IF(($BR$52:$BR$60=C19)*($BS$51:$CA$51=S20),$BS$52:$CA$60)),0)</f>
        <v>0</v>
      </c>
      <c r="AN32" s="3">
        <f t="array" aca="1" ref="AN32" ca="1">IF(S19=C19,SUM(IF(($BR$52:$BR$60=C19)*($BS$51:$CA$51=S21),$BS$52:$CA$60)),0)</f>
        <v>0</v>
      </c>
      <c r="AO32" s="3">
        <f t="array" aca="1" ref="AO32" ca="1">IF(S19=C19,SUM(IF(($BR$52:$BR$60=C19)*($BS$51:$CA$51=S22),$BS$52:$CA$60)),0)</f>
        <v>0</v>
      </c>
      <c r="AP32" s="3">
        <f t="array" aca="1" ref="AP32" ca="1">IF(S19=C19,SUM(IF(($BR$52:$BR$60=C19)*($BS$51:$CA$51=S23),$BS$52:$CA$60)),0)</f>
        <v>0</v>
      </c>
      <c r="AQ32" s="3">
        <f t="array" aca="1" ref="AQ32" ca="1">IF(S19=C19,SUM(IF(($BR$52:$BR$60=C19)*($BS$51:$CA$51=S$24),$BS$52:$CA$60)),0)</f>
        <v>0</v>
      </c>
      <c r="AR32" s="3">
        <f t="array" aca="1" ref="AR32" ca="1">IF(S19=C19,SUM(IF(($BR$52:$BR$60=C19)*($BS$51:$CA$51=S$25),$BS$52:$CA$60)),0)</f>
        <v>0</v>
      </c>
      <c r="AS32" s="5">
        <f t="array" aca="1" ref="AS32" ca="1">IF(T19=C19,SUM(IF(($BR$52:$BR$60=C19)*($BS$51:$CA$51=T17),$BS$52:$CA$60)),0)</f>
        <v>0</v>
      </c>
      <c r="AT32" s="3">
        <f t="array" aca="1" ref="AT32" ca="1">IF(T19=C19,SUM(IF(($BR$52:$BR$60=C19)*($BS$51:$CA$51=T18),$BS$52:$CA$60)),0)</f>
        <v>0</v>
      </c>
      <c r="AU32" s="3">
        <f t="array" aca="1" ref="AU32" ca="1">IF(T19=C19,SUM(IF(($BR$52:$BR$60=C19)*($BS$51:$CA$51=T20),$BS$52:$CA$60)),0)</f>
        <v>0</v>
      </c>
      <c r="AV32" s="3">
        <f t="array" aca="1" ref="AV32" ca="1">IF(T19=C19,SUM(IF(($BR$52:$BR$60=C19)*($BS$51:$CA$51=T21),$BS$52:$CA$60)),0)</f>
        <v>0</v>
      </c>
      <c r="AW32" s="3">
        <f t="array" aca="1" ref="AW32" ca="1">IF(T19=C19,SUM(IF(($BR$52:$BR$60=C19)*($BS$51:$CA$51=T22),$BS$52:$CA$60)),0)</f>
        <v>0</v>
      </c>
      <c r="AX32" s="3">
        <f t="array" aca="1" ref="AX32" ca="1">IF(T19=C19,SUM(IF(($BR$52:$BR$60=C19)*($BS$51:$CA$51=T23),$BS$52:$CA$60)),0)</f>
        <v>0</v>
      </c>
      <c r="AY32" s="3">
        <f t="array" aca="1" ref="AY32" ca="1">IF(T19=C19,SUM(IF(($BR$52:$BR$60=C19)*($BS$51:$CA$51=T$24),$BS$52:$CA$60)),0)</f>
        <v>0</v>
      </c>
      <c r="AZ32" s="3">
        <f t="array" aca="1" ref="AZ32" ca="1">IF(T19=C19,SUM(IF(($BR$52:$BR$60=C19)*($BS$51:$CA$51=T$25),$BS$52:$CA$60)),0)</f>
        <v>0</v>
      </c>
      <c r="BA32" s="5">
        <f t="array" aca="1" ref="BA32" ca="1">IF(U19=C19,SUM(IF(($BR$52:$BR$60=C19)*($BS$51:$CA$51=U$17),$BS$52:$CA$60)),0)</f>
        <v>0</v>
      </c>
      <c r="BB32" s="3">
        <f t="array" aca="1" ref="BB32" ca="1">IF(U19=C19,SUM(IF(($BR$52:$BR$60=C19)*($BS$51:$CA$51=U$18),$BS$52:$CA$60)),0)</f>
        <v>0</v>
      </c>
      <c r="BC32" s="3">
        <f t="array" aca="1" ref="BC32" ca="1">IF(U19=C19,SUM(IF(($BR$52:$BR$60=C19)*($BS$51:$CA$51=U$20),$BS$52:$CA$60)),0)</f>
        <v>0</v>
      </c>
      <c r="BD32" s="3">
        <f t="array" aca="1" ref="BD32" ca="1">IF(U19=C19,SUM(IF(($BR$52:$BR$60=C19)*($BS$51:$CA$51=U$21),$BS$52:$CA$60)),0)</f>
        <v>0</v>
      </c>
      <c r="BE32" s="3">
        <f t="array" aca="1" ref="BE32" ca="1">IF(U19=C19,SUM(IF(($BR$52:$BR$60=C19)*($BS$51:$CA$51=U$22),$BS$52:$CA$60)),0)</f>
        <v>0</v>
      </c>
      <c r="BF32" s="3">
        <f t="array" aca="1" ref="BF32" ca="1">IF(U19=C19,SUM(IF(($BR$52:$BR$60=C19)*($BS$51:$CA$51=U$23),$BS$52:$CA$60)),0)</f>
        <v>0</v>
      </c>
      <c r="BG32" s="3">
        <f t="array" aca="1" ref="BG32" ca="1">IF(U19=C19,SUM(IF(($BR$52:$BR$60=C19)*($BS$51:$CA$51=U$24),$BS$52:$CA$60)),0)</f>
        <v>0</v>
      </c>
      <c r="BH32" s="3">
        <f t="array" aca="1" ref="BH32" ca="1">IF(U19=C19,SUM(IF(($BR$52:$BR$60=C19)*($BS$51:$CA$51=U$25),$BS$52:$CA$60)),0)</f>
        <v>0</v>
      </c>
      <c r="BI32" s="5">
        <f t="array" aca="1" ref="BI32" ca="1">IF(V19=C19,SUM(IF(($BR$52:$BR$60=C19)*($BS$51:$CA$51=V$17),$BS$52:$CA$60)),0)</f>
        <v>0</v>
      </c>
      <c r="BJ32" s="3">
        <f t="array" aca="1" ref="BJ32" ca="1">IF(V19=C19,SUM(IF(($BR$52:$BR$60=C19)*($BS$51:$CA$51=V$18),$BS$52:$CA$60)),0)</f>
        <v>0</v>
      </c>
      <c r="BK32" s="3">
        <f t="array" aca="1" ref="BK32" ca="1">IF(V19=C19,SUM(IF(($BR$52:$BR$60=C19)*($BS$51:$CA$51=V$20),$BS$52:$CA$60)),0)</f>
        <v>0</v>
      </c>
      <c r="BL32" s="3">
        <f t="array" aca="1" ref="BL32" ca="1">IF(V19=C19,SUM(IF(($BR$52:$BR$60=C19)*($BS$51:$CA$51=V$21),$BS$52:$CA$60)),0)</f>
        <v>0</v>
      </c>
      <c r="BM32" s="3">
        <f t="array" aca="1" ref="BM32" ca="1">IF(V19=C19,SUM(IF(($BR$52:$BR$60=C19)*($BS$51:$CA$51=V$22),$BS$52:$CA$60)),0)</f>
        <v>0</v>
      </c>
      <c r="BN32" s="3">
        <f t="array" aca="1" ref="BN32" ca="1">IF(V19=C19,SUM(IF(($BR$52:$BR$60=C19)*($BS$51:$CA$51=V$23),$BS$52:$CA$60)),0)</f>
        <v>0</v>
      </c>
      <c r="BO32" s="3">
        <f t="array" aca="1" ref="BO32" ca="1">IF(V19=C19,SUM(IF(($BR$52:$BR$60=C19)*($BS$51:$CA$51=V$24),$BS$52:$CA$60)),0)</f>
        <v>0</v>
      </c>
      <c r="BP32" s="15">
        <f t="array" aca="1" ref="BP32" ca="1">IF(V19=C19,SUM(IF(($BR$52:$BR$60=C19)*($BS$51:$CA$51=V$25),$BS$52:$CA$60)),0)</f>
        <v>0</v>
      </c>
      <c r="BQ32" s="3"/>
      <c r="BR32" s="2" t="str">
        <f t="shared" si="34"/>
        <v/>
      </c>
      <c r="BS32" s="8">
        <f t="shared" ref="BS32:BY38" ca="1" si="37">SUMIFS($X$64:$X$135,$V$64:$V$135,$BR32,$W$64:$W$135,BS$29)+SUMIFS($Y$64:$Y$135,$W$64:$W$135,$BR32,$V$64:$V$135,BS$29)+SUMIFS($AG$64:$AG$135,$V$64:$V$135,$BR32,$W$64:$W$135,BS$29)+SUMIFS($AH$64:$AH$135,$W$64:$W$135,$BR32,$V$64:$V$135,BS$29)</f>
        <v>0</v>
      </c>
      <c r="BT32" s="8">
        <f t="shared" ca="1" si="37"/>
        <v>0</v>
      </c>
      <c r="BU32" s="6"/>
      <c r="BV32" s="7">
        <f t="shared" ca="1" si="35"/>
        <v>0</v>
      </c>
      <c r="BW32" s="7">
        <f t="shared" ca="1" si="35"/>
        <v>0</v>
      </c>
      <c r="BX32" s="7">
        <f t="shared" ca="1" si="35"/>
        <v>0</v>
      </c>
      <c r="BY32" s="7">
        <f t="shared" ca="1" si="35"/>
        <v>0</v>
      </c>
      <c r="BZ32" s="7">
        <f t="shared" ca="1" si="35"/>
        <v>0</v>
      </c>
      <c r="CA32" s="7">
        <f t="shared" ca="1" si="35"/>
        <v>0</v>
      </c>
      <c r="CB32" s="3"/>
    </row>
    <row r="33" spans="2:80" s="2" customFormat="1" x14ac:dyDescent="0.2">
      <c r="C33" s="2" t="str">
        <f t="shared" si="36"/>
        <v/>
      </c>
      <c r="E33" s="14">
        <f t="array" aca="1" ref="E33" ca="1">IF(O20=C20,SUM(IF(($BR$52:$BR$60=C20)*($BS$51:$CA$51=O17),$BS$52:$CA$60)),0)</f>
        <v>0</v>
      </c>
      <c r="F33" s="3">
        <f t="array" aca="1" ref="F33" ca="1">IF(O20=C20,SUM(IF(($BR$52:$BR$60=C20)*($BS$51:$CA$51=O18),$BS$52:$CA$60)),0)</f>
        <v>0</v>
      </c>
      <c r="G33" s="3">
        <f t="array" aca="1" ref="G33" ca="1">IF(O20=C20,SUM(IF(($BR$52:$BR$60=C20)*($BS$51:$CA$51=O19),$BS$52:$CA$60)),0)</f>
        <v>0</v>
      </c>
      <c r="H33" s="3">
        <f t="array" aca="1" ref="H33" ca="1">IF(O20=C20,SUM(IF(($BR$52:$BR$60=C20)*($BS$51:$CA$51=O21),$BS$52:$CA$60)),0)</f>
        <v>0</v>
      </c>
      <c r="I33" s="3">
        <f t="array" aca="1" ref="I33" ca="1">IF(O20=C20,SUM(IF(($BR$52:$BR$60=C20)*($BS$51:$CA$51=O22),$BS$52:$CA$60)),0)</f>
        <v>0</v>
      </c>
      <c r="J33" s="3">
        <f t="array" aca="1" ref="J33" ca="1">IF(O20=C20,SUM(IF(($BR$52:$BR$60=C20)*($BS$51:$CA$51=O23),$BS$52:$CA$60)),0)</f>
        <v>0</v>
      </c>
      <c r="K33" s="3">
        <f t="array" aca="1" ref="K33" ca="1">IF(O20=C20,SUM(IF(($BR$52:$BR$60=C20)*($BS$51:$CA$51=O$24),$BS$52:$CA$60)),0)</f>
        <v>0</v>
      </c>
      <c r="L33" s="3">
        <f t="array" aca="1" ref="L33" ca="1">IF(O20=C20,SUM(IF(($BR$52:$BR$60=C20)*($BS$51:$CA$51=O$25),$BS$52:$CA$60)),0)</f>
        <v>0</v>
      </c>
      <c r="M33" s="5">
        <f t="array" aca="1" ref="M33" ca="1">IF(P20=C20,SUM(IF(($BR$52:$BR$60=C20)*($BS$51:$CA$51=P17),$BS$52:$CA$60)),0)</f>
        <v>0</v>
      </c>
      <c r="N33" s="3">
        <f t="array" aca="1" ref="N33" ca="1">IF(P20=C20,SUM(IF(($BR$52:$BR$60=C20)*($BS$51:$CA$51=P18),$BS$52:$CA$60)),0)</f>
        <v>0</v>
      </c>
      <c r="O33" s="3">
        <f t="array" aca="1" ref="O33" ca="1">IF(P20=C20,SUM(IF(($BR$52:$BR$60=C20)*($BS$51:$CA$51=P19),$BS$52:$CA$60)),0)</f>
        <v>0</v>
      </c>
      <c r="P33" s="3">
        <f t="array" aca="1" ref="P33" ca="1">IF(P20=C20,SUM(IF(($BR$52:$BR$60=C20)*($BS$51:$CA$51=P21),$BS$52:$CA$60)),0)</f>
        <v>0</v>
      </c>
      <c r="Q33" s="3">
        <f t="array" aca="1" ref="Q33" ca="1">IF(P20=C20,SUM(IF(($BR$52:$BR$60=C20)*($BS$51:$CA$51=P22),$BS$52:$CA$60)),0)</f>
        <v>0</v>
      </c>
      <c r="R33" s="3">
        <f t="array" aca="1" ref="R33" ca="1">IF(P20=C20,SUM(IF(($BR$52:$BR$60=C20)*($BS$51:$CA$51=P23),$BS$52:$CA$60)),0)</f>
        <v>0</v>
      </c>
      <c r="S33" s="3">
        <f t="array" aca="1" ref="S33" ca="1">IF(P20=C20,SUM(IF(($BR$52:$BR$60=C20)*($BS$51:$CA$51=P$24),$BS$52:$CA$60)),0)</f>
        <v>0</v>
      </c>
      <c r="T33" s="3">
        <f t="array" aca="1" ref="T33" ca="1">IF(P20=C20,SUM(IF(($BR$52:$BR$60=C20)*($BS$51:$CA$51=P$25),$BS$52:$CA$60)),0)</f>
        <v>0</v>
      </c>
      <c r="U33" s="5">
        <f t="array" aca="1" ref="U33" ca="1">IF(Q20=C20,SUM(IF(($BR$52:$BR$60=C20)*($BS$51:$CA$51=Q17),$BS$52:$CA$60)),0)</f>
        <v>0</v>
      </c>
      <c r="V33" s="3">
        <f t="array" aca="1" ref="V33" ca="1">IF(Q20=C20,SUM(IF(($BR$52:$BR$60=C20)*($BS$51:$CA$51=Q18),$BS$52:$CA$60)),0)</f>
        <v>0</v>
      </c>
      <c r="W33" s="3">
        <f t="array" aca="1" ref="W33" ca="1">IF(Q20=C20,SUM(IF(($BR$52:$BR$60=C20)*($BS$51:$CA$51=Q19),$BS$52:$CA$60)),0)</f>
        <v>0</v>
      </c>
      <c r="X33" s="3">
        <f t="array" aca="1" ref="X33" ca="1">IF(Q20=C20,SUM(IF(($BR$52:$BR$60=C20)*($BS$51:$CA$51=Q21),$BS$52:$CA$60)),0)</f>
        <v>0</v>
      </c>
      <c r="Y33" s="3">
        <f t="array" aca="1" ref="Y33" ca="1">IF(Q20=C20,SUM(IF(($BR$52:$BR$60=C20)*($BS$51:$CA$51=Q22),$BS$52:$CA$60)),0)</f>
        <v>0</v>
      </c>
      <c r="Z33" s="3">
        <f t="array" aca="1" ref="Z33" ca="1">IF(Q20=C20,SUM(IF(($BR$52:$BR$60=C20)*($BS$51:$CA$51=Q23),$BS$52:$CA$60)),0)</f>
        <v>0</v>
      </c>
      <c r="AA33" s="3">
        <f t="array" aca="1" ref="AA33" ca="1">IF(Q20=C20,SUM(IF(($BR$52:$BR$60=C20)*($BS$51:$CA$51=Q$24),$BS$52:$CA$60)),0)</f>
        <v>0</v>
      </c>
      <c r="AB33" s="3">
        <f t="array" aca="1" ref="AB33" ca="1">IF(Q20=C20,SUM(IF(($BR$52:$BR$60=C20)*($BS$51:$CA$51=Q$25),$BS$52:$CA$60)),0)</f>
        <v>0</v>
      </c>
      <c r="AC33" s="5">
        <f t="array" aca="1" ref="AC33" ca="1">IF(R20=C20,SUM(IF(($BR$52:$BR$60=C20)*($BS$51:$CA$51=R17),$BS$52:$CA$60)),0)</f>
        <v>0</v>
      </c>
      <c r="AD33" s="3">
        <f t="array" aca="1" ref="AD33" ca="1">IF(R20=C20,SUM(IF(($BR$52:$BR$60=C20)*($BS$51:$CA$51=R18),$BS$52:$CA$60)),0)</f>
        <v>0</v>
      </c>
      <c r="AE33" s="3">
        <f t="array" aca="1" ref="AE33" ca="1">IF(R20=C20,SUM(IF(($BR$52:$BR$60=C20)*($BS$51:$CA$51=R19),$BS$52:$CA$60)),0)</f>
        <v>0</v>
      </c>
      <c r="AF33" s="3">
        <f t="array" aca="1" ref="AF33" ca="1">IF(R20=C20,SUM(IF(($BR$52:$BR$60=C20)*($BS$51:$CA$51=R21),$BS$52:$CA$60)),0)</f>
        <v>0</v>
      </c>
      <c r="AG33" s="3">
        <f t="array" aca="1" ref="AG33" ca="1">IF(R20=C20,SUM(IF(($BR$52:$BR$60=C20)*($BS$51:$CA$51=R22),$BS$52:$CA$60)),0)</f>
        <v>0</v>
      </c>
      <c r="AH33" s="3">
        <f t="array" aca="1" ref="AH33" ca="1">IF(R20=C20,SUM(IF(($BR$52:$BR$60=C20)*($BS$51:$CA$51=R23),$BS$52:$CA$60)),0)</f>
        <v>0</v>
      </c>
      <c r="AI33" s="3">
        <f t="array" aca="1" ref="AI33" ca="1">IF(R20=C20,SUM(IF(($BR$52:$BR$60=C20)*($BS$51:$CA$51=R$24),$BS$52:$CA$60)),0)</f>
        <v>0</v>
      </c>
      <c r="AJ33" s="3">
        <f t="array" aca="1" ref="AJ33" ca="1">IF(R20=C20,SUM(IF(($BR$52:$BR$60=C20)*($BS$51:$CA$51=R$25),$BS$52:$CA$60)),0)</f>
        <v>0</v>
      </c>
      <c r="AK33" s="5">
        <f t="array" aca="1" ref="AK33" ca="1">IF(S20=C20,SUM(IF(($BR$52:$BR$60=C20)*($BS$51:$CA$51=S17),$BS$52:$CA$60)),0)</f>
        <v>0</v>
      </c>
      <c r="AL33" s="3">
        <f t="array" aca="1" ref="AL33" ca="1">IF(S20=C20,SUM(IF(($BR$52:$BR$60=C20)*($BS$51:$CA$51=S18),$BS$52:$CA$60)),0)</f>
        <v>0</v>
      </c>
      <c r="AM33" s="3">
        <f t="array" aca="1" ref="AM33" ca="1">IF(S20=C20,SUM(IF(($BR$52:$BR$60=C20)*($BS$51:$CA$51=S19),$BS$52:$CA$60)),0)</f>
        <v>0</v>
      </c>
      <c r="AN33" s="3">
        <f t="array" aca="1" ref="AN33" ca="1">IF(S20=C20,SUM(IF(($BR$52:$BR$60=C20)*($BS$51:$CA$51=S21),$BS$52:$CA$60)),0)</f>
        <v>0</v>
      </c>
      <c r="AO33" s="3">
        <f t="array" aca="1" ref="AO33" ca="1">IF(S20=C20,SUM(IF(($BR$52:$BR$60=C20)*($BS$51:$CA$51=S22),$BS$52:$CA$60)),0)</f>
        <v>0</v>
      </c>
      <c r="AP33" s="3">
        <f t="array" aca="1" ref="AP33" ca="1">IF(S20=C20,SUM(IF(($BR$52:$BR$60=C20)*($BS$51:$CA$51=S23),$BS$52:$CA$60)),0)</f>
        <v>0</v>
      </c>
      <c r="AQ33" s="3">
        <f t="array" aca="1" ref="AQ33" ca="1">IF(S20=C20,SUM(IF(($BR$52:$BR$60=C20)*($BS$51:$CA$51=S$24),$BS$52:$CA$60)),0)</f>
        <v>0</v>
      </c>
      <c r="AR33" s="3">
        <f t="array" aca="1" ref="AR33" ca="1">IF(S20=C20,SUM(IF(($BR$52:$BR$60=C20)*($BS$51:$CA$51=S$25),$BS$52:$CA$60)),0)</f>
        <v>0</v>
      </c>
      <c r="AS33" s="5">
        <f t="array" aca="1" ref="AS33" ca="1">IF(T20=C20,SUM(IF(($BR$52:$BR$60=C20)*($BS$51:$CA$51=T17),$BS$52:$CA$60)),0)</f>
        <v>0</v>
      </c>
      <c r="AT33" s="3">
        <f t="array" aca="1" ref="AT33" ca="1">IF(T20=C20,SUM(IF(($BR$52:$BR$60=C20)*($BS$51:$CA$51=T18),$BS$52:$CA$60)),0)</f>
        <v>0</v>
      </c>
      <c r="AU33" s="3">
        <f t="array" aca="1" ref="AU33" ca="1">IF(T20=C20,SUM(IF(($BR$52:$BR$60=C20)*($BS$51:$CA$51=T19),$BS$52:$CA$60)),0)</f>
        <v>0</v>
      </c>
      <c r="AV33" s="3">
        <f t="array" aca="1" ref="AV33" ca="1">IF(T20=C20,SUM(IF(($BR$52:$BR$60=C20)*($BS$51:$CA$51=T21),$BS$52:$CA$60)),0)</f>
        <v>0</v>
      </c>
      <c r="AW33" s="3">
        <f t="array" aca="1" ref="AW33" ca="1">IF(T20=C20,SUM(IF(($BR$52:$BR$60=C20)*($BS$51:$CA$51=T22),$BS$52:$CA$60)),0)</f>
        <v>0</v>
      </c>
      <c r="AX33" s="3">
        <f t="array" aca="1" ref="AX33" ca="1">IF(T20=C20,SUM(IF(($BR$52:$BR$60=C20)*($BS$51:$CA$51=T23),$BS$52:$CA$60)),0)</f>
        <v>0</v>
      </c>
      <c r="AY33" s="3">
        <f t="array" aca="1" ref="AY33" ca="1">IF(T20=C20,SUM(IF(($BR$52:$BR$60=C20)*($BS$51:$CA$51=T$24),$BS$52:$CA$60)),0)</f>
        <v>0</v>
      </c>
      <c r="AZ33" s="3">
        <f t="array" aca="1" ref="AZ33" ca="1">IF(T20=C20,SUM(IF(($BR$52:$BR$60=C20)*($BS$51:$CA$51=T$25),$BS$52:$CA$60)),0)</f>
        <v>0</v>
      </c>
      <c r="BA33" s="5">
        <f t="array" aca="1" ref="BA33" ca="1">IF(U20=C20,SUM(IF(($BR$52:$BR$60=C20)*($BS$51:$CA$51=U$17),$BS$52:$CA$60)),0)</f>
        <v>0</v>
      </c>
      <c r="BB33" s="3">
        <f t="array" aca="1" ref="BB33" ca="1">IF(U20=C20,SUM(IF(($BR$52:$BR$60=C20)*($BS$51:$CA$51=U$18),$BS$52:$CA$60)),0)</f>
        <v>0</v>
      </c>
      <c r="BC33" s="3">
        <f t="array" aca="1" ref="BC33" ca="1">IF(U20=C20,SUM(IF(($BR$52:$BR$60=C20)*($BS$51:$CA$51=U$19),$BS$52:$CA$60)),0)</f>
        <v>0</v>
      </c>
      <c r="BD33" s="3">
        <f t="array" aca="1" ref="BD33" ca="1">IF(U20=C20,SUM(IF(($BR$52:$BR$60=C20)*($BS$51:$CA$51=U$21),$BS$52:$CA$60)),0)</f>
        <v>0</v>
      </c>
      <c r="BE33" s="3">
        <f t="array" aca="1" ref="BE33" ca="1">IF(U20=C20,SUM(IF(($BR$52:$BR$60=C20)*($BS$51:$CA$51=U$22),$BS$52:$CA$60)),0)</f>
        <v>0</v>
      </c>
      <c r="BF33" s="3">
        <f t="array" aca="1" ref="BF33" ca="1">IF(U20=C20,SUM(IF(($BR$52:$BR$60=C20)*($BS$51:$CA$51=U$23),$BS$52:$CA$60)),0)</f>
        <v>0</v>
      </c>
      <c r="BG33" s="3">
        <f t="array" aca="1" ref="BG33" ca="1">IF(U20=C20,SUM(IF(($BR$52:$BR$60=C20)*($BS$51:$CA$51=U$24),$BS$52:$CA$60)),0)</f>
        <v>0</v>
      </c>
      <c r="BH33" s="3">
        <f t="array" aca="1" ref="BH33" ca="1">IF(U20=C20,SUM(IF(($BR$52:$BR$60=C20)*($BS$51:$CA$51=U$25),$BS$52:$CA$60)),0)</f>
        <v>0</v>
      </c>
      <c r="BI33" s="5">
        <f t="array" aca="1" ref="BI33" ca="1">IF(V20=C20,SUM(IF(($BR$52:$BR$60=C20)*($BS$51:$CA$51=V$17),$BS$52:$CA$60)),0)</f>
        <v>0</v>
      </c>
      <c r="BJ33" s="3">
        <f t="array" aca="1" ref="BJ33" ca="1">IF(V20=C20,SUM(IF(($BR$52:$BR$60=C20)*($BS$51:$CA$51=V$18),$BS$52:$CA$60)),0)</f>
        <v>0</v>
      </c>
      <c r="BK33" s="3">
        <f t="array" aca="1" ref="BK33" ca="1">IF(V20=C20,SUM(IF(($BR$52:$BR$60=C20)*($BS$51:$CA$51=V$19),$BS$52:$CA$60)),0)</f>
        <v>0</v>
      </c>
      <c r="BL33" s="3">
        <f t="array" aca="1" ref="BL33" ca="1">IF(V20=C20,SUM(IF(($BR$52:$BR$60=C20)*($BS$51:$CA$51=V$21),$BS$52:$CA$60)),0)</f>
        <v>0</v>
      </c>
      <c r="BM33" s="3">
        <f t="array" aca="1" ref="BM33" ca="1">IF(V20=C20,SUM(IF(($BR$52:$BR$60=C20)*($BS$51:$CA$51=V$22),$BS$52:$CA$60)),0)</f>
        <v>0</v>
      </c>
      <c r="BN33" s="3">
        <f t="array" aca="1" ref="BN33" ca="1">IF(V20=C20,SUM(IF(($BR$52:$BR$60=C20)*($BS$51:$CA$51=V$23),$BS$52:$CA$60)),0)</f>
        <v>0</v>
      </c>
      <c r="BO33" s="3">
        <f t="array" aca="1" ref="BO33" ca="1">IF(V20=C20,SUM(IF(($BR$52:$BR$60=C20)*($BS$51:$CA$51=V$24),$BS$52:$CA$60)),0)</f>
        <v>0</v>
      </c>
      <c r="BP33" s="15">
        <f t="array" aca="1" ref="BP33" ca="1">IF(V20=C20,SUM(IF(($BR$52:$BR$60=C20)*($BS$51:$CA$51=V$25),$BS$52:$CA$60)),0)</f>
        <v>0</v>
      </c>
      <c r="BQ33" s="3"/>
      <c r="BR33" s="2" t="str">
        <f t="shared" si="34"/>
        <v/>
      </c>
      <c r="BS33" s="8">
        <f t="shared" ca="1" si="37"/>
        <v>0</v>
      </c>
      <c r="BT33" s="8">
        <f t="shared" ca="1" si="37"/>
        <v>0</v>
      </c>
      <c r="BU33" s="8">
        <f t="shared" ca="1" si="37"/>
        <v>0</v>
      </c>
      <c r="BV33" s="6"/>
      <c r="BW33" s="7">
        <f t="shared" ca="1" si="35"/>
        <v>0</v>
      </c>
      <c r="BX33" s="7">
        <f t="shared" ca="1" si="35"/>
        <v>0</v>
      </c>
      <c r="BY33" s="7">
        <f t="shared" ca="1" si="35"/>
        <v>0</v>
      </c>
      <c r="BZ33" s="7">
        <f t="shared" ca="1" si="35"/>
        <v>0</v>
      </c>
      <c r="CA33" s="7">
        <f t="shared" ca="1" si="35"/>
        <v>0</v>
      </c>
      <c r="CB33" s="3"/>
    </row>
    <row r="34" spans="2:80" s="2" customFormat="1" x14ac:dyDescent="0.2">
      <c r="C34" s="2" t="str">
        <f t="shared" si="36"/>
        <v/>
      </c>
      <c r="E34" s="14">
        <f t="array" aca="1" ref="E34" ca="1">IF(O21=C21,SUM(IF(($BR$52:$BR$60=C21)*($BS$51:$CA$51=O17),$BS$52:$CA$60)),0)</f>
        <v>0</v>
      </c>
      <c r="F34" s="3">
        <f t="array" aca="1" ref="F34" ca="1">IF(O21=C21,SUM(IF(($BR$52:$BR$60=C21)*($BS$51:$CA$51=O18),$BS$52:$CA$60)),0)</f>
        <v>0</v>
      </c>
      <c r="G34" s="3">
        <f t="array" aca="1" ref="G34" ca="1">IF(O21=C21,SUM(IF(($BR$52:$BR$60=C21)*($BS$51:$CA$51=O19),$BS$52:$CA$60)),0)</f>
        <v>0</v>
      </c>
      <c r="H34" s="3">
        <f t="array" aca="1" ref="H34" ca="1">IF(O21=C21,SUM(IF(($BR$52:$BR$60=C21)*($BS$51:$CA$51=O20),$BS$52:$CA$60)),0)</f>
        <v>0</v>
      </c>
      <c r="I34" s="3">
        <f t="array" aca="1" ref="I34" ca="1">IF(O21=C21,SUM(IF(($BR$52:$BR$60=C21)*($BS$51:$CA$51=O22),$BS$52:$CA$60)),0)</f>
        <v>0</v>
      </c>
      <c r="J34" s="3">
        <f t="array" aca="1" ref="J34" ca="1">IF(O21=C21,SUM(IF(($BR$52:$BR$60=C21)*($BS$51:$CA$51=O23),$BS$52:$CA$60)),0)</f>
        <v>0</v>
      </c>
      <c r="K34" s="3">
        <f t="array" aca="1" ref="K34" ca="1">IF(O21=C21,SUM(IF(($BR$52:$BR$60=C21)*($BS$51:$CA$51=O$24),$BS$52:$CA$60)),0)</f>
        <v>0</v>
      </c>
      <c r="L34" s="3">
        <f t="array" aca="1" ref="L34" ca="1">IF(O21=C21,SUM(IF(($BR$52:$BR$60=C21)*($BS$51:$CA$51=O$25),$BS$52:$CA$60)),0)</f>
        <v>0</v>
      </c>
      <c r="M34" s="5">
        <f t="array" aca="1" ref="M34" ca="1">IF(P21=C21,SUM(IF(($BR$52:$BR$60=C21)*($BS$51:$CA$51=P17),$BS$52:$CA$60)),0)</f>
        <v>0</v>
      </c>
      <c r="N34" s="3">
        <f t="array" aca="1" ref="N34" ca="1">IF(P21=C21,SUM(IF(($BR$52:$BR$60=C21)*($BS$51:$CA$51=P18),$BS$52:$CA$60)),0)</f>
        <v>0</v>
      </c>
      <c r="O34" s="3">
        <f t="array" aca="1" ref="O34" ca="1">IF(P21=C21,SUM(IF(($BR$52:$BR$60=C21)*($BS$51:$CA$51=P19),$BS$52:$CA$60)),0)</f>
        <v>0</v>
      </c>
      <c r="P34" s="3">
        <f t="array" aca="1" ref="P34" ca="1">IF(P21=C21,SUM(IF(($BR$52:$BR$60=C21)*($BS$51:$CA$51=P20),$BS$52:$CA$60)),0)</f>
        <v>0</v>
      </c>
      <c r="Q34" s="3">
        <f t="array" aca="1" ref="Q34" ca="1">IF(P21=C21,SUM(IF(($BR$52:$BR$60=C21)*($BS$51:$CA$51=P22),$BS$52:$CA$60)),0)</f>
        <v>0</v>
      </c>
      <c r="R34" s="3">
        <f t="array" aca="1" ref="R34" ca="1">IF(P21=C21,SUM(IF(($BR$52:$BR$60=C21)*($BS$51:$CA$51=P23),$BS$52:$CA$60)),0)</f>
        <v>0</v>
      </c>
      <c r="S34" s="3">
        <f t="array" aca="1" ref="S34" ca="1">IF(P21=C21,SUM(IF(($BR$52:$BR$60=C21)*($BS$51:$CA$51=P$24),$BS$52:$CA$60)),0)</f>
        <v>0</v>
      </c>
      <c r="T34" s="3">
        <f t="array" aca="1" ref="T34" ca="1">IF(P21=C21,SUM(IF(($BR$52:$BR$60=C21)*($BS$51:$CA$51=P$25),$BS$52:$CA$60)),0)</f>
        <v>0</v>
      </c>
      <c r="U34" s="5">
        <f t="array" aca="1" ref="U34" ca="1">IF(Q21=C21,SUM(IF(($BR$52:$BR$60=C21)*($BS$51:$CA$51=Q17),$BS$52:$CA$60)),0)</f>
        <v>0</v>
      </c>
      <c r="V34" s="3">
        <f t="array" aca="1" ref="V34" ca="1">IF(Q21=C21,SUM(IF(($BR$52:$BR$60=C21)*($BS$51:$CA$51=Q18),$BS$52:$CA$60)),0)</f>
        <v>0</v>
      </c>
      <c r="W34" s="3">
        <f t="array" aca="1" ref="W34" ca="1">IF(Q21=C21,SUM(IF(($BR$52:$BR$60=C21)*($BS$51:$CA$51=Q19),$BS$52:$CA$60)),0)</f>
        <v>0</v>
      </c>
      <c r="X34" s="3">
        <f t="array" aca="1" ref="X34" ca="1">IF(Q21=C21,SUM(IF(($BR$52:$BR$60=C21)*($BS$51:$CA$51=Q20),$BS$52:$CA$60)),0)</f>
        <v>0</v>
      </c>
      <c r="Y34" s="3">
        <f t="array" aca="1" ref="Y34" ca="1">IF(Q21=C21,SUM(IF(($BR$52:$BR$60=C21)*($BS$51:$CA$51=Q22),$BS$52:$CA$60)),0)</f>
        <v>0</v>
      </c>
      <c r="Z34" s="3">
        <f t="array" aca="1" ref="Z34" ca="1">IF(Q21=C21,SUM(IF(($BR$52:$BR$60=C21)*($BS$51:$CA$51=Q23),$BS$52:$CA$60)),0)</f>
        <v>0</v>
      </c>
      <c r="AA34" s="3">
        <f t="array" aca="1" ref="AA34" ca="1">IF(Q21=C21,SUM(IF(($BR$52:$BR$60=C21)*($BS$51:$CA$51=Q$24),$BS$52:$CA$60)),0)</f>
        <v>0</v>
      </c>
      <c r="AB34" s="3">
        <f t="array" aca="1" ref="AB34" ca="1">IF(Q21=C21,SUM(IF(($BR$52:$BR$60=C21)*($BS$51:$CA$51=Q$25),$BS$52:$CA$60)),0)</f>
        <v>0</v>
      </c>
      <c r="AC34" s="5">
        <f t="array" aca="1" ref="AC34" ca="1">IF(R21=C21,SUM(IF(($BR$52:$BR$60=C21)*($BS$51:$CA$51=R17),$BS$52:$CA$60)),0)</f>
        <v>0</v>
      </c>
      <c r="AD34" s="3">
        <f t="array" aca="1" ref="AD34" ca="1">IF(R21=C21,SUM(IF(($BR$52:$BR$60=C21)*($BS$51:$CA$51=R18),$BS$52:$CA$60)),0)</f>
        <v>0</v>
      </c>
      <c r="AE34" s="3">
        <f t="array" aca="1" ref="AE34" ca="1">IF(R21=C21,SUM(IF(($BR$52:$BR$60=C21)*($BS$51:$CA$51=R19),$BS$52:$CA$60)),0)</f>
        <v>0</v>
      </c>
      <c r="AF34" s="3">
        <f t="array" aca="1" ref="AF34" ca="1">IF(R21=C21,SUM(IF(($BR$52:$BR$60=C21)*($BS$51:$CA$51=R20),$BS$52:$CA$60)),0)</f>
        <v>0</v>
      </c>
      <c r="AG34" s="3">
        <f t="array" aca="1" ref="AG34" ca="1">IF(R21=C21,SUM(IF(($BR$52:$BR$60=C21)*($BS$51:$CA$51=R22),$BS$52:$CA$60)),0)</f>
        <v>0</v>
      </c>
      <c r="AH34" s="3">
        <f t="array" aca="1" ref="AH34" ca="1">IF(R21=C21,SUM(IF(($BR$52:$BR$60=C21)*($BS$51:$CA$51=R23),$BS$52:$CA$60)),0)</f>
        <v>0</v>
      </c>
      <c r="AI34" s="3">
        <f t="array" aca="1" ref="AI34" ca="1">IF(R21=C21,SUM(IF(($BR$52:$BR$60=C21)*($BS$51:$CA$51=R$24),$BS$52:$CA$60)),0)</f>
        <v>0</v>
      </c>
      <c r="AJ34" s="3">
        <f t="array" aca="1" ref="AJ34" ca="1">IF(R21=C21,SUM(IF(($BR$52:$BR$60=C21)*($BS$51:$CA$51=R$25),$BS$52:$CA$60)),0)</f>
        <v>0</v>
      </c>
      <c r="AK34" s="5">
        <f t="array" aca="1" ref="AK34" ca="1">IF(S21=C21,SUM(IF(($BR$52:$BR$60=C21)*($BS$51:$CA$51=S17),$BS$52:$CA$60)),0)</f>
        <v>0</v>
      </c>
      <c r="AL34" s="3">
        <f t="array" aca="1" ref="AL34" ca="1">IF(S21=C21,SUM(IF(($BR$52:$BR$60=C21)*($BS$51:$CA$51=S18),$BS$52:$CA$60)),0)</f>
        <v>0</v>
      </c>
      <c r="AM34" s="3">
        <f t="array" aca="1" ref="AM34" ca="1">IF(S21=C21,SUM(IF(($BR$52:$BR$60=C21)*($BS$51:$CA$51=S19),$BS$52:$CA$60)),0)</f>
        <v>0</v>
      </c>
      <c r="AN34" s="3">
        <f t="array" aca="1" ref="AN34" ca="1">IF(S21=C21,SUM(IF(($BR$52:$BR$60=C21)*($BS$51:$CA$51=S20),$BS$52:$CA$60)),0)</f>
        <v>0</v>
      </c>
      <c r="AO34" s="3">
        <f t="array" aca="1" ref="AO34" ca="1">IF(S21=C21,SUM(IF(($BR$52:$BR$60=C21)*($BS$51:$CA$51=S22),$BS$52:$CA$60)),0)</f>
        <v>0</v>
      </c>
      <c r="AP34" s="3">
        <f t="array" aca="1" ref="AP34" ca="1">IF(S21=C21,SUM(IF(($BR$52:$BR$60=C21)*($BS$51:$CA$51=S23),$BS$52:$CA$60)),0)</f>
        <v>0</v>
      </c>
      <c r="AQ34" s="3">
        <f t="array" aca="1" ref="AQ34" ca="1">IF(S21=C21,SUM(IF(($BR$52:$BR$60=C21)*($BS$51:$CA$51=S$24),$BS$52:$CA$60)),0)</f>
        <v>0</v>
      </c>
      <c r="AR34" s="3">
        <f t="array" aca="1" ref="AR34" ca="1">IF(S21=C21,SUM(IF(($BR$52:$BR$60=C21)*($BS$51:$CA$51=S$25),$BS$52:$CA$60)),0)</f>
        <v>0</v>
      </c>
      <c r="AS34" s="5">
        <f t="array" aca="1" ref="AS34" ca="1">IF(T21=C21,SUM(IF(($BR$52:$BR$60=C21)*($BS$51:$CA$51=T17),$BS$52:$CA$60)),0)</f>
        <v>0</v>
      </c>
      <c r="AT34" s="3">
        <f t="array" aca="1" ref="AT34" ca="1">IF(T21=C21,SUM(IF(($BR$52:$BR$60=C21)*($BS$51:$CA$51=T18),$BS$52:$CA$60)),0)</f>
        <v>0</v>
      </c>
      <c r="AU34" s="3">
        <f t="array" aca="1" ref="AU34" ca="1">IF(T21=C21,SUM(IF(($BR$52:$BR$60=C21)*($BS$51:$CA$51=T19),$BS$52:$CA$60)),0)</f>
        <v>0</v>
      </c>
      <c r="AV34" s="3">
        <f t="array" aca="1" ref="AV34" ca="1">IF(T21=C21,SUM(IF(($BR$52:$BR$60=C21)*($BS$51:$CA$51=T20),$BS$52:$CA$60)),0)</f>
        <v>0</v>
      </c>
      <c r="AW34" s="3">
        <f t="array" aca="1" ref="AW34" ca="1">IF(T21=C21,SUM(IF(($BR$52:$BR$60=C21)*($BS$51:$CA$51=T22),$BS$52:$CA$60)),0)</f>
        <v>0</v>
      </c>
      <c r="AX34" s="3">
        <f t="array" aca="1" ref="AX34" ca="1">IF(T21=C21,SUM(IF(($BR$52:$BR$60=C21)*($BS$51:$CA$51=T23),$BS$52:$CA$60)),0)</f>
        <v>0</v>
      </c>
      <c r="AY34" s="3">
        <f t="array" aca="1" ref="AY34" ca="1">IF(T21=C21,SUM(IF(($BR$52:$BR$60=C21)*($BS$51:$CA$51=T$24),$BS$52:$CA$60)),0)</f>
        <v>0</v>
      </c>
      <c r="AZ34" s="3">
        <f t="array" aca="1" ref="AZ34" ca="1">IF(T21=C21,SUM(IF(($BR$52:$BR$60=C21)*($BS$51:$CA$51=T$25),$BS$52:$CA$60)),0)</f>
        <v>0</v>
      </c>
      <c r="BA34" s="5">
        <f t="array" aca="1" ref="BA34" ca="1">IF(U21=C21,SUM(IF(($BR$52:$BR$60=C21)*($BS$51:$CA$51=U$17),$BS$52:$CA$60)),0)</f>
        <v>0</v>
      </c>
      <c r="BB34" s="3">
        <f t="array" aca="1" ref="BB34" ca="1">IF(U21=C21,SUM(IF(($BR$52:$BR$60=C21)*($BS$51:$CA$51=U$18),$BS$52:$CA$60)),0)</f>
        <v>0</v>
      </c>
      <c r="BC34" s="3">
        <f t="array" aca="1" ref="BC34" ca="1">IF(U21=C21,SUM(IF(($BR$52:$BR$60=C21)*($BS$51:$CA$51=U$19),$BS$52:$CA$60)),0)</f>
        <v>0</v>
      </c>
      <c r="BD34" s="3">
        <f t="array" aca="1" ref="BD34" ca="1">IF(U21=C21,SUM(IF(($BR$52:$BR$60=C21)*($BS$51:$CA$51=U$20),$BS$52:$CA$60)),0)</f>
        <v>0</v>
      </c>
      <c r="BE34" s="3">
        <f t="array" aca="1" ref="BE34" ca="1">IF(U21=C21,SUM(IF(($BR$52:$BR$60=C21)*($BS$51:$CA$51=U$22),$BS$52:$CA$60)),0)</f>
        <v>0</v>
      </c>
      <c r="BF34" s="3">
        <f t="array" aca="1" ref="BF34" ca="1">IF(U21=C21,SUM(IF(($BR$52:$BR$60=C21)*($BS$51:$CA$51=U$23),$BS$52:$CA$60)),0)</f>
        <v>0</v>
      </c>
      <c r="BG34" s="3">
        <f t="array" aca="1" ref="BG34" ca="1">IF(U21=C21,SUM(IF(($BR$52:$BR$60=C21)*($BS$51:$CA$51=U$24),$BS$52:$CA$60)),0)</f>
        <v>0</v>
      </c>
      <c r="BH34" s="3">
        <f t="array" aca="1" ref="BH34" ca="1">IF(U21=C21,SUM(IF(($BR$52:$BR$60=C21)*($BS$51:$CA$51=U$25),$BS$52:$CA$60)),0)</f>
        <v>0</v>
      </c>
      <c r="BI34" s="5">
        <f t="array" aca="1" ref="BI34" ca="1">IF(V21=C21,SUM(IF(($BR$52:$BR$60=C21)*($BS$51:$CA$51=V$17),$BS$52:$CA$60)),0)</f>
        <v>0</v>
      </c>
      <c r="BJ34" s="3">
        <f t="array" aca="1" ref="BJ34" ca="1">IF(V21=C21,SUM(IF(($BR$52:$BR$60=C21)*($BS$51:$CA$51=V$18),$BS$52:$CA$60)),0)</f>
        <v>0</v>
      </c>
      <c r="BK34" s="3">
        <f t="array" aca="1" ref="BK34" ca="1">IF(V21=C21,SUM(IF(($BR$52:$BR$60=C21)*($BS$51:$CA$51=V$19),$BS$52:$CA$60)),0)</f>
        <v>0</v>
      </c>
      <c r="BL34" s="3">
        <f t="array" aca="1" ref="BL34" ca="1">IF(V21=C21,SUM(IF(($BR$52:$BR$60=C21)*($BS$51:$CA$51=V$20),$BS$52:$CA$60)),0)</f>
        <v>0</v>
      </c>
      <c r="BM34" s="3">
        <f t="array" aca="1" ref="BM34" ca="1">IF(V21=C21,SUM(IF(($BR$52:$BR$60=C21)*($BS$51:$CA$51=V$22),$BS$52:$CA$60)),0)</f>
        <v>0</v>
      </c>
      <c r="BN34" s="3">
        <f t="array" aca="1" ref="BN34" ca="1">IF(V21=C21,SUM(IF(($BR$52:$BR$60=C21)*($BS$51:$CA$51=V$23),$BS$52:$CA$60)),0)</f>
        <v>0</v>
      </c>
      <c r="BO34" s="3">
        <f t="array" aca="1" ref="BO34" ca="1">IF(V21=C21,SUM(IF(($BR$52:$BR$60=C21)*($BS$51:$CA$51=V$24),$BS$52:$CA$60)),0)</f>
        <v>0</v>
      </c>
      <c r="BP34" s="15">
        <f t="array" aca="1" ref="BP34" ca="1">IF(V21=C21,SUM(IF(($BR$52:$BR$60=C21)*($BS$51:$CA$51=V$25),$BS$52:$CA$60)),0)</f>
        <v>0</v>
      </c>
      <c r="BQ34" s="3"/>
      <c r="BR34" s="2" t="str">
        <f t="shared" si="34"/>
        <v/>
      </c>
      <c r="BS34" s="8">
        <f t="shared" ca="1" si="37"/>
        <v>0</v>
      </c>
      <c r="BT34" s="8">
        <f t="shared" ca="1" si="37"/>
        <v>0</v>
      </c>
      <c r="BU34" s="8">
        <f t="shared" ca="1" si="37"/>
        <v>0</v>
      </c>
      <c r="BV34" s="8">
        <f t="shared" ca="1" si="37"/>
        <v>0</v>
      </c>
      <c r="BW34" s="6"/>
      <c r="BX34" s="7">
        <f t="shared" ca="1" si="35"/>
        <v>0</v>
      </c>
      <c r="BY34" s="7">
        <f t="shared" ca="1" si="35"/>
        <v>0</v>
      </c>
      <c r="BZ34" s="7">
        <f t="shared" ca="1" si="35"/>
        <v>0</v>
      </c>
      <c r="CA34" s="7">
        <f t="shared" ca="1" si="35"/>
        <v>0</v>
      </c>
      <c r="CB34" s="3"/>
    </row>
    <row r="35" spans="2:80" s="2" customFormat="1" x14ac:dyDescent="0.2">
      <c r="C35" s="2" t="str">
        <f t="shared" si="36"/>
        <v/>
      </c>
      <c r="E35" s="14">
        <f t="array" aca="1" ref="E35" ca="1">IF(O22=C22,SUM(IF(($BR$52:$BR$60=C22)*($BS$51:$CA$51=O17),$BS$52:$CA$60)),0)</f>
        <v>0</v>
      </c>
      <c r="F35" s="3">
        <f t="array" aca="1" ref="F35" ca="1">IF(O22=C22,SUM(IF(($BR$52:$BR$60=C22)*($BS$51:$CA$51=O18),$BS$52:$CA$60)),0)</f>
        <v>0</v>
      </c>
      <c r="G35" s="3">
        <f t="array" aca="1" ref="G35" ca="1">IF(O22=C22,SUM(IF(($BR$52:$BR$60=C22)*($BS$51:$CA$51=O19),$BS$52:$CA$60)),0)</f>
        <v>0</v>
      </c>
      <c r="H35" s="3">
        <f t="array" aca="1" ref="H35" ca="1">IF(O22=C22,SUM(IF(($BR$52:$BR$60=C22)*($BS$51:$CA$51=O20),$BS$52:$CA$60)),0)</f>
        <v>0</v>
      </c>
      <c r="I35" s="3">
        <f t="array" aca="1" ref="I35" ca="1">IF(O22=C22,SUM(IF(($BR$52:$BR$60=C22)*($BS$51:$CA$51=O21),$BS$52:$CA$60)),0)</f>
        <v>0</v>
      </c>
      <c r="J35" s="3">
        <f t="array" aca="1" ref="J35" ca="1">IF(O22=C22,SUM(IF(($BR$52:$BR$60=C22)*($BS$51:$CA$51=O23),$BS$52:$CA$60)),0)</f>
        <v>0</v>
      </c>
      <c r="K35" s="3">
        <f t="array" aca="1" ref="K35" ca="1">IF(O22=C22,SUM(IF(($BR$52:$BR$60=C22)*($BS$51:$CA$51=O$24),$BS$52:$CA$60)),0)</f>
        <v>0</v>
      </c>
      <c r="L35" s="3">
        <f t="array" aca="1" ref="L35" ca="1">IF(O22=C22,SUM(IF(($BR$52:$BR$60=C22)*($BS$51:$CA$51=O$25),$BS$52:$CA$60)),0)</f>
        <v>0</v>
      </c>
      <c r="M35" s="5">
        <f t="array" aca="1" ref="M35" ca="1">IF(P22=C22,SUM(IF(($BR$52:$BR$60=C22)*($BS$51:$CA$51=P17),$BS$52:$CA$60)),0)</f>
        <v>0</v>
      </c>
      <c r="N35" s="3">
        <f t="array" aca="1" ref="N35" ca="1">IF(P22=C22,SUM(IF(($BR$52:$BR$60=C22)*($BS$51:$CA$51=P18),$BS$52:$CA$60)),0)</f>
        <v>0</v>
      </c>
      <c r="O35" s="3">
        <f t="array" aca="1" ref="O35" ca="1">IF(P22=C22,SUM(IF(($BR$52:$BR$60=C22)*($BS$51:$CA$51=P19),$BS$52:$CA$60)),0)</f>
        <v>0</v>
      </c>
      <c r="P35" s="3">
        <f t="array" aca="1" ref="P35" ca="1">IF(P22=C22,SUM(IF(($BR$52:$BR$60=C22)*($BS$51:$CA$51=P20),$BS$52:$CA$60)),0)</f>
        <v>0</v>
      </c>
      <c r="Q35" s="3">
        <f t="array" aca="1" ref="Q35" ca="1">IF(P22=C22,SUM(IF(($BR$52:$BR$60=C22)*($BS$51:$CA$51=P21),$BS$52:$CA$60)),0)</f>
        <v>0</v>
      </c>
      <c r="R35" s="3">
        <f t="array" aca="1" ref="R35" ca="1">IF(P22=C22,SUM(IF(($BR$52:$BR$60=C22)*($BS$51:$CA$51=P23),$BS$52:$CA$60)),0)</f>
        <v>0</v>
      </c>
      <c r="S35" s="3">
        <f t="array" aca="1" ref="S35" ca="1">IF(P22=C22,SUM(IF(($BR$52:$BR$60=C22)*($BS$51:$CA$51=P$24),$BS$52:$CA$60)),0)</f>
        <v>0</v>
      </c>
      <c r="T35" s="3">
        <f t="array" aca="1" ref="T35" ca="1">IF(P22=C22,SUM(IF(($BR$52:$BR$60=C22)*($BS$51:$CA$51=P$25),$BS$52:$CA$60)),0)</f>
        <v>0</v>
      </c>
      <c r="U35" s="5">
        <f t="array" aca="1" ref="U35" ca="1">IF(Q22=C22,SUM(IF(($BR$52:$BR$60=C22)*($BS$51:$CA$51=Q17),$BS$52:$CA$60)),0)</f>
        <v>0</v>
      </c>
      <c r="V35" s="3">
        <f t="array" aca="1" ref="V35" ca="1">IF(Q22=C22,SUM(IF(($BR$52:$BR$60=C22)*($BS$51:$CA$51=Q18),$BS$52:$CA$60)),0)</f>
        <v>0</v>
      </c>
      <c r="W35" s="3">
        <f t="array" aca="1" ref="W35" ca="1">IF(Q22=C22,SUM(IF(($BR$52:$BR$60=C22)*($BS$51:$CA$51=Q19),$BS$52:$CA$60)),0)</f>
        <v>0</v>
      </c>
      <c r="X35" s="3">
        <f t="array" aca="1" ref="X35" ca="1">IF(Q22=C22,SUM(IF(($BR$52:$BR$60=C22)*($BS$51:$CA$51=Q20),$BS$52:$CA$60)),0)</f>
        <v>0</v>
      </c>
      <c r="Y35" s="3">
        <f t="array" aca="1" ref="Y35" ca="1">IF(Q22=C22,SUM(IF(($BR$52:$BR$60=C22)*($BS$51:$CA$51=Q21),$BS$52:$CA$60)),0)</f>
        <v>0</v>
      </c>
      <c r="Z35" s="3">
        <f t="array" aca="1" ref="Z35" ca="1">IF(Q22=C22,SUM(IF(($BR$52:$BR$60=C22)*($BS$51:$CA$51=Q23),$BS$52:$CA$60)),0)</f>
        <v>0</v>
      </c>
      <c r="AA35" s="3">
        <f t="array" aca="1" ref="AA35" ca="1">IF(Q22=C22,SUM(IF(($BR$52:$BR$60=C22)*($BS$51:$CA$51=Q$24),$BS$52:$CA$60)),0)</f>
        <v>0</v>
      </c>
      <c r="AB35" s="3">
        <f t="array" aca="1" ref="AB35" ca="1">IF(Q22=C22,SUM(IF(($BR$52:$BR$60=C22)*($BS$51:$CA$51=Q$25),$BS$52:$CA$60)),0)</f>
        <v>0</v>
      </c>
      <c r="AC35" s="5">
        <f t="array" aca="1" ref="AC35" ca="1">IF(R22=C22,SUM(IF(($BR$52:$BR$60=C22)*($BS$51:$CA$51=R17),$BS$52:$CA$60)),0)</f>
        <v>0</v>
      </c>
      <c r="AD35" s="3">
        <f t="array" aca="1" ref="AD35" ca="1">IF(R22=C22,SUM(IF(($BR$52:$BR$60=C22)*($BS$51:$CA$51=R18),$BS$52:$CA$60)),0)</f>
        <v>0</v>
      </c>
      <c r="AE35" s="3">
        <f t="array" aca="1" ref="AE35" ca="1">IF(R22=C22,SUM(IF(($BR$52:$BR$60=C22)*($BS$51:$CA$51=R19),$BS$52:$CA$60)),0)</f>
        <v>0</v>
      </c>
      <c r="AF35" s="3">
        <f t="array" aca="1" ref="AF35" ca="1">IF(R22=C22,SUM(IF(($BR$52:$BR$60=C22)*($BS$51:$CA$51=R20),$BS$52:$CA$60)),0)</f>
        <v>0</v>
      </c>
      <c r="AG35" s="3">
        <f t="array" aca="1" ref="AG35" ca="1">IF(R22=C22,SUM(IF(($BR$52:$BR$60=C22)*($BS$51:$CA$51=R21),$BS$52:$CA$60)),0)</f>
        <v>0</v>
      </c>
      <c r="AH35" s="3">
        <f t="array" aca="1" ref="AH35" ca="1">IF(R22=C22,SUM(IF(($BR$52:$BR$60=C22)*($BS$51:$CA$51=R23),$BS$52:$CA$60)),0)</f>
        <v>0</v>
      </c>
      <c r="AI35" s="3">
        <f t="array" aca="1" ref="AI35" ca="1">IF(R22=C22,SUM(IF(($BR$52:$BR$60=C22)*($BS$51:$CA$51=R$24),$BS$52:$CA$60)),0)</f>
        <v>0</v>
      </c>
      <c r="AJ35" s="3">
        <f t="array" aca="1" ref="AJ35" ca="1">IF(R22=C22,SUM(IF(($BR$52:$BR$60=C22)*($BS$51:$CA$51=R$25),$BS$52:$CA$60)),0)</f>
        <v>0</v>
      </c>
      <c r="AK35" s="5">
        <f t="array" aca="1" ref="AK35" ca="1">IF(S22=C22,SUM(IF(($BR$52:$BR$60=C22)*($BS$51:$CA$51=S17),$BS$52:$CA$60)),0)</f>
        <v>0</v>
      </c>
      <c r="AL35" s="3">
        <f t="array" aca="1" ref="AL35" ca="1">IF(S22=C22,SUM(IF(($BR$52:$BR$60=C22)*($BS$51:$CA$51=S18),$BS$52:$CA$60)),0)</f>
        <v>0</v>
      </c>
      <c r="AM35" s="3">
        <f t="array" aca="1" ref="AM35" ca="1">IF(S22=C22,SUM(IF(($BR$52:$BR$60=C22)*($BS$51:$CA$51=S19),$BS$52:$CA$60)),0)</f>
        <v>0</v>
      </c>
      <c r="AN35" s="3">
        <f t="array" aca="1" ref="AN35" ca="1">IF(S22=C22,SUM(IF(($BR$52:$BR$60=C22)*($BS$51:$CA$51=S20),$BS$52:$CA$60)),0)</f>
        <v>0</v>
      </c>
      <c r="AO35" s="3">
        <f t="array" aca="1" ref="AO35" ca="1">IF(S22=C22,SUM(IF(($BR$52:$BR$60=C22)*($BS$51:$CA$51=S21),$BS$52:$CA$60)),0)</f>
        <v>0</v>
      </c>
      <c r="AP35" s="3">
        <f t="array" aca="1" ref="AP35" ca="1">IF(S22=C22,SUM(IF(($BR$52:$BR$60=C22)*($BS$51:$CA$51=S23),$BS$52:$CA$60)),0)</f>
        <v>0</v>
      </c>
      <c r="AQ35" s="3">
        <f t="array" aca="1" ref="AQ35" ca="1">IF(S22=C22,SUM(IF(($BR$52:$BR$60=C22)*($BS$51:$CA$51=S$24),$BS$52:$CA$60)),0)</f>
        <v>0</v>
      </c>
      <c r="AR35" s="3">
        <f t="array" aca="1" ref="AR35" ca="1">IF(S22=C22,SUM(IF(($BR$52:$BR$60=C22)*($BS$51:$CA$51=S$25),$BS$52:$CA$60)),0)</f>
        <v>0</v>
      </c>
      <c r="AS35" s="5">
        <f t="array" aca="1" ref="AS35" ca="1">IF(T22=C22,SUM(IF(($BR$52:$BR$60=C22)*($BS$51:$CA$51=T17),$BS$52:$CA$60)),0)</f>
        <v>0</v>
      </c>
      <c r="AT35" s="3">
        <f t="array" aca="1" ref="AT35" ca="1">IF(T22=C22,SUM(IF(($BR$52:$BR$60=C22)*($BS$51:$CA$51=T18),$BS$52:$CA$60)),0)</f>
        <v>0</v>
      </c>
      <c r="AU35" s="3">
        <f t="array" aca="1" ref="AU35" ca="1">IF(T22=C22,SUM(IF(($BR$52:$BR$60=C22)*($BS$51:$CA$51=T19),$BS$52:$CA$60)),0)</f>
        <v>0</v>
      </c>
      <c r="AV35" s="3">
        <f t="array" aca="1" ref="AV35" ca="1">IF(T22=C22,SUM(IF(($BR$52:$BR$60=C22)*($BS$51:$CA$51=T20),$BS$52:$CA$60)),0)</f>
        <v>0</v>
      </c>
      <c r="AW35" s="3">
        <f t="array" aca="1" ref="AW35" ca="1">IF(T22=C22,SUM(IF(($BR$52:$BR$60=C22)*($BS$51:$CA$51=T21),$BS$52:$CA$60)),0)</f>
        <v>0</v>
      </c>
      <c r="AX35" s="3">
        <f t="array" aca="1" ref="AX35" ca="1">IF(T22=C22,SUM(IF(($BR$52:$BR$60=C22)*($BS$51:$CA$51=T23),$BS$52:$CA$60)),0)</f>
        <v>0</v>
      </c>
      <c r="AY35" s="3">
        <f t="array" aca="1" ref="AY35" ca="1">IF(T22=C22,SUM(IF(($BR$52:$BR$60=C22)*($BS$51:$CA$51=T$24),$BS$52:$CA$60)),0)</f>
        <v>0</v>
      </c>
      <c r="AZ35" s="3">
        <f t="array" aca="1" ref="AZ35" ca="1">IF(T22=C22,SUM(IF(($BR$52:$BR$60=C22)*($BS$51:$CA$51=T$25),$BS$52:$CA$60)),0)</f>
        <v>0</v>
      </c>
      <c r="BA35" s="5">
        <f t="array" aca="1" ref="BA35" ca="1">IF(U22=C22,SUM(IF(($BR$52:$BR$60=C22)*($BS$51:$CA$51=U$17),$BS$52:$CA$60)),0)</f>
        <v>0</v>
      </c>
      <c r="BB35" s="3">
        <f t="array" aca="1" ref="BB35" ca="1">IF(U22=C22,SUM(IF(($BR$52:$BR$60=C22)*($BS$51:$CA$51=U$18),$BS$52:$CA$60)),0)</f>
        <v>0</v>
      </c>
      <c r="BC35" s="3">
        <f t="array" aca="1" ref="BC35" ca="1">IF(U22=C22,SUM(IF(($BR$52:$BR$60=C22)*($BS$51:$CA$51=U$19),$BS$52:$CA$60)),0)</f>
        <v>0</v>
      </c>
      <c r="BD35" s="3">
        <f t="array" aca="1" ref="BD35" ca="1">IF(U22=C22,SUM(IF(($BR$52:$BR$60=C22)*($BS$51:$CA$51=U$20),$BS$52:$CA$60)),0)</f>
        <v>0</v>
      </c>
      <c r="BE35" s="3">
        <f t="array" aca="1" ref="BE35" ca="1">IF(U22=C22,SUM(IF(($BR$52:$BR$60=C22)*($BS$51:$CA$51=U$21),$BS$52:$CA$60)),0)</f>
        <v>0</v>
      </c>
      <c r="BF35" s="3">
        <f t="array" aca="1" ref="BF35" ca="1">IF(U22=C22,SUM(IF(($BR$52:$BR$60=C22)*($BS$51:$CA$51=U$23),$BS$52:$CA$60)),0)</f>
        <v>0</v>
      </c>
      <c r="BG35" s="3">
        <f t="array" aca="1" ref="BG35" ca="1">IF(U22=C22,SUM(IF(($BR$52:$BR$60=C22)*($BS$51:$CA$51=U$24),$BS$52:$CA$60)),0)</f>
        <v>0</v>
      </c>
      <c r="BH35" s="3">
        <f t="array" aca="1" ref="BH35" ca="1">IF(U22=C22,SUM(IF(($BR$52:$BR$60=C22)*($BS$51:$CA$51=U$25),$BS$52:$CA$60)),0)</f>
        <v>0</v>
      </c>
      <c r="BI35" s="5">
        <f t="array" aca="1" ref="BI35" ca="1">IF(V22=C22,SUM(IF(($BR$52:$BR$60=C22)*($BS$51:$CA$51=V$17),$BS$52:$CA$60)),0)</f>
        <v>0</v>
      </c>
      <c r="BJ35" s="3">
        <f t="array" aca="1" ref="BJ35" ca="1">IF(V22=C22,SUM(IF(($BR$52:$BR$60=C22)*($BS$51:$CA$51=V$18),$BS$52:$CA$60)),0)</f>
        <v>0</v>
      </c>
      <c r="BK35" s="3">
        <f t="array" aca="1" ref="BK35" ca="1">IF(V22=C22,SUM(IF(($BR$52:$BR$60=C22)*($BS$51:$CA$51=V$19),$BS$52:$CA$60)),0)</f>
        <v>0</v>
      </c>
      <c r="BL35" s="3">
        <f t="array" aca="1" ref="BL35" ca="1">IF(V22=C22,SUM(IF(($BR$52:$BR$60=C22)*($BS$51:$CA$51=V$20),$BS$52:$CA$60)),0)</f>
        <v>0</v>
      </c>
      <c r="BM35" s="3">
        <f t="array" aca="1" ref="BM35" ca="1">IF(V22=C22,SUM(IF(($BR$52:$BR$60=C22)*($BS$51:$CA$51=V$21),$BS$52:$CA$60)),0)</f>
        <v>0</v>
      </c>
      <c r="BN35" s="3">
        <f t="array" aca="1" ref="BN35" ca="1">IF(V22=C22,SUM(IF(($BR$52:$BR$60=C22)*($BS$51:$CA$51=V$23),$BS$52:$CA$60)),0)</f>
        <v>0</v>
      </c>
      <c r="BO35" s="3">
        <f t="array" aca="1" ref="BO35" ca="1">IF(V22=C22,SUM(IF(($BR$52:$BR$60=C22)*($BS$51:$CA$51=V$24),$BS$52:$CA$60)),0)</f>
        <v>0</v>
      </c>
      <c r="BP35" s="15">
        <f t="array" aca="1" ref="BP35" ca="1">IF(V22=C22,SUM(IF(($BR$52:$BR$60=C22)*($BS$51:$CA$51=V$25),$BS$52:$CA$60)),0)</f>
        <v>0</v>
      </c>
      <c r="BQ35" s="3"/>
      <c r="BR35" s="2" t="str">
        <f t="shared" si="34"/>
        <v/>
      </c>
      <c r="BS35" s="8">
        <f t="shared" ca="1" si="37"/>
        <v>0</v>
      </c>
      <c r="BT35" s="8">
        <f t="shared" ca="1" si="37"/>
        <v>0</v>
      </c>
      <c r="BU35" s="8">
        <f t="shared" ca="1" si="37"/>
        <v>0</v>
      </c>
      <c r="BV35" s="8">
        <f t="shared" ca="1" si="37"/>
        <v>0</v>
      </c>
      <c r="BW35" s="8">
        <f t="shared" ca="1" si="37"/>
        <v>0</v>
      </c>
      <c r="BX35" s="6"/>
      <c r="BY35" s="7">
        <f t="shared" ca="1" si="35"/>
        <v>0</v>
      </c>
      <c r="BZ35" s="7">
        <f t="shared" ca="1" si="35"/>
        <v>0</v>
      </c>
      <c r="CA35" s="7">
        <f t="shared" ca="1" si="35"/>
        <v>0</v>
      </c>
      <c r="CB35" s="3"/>
    </row>
    <row r="36" spans="2:80" s="2" customFormat="1" x14ac:dyDescent="0.2">
      <c r="C36" s="2" t="str">
        <f t="shared" si="36"/>
        <v/>
      </c>
      <c r="E36" s="14">
        <f t="array" aca="1" ref="E36" ca="1">IF(O23=C23,SUM(IF(($BR$52:$BR$60=C23)*($BS$51:$CA$51=O17),$BS$52:$CA$60)),0)</f>
        <v>0</v>
      </c>
      <c r="F36" s="3">
        <f t="array" aca="1" ref="F36" ca="1">IF(O23=C23,SUM(IF(($BR$52:$BR$60=C23)*($BS$51:$CA$51=O$18),$BS$52:$CA$60)),0)</f>
        <v>0</v>
      </c>
      <c r="G36" s="3">
        <f t="array" aca="1" ref="G36" ca="1">IF(O23=C23,SUM(IF(($BR$52:$BR$60=C23)*($BS$51:$CA$51=O$19),$BS$52:$CA$60)),0)</f>
        <v>0</v>
      </c>
      <c r="H36" s="3">
        <f t="array" aca="1" ref="H36" ca="1">IF(O23=C23,SUM(IF(($BR$52:$BR$60=C23)*($BS$51:$CA$51=O$20),$BS$52:$CA$60)),0)</f>
        <v>0</v>
      </c>
      <c r="I36" s="3">
        <f t="array" aca="1" ref="I36" ca="1">IF(O23=C23,SUM(IF(($BR$52:$BR$60=C23)*($BS$51:$CA$51=O$21),$BS$52:$CA$60)),0)</f>
        <v>0</v>
      </c>
      <c r="J36" s="3">
        <f t="array" aca="1" ref="J36" ca="1">IF(O23=C23,SUM(IF(($BR$52:$BR$60=C23)*($BS$51:$CA$51=O$22),$BS$52:$CA$60)),0)</f>
        <v>0</v>
      </c>
      <c r="K36" s="3">
        <f t="array" aca="1" ref="K36" ca="1">IF(O23=C23,SUM(IF(($BR$52:$BR$60=C23)*($BS$51:$CA$51=O$24),$BS$52:$CA$60)),0)</f>
        <v>0</v>
      </c>
      <c r="L36" s="3">
        <f t="array" aca="1" ref="L36" ca="1">IF(O23=C23,SUM(IF(($BR$52:$BR$60=C23)*($BS$51:$CA$51=O$25),$BS$52:$CA$60)),0)</f>
        <v>0</v>
      </c>
      <c r="M36" s="5">
        <f t="array" aca="1" ref="M36" ca="1">IF(P23=C23,SUM(IF(($BR$52:$BR$60=C23)*($BS$51:$CA$51=P$17),$BS$52:$CA$60)),0)</f>
        <v>0</v>
      </c>
      <c r="N36" s="3">
        <f t="array" aca="1" ref="N36" ca="1">IF(P23=C23,SUM(IF(($BR$52:$BR$60=C23)*($BS$51:$CA$51=P$18),$BS$52:$CA$60)),0)</f>
        <v>0</v>
      </c>
      <c r="O36" s="3">
        <f t="array" aca="1" ref="O36" ca="1">IF(P23=C23,SUM(IF(($BR$52:$BR$60=C23)*($BS$51:$CA$51=P$19),$BS$52:$CA$60)),0)</f>
        <v>0</v>
      </c>
      <c r="P36" s="3">
        <f t="array" aca="1" ref="P36" ca="1">IF(P23=C23,SUM(IF(($BR$52:$BR$60=C23)*($BS$51:$CA$51=P$20),$BS$52:$CA$60)),0)</f>
        <v>0</v>
      </c>
      <c r="Q36" s="3">
        <f t="array" aca="1" ref="Q36" ca="1">IF(P23=C23,SUM(IF(($BR$52:$BR$60=C23)*($BS$51:$CA$51=P$21),$BS$52:$CA$60)),0)</f>
        <v>0</v>
      </c>
      <c r="R36" s="3">
        <f t="array" aca="1" ref="R36" ca="1">IF(P23=C23,SUM(IF(($BR$52:$BR$60=C23)*($BS$51:$CA$51=P$22),$BS$52:$CA$60)),0)</f>
        <v>0</v>
      </c>
      <c r="S36" s="3">
        <f t="array" aca="1" ref="S36" ca="1">IF(P23=C23,SUM(IF(($BR$52:$BR$60=C23)*($BS$51:$CA$51=P$24),$BS$52:$CA$60)),0)</f>
        <v>0</v>
      </c>
      <c r="T36" s="3">
        <f t="array" aca="1" ref="T36" ca="1">IF(P23=C23,SUM(IF(($BR$52:$BR$60=C23)*($BS$51:$CA$51=P$25),$BS$52:$CA$60)),0)</f>
        <v>0</v>
      </c>
      <c r="U36" s="5">
        <f t="array" aca="1" ref="U36" ca="1">IF(Q23=C23,SUM(IF(($BR$52:$BR$60=C23)*($BS$51:$CA$51=Q$17),$BS$52:$CA$60)),0)</f>
        <v>0</v>
      </c>
      <c r="V36" s="3">
        <f t="array" aca="1" ref="V36" ca="1">IF(Q23=C23,SUM(IF(($BR$52:$BR$60=C23)*($BS$51:$CA$51=Q$18),$BS$52:$CA$60)),0)</f>
        <v>0</v>
      </c>
      <c r="W36" s="3">
        <f t="array" aca="1" ref="W36" ca="1">IF(Q23=C23,SUM(IF(($BR$52:$BR$60=C23)*($BS$51:$CA$51=Q$19),$BS$52:$CA$60)),0)</f>
        <v>0</v>
      </c>
      <c r="X36" s="3">
        <f t="array" aca="1" ref="X36" ca="1">IF(Q23=C23,SUM(IF(($BR$52:$BR$60=C23)*($BS$51:$CA$51=Q$20),$BS$52:$CA$60)),0)</f>
        <v>0</v>
      </c>
      <c r="Y36" s="3">
        <f t="array" aca="1" ref="Y36" ca="1">IF(Q23=C23,SUM(IF(($BR$52:$BR$60=C23)*($BS$51:$CA$51=Q$21),$BS$52:$CA$60)),0)</f>
        <v>0</v>
      </c>
      <c r="Z36" s="3">
        <f t="array" aca="1" ref="Z36" ca="1">IF(Q23=C23,SUM(IF(($BR$52:$BR$60=C23)*($BS$51:$CA$51=Q$22),$BS$52:$CA$60)),0)</f>
        <v>0</v>
      </c>
      <c r="AA36" s="3">
        <f t="array" aca="1" ref="AA36" ca="1">IF(Q23=C23,SUM(IF(($BR$52:$BR$60=C23)*($BS$51:$CA$51=Q$24),$BS$52:$CA$60)),0)</f>
        <v>0</v>
      </c>
      <c r="AB36" s="3">
        <f t="array" aca="1" ref="AB36" ca="1">IF(Q23=C23,SUM(IF(($BR$52:$BR$60=C23)*($BS$51:$CA$51=Q$25),$BS$52:$CA$60)),0)</f>
        <v>0</v>
      </c>
      <c r="AC36" s="5">
        <f t="array" aca="1" ref="AC36" ca="1">IF(R23=C23,SUM(IF(($BR$52:$BR$60=C23)*($BS$51:$CA$51=R$17),$BS$52:$CA$60)),0)</f>
        <v>0</v>
      </c>
      <c r="AD36" s="3">
        <f t="array" aca="1" ref="AD36" ca="1">IF(R23=C23,SUM(IF(($BR$52:$BR$60=C23)*($BS$51:$CA$51=R$18),$BS$52:$CA$60)),0)</f>
        <v>0</v>
      </c>
      <c r="AE36" s="3">
        <f t="array" aca="1" ref="AE36" ca="1">IF(R23=C23,SUM(IF(($BR$52:$BR$60=C23)*($BS$51:$CA$51=R$19),$BS$52:$CA$60)),0)</f>
        <v>0</v>
      </c>
      <c r="AF36" s="3">
        <f t="array" aca="1" ref="AF36" ca="1">IF(R23=C23,SUM(IF(($BR$52:$BR$60=C23)*($BS$51:$CA$51=R$20),$BS$52:$CA$60)),0)</f>
        <v>0</v>
      </c>
      <c r="AG36" s="3">
        <f t="array" aca="1" ref="AG36" ca="1">IF(R23=C23,SUM(IF(($BR$52:$BR$60=C23)*($BS$51:$CA$51=R$21),$BS$52:$CA$60)),0)</f>
        <v>0</v>
      </c>
      <c r="AH36" s="3">
        <f t="array" aca="1" ref="AH36" ca="1">IF(R23=C23,SUM(IF(($BR$52:$BR$60=C23)*($BS$51:$CA$51=R$22),$BS$52:$CA$60)),0)</f>
        <v>0</v>
      </c>
      <c r="AI36" s="3">
        <f t="array" aca="1" ref="AI36" ca="1">IF(R23=C23,SUM(IF(($BR$52:$BR$60=C23)*($BS$51:$CA$51=R$24),$BS$52:$CA$60)),0)</f>
        <v>0</v>
      </c>
      <c r="AJ36" s="3">
        <f t="array" aca="1" ref="AJ36" ca="1">IF(R23=C23,SUM(IF(($BR$52:$BR$60=C23)*($BS$51:$CA$51=R$25),$BS$52:$CA$60)),0)</f>
        <v>0</v>
      </c>
      <c r="AK36" s="5">
        <f t="array" aca="1" ref="AK36" ca="1">IF(S23=C23,SUM(IF(($BR$52:$BR$60=C23)*($BS$51:$CA$51=S$17),$BS$52:$CA$60)),0)</f>
        <v>0</v>
      </c>
      <c r="AL36" s="3">
        <f t="array" aca="1" ref="AL36" ca="1">IF(S23=C23,SUM(IF(($BR$52:$BR$60=C23)*($BS$51:$CA$51=S$18),$BS$52:$CA$60)),0)</f>
        <v>0</v>
      </c>
      <c r="AM36" s="3">
        <f t="array" aca="1" ref="AM36" ca="1">IF(S23=C23,SUM(IF(($BR$52:$BR$60=C23)*($BS$51:$CA$51=S$19),$BS$52:$CA$60)),0)</f>
        <v>0</v>
      </c>
      <c r="AN36" s="3">
        <f t="array" aca="1" ref="AN36" ca="1">IF(S23=C23,SUM(IF(($BR$52:$BR$60=C23)*($BS$51:$CA$51=S$20),$BS$52:$CA$60)),0)</f>
        <v>0</v>
      </c>
      <c r="AO36" s="3">
        <f t="array" aca="1" ref="AO36" ca="1">IF(S23=C23,SUM(IF(($BR$52:$BR$60=C23)*($BS$51:$CA$51=S$21),$BS$52:$CA$60)),0)</f>
        <v>0</v>
      </c>
      <c r="AP36" s="3">
        <f t="array" aca="1" ref="AP36" ca="1">IF(S23=C23,SUM(IF(($BR$52:$BR$60=C23)*($BS$51:$CA$51=S$22),$BS$52:$CA$60)),0)</f>
        <v>0</v>
      </c>
      <c r="AQ36" s="3">
        <f t="array" aca="1" ref="AQ36" ca="1">IF(S23=C23,SUM(IF(($BR$52:$BR$60=C23)*($BS$51:$CA$51=S$24),$BS$52:$CA$60)),0)</f>
        <v>0</v>
      </c>
      <c r="AR36" s="3">
        <f t="array" aca="1" ref="AR36" ca="1">IF(S23=C23,SUM(IF(($BR$52:$BR$60=C23)*($BS$51:$CA$51=S$25),$BS$52:$CA$60)),0)</f>
        <v>0</v>
      </c>
      <c r="AS36" s="5">
        <f t="array" aca="1" ref="AS36" ca="1">IF(T23=C23,SUM(IF(($BR$52:$BR$60=C23)*($BS$51:$CA$51=T$17),$BS$52:$CA$60)),0)</f>
        <v>0</v>
      </c>
      <c r="AT36" s="3">
        <f t="array" aca="1" ref="AT36" ca="1">IF(T23=C23,SUM(IF(($BR$52:$BR$60=C23)*($BS$51:$CA$51=T$18),$BS$52:$CA$60)),0)</f>
        <v>0</v>
      </c>
      <c r="AU36" s="3">
        <f t="array" aca="1" ref="AU36" ca="1">IF(T23=C23,SUM(IF(($BR$52:$BR$60=C23)*($BS$51:$CA$51=T$19),$BS$52:$CA$60)),0)</f>
        <v>0</v>
      </c>
      <c r="AV36" s="3">
        <f t="array" aca="1" ref="AV36" ca="1">IF(T23=C23,SUM(IF(($BR$52:$BR$60=C23)*($BS$51:$CA$51=T$20),$BS$52:$CA$60)),0)</f>
        <v>0</v>
      </c>
      <c r="AW36" s="3">
        <f t="array" aca="1" ref="AW36" ca="1">IF(T23=C23,SUM(IF(($BR$52:$BR$60=C23)*($BS$51:$CA$51=T$21),$BS$52:$CA$60)),0)</f>
        <v>0</v>
      </c>
      <c r="AX36" s="3">
        <f t="array" aca="1" ref="AX36" ca="1">IF(T23=C23,SUM(IF(($BR$52:$BR$60=C23)*($BS$51:$CA$51=T$22),$BS$52:$CA$60)),0)</f>
        <v>0</v>
      </c>
      <c r="AY36" s="3">
        <f t="array" aca="1" ref="AY36" ca="1">IF(T23=C23,SUM(IF(($BR$52:$BR$60=C23)*($BS$51:$CA$51=T$24),$BS$52:$CA$60)),0)</f>
        <v>0</v>
      </c>
      <c r="AZ36" s="3">
        <f t="array" aca="1" ref="AZ36" ca="1">IF(T23=C23,SUM(IF(($BR$52:$BR$60=C23)*($BS$51:$CA$51=T$25),$BS$52:$CA$60)),0)</f>
        <v>0</v>
      </c>
      <c r="BA36" s="5">
        <f t="array" aca="1" ref="BA36" ca="1">IF(U23=C23,SUM(IF(($BR$52:$BR$60=C23)*($BS$51:$CA$51=U$17),$BS$52:$CA$60)),0)</f>
        <v>0</v>
      </c>
      <c r="BB36" s="3">
        <f t="array" aca="1" ref="BB36" ca="1">IF(U23=C23,SUM(IF(($BR$52:$BR$60=C23)*($BS$51:$CA$51=U$18),$BS$52:$CA$60)),0)</f>
        <v>0</v>
      </c>
      <c r="BC36" s="3">
        <f t="array" aca="1" ref="BC36" ca="1">IF(U23=C23,SUM(IF(($BR$52:$BR$60=C23)*($BS$51:$CA$51=U$19),$BS$52:$CA$60)),0)</f>
        <v>0</v>
      </c>
      <c r="BD36" s="3">
        <f t="array" aca="1" ref="BD36" ca="1">IF(U23=C23,SUM(IF(($BR$52:$BR$60=C23)*($BS$51:$CA$51=U$20),$BS$52:$CA$60)),0)</f>
        <v>0</v>
      </c>
      <c r="BE36" s="3">
        <f t="array" aca="1" ref="BE36" ca="1">IF(U23=C23,SUM(IF(($BR$52:$BR$60=C23)*($BS$51:$CA$51=U$21),$BS$52:$CA$60)),0)</f>
        <v>0</v>
      </c>
      <c r="BF36" s="3">
        <f t="array" aca="1" ref="BF36" ca="1">IF(U23=C23,SUM(IF(($BR$52:$BR$60=C23)*($BS$51:$CA$51=U$22),$BS$52:$CA$60)),0)</f>
        <v>0</v>
      </c>
      <c r="BG36" s="3">
        <f t="array" aca="1" ref="BG36" ca="1">IF(U23=C23,SUM(IF(($BR$52:$BR$60=C23)*($BS$51:$CA$51=U$24),$BS$52:$CA$60)),0)</f>
        <v>0</v>
      </c>
      <c r="BH36" s="3">
        <f t="array" aca="1" ref="BH36" ca="1">IF(U23=C23,SUM(IF(($BR$52:$BR$60=C23)*($BS$51:$CA$51=U$25),$BS$52:$CA$60)),0)</f>
        <v>0</v>
      </c>
      <c r="BI36" s="5">
        <f t="array" aca="1" ref="BI36" ca="1">IF(V23=C23,SUM(IF(($BR$52:$BR$60=C23)*($BS$51:$CA$51=V$17),$BS$52:$CA$60)),0)</f>
        <v>0</v>
      </c>
      <c r="BJ36" s="3">
        <f t="array" aca="1" ref="BJ36" ca="1">IF(V23=C23,SUM(IF(($BR$52:$BR$60=C23)*($BS$51:$CA$51=V$18),$BS$52:$CA$60)),0)</f>
        <v>0</v>
      </c>
      <c r="BK36" s="3">
        <f t="array" aca="1" ref="BK36" ca="1">IF(V23=C23,SUM(IF(($BR$52:$BR$60=C23)*($BS$51:$CA$51=V$19),$BS$52:$CA$60)),0)</f>
        <v>0</v>
      </c>
      <c r="BL36" s="3">
        <f t="array" aca="1" ref="BL36" ca="1">IF(V23=C23,SUM(IF(($BR$52:$BR$60=C23)*($BS$51:$CA$51=V$20),$BS$52:$CA$60)),0)</f>
        <v>0</v>
      </c>
      <c r="BM36" s="3">
        <f t="array" aca="1" ref="BM36" ca="1">IF(V23=C23,SUM(IF(($BR$52:$BR$60=C23)*($BS$51:$CA$51=V$21),$BS$52:$CA$60)),0)</f>
        <v>0</v>
      </c>
      <c r="BN36" s="3">
        <f t="array" aca="1" ref="BN36" ca="1">IF(V23=C23,SUM(IF(($BR$52:$BR$60=C23)*($BS$51:$CA$51=V$22),$BS$52:$CA$60)),0)</f>
        <v>0</v>
      </c>
      <c r="BO36" s="3">
        <f t="array" aca="1" ref="BO36" ca="1">IF(V23=C23,SUM(IF(($BR$52:$BR$60=C23)*($BS$51:$CA$51=V$24),$BS$52:$CA$60)),0)</f>
        <v>0</v>
      </c>
      <c r="BP36" s="15">
        <f t="array" aca="1" ref="BP36" ca="1">IF(V23=C23,SUM(IF(($BR$52:$BR$60=C23)*($BS$51:$CA$51=V$25),$BS$52:$CA$60)),0)</f>
        <v>0</v>
      </c>
      <c r="BQ36" s="3"/>
      <c r="BR36" s="2" t="str">
        <f t="shared" si="34"/>
        <v/>
      </c>
      <c r="BS36" s="8">
        <f t="shared" ca="1" si="37"/>
        <v>0</v>
      </c>
      <c r="BT36" s="8">
        <f t="shared" ca="1" si="37"/>
        <v>0</v>
      </c>
      <c r="BU36" s="8">
        <f t="shared" ca="1" si="37"/>
        <v>0</v>
      </c>
      <c r="BV36" s="8">
        <f t="shared" ca="1" si="37"/>
        <v>0</v>
      </c>
      <c r="BW36" s="8">
        <f t="shared" ca="1" si="37"/>
        <v>0</v>
      </c>
      <c r="BX36" s="8">
        <f t="shared" ca="1" si="37"/>
        <v>0</v>
      </c>
      <c r="BY36" s="6"/>
      <c r="BZ36" s="7">
        <f t="shared" ca="1" si="35"/>
        <v>0</v>
      </c>
      <c r="CA36" s="7">
        <f t="shared" ca="1" si="35"/>
        <v>0</v>
      </c>
      <c r="CB36" s="3"/>
    </row>
    <row r="37" spans="2:80" s="2" customFormat="1" x14ac:dyDescent="0.2">
      <c r="C37" s="2" t="str">
        <f t="shared" si="36"/>
        <v/>
      </c>
      <c r="E37" s="14">
        <f t="array" aca="1" ref="E37" ca="1">IF(O24=C24,SUM(IF(($BR$52:$BR$60=C24)*($BS$51:$CA$51=O17),$BS$52:$CA$60)),0)</f>
        <v>0</v>
      </c>
      <c r="F37" s="3">
        <f t="array" aca="1" ref="F37" ca="1">IF(O24=C24,SUM(IF(($BR$52:$BR$60=C24)*($BS$51:$CA$51=O$18),$BS$52:$CA$60)),0)</f>
        <v>0</v>
      </c>
      <c r="G37" s="3">
        <f t="array" aca="1" ref="G37" ca="1">IF(O24=C24,SUM(IF(($BR$52:$BR$60=C24)*($BS$51:$CA$51=O$19),$BS$52:$CA$60)),0)</f>
        <v>0</v>
      </c>
      <c r="H37" s="3">
        <f t="array" aca="1" ref="H37" ca="1">IF(O24=C24,SUM(IF(($BR$52:$BR$60=C24)*($BS$51:$CA$51=O$20),$BS$52:$CA$60)),0)</f>
        <v>0</v>
      </c>
      <c r="I37" s="3">
        <f t="array" aca="1" ref="I37" ca="1">IF(O24=C24,SUM(IF(($BR$52:$BR$60=C24)*($BS$51:$CA$51=O$21),$BS$52:$CA$60)),0)</f>
        <v>0</v>
      </c>
      <c r="J37" s="3">
        <f t="array" aca="1" ref="J37" ca="1">IF(O24=C24,SUM(IF(($BR$52:$BR$60=C24)*($BS$51:$CA$51=O$22),$BS$52:$CA$60)),0)</f>
        <v>0</v>
      </c>
      <c r="K37" s="3">
        <f t="array" aca="1" ref="K37" ca="1">IF(O24=C24,SUM(IF(($BR$52:$BR$60=C24)*($BS$51:$CA$51=O$23),$BS$52:$CA$60)),0)</f>
        <v>0</v>
      </c>
      <c r="L37" s="3">
        <f t="array" aca="1" ref="L37" ca="1">IF(O24=C24,SUM(IF(($BR$52:$BR$60=C24)*($BS$51:$CA$51=O$25),$BS$52:$CA$60)),0)</f>
        <v>0</v>
      </c>
      <c r="M37" s="5">
        <f t="array" aca="1" ref="M37" ca="1">IF(P24=C24,SUM(IF(($BR$52:$BR$60=C24)*($BS$51:$CA$51=P$17),$BS$52:$CA$60)),0)</f>
        <v>0</v>
      </c>
      <c r="N37" s="3">
        <f t="array" aca="1" ref="N37" ca="1">IF(P24=C24,SUM(IF(($BR$52:$BR$60=C24)*($BS$51:$CA$51=P$18),$BS$52:$CA$60)),0)</f>
        <v>0</v>
      </c>
      <c r="O37" s="3">
        <f t="array" aca="1" ref="O37" ca="1">IF(P24=C24,SUM(IF(($BR$52:$BR$60=C24)*($BS$51:$CA$51=P$19),$BS$52:$CA$60)),0)</f>
        <v>0</v>
      </c>
      <c r="P37" s="3">
        <f t="array" aca="1" ref="P37" ca="1">IF(P24=C24,SUM(IF(($BR$52:$BR$60=C24)*($BS$51:$CA$51=P$20),$BS$52:$CA$60)),0)</f>
        <v>0</v>
      </c>
      <c r="Q37" s="3">
        <f t="array" aca="1" ref="Q37" ca="1">IF(P24=C24,SUM(IF(($BR$52:$BR$60=C24)*($BS$51:$CA$51=P$21),$BS$52:$CA$60)),0)</f>
        <v>0</v>
      </c>
      <c r="R37" s="3">
        <f t="array" aca="1" ref="R37" ca="1">IF(P24=C24,SUM(IF(($BR$52:$BR$60=C24)*($BS$51:$CA$51=P$22),$BS$52:$CA$60)),0)</f>
        <v>0</v>
      </c>
      <c r="S37" s="3">
        <f t="array" aca="1" ref="S37" ca="1">IF(P24=C24,SUM(IF(($BR$52:$BR$60=C24)*($BS$51:$CA$51=P$23),$BS$52:$CA$60)),0)</f>
        <v>0</v>
      </c>
      <c r="T37" s="3">
        <f t="array" aca="1" ref="T37" ca="1">IF(P24=C24,SUM(IF(($BR$52:$BR$60=C24)*($BS$51:$CA$51=P$25),$BS$52:$CA$60)),0)</f>
        <v>0</v>
      </c>
      <c r="U37" s="5">
        <f t="array" aca="1" ref="U37" ca="1">IF(Q24=C24,SUM(IF(($BR$52:$BR$60=C24)*($BS$51:$CA$51=Q$17),$BS$52:$CA$60)),0)</f>
        <v>0</v>
      </c>
      <c r="V37" s="3">
        <f t="array" aca="1" ref="V37" ca="1">IF(Q24=C24,SUM(IF(($BR$52:$BR$60=C24)*($BS$51:$CA$51=Q$18),$BS$52:$CA$60)),0)</f>
        <v>0</v>
      </c>
      <c r="W37" s="3">
        <f t="array" aca="1" ref="W37" ca="1">IF(Q24=C24,SUM(IF(($BR$52:$BR$60=C24)*($BS$51:$CA$51=Q$19),$BS$52:$CA$60)),0)</f>
        <v>0</v>
      </c>
      <c r="X37" s="3">
        <f t="array" aca="1" ref="X37" ca="1">IF(Q24=C24,SUM(IF(($BR$52:$BR$60=C24)*($BS$51:$CA$51=Q$20),$BS$52:$CA$60)),0)</f>
        <v>0</v>
      </c>
      <c r="Y37" s="3">
        <f t="array" aca="1" ref="Y37" ca="1">IF(Q24=C24,SUM(IF(($BR$52:$BR$60=C24)*($BS$51:$CA$51=Q$21),$BS$52:$CA$60)),0)</f>
        <v>0</v>
      </c>
      <c r="Z37" s="3">
        <f t="array" aca="1" ref="Z37" ca="1">IF(Q24=C24,SUM(IF(($BR$52:$BR$60=C24)*($BS$51:$CA$51=Q$22),$BS$52:$CA$60)),0)</f>
        <v>0</v>
      </c>
      <c r="AA37" s="3">
        <f t="array" aca="1" ref="AA37" ca="1">IF(Q24=C24,SUM(IF(($BR$52:$BR$60=C24)*($BS$51:$CA$51=Q$23),$BS$52:$CA$60)),0)</f>
        <v>0</v>
      </c>
      <c r="AB37" s="3">
        <f t="array" aca="1" ref="AB37" ca="1">IF(Q24=C24,SUM(IF(($BR$52:$BR$60=C24)*($BS$51:$CA$51=Q$25),$BS$52:$CA$60)),0)</f>
        <v>0</v>
      </c>
      <c r="AC37" s="5">
        <f t="array" aca="1" ref="AC37" ca="1">IF(R24=C24,SUM(IF(($BR$52:$BR$60=C24)*($BS$51:$CA$51=R$17),$BS$52:$CA$60)),0)</f>
        <v>0</v>
      </c>
      <c r="AD37" s="3">
        <f t="array" aca="1" ref="AD37" ca="1">IF(R24=C24,SUM(IF(($BR$52:$BR$60=C24)*($BS$51:$CA$51=R$18),$BS$52:$CA$60)),0)</f>
        <v>0</v>
      </c>
      <c r="AE37" s="3">
        <f t="array" aca="1" ref="AE37" ca="1">IF(R24=C24,SUM(IF(($BR$52:$BR$60=C24)*($BS$51:$CA$51=R$19),$BS$52:$CA$60)),0)</f>
        <v>0</v>
      </c>
      <c r="AF37" s="3">
        <f t="array" aca="1" ref="AF37" ca="1">IF(R24=C24,SUM(IF(($BR$52:$BR$60=C24)*($BS$51:$CA$51=R$20),$BS$52:$CA$60)),0)</f>
        <v>0</v>
      </c>
      <c r="AG37" s="3">
        <f t="array" aca="1" ref="AG37" ca="1">IF(R24=C24,SUM(IF(($BR$52:$BR$60=C24)*($BS$51:$CA$51=R$21),$BS$52:$CA$60)),0)</f>
        <v>0</v>
      </c>
      <c r="AH37" s="3">
        <f t="array" aca="1" ref="AH37" ca="1">IF(R24=C24,SUM(IF(($BR$52:$BR$60=C24)*($BS$51:$CA$51=R$22),$BS$52:$CA$60)),0)</f>
        <v>0</v>
      </c>
      <c r="AI37" s="3">
        <f t="array" aca="1" ref="AI37" ca="1">IF(R24=C24,SUM(IF(($BR$52:$BR$60=C24)*($BS$51:$CA$51=R$23),$BS$52:$CA$60)),0)</f>
        <v>0</v>
      </c>
      <c r="AJ37" s="3">
        <f t="array" aca="1" ref="AJ37" ca="1">IF(R24=C24,SUM(IF(($BR$52:$BR$60=C24)*($BS$51:$CA$51=R$25),$BS$52:$CA$60)),0)</f>
        <v>0</v>
      </c>
      <c r="AK37" s="5">
        <f t="array" aca="1" ref="AK37" ca="1">IF(S24=C24,SUM(IF(($BR$52:$BR$60=C24)*($BS$51:$CA$51=S$17),$BS$52:$CA$60)),0)</f>
        <v>0</v>
      </c>
      <c r="AL37" s="3">
        <f t="array" aca="1" ref="AL37" ca="1">IF(S24=C24,SUM(IF(($BR$52:$BR$60=C24)*($BS$51:$CA$51=S$18),$BS$52:$CA$60)),0)</f>
        <v>0</v>
      </c>
      <c r="AM37" s="3">
        <f t="array" aca="1" ref="AM37" ca="1">IF(S24=C24,SUM(IF(($BR$52:$BR$60=C24)*($BS$51:$CA$51=S$19),$BS$52:$CA$60)),0)</f>
        <v>0</v>
      </c>
      <c r="AN37" s="3">
        <f t="array" aca="1" ref="AN37" ca="1">IF(S24=C24,SUM(IF(($BR$52:$BR$60=C24)*($BS$51:$CA$51=S$20),$BS$52:$CA$60)),0)</f>
        <v>0</v>
      </c>
      <c r="AO37" s="3">
        <f t="array" aca="1" ref="AO37" ca="1">IF(S24=C24,SUM(IF(($BR$52:$BR$60=C24)*($BS$51:$CA$51=S$21),$BS$52:$CA$60)),0)</f>
        <v>0</v>
      </c>
      <c r="AP37" s="3">
        <f t="array" aca="1" ref="AP37" ca="1">IF(S24=C24,SUM(IF(($BR$52:$BR$60=C24)*($BS$51:$CA$51=S$22),$BS$52:$CA$60)),0)</f>
        <v>0</v>
      </c>
      <c r="AQ37" s="3">
        <f t="array" aca="1" ref="AQ37" ca="1">IF(S24=C24,SUM(IF(($BR$52:$BR$60=C24)*($BS$51:$CA$51=S$23),$BS$52:$CA$60)),0)</f>
        <v>0</v>
      </c>
      <c r="AR37" s="3">
        <f t="array" aca="1" ref="AR37" ca="1">IF(S24=C24,SUM(IF(($BR$52:$BR$60=C24)*($BS$51:$CA$51=S$25),$BS$52:$CA$60)),0)</f>
        <v>0</v>
      </c>
      <c r="AS37" s="5">
        <f t="array" aca="1" ref="AS37" ca="1">IF(T24=C24,SUM(IF(($BR$52:$BR$60=C24)*($BS$51:$CA$51=T$17),$BS$52:$CA$60)),0)</f>
        <v>0</v>
      </c>
      <c r="AT37" s="3">
        <f t="array" aca="1" ref="AT37" ca="1">IF(T24=C24,SUM(IF(($BR$52:$BR$60=C24)*($BS$51:$CA$51=T$18),$BS$52:$CA$60)),0)</f>
        <v>0</v>
      </c>
      <c r="AU37" s="3">
        <f t="array" aca="1" ref="AU37" ca="1">IF(T24=C24,SUM(IF(($BR$52:$BR$60=C24)*($BS$51:$CA$51=T$19),$BS$52:$CA$60)),0)</f>
        <v>0</v>
      </c>
      <c r="AV37" s="3">
        <f t="array" aca="1" ref="AV37" ca="1">IF(T24=C24,SUM(IF(($BR$52:$BR$60=C24)*($BS$51:$CA$51=T$20),$BS$52:$CA$60)),0)</f>
        <v>0</v>
      </c>
      <c r="AW37" s="3">
        <f t="array" aca="1" ref="AW37" ca="1">IF(T24=C24,SUM(IF(($BR$52:$BR$60=C24)*($BS$51:$CA$51=T$21),$BS$52:$CA$60)),0)</f>
        <v>0</v>
      </c>
      <c r="AX37" s="3">
        <f t="array" aca="1" ref="AX37" ca="1">IF(T24=C24,SUM(IF(($BR$52:$BR$60=C24)*($BS$51:$CA$51=T$22),$BS$52:$CA$60)),0)</f>
        <v>0</v>
      </c>
      <c r="AY37" s="3">
        <f t="array" aca="1" ref="AY37" ca="1">IF(T24=C24,SUM(IF(($BR$52:$BR$60=C24)*($BS$51:$CA$51=T$23),$BS$52:$CA$60)),0)</f>
        <v>0</v>
      </c>
      <c r="AZ37" s="3">
        <f t="array" aca="1" ref="AZ37" ca="1">IF(T24=C24,SUM(IF(($BR$52:$BR$60=C24)*($BS$51:$CA$51=T$25),$BS$52:$CA$60)),0)</f>
        <v>0</v>
      </c>
      <c r="BA37" s="5">
        <f t="array" aca="1" ref="BA37" ca="1">IF(U24=C24,SUM(IF(($BR$52:$BR$60=C24)*($BS$51:$CA$51=U$17),$BS$52:$CA$60)),0)</f>
        <v>0</v>
      </c>
      <c r="BB37" s="3">
        <f t="array" aca="1" ref="BB37" ca="1">IF(U24=C24,SUM(IF(($BR$52:$BR$60=C24)*($BS$51:$CA$51=U$18),$BS$52:$CA$60)),0)</f>
        <v>0</v>
      </c>
      <c r="BC37" s="3">
        <f t="array" aca="1" ref="BC37" ca="1">IF(U24=C24,SUM(IF(($BR$52:$BR$60=C24)*($BS$51:$CA$51=U$19),$BS$52:$CA$60)),0)</f>
        <v>0</v>
      </c>
      <c r="BD37" s="3">
        <f t="array" aca="1" ref="BD37" ca="1">IF(U24=C24,SUM(IF(($BR$52:$BR$60=C24)*($BS$51:$CA$51=U$20),$BS$52:$CA$60)),0)</f>
        <v>0</v>
      </c>
      <c r="BE37" s="3">
        <f t="array" aca="1" ref="BE37" ca="1">IF(U24=C24,SUM(IF(($BR$52:$BR$60=C24)*($BS$51:$CA$51=U$21),$BS$52:$CA$60)),0)</f>
        <v>0</v>
      </c>
      <c r="BF37" s="3">
        <f t="array" aca="1" ref="BF37" ca="1">IF(U24=C24,SUM(IF(($BR$52:$BR$60=C24)*($BS$51:$CA$51=U$22),$BS$52:$CA$60)),0)</f>
        <v>0</v>
      </c>
      <c r="BG37" s="3">
        <f t="array" aca="1" ref="BG37" ca="1">IF(U24=C24,SUM(IF(($BR$52:$BR$60=C24)*($BS$51:$CA$51=U$23),$BS$52:$CA$60)),0)</f>
        <v>0</v>
      </c>
      <c r="BH37" s="3">
        <f t="array" aca="1" ref="BH37" ca="1">IF(U24=C24,SUM(IF(($BR$52:$BR$60=C24)*($BS$51:$CA$51=U$25),$BS$52:$CA$60)),0)</f>
        <v>0</v>
      </c>
      <c r="BI37" s="5">
        <f t="array" aca="1" ref="BI37" ca="1">IF(V24=C24,SUM(IF(($BR$52:$BR$60=C24)*($BS$51:$CA$51=V$17),$BS$52:$CA$60)),0)</f>
        <v>0</v>
      </c>
      <c r="BJ37" s="3">
        <f t="array" aca="1" ref="BJ37" ca="1">IF(V24=C24,SUM(IF(($BR$52:$BR$60=C24)*($BS$51:$CA$51=V$18),$BS$52:$CA$60)),0)</f>
        <v>0</v>
      </c>
      <c r="BK37" s="3">
        <f t="array" aca="1" ref="BK37" ca="1">IF(V24=C24,SUM(IF(($BR$52:$BR$60=C24)*($BS$51:$CA$51=V$19),$BS$52:$CA$60)),0)</f>
        <v>0</v>
      </c>
      <c r="BL37" s="3">
        <f t="array" aca="1" ref="BL37" ca="1">IF(V24=C24,SUM(IF(($BR$52:$BR$60=C24)*($BS$51:$CA$51=V$20),$BS$52:$CA$60)),0)</f>
        <v>0</v>
      </c>
      <c r="BM37" s="3">
        <f t="array" aca="1" ref="BM37" ca="1">IF(V24=C24,SUM(IF(($BR$52:$BR$60=C24)*($BS$51:$CA$51=V$21),$BS$52:$CA$60)),0)</f>
        <v>0</v>
      </c>
      <c r="BN37" s="3">
        <f t="array" aca="1" ref="BN37" ca="1">IF(V24=C24,SUM(IF(($BR$52:$BR$60=C24)*($BS$51:$CA$51=V$22),$BS$52:$CA$60)),0)</f>
        <v>0</v>
      </c>
      <c r="BO37" s="3">
        <f t="array" aca="1" ref="BO37" ca="1">IF(V24=C24,SUM(IF(($BR$52:$BR$60=C24)*($BS$51:$CA$51=V$23),$BS$52:$CA$60)),0)</f>
        <v>0</v>
      </c>
      <c r="BP37" s="15">
        <f t="array" aca="1" ref="BP37" ca="1">IF(V24=C24,SUM(IF(($BR$52:$BR$60=C24)*($BS$51:$CA$51=V$25),$BS$52:$CA$60)),0)</f>
        <v>0</v>
      </c>
      <c r="BQ37" s="3"/>
      <c r="BR37" s="2" t="str">
        <f t="shared" si="34"/>
        <v/>
      </c>
      <c r="BS37" s="8">
        <f t="shared" ca="1" si="37"/>
        <v>0</v>
      </c>
      <c r="BT37" s="8">
        <f t="shared" ca="1" si="37"/>
        <v>0</v>
      </c>
      <c r="BU37" s="8">
        <f t="shared" ca="1" si="37"/>
        <v>0</v>
      </c>
      <c r="BV37" s="8">
        <f t="shared" ca="1" si="37"/>
        <v>0</v>
      </c>
      <c r="BW37" s="8">
        <f t="shared" ca="1" si="37"/>
        <v>0</v>
      </c>
      <c r="BX37" s="8">
        <f t="shared" ca="1" si="37"/>
        <v>0</v>
      </c>
      <c r="BY37" s="8">
        <f t="shared" ca="1" si="37"/>
        <v>0</v>
      </c>
      <c r="BZ37" s="6"/>
      <c r="CA37" s="7">
        <f t="shared" ca="1" si="35"/>
        <v>0</v>
      </c>
      <c r="CB37" s="3"/>
    </row>
    <row r="38" spans="2:80" s="2" customFormat="1" x14ac:dyDescent="0.2">
      <c r="C38" s="2" t="str">
        <f t="shared" si="36"/>
        <v/>
      </c>
      <c r="E38" s="14">
        <f t="array" aca="1" ref="E38" ca="1">IF(O25=C25,SUM(IF(($BR$52:$BR$60=C25)*($BS$51:$CA$51=O17),$BS$52:$CA$60)),0)</f>
        <v>0</v>
      </c>
      <c r="F38" s="3">
        <f t="array" aca="1" ref="F38" ca="1">IF(O25=C25,SUM(IF(($BR$52:$BR$60=C25)*($BS$51:$CA$51=O$18),$BS$52:$CA$60)),0)</f>
        <v>0</v>
      </c>
      <c r="G38" s="3">
        <f t="array" aca="1" ref="G38" ca="1">IF(O25=C25,SUM(IF(($BR$52:$BR$60=C25)*($BS$51:$CA$51=O$19),$BS$52:$CA$60)),0)</f>
        <v>0</v>
      </c>
      <c r="H38" s="3">
        <f t="array" aca="1" ref="H38" ca="1">IF(O25=C25,SUM(IF(($BR$52:$BR$60=C25)*($BS$51:$CA$51=O$20),$BS$52:$CA$60)),0)</f>
        <v>0</v>
      </c>
      <c r="I38" s="3">
        <f t="array" aca="1" ref="I38" ca="1">IF(O25=C25,SUM(IF(($BR$52:$BR$60=C25)*($BS$51:$CA$51=O$21),$BS$52:$CA$60)),0)</f>
        <v>0</v>
      </c>
      <c r="J38" s="3">
        <f t="array" aca="1" ref="J38" ca="1">IF(O25=C25,SUM(IF(($BR$52:$BR$60=C25)*($BS$51:$CA$51=O$22),$BS$52:$CA$60)),0)</f>
        <v>0</v>
      </c>
      <c r="K38" s="3">
        <f t="array" aca="1" ref="K38" ca="1">IF(O25=C25,SUM(IF(($BR$52:$BR$60=C25)*($BS$51:$CA$51=O$23),$BS$52:$CA$60)),0)</f>
        <v>0</v>
      </c>
      <c r="L38" s="3">
        <f t="array" aca="1" ref="L38" ca="1">IF(O25=C25,SUM(IF(($BR$52:$BR$60=C25)*($BS$51:$CA$51=O$24),$BS$52:$CA$60)),0)</f>
        <v>0</v>
      </c>
      <c r="M38" s="5">
        <f t="array" aca="1" ref="M38" ca="1">IF(P25=C25,SUM(IF(($BR$52:$BR$60=C25)*($BS$51:$CA$51=P$17),$BS$52:$CA$60)),0)</f>
        <v>0</v>
      </c>
      <c r="N38" s="3">
        <f t="array" aca="1" ref="N38" ca="1">IF(P25=C25,SUM(IF(($BR$52:$BR$60=C25)*($BS$51:$CA$51=P$18),$BS$52:$CA$60)),0)</f>
        <v>0</v>
      </c>
      <c r="O38" s="3">
        <f t="array" aca="1" ref="O38" ca="1">IF(P25=C25,SUM(IF(($BR$52:$BR$60=C25)*($BS$51:$CA$51=P$19),$BS$52:$CA$60)),0)</f>
        <v>0</v>
      </c>
      <c r="P38" s="3">
        <f t="array" aca="1" ref="P38" ca="1">IF(P25=C25,SUM(IF(($BR$52:$BR$60=C25)*($BS$51:$CA$51=P$20),$BS$52:$CA$60)),0)</f>
        <v>0</v>
      </c>
      <c r="Q38" s="3">
        <f t="array" aca="1" ref="Q38" ca="1">IF(P25=C25,SUM(IF(($BR$52:$BR$60=C25)*($BS$51:$CA$51=P$21),$BS$52:$CA$60)),0)</f>
        <v>0</v>
      </c>
      <c r="R38" s="3">
        <f t="array" aca="1" ref="R38" ca="1">IF(P25=C25,SUM(IF(($BR$52:$BR$60=C25)*($BS$51:$CA$51=P$22),$BS$52:$CA$60)),0)</f>
        <v>0</v>
      </c>
      <c r="S38" s="3">
        <f t="array" aca="1" ref="S38" ca="1">IF(P25=C25,SUM(IF(($BR$52:$BR$60=C25)*($BS$51:$CA$51=P$23),$BS$52:$CA$60)),0)</f>
        <v>0</v>
      </c>
      <c r="T38" s="3">
        <f t="array" aca="1" ref="T38" ca="1">IF(P25=C25,SUM(IF(($BR$52:$BR$60=C25)*($BS$51:$CA$51=P$24),$BS$52:$CA$60)),0)</f>
        <v>0</v>
      </c>
      <c r="U38" s="5">
        <f t="array" aca="1" ref="U38" ca="1">IF(Q25=C25,SUM(IF(($BR$52:$BR$60=C25)*($BS$51:$CA$51=Q$17),$BS$52:$CA$60)),0)</f>
        <v>0</v>
      </c>
      <c r="V38" s="3">
        <f t="array" aca="1" ref="V38" ca="1">IF(Q25=C25,SUM(IF(($BR$52:$BR$60=C25)*($BS$51:$CA$51=Q$18),$BS$52:$CA$60)),0)</f>
        <v>0</v>
      </c>
      <c r="W38" s="3">
        <f t="array" aca="1" ref="W38" ca="1">IF(Q25=C25,SUM(IF(($BR$52:$BR$60=C25)*($BS$51:$CA$51=Q$19),$BS$52:$CA$60)),0)</f>
        <v>0</v>
      </c>
      <c r="X38" s="3">
        <f t="array" aca="1" ref="X38" ca="1">IF(Q25=C25,SUM(IF(($BR$52:$BR$60=C25)*($BS$51:$CA$51=Q$20),$BS$52:$CA$60)),0)</f>
        <v>0</v>
      </c>
      <c r="Y38" s="3">
        <f t="array" aca="1" ref="Y38" ca="1">IF(Q25=C25,SUM(IF(($BR$52:$BR$60=C25)*($BS$51:$CA$51=Q$21),$BS$52:$CA$60)),0)</f>
        <v>0</v>
      </c>
      <c r="Z38" s="3">
        <f t="array" aca="1" ref="Z38" ca="1">IF(Q25=C25,SUM(IF(($BR$52:$BR$60=C25)*($BS$51:$CA$51=Q$22),$BS$52:$CA$60)),0)</f>
        <v>0</v>
      </c>
      <c r="AA38" s="3">
        <f t="array" aca="1" ref="AA38" ca="1">IF(Q25=C25,SUM(IF(($BR$52:$BR$60=C25)*($BS$51:$CA$51=Q$23),$BS$52:$CA$60)),0)</f>
        <v>0</v>
      </c>
      <c r="AB38" s="3">
        <f t="array" aca="1" ref="AB38" ca="1">IF(Q25=C25,SUM(IF(($BR$52:$BR$60=C25)*($BS$51:$CA$51=Q$24),$BS$52:$CA$60)),0)</f>
        <v>0</v>
      </c>
      <c r="AC38" s="5">
        <f t="array" aca="1" ref="AC38" ca="1">IF(R25=C25,SUM(IF(($BR$52:$BR$60=C25)*($BS$51:$CA$51=R$17),$BS$52:$CA$60)),0)</f>
        <v>0</v>
      </c>
      <c r="AD38" s="3">
        <f t="array" aca="1" ref="AD38" ca="1">IF(R25=C25,SUM(IF(($BR$52:$BR$60=C25)*($BS$51:$CA$51=R$18),$BS$52:$CA$60)),0)</f>
        <v>0</v>
      </c>
      <c r="AE38" s="3">
        <f t="array" aca="1" ref="AE38" ca="1">IF(R25=C25,SUM(IF(($BR$52:$BR$60=C25)*($BS$51:$CA$51=R$19),$BS$52:$CA$60)),0)</f>
        <v>0</v>
      </c>
      <c r="AF38" s="3">
        <f t="array" aca="1" ref="AF38" ca="1">IF(R25=C25,SUM(IF(($BR$52:$BR$60=C25)*($BS$51:$CA$51=R$20),$BS$52:$CA$60)),0)</f>
        <v>0</v>
      </c>
      <c r="AG38" s="3">
        <f t="array" aca="1" ref="AG38" ca="1">IF(R25=C25,SUM(IF(($BR$52:$BR$60=C25)*($BS$51:$CA$51=R$21),$BS$52:$CA$60)),0)</f>
        <v>0</v>
      </c>
      <c r="AH38" s="3">
        <f t="array" aca="1" ref="AH38" ca="1">IF(R25=C25,SUM(IF(($BR$52:$BR$60=C25)*($BS$51:$CA$51=R$22),$BS$52:$CA$60)),0)</f>
        <v>0</v>
      </c>
      <c r="AI38" s="3">
        <f t="array" aca="1" ref="AI38" ca="1">IF(R25=C25,SUM(IF(($BR$52:$BR$60=C25)*($BS$51:$CA$51=R$23),$BS$52:$CA$60)),0)</f>
        <v>0</v>
      </c>
      <c r="AJ38" s="3">
        <f t="array" aca="1" ref="AJ38" ca="1">IF(R25=C25,SUM(IF(($BR$52:$BR$60=C25)*($BS$51:$CA$51=R$24),$BS$52:$CA$60)),0)</f>
        <v>0</v>
      </c>
      <c r="AK38" s="5">
        <f t="array" aca="1" ref="AK38" ca="1">IF(S25=C25,SUM(IF(($BR$52:$BR$60=C25)*($BS$51:$CA$51=S$17),$BS$52:$CA$60)),0)</f>
        <v>0</v>
      </c>
      <c r="AL38" s="3">
        <f t="array" aca="1" ref="AL38" ca="1">IF(S25=C25,SUM(IF(($BR$52:$BR$60=C25)*($BS$51:$CA$51=S$18),$BS$52:$CA$60)),0)</f>
        <v>0</v>
      </c>
      <c r="AM38" s="3">
        <f t="array" aca="1" ref="AM38" ca="1">IF(S25=C25,SUM(IF(($BR$52:$BR$60=C25)*($BS$51:$CA$51=S$19),$BS$52:$CA$60)),0)</f>
        <v>0</v>
      </c>
      <c r="AN38" s="3">
        <f t="array" aca="1" ref="AN38" ca="1">IF(S25=C25,SUM(IF(($BR$52:$BR$60=C25)*($BS$51:$CA$51=S$20),$BS$52:$CA$60)),0)</f>
        <v>0</v>
      </c>
      <c r="AO38" s="3">
        <f t="array" aca="1" ref="AO38" ca="1">IF(S25=C25,SUM(IF(($BR$52:$BR$60=C25)*($BS$51:$CA$51=S$21),$BS$52:$CA$60)),0)</f>
        <v>0</v>
      </c>
      <c r="AP38" s="3">
        <f t="array" aca="1" ref="AP38" ca="1">IF(S25=C25,SUM(IF(($BR$52:$BR$60=C25)*($BS$51:$CA$51=S$22),$BS$52:$CA$60)),0)</f>
        <v>0</v>
      </c>
      <c r="AQ38" s="3">
        <f t="array" aca="1" ref="AQ38" ca="1">IF(S25=C25,SUM(IF(($BR$52:$BR$60=C25)*($BS$51:$CA$51=S$23),$BS$52:$CA$60)),0)</f>
        <v>0</v>
      </c>
      <c r="AR38" s="3">
        <f t="array" aca="1" ref="AR38" ca="1">IF(S25=C25,SUM(IF(($BR$52:$BR$60=C25)*($BS$51:$CA$51=S$24),$BS$52:$CA$60)),0)</f>
        <v>0</v>
      </c>
      <c r="AS38" s="5">
        <f t="array" aca="1" ref="AS38" ca="1">IF(T25=C25,SUM(IF(($BR$52:$BR$60=C25)*($BS$51:$CA$51=T$17),$BS$52:$CA$60)),0)</f>
        <v>0</v>
      </c>
      <c r="AT38" s="3">
        <f t="array" aca="1" ref="AT38" ca="1">IF(T25=C25,SUM(IF(($BR$52:$BR$60=C25)*($BS$51:$CA$51=T$18),$BS$52:$CA$60)),0)</f>
        <v>0</v>
      </c>
      <c r="AU38" s="3">
        <f t="array" aca="1" ref="AU38" ca="1">IF(T25=C25,SUM(IF(($BR$52:$BR$60=C25)*($BS$51:$CA$51=T$19),$BS$52:$CA$60)),0)</f>
        <v>0</v>
      </c>
      <c r="AV38" s="3">
        <f t="array" aca="1" ref="AV38" ca="1">IF(T25=C25,SUM(IF(($BR$52:$BR$60=C25)*($BS$51:$CA$51=T$20),$BS$52:$CA$60)),0)</f>
        <v>0</v>
      </c>
      <c r="AW38" s="3">
        <f t="array" aca="1" ref="AW38" ca="1">IF(T25=C25,SUM(IF(($BR$52:$BR$60=C25)*($BS$51:$CA$51=T$21),$BS$52:$CA$60)),0)</f>
        <v>0</v>
      </c>
      <c r="AX38" s="3">
        <f t="array" aca="1" ref="AX38" ca="1">IF(T25=C25,SUM(IF(($BR$52:$BR$60=C25)*($BS$51:$CA$51=T$22),$BS$52:$CA$60)),0)</f>
        <v>0</v>
      </c>
      <c r="AY38" s="3">
        <f t="array" aca="1" ref="AY38" ca="1">IF(T25=C25,SUM(IF(($BR$52:$BR$60=C25)*($BS$51:$CA$51=T$23),$BS$52:$CA$60)),0)</f>
        <v>0</v>
      </c>
      <c r="AZ38" s="3">
        <f t="array" aca="1" ref="AZ38" ca="1">IF(T25=C25,SUM(IF(($BR$52:$BR$60=C25)*($BS$51:$CA$51=T$24),$BS$52:$CA$60)),0)</f>
        <v>0</v>
      </c>
      <c r="BA38" s="5">
        <f t="array" aca="1" ref="BA38" ca="1">IF(U25=C25,SUM(IF(($BR$52:$BR$60=C25)*($BS$51:$CA$51=U$17),$BS$52:$CA$60)),0)</f>
        <v>0</v>
      </c>
      <c r="BB38" s="3">
        <f t="array" aca="1" ref="BB38" ca="1">IF(U25=C25,SUM(IF(($BR$52:$BR$60=C25)*($BS$51:$CA$51=U$18),$BS$52:$CA$60)),0)</f>
        <v>0</v>
      </c>
      <c r="BC38" s="3">
        <f t="array" aca="1" ref="BC38" ca="1">IF(U25=C25,SUM(IF(($BR$52:$BR$60=C25)*($BS$51:$CA$51=U$19),$BS$52:$CA$60)),0)</f>
        <v>0</v>
      </c>
      <c r="BD38" s="3">
        <f t="array" aca="1" ref="BD38" ca="1">IF(U25=C25,SUM(IF(($BR$52:$BR$60=C25)*($BS$51:$CA$51=U$20),$BS$52:$CA$60)),0)</f>
        <v>0</v>
      </c>
      <c r="BE38" s="3">
        <f t="array" aca="1" ref="BE38" ca="1">IF(U25=C25,SUM(IF(($BR$52:$BR$60=C25)*($BS$51:$CA$51=U$21),$BS$52:$CA$60)),0)</f>
        <v>0</v>
      </c>
      <c r="BF38" s="3">
        <f t="array" aca="1" ref="BF38" ca="1">IF(U25=C25,SUM(IF(($BR$52:$BR$60=C25)*($BS$51:$CA$51=U$22),$BS$52:$CA$60)),0)</f>
        <v>0</v>
      </c>
      <c r="BG38" s="3">
        <f t="array" aca="1" ref="BG38" ca="1">IF(U25=C25,SUM(IF(($BR$52:$BR$60=C25)*($BS$51:$CA$51=U$23),$BS$52:$CA$60)),0)</f>
        <v>0</v>
      </c>
      <c r="BH38" s="3">
        <f t="array" aca="1" ref="BH38" ca="1">IF(U25=C25,SUM(IF(($BR$52:$BR$60=C25)*($BS$51:$CA$51=U$24),$BS$52:$CA$60)),0)</f>
        <v>0</v>
      </c>
      <c r="BI38" s="5">
        <f t="array" aca="1" ref="BI38" ca="1">IF(V25=C25,SUM(IF(($BR$52:$BR$60=C25)*($BS$51:$CA$51=V$17),$BS$52:$CA$60)),0)</f>
        <v>0</v>
      </c>
      <c r="BJ38" s="3">
        <f t="array" aca="1" ref="BJ38" ca="1">IF(V25=C25,SUM(IF(($BR$52:$BR$60=C25)*($BS$51:$CA$51=V$18),$BS$52:$CA$60)),0)</f>
        <v>0</v>
      </c>
      <c r="BK38" s="3">
        <f t="array" aca="1" ref="BK38" ca="1">IF(V25=C25,SUM(IF(($BR$52:$BR$60=C25)*($BS$51:$CA$51=V$19),$BS$52:$CA$60)),0)</f>
        <v>0</v>
      </c>
      <c r="BL38" s="3">
        <f t="array" aca="1" ref="BL38" ca="1">IF(V25=C25,SUM(IF(($BR$52:$BR$60=C25)*($BS$51:$CA$51=V$20),$BS$52:$CA$60)),0)</f>
        <v>0</v>
      </c>
      <c r="BM38" s="3">
        <f t="array" aca="1" ref="BM38" ca="1">IF(V25=C25,SUM(IF(($BR$52:$BR$60=C25)*($BS$51:$CA$51=V$21),$BS$52:$CA$60)),0)</f>
        <v>0</v>
      </c>
      <c r="BN38" s="3">
        <f t="array" aca="1" ref="BN38" ca="1">IF(V25=C25,SUM(IF(($BR$52:$BR$60=C25)*($BS$51:$CA$51=V$22),$BS$52:$CA$60)),0)</f>
        <v>0</v>
      </c>
      <c r="BO38" s="3">
        <f t="array" aca="1" ref="BO38" ca="1">IF(V25=C25,SUM(IF(($BR$52:$BR$60=C25)*($BS$51:$CA$51=V$23),$BS$52:$CA$60)),0)</f>
        <v>0</v>
      </c>
      <c r="BP38" s="15">
        <f t="array" aca="1" ref="BP38" ca="1">IF(V25=C25,SUM(IF(($BR$52:$BR$60=C25)*($BS$51:$CA$51=V$24),$BS$52:$CA$60)),0)</f>
        <v>0</v>
      </c>
      <c r="BQ38" s="3"/>
      <c r="BR38" s="2" t="str">
        <f t="shared" si="34"/>
        <v/>
      </c>
      <c r="BS38" s="8">
        <f t="shared" ca="1" si="37"/>
        <v>0</v>
      </c>
      <c r="BT38" s="8">
        <f t="shared" ca="1" si="37"/>
        <v>0</v>
      </c>
      <c r="BU38" s="8">
        <f t="shared" ca="1" si="37"/>
        <v>0</v>
      </c>
      <c r="BV38" s="8">
        <f t="shared" ca="1" si="37"/>
        <v>0</v>
      </c>
      <c r="BW38" s="8">
        <f t="shared" ca="1" si="37"/>
        <v>0</v>
      </c>
      <c r="BX38" s="8">
        <f t="shared" ca="1" si="37"/>
        <v>0</v>
      </c>
      <c r="BY38" s="8">
        <f t="shared" ca="1" si="37"/>
        <v>0</v>
      </c>
      <c r="BZ38" s="8">
        <f ca="1">SUMIFS($X$64:$X$135,$V$64:$V$135,$BR38,$W$64:$W$135,BZ$29)+SUMIFS($Y$64:$Y$135,$W$64:$W$135,$BR38,$V$64:$V$135,BZ$29)+SUMIFS($AG$64:$AG$135,$V$64:$V$135,$BR38,$W$64:$W$135,BZ$29)+SUMIFS($AH$64:$AH$135,$W$64:$W$135,$BR38,$V$64:$V$135,BZ$29)</f>
        <v>0</v>
      </c>
      <c r="CA38" s="6"/>
      <c r="CB38" s="3"/>
    </row>
    <row r="39" spans="2:80" s="2" customFormat="1" x14ac:dyDescent="0.2">
      <c r="E39" s="14"/>
      <c r="F39" s="3"/>
      <c r="G39" s="3"/>
      <c r="H39" s="3"/>
      <c r="I39" s="3"/>
      <c r="J39" s="3"/>
      <c r="K39" s="3"/>
      <c r="L39" s="3"/>
      <c r="M39" s="5"/>
      <c r="N39" s="3"/>
      <c r="O39" s="3"/>
      <c r="P39" s="3"/>
      <c r="Q39" s="3"/>
      <c r="R39" s="3"/>
      <c r="S39" s="3"/>
      <c r="T39" s="3"/>
      <c r="U39" s="5"/>
      <c r="V39" s="3"/>
      <c r="W39" s="3"/>
      <c r="X39" s="3"/>
      <c r="Y39" s="3"/>
      <c r="Z39" s="3"/>
      <c r="AA39" s="3"/>
      <c r="AB39" s="3"/>
      <c r="AC39" s="5"/>
      <c r="AD39" s="3"/>
      <c r="AE39" s="3"/>
      <c r="AF39" s="3"/>
      <c r="AG39" s="3"/>
      <c r="AH39" s="3"/>
      <c r="AI39" s="3"/>
      <c r="AJ39" s="3"/>
      <c r="AK39" s="5"/>
      <c r="AL39" s="3"/>
      <c r="AM39" s="3"/>
      <c r="AN39" s="3"/>
      <c r="AO39" s="3"/>
      <c r="AP39" s="3"/>
      <c r="AQ39" s="3"/>
      <c r="AR39" s="3"/>
      <c r="AS39" s="5"/>
      <c r="AT39" s="3"/>
      <c r="AU39" s="3"/>
      <c r="AV39" s="3"/>
      <c r="AW39" s="3"/>
      <c r="AX39" s="3"/>
      <c r="AY39" s="3"/>
      <c r="AZ39" s="3"/>
      <c r="BA39" s="5"/>
      <c r="BB39" s="3"/>
      <c r="BC39" s="3"/>
      <c r="BD39" s="3"/>
      <c r="BE39" s="3"/>
      <c r="BF39" s="3"/>
      <c r="BG39" s="3"/>
      <c r="BH39" s="3"/>
      <c r="BI39" s="5"/>
      <c r="BJ39" s="3"/>
      <c r="BK39" s="3"/>
      <c r="BL39" s="3"/>
      <c r="BM39" s="3"/>
      <c r="BN39" s="3"/>
      <c r="BO39" s="3"/>
      <c r="BP39" s="15"/>
      <c r="BQ39" s="3"/>
      <c r="CB39" s="3"/>
    </row>
    <row r="40" spans="2:80" s="2" customFormat="1" x14ac:dyDescent="0.2">
      <c r="E40" s="14"/>
      <c r="F40" s="3"/>
      <c r="G40" s="3"/>
      <c r="H40" s="3"/>
      <c r="I40" s="3"/>
      <c r="J40" s="3"/>
      <c r="K40" s="3"/>
      <c r="L40" s="3"/>
      <c r="M40" s="5"/>
      <c r="N40" s="3"/>
      <c r="O40" s="3"/>
      <c r="P40" s="3"/>
      <c r="Q40" s="3"/>
      <c r="R40" s="3"/>
      <c r="S40" s="3"/>
      <c r="T40" s="3"/>
      <c r="U40" s="5"/>
      <c r="V40" s="3"/>
      <c r="W40" s="3"/>
      <c r="X40" s="3"/>
      <c r="Y40" s="3"/>
      <c r="Z40" s="3"/>
      <c r="AA40" s="3"/>
      <c r="AB40" s="3"/>
      <c r="AC40" s="5"/>
      <c r="AD40" s="3"/>
      <c r="AE40" s="3"/>
      <c r="AF40" s="3"/>
      <c r="AG40" s="3"/>
      <c r="AH40" s="3"/>
      <c r="AI40" s="3"/>
      <c r="AJ40" s="3"/>
      <c r="AK40" s="5"/>
      <c r="AL40" s="3"/>
      <c r="AM40" s="3"/>
      <c r="AN40" s="3"/>
      <c r="AO40" s="3"/>
      <c r="AP40" s="3"/>
      <c r="AQ40" s="3"/>
      <c r="AR40" s="3"/>
      <c r="AS40" s="5"/>
      <c r="AT40" s="3"/>
      <c r="AU40" s="3"/>
      <c r="AV40" s="3"/>
      <c r="AW40" s="3"/>
      <c r="AX40" s="3"/>
      <c r="AY40" s="3"/>
      <c r="AZ40" s="3"/>
      <c r="BA40" s="5"/>
      <c r="BB40" s="3"/>
      <c r="BC40" s="3"/>
      <c r="BD40" s="3"/>
      <c r="BE40" s="3"/>
      <c r="BF40" s="3"/>
      <c r="BG40" s="3"/>
      <c r="BH40" s="3"/>
      <c r="BI40" s="5"/>
      <c r="BJ40" s="3"/>
      <c r="BK40" s="3"/>
      <c r="BL40" s="3"/>
      <c r="BM40" s="3"/>
      <c r="BN40" s="3"/>
      <c r="BO40" s="3"/>
      <c r="BP40" s="15"/>
      <c r="BQ40" s="3"/>
      <c r="BR40" s="4" t="s">
        <v>102</v>
      </c>
      <c r="BS40" s="2" t="str">
        <f ca="1">$F$4</f>
        <v/>
      </c>
      <c r="BT40" s="2" t="str">
        <f ca="1">$F$5</f>
        <v/>
      </c>
      <c r="BU40" s="2" t="str">
        <f>$F$6</f>
        <v/>
      </c>
      <c r="BV40" s="2" t="str">
        <f>$F$7</f>
        <v/>
      </c>
      <c r="BW40" s="2" t="str">
        <f>$F$8</f>
        <v/>
      </c>
      <c r="BX40" s="2" t="str">
        <f>$F$9</f>
        <v/>
      </c>
      <c r="BY40" s="2" t="str">
        <f>$F$10</f>
        <v/>
      </c>
      <c r="BZ40" s="2" t="str">
        <f>$F$11</f>
        <v/>
      </c>
      <c r="CA40" s="2" t="str">
        <f>$F$12</f>
        <v/>
      </c>
      <c r="CB40" s="3"/>
    </row>
    <row r="41" spans="2:80" s="2" customFormat="1" x14ac:dyDescent="0.2">
      <c r="B41" s="2" t="s">
        <v>100</v>
      </c>
      <c r="E41" s="14">
        <f t="array" aca="1" ref="E41" ca="1">IF(O17=C17,SUM(IF(($BR$41:$BR$49=C17)*($BS$40:$CA$40=O18),$BS$41:$CA$49)),0)</f>
        <v>0</v>
      </c>
      <c r="F41" s="3">
        <f t="array" aca="1" ref="F41" ca="1">IF(O17=C17,SUM(IF(($BR$41:$BR$49=C17)*($BS$40:$CA$40=O19),$BS$41:$CA$49)),0)</f>
        <v>0</v>
      </c>
      <c r="G41" s="3">
        <f t="array" aca="1" ref="G41" ca="1">IF(O17=C17,SUM(IF(($BR$41:$BR$49=C17)*($BS$40:$CA$40=O20),$BS$41:$CA$49)),0)</f>
        <v>0</v>
      </c>
      <c r="H41" s="3">
        <f t="array" aca="1" ref="H41" ca="1">IF(O17=C17,SUM(IF(($BR$41:$BR$49=C17)*($BS$40:$CA$40=O21),$BS$41:$CA$49)),0)</f>
        <v>0</v>
      </c>
      <c r="I41" s="3">
        <f t="array" aca="1" ref="I41" ca="1">IF(O17=C17,SUM(IF(($BR$41:$BR$49=C17)*($BS$40:$CA$40=O22),$BS$41:$CA$49)),0)</f>
        <v>0</v>
      </c>
      <c r="J41" s="3">
        <f t="array" aca="1" ref="J41" ca="1">IF(O17=C17,SUM(IF(($BR$41:$BR$49=C17)*($BS$40:$CA$40=O23),$BS$41:$CA$49)),0)</f>
        <v>0</v>
      </c>
      <c r="K41" s="3">
        <f t="array" aca="1" ref="K41" ca="1">IF(O17=C17,SUM(IF(($BR$41:$BR$49=C17)*($BS$40:$CA$40=O$24),$BS$41:$CA$49)),0)</f>
        <v>0</v>
      </c>
      <c r="L41" s="3">
        <f t="array" aca="1" ref="L41" ca="1">IF(O17=C17,SUM(IF(($BR$41:$BR$49=C17)*($BS$40:$CA$40=O$25),$BS$41:$CA$49)),0)</f>
        <v>0</v>
      </c>
      <c r="M41" s="5">
        <f t="array" aca="1" ref="M41" ca="1">IF(P17=C17,SUM(IF(($BR$41:$BR$49=C17)*($BS$40:$CA$40=P18),$BS$41:$CA$49)),0)</f>
        <v>0</v>
      </c>
      <c r="N41" s="3">
        <f t="array" aca="1" ref="N41" ca="1">IF(P17=C17,SUM(IF(($BR$41:$BR$49=C17)*($BS$40:$CA$40=P19),$BS$41:$CA$49)),0)</f>
        <v>0</v>
      </c>
      <c r="O41" s="3">
        <f t="array" aca="1" ref="O41" ca="1">IF(P17=C17,SUM(IF(($BR$41:$BR$49=C17)*($BS$40:$CA$40=P20),$BS$41:$CA$49)),0)</f>
        <v>0</v>
      </c>
      <c r="P41" s="3">
        <f t="array" aca="1" ref="P41" ca="1">IF(P17=C17,SUM(IF(($BR$41:$BR$49=C17)*($BS$40:$CA$40=P21),$BS$41:$CA$49)),0)</f>
        <v>0</v>
      </c>
      <c r="Q41" s="3">
        <f t="array" aca="1" ref="Q41" ca="1">IF(P17=C17,SUM(IF(($BR$41:$BR$49=C17)*($BS$40:$CA$40=P22),$BS$41:$CA$49)),0)</f>
        <v>0</v>
      </c>
      <c r="R41" s="3">
        <f t="array" aca="1" ref="R41" ca="1">IF(P17=C17,SUM(IF(($BR$41:$BR$49=C17)*($BS$40:$CA$40=P23),$BS$41:$CA$49)),0)</f>
        <v>0</v>
      </c>
      <c r="S41" s="3">
        <f t="array" aca="1" ref="S41" ca="1">IF(P17=C17,SUM(IF(($BR$41:$BR$49=C17)*($BS$40:$CA$40=P$24),$BS$41:$CA$49)),0)</f>
        <v>0</v>
      </c>
      <c r="T41" s="3">
        <f t="array" aca="1" ref="T41" ca="1">IF(P17=C17,SUM(IF(($BR$41:$BR$49=C17)*($BS$40:$CA$40=P$25),$BS$41:$CA$49)),0)</f>
        <v>0</v>
      </c>
      <c r="U41" s="5">
        <f t="array" aca="1" ref="U41" ca="1">IF(Q17=C17,SUM(IF(($BR$41:$BR$49=C17)*($BS$40:$CA$40=Q18),$BS$41:$CA$49)),0)</f>
        <v>0</v>
      </c>
      <c r="V41" s="3">
        <f t="array" aca="1" ref="V41" ca="1">IF(Q17=C17,SUM(IF(($BR$41:$BR$49=C17)*($BS$40:$CA$40=Q19),$BS$41:$CA$49)),0)</f>
        <v>0</v>
      </c>
      <c r="W41" s="3">
        <f t="array" aca="1" ref="W41" ca="1">IF(Q17=C17,SUM(IF(($BR$41:$BR$49=C17)*($BS$40:$CA$40=Q20),$BS$41:$CA$49)),0)</f>
        <v>0</v>
      </c>
      <c r="X41" s="3">
        <f t="array" aca="1" ref="X41" ca="1">IF(Q17=C17,SUM(IF(($BR$41:$BR$49=C17)*($BS$40:$CA$40=Q21),$BS$41:$CA$49)),0)</f>
        <v>0</v>
      </c>
      <c r="Y41" s="3">
        <f t="array" aca="1" ref="Y41" ca="1">IF(Q17=C17,SUM(IF(($BR$41:$BR$49=C17)*($BS$40:$CA$40=Q22),$BS$41:$CA$49)),0)</f>
        <v>0</v>
      </c>
      <c r="Z41" s="3">
        <f t="array" aca="1" ref="Z41" ca="1">IF(Q17=C17,SUM(IF(($BR$41:$BR$49=C17)*($BS$40:$CA$40=Q23),$BS$41:$CA$49)),0)</f>
        <v>0</v>
      </c>
      <c r="AA41" s="3">
        <f t="array" aca="1" ref="AA41" ca="1">IF(Q17=C17,SUM(IF(($BR$41:$BR$49=C17)*($BS$40:$CA$40=Q$24),$BS$41:$CA$49)),0)</f>
        <v>0</v>
      </c>
      <c r="AB41" s="3">
        <f t="array" aca="1" ref="AB41" ca="1">IF(Q17=C17,SUM(IF(($BR$41:$BR$49=C17)*($BS$40:$CA$40=Q$25),$BS$41:$CA$49)),0)</f>
        <v>0</v>
      </c>
      <c r="AC41" s="5">
        <f t="array" aca="1" ref="AC41" ca="1">IF(R17=C17,SUM(IF(($BR$41:$BR$49=C17)*($BS$40:$CA$40=R18),$BS$41:$CA$49)),0)</f>
        <v>0</v>
      </c>
      <c r="AD41" s="3">
        <f t="array" aca="1" ref="AD41" ca="1">IF(R17=C17,SUM(IF(($BR$41:$BR$49=C17)*($BS$40:$CA$40=R19),$BS$41:$CA$49)),0)</f>
        <v>0</v>
      </c>
      <c r="AE41" s="3">
        <f t="array" aca="1" ref="AE41" ca="1">IF(R17=C17,SUM(IF(($BR$41:$BR$49=C17)*($BS$40:$CA$40=R20),$BS$41:$CA$49)),0)</f>
        <v>0</v>
      </c>
      <c r="AF41" s="3">
        <f t="array" aca="1" ref="AF41" ca="1">IF(R17=C17,SUM(IF(($BR$41:$BR$49=C17)*($BS$40:$CA$40=R21),$BS$41:$CA$49)),0)</f>
        <v>0</v>
      </c>
      <c r="AG41" s="3">
        <f t="array" aca="1" ref="AG41" ca="1">IF(R17=C17,SUM(IF(($BR$41:$BR$49=C17)*($BS$40:$CA$40=R22),$BS$41:$CA$49)),0)</f>
        <v>0</v>
      </c>
      <c r="AH41" s="3">
        <f t="array" aca="1" ref="AH41" ca="1">IF(R17=C17,SUM(IF(($BR$41:$BR$49=C17)*($BS$40:$CA$40=R23),$BS$41:$CA$49)),0)</f>
        <v>0</v>
      </c>
      <c r="AI41" s="3">
        <f t="array" aca="1" ref="AI41" ca="1">IF(R17=C17,SUM(IF(($BR$41:$BR$49=C17)*($BS$40:$CA$40=R$24),$BS$41:$CA$49)),0)</f>
        <v>0</v>
      </c>
      <c r="AJ41" s="3">
        <f t="array" aca="1" ref="AJ41" ca="1">IF(R17=C17,SUM(IF(($BR$41:$BR$49=C17)*($BS$40:$CA$40=R$25),$BS$41:$CA$49)),0)</f>
        <v>0</v>
      </c>
      <c r="AK41" s="5">
        <f t="array" aca="1" ref="AK41" ca="1">IF(S17=C17,SUM(IF(($BR$41:$BR$49=C17)*($BS$40:$CA$40=S18),$BS$41:$CA$49)),0)</f>
        <v>0</v>
      </c>
      <c r="AL41" s="3">
        <f t="array" aca="1" ref="AL41" ca="1">IF(S17=C17,SUM(IF(($BR$41:$BR$49=C17)*($BS$40:$CA$40=S19),$BS$41:$CA$49)),0)</f>
        <v>0</v>
      </c>
      <c r="AM41" s="3">
        <f t="array" aca="1" ref="AM41" ca="1">IF(S17=C17,SUM(IF(($BR$41:$BR$49=C17)*($BS$40:$CA$40=S20),$BS$41:$CA$49)),0)</f>
        <v>0</v>
      </c>
      <c r="AN41" s="3">
        <f t="array" aca="1" ref="AN41" ca="1">IF(S17=C17,SUM(IF(($BR$41:$BR$49=C17)*($BS$40:$CA$40=S21),$BS$41:$CA$49)),0)</f>
        <v>0</v>
      </c>
      <c r="AO41" s="3">
        <f t="array" aca="1" ref="AO41" ca="1">IF(S17=C17,SUM(IF(($BR$41:$BR$49=C17)*($BS$40:$CA$40=S22),$BS$41:$CA$49)),0)</f>
        <v>0</v>
      </c>
      <c r="AP41" s="3">
        <f t="array" aca="1" ref="AP41" ca="1">IF(S17=C17,SUM(IF(($BR$41:$BR$49=C17)*($BS$40:$CA$40=S23),$BS$41:$CA$49)),0)</f>
        <v>0</v>
      </c>
      <c r="AQ41" s="3">
        <f t="array" aca="1" ref="AQ41" ca="1">IF(S17=C17,SUM(IF(($BR$41:$BR$49=C17)*($BS$40:$CA$40=S$24),$BS$41:$CA$49)),0)</f>
        <v>0</v>
      </c>
      <c r="AR41" s="3">
        <f t="array" aca="1" ref="AR41" ca="1">IF(S17=C17,SUM(IF(($BR$41:$BR$49=C17)*($BS$40:$CA$40=S$25),$BS$41:$CA$49)),0)</f>
        <v>0</v>
      </c>
      <c r="AS41" s="5">
        <f t="array" aca="1" ref="AS41" ca="1">IF(T17=C17,SUM(IF(($BR$41:$BR$49=C17)*($BS$40:$CA$40=T18),$BS$41:$CA$49)),0)</f>
        <v>0</v>
      </c>
      <c r="AT41" s="3">
        <f t="array" aca="1" ref="AT41" ca="1">IF(T17=C17,SUM(IF(($BR$41:$BR$49=C17)*($BS$40:$CA$40=T19),$BS$41:$CA$49)),0)</f>
        <v>0</v>
      </c>
      <c r="AU41" s="3">
        <f t="array" aca="1" ref="AU41" ca="1">IF(T17=C17,SUM(IF(($BR$41:$BR$49=C17)*($BS$40:$CA$40=T20),$BS$41:$CA$49)),0)</f>
        <v>0</v>
      </c>
      <c r="AV41" s="3">
        <f t="array" aca="1" ref="AV41" ca="1">IF(T17=C17,SUM(IF(($BR$41:$BR$49=C17)*($BS$40:$CA$40=T21),$BS$41:$CA$49)),0)</f>
        <v>0</v>
      </c>
      <c r="AW41" s="3">
        <f t="array" aca="1" ref="AW41" ca="1">IF(T17=C17,SUM(IF(($BR$41:$BR$49=C17)*($BS$40:$CA$40=T22),$BS$41:$CA$49)),0)</f>
        <v>0</v>
      </c>
      <c r="AX41" s="3">
        <f t="array" aca="1" ref="AX41" ca="1">IF(T17=C17,SUM(IF(($BR$41:$BR$49=C17)*($BS$40:$CA$40=T23),$BS$41:$CA$49)),0)</f>
        <v>0</v>
      </c>
      <c r="AY41" s="3">
        <f t="array" aca="1" ref="AY41" ca="1">IF(T17=C17,SUM(IF(($BR$41:$BR$49=C17)*($BS$40:$CA$40=T$24),$BS$41:$CA$49)),0)</f>
        <v>0</v>
      </c>
      <c r="AZ41" s="3">
        <f t="array" aca="1" ref="AZ41" ca="1">IF(T17=C17,SUM(IF(($BR$41:$BR$49=C17)*($BS$40:$CA$40=T$25),$BS$41:$CA$49)),0)</f>
        <v>0</v>
      </c>
      <c r="BA41" s="5">
        <f t="array" aca="1" ref="BA41" ca="1">IF(U17=C17,SUM(IF(($BR$41:$BR$49=C17)*($BS$40:$CA$40=U$18),$BS$41:$CA$49)),0)</f>
        <v>0</v>
      </c>
      <c r="BB41" s="3">
        <f t="array" aca="1" ref="BB41" ca="1">IF(U17=C17,SUM(IF(($BR$41:$BR$49=C17)*($BS$40:$CA$40=U$19),$BS$41:$CA$49)),0)</f>
        <v>0</v>
      </c>
      <c r="BC41" s="3">
        <f t="array" aca="1" ref="BC41" ca="1">IF(U17=C17,SUM(IF(($BR$41:$BR$49=C17)*($BS$40:$CA$40=U$20),$BS$41:$CA$49)),0)</f>
        <v>0</v>
      </c>
      <c r="BD41" s="3">
        <f t="array" aca="1" ref="BD41" ca="1">IF(U17=C17,SUM(IF(($BR$41:$BR$49=C17)*($BS$40:$CA$40=U$21),$BS$41:$CA$49)),0)</f>
        <v>0</v>
      </c>
      <c r="BE41" s="3">
        <f t="array" aca="1" ref="BE41" ca="1">IF(U17=C17,SUM(IF(($BR$41:$BR$49=C17)*($BS$40:$CA$40=U$22),$BS$41:$CA$49)),0)</f>
        <v>0</v>
      </c>
      <c r="BF41" s="3">
        <f t="array" aca="1" ref="BF41" ca="1">IF(U17=C17,SUM(IF(($BR$41:$BR$49=C17)*($BS$40:$CA$40=U$23),$BS$41:$CA$49)),0)</f>
        <v>0</v>
      </c>
      <c r="BG41" s="3">
        <f t="array" aca="1" ref="BG41" ca="1">IF(U17=C17,SUM(IF(($BR$41:$BR$49=C17)*($BS$40:$CA$40=U$24),$BS$41:$CA$49)),0)</f>
        <v>0</v>
      </c>
      <c r="BH41" s="3">
        <f t="array" aca="1" ref="BH41" ca="1">IF(U17=C17,SUM(IF(($BR$41:$BR$49=C17)*($BS$40:$CA$40=U$25),$BS$41:$CA$49)),0)</f>
        <v>0</v>
      </c>
      <c r="BI41" s="5">
        <f t="array" aca="1" ref="BI41" ca="1">IF(V17=C17,SUM(IF(($BR$41:$BR$49=C17)*($BS$40:$CA$40=V$18),$BS$41:$CA$49)),0)</f>
        <v>0</v>
      </c>
      <c r="BJ41" s="3">
        <f t="array" aca="1" ref="BJ41" ca="1">IF(V17=C17,SUM(IF(($BR$41:$BR$49=C17)*($BS$40:$CA$40=V$19),$BS$41:$CA$49)),0)</f>
        <v>0</v>
      </c>
      <c r="BK41" s="3">
        <f t="array" aca="1" ref="BK41" ca="1">IF(V17=C17,SUM(IF(($BR$41:$BR$49=C17)*($BS$40:$CA$40=V$20),$BS$41:$CA$49)),0)</f>
        <v>0</v>
      </c>
      <c r="BL41" s="3">
        <f t="array" aca="1" ref="BL41" ca="1">IF(V17=C17,SUM(IF(($BR$41:$BR$49=C17)*($BS$40:$CA$40=V$21),$BS$41:$CA$49)),0)</f>
        <v>0</v>
      </c>
      <c r="BM41" s="3">
        <f t="array" aca="1" ref="BM41" ca="1">IF(V17=C17,SUM(IF(($BR$41:$BR$49=C17)*($BS$40:$CA$40=V$22),$BS$41:$CA$49)),0)</f>
        <v>0</v>
      </c>
      <c r="BN41" s="3">
        <f t="array" aca="1" ref="BN41" ca="1">IF(V17=C17,SUM(IF(($BR$41:$BR$49=C17)*($BS$40:$CA$40=V$23),$BS$41:$CA$49)),0)</f>
        <v>0</v>
      </c>
      <c r="BO41" s="3">
        <f t="array" aca="1" ref="BO41" ca="1">IF(V17=C17,SUM(IF(($BR$41:$BR$49=C17)*($BS$40:$CA$40=V$24),$BS$41:$CA$49)),0)</f>
        <v>0</v>
      </c>
      <c r="BP41" s="15">
        <f t="array" aca="1" ref="BP41" ca="1">IF(V17=C17,SUM(IF(($BR$41:$BR$49=C17)*($BS$40:$CA$40=V$25),$BS$41:$CA$49)),0)</f>
        <v>0</v>
      </c>
      <c r="BQ41" s="3"/>
      <c r="BR41" s="2" t="str">
        <f t="shared" ref="BR41:BR49" ca="1" si="38">F4</f>
        <v/>
      </c>
      <c r="BS41" s="6"/>
      <c r="BT41" s="7">
        <f ca="1">BT30-BS31</f>
        <v>0</v>
      </c>
      <c r="BU41" s="7">
        <f ca="1">BU30-BS32</f>
        <v>0</v>
      </c>
      <c r="BV41" s="7">
        <f ca="1">BV30-BS33</f>
        <v>0</v>
      </c>
      <c r="BW41" s="7">
        <f ca="1">BW30-BS34</f>
        <v>0</v>
      </c>
      <c r="BX41" s="7">
        <f ca="1">BX30-BS35</f>
        <v>0</v>
      </c>
      <c r="BY41" s="7">
        <f ca="1">BY30-BS36</f>
        <v>0</v>
      </c>
      <c r="BZ41" s="7">
        <f ca="1">BZ30-BS37</f>
        <v>0</v>
      </c>
      <c r="CA41" s="7">
        <f ca="1">CA30-BS38</f>
        <v>0</v>
      </c>
      <c r="CB41" s="3"/>
    </row>
    <row r="42" spans="2:80" s="2" customFormat="1" x14ac:dyDescent="0.2">
      <c r="E42" s="14">
        <f t="array" aca="1" ref="E42" ca="1">IF(O18=C18,SUM(IF(($BR$41:$BR$49=C18)*($BS$40:$CA$40=O17),$BS$41:$CA$49)),0)</f>
        <v>0</v>
      </c>
      <c r="F42" s="3">
        <f t="array" aca="1" ref="F42" ca="1">IF(O18=C18,SUM(IF(($BR$41:$BR$49=C18)*($BS$40:$CA$40=O19),$BS$41:$CA$49)),0)</f>
        <v>0</v>
      </c>
      <c r="G42" s="3">
        <f t="array" aca="1" ref="G42" ca="1">IF(O18=C18,SUM(IF(($BR$41:$BR$49=C18)*($BS$40:$CA$40=O20),$BS$41:$CA$49)),0)</f>
        <v>0</v>
      </c>
      <c r="H42" s="3">
        <f t="array" aca="1" ref="H42" ca="1">IF(O18=C18,SUM(IF(($BR$41:$BR$49=C18)*($BS$40:$CA$40=O21),$BS$41:$CA$49)),0)</f>
        <v>0</v>
      </c>
      <c r="I42" s="3">
        <f t="array" aca="1" ref="I42" ca="1">IF(O18=C18,SUM(IF(($BR$41:$BR$49=C18)*($BS$40:$CA$40=O22),$BS$41:$CA$49)),0)</f>
        <v>0</v>
      </c>
      <c r="J42" s="3">
        <f t="array" aca="1" ref="J42" ca="1">IF(O18=C18,SUM(IF(($BR$41:$BR$49=C18)*($BS$40:$CA$40=O23),$BS$41:$CA$49)),0)</f>
        <v>0</v>
      </c>
      <c r="K42" s="3">
        <f t="array" aca="1" ref="K42" ca="1">IF(O18=C18,SUM(IF(($BR$41:$BR$49=C18)*($BS$40:$CA$40=O$24),$BS$41:$CA$49)),0)</f>
        <v>0</v>
      </c>
      <c r="L42" s="3">
        <f t="array" aca="1" ref="L42" ca="1">IF(O18=C18,SUM(IF(($BR$41:$BR$49=C18)*($BS$40:$CA$40=O$25),$BS$41:$CA$49)),0)</f>
        <v>0</v>
      </c>
      <c r="M42" s="5">
        <f t="array" aca="1" ref="M42" ca="1">IF(P18=C18,SUM(IF(($BR$41:$BR$49=C18)*($BS$40:$CA$40=P17),$BS$41:$CA$49)),0)</f>
        <v>0</v>
      </c>
      <c r="N42" s="3">
        <f t="array" aca="1" ref="N42" ca="1">IF(P18=C18,SUM(IF(($BR$41:$BR$49=C18)*($BS$40:$CA$40=P19),$BS$41:$CA$49)),0)</f>
        <v>0</v>
      </c>
      <c r="O42" s="3">
        <f t="array" aca="1" ref="O42" ca="1">IF(P18=C18,SUM(IF(($BR$41:$BR$49=C18)*($BS$40:$CA$40=P20),$BS$41:$CA$49)),0)</f>
        <v>0</v>
      </c>
      <c r="P42" s="3">
        <f t="array" aca="1" ref="P42" ca="1">IF(P18=C18,SUM(IF(($BR$41:$BR$49=C18)*($BS$40:$CA$40=P21),$BS$41:$CA$49)),0)</f>
        <v>0</v>
      </c>
      <c r="Q42" s="3">
        <f t="array" aca="1" ref="Q42" ca="1">IF(P18=C18,SUM(IF(($BR$41:$BR$49=C18)*($BS$40:$CA$40=P22),$BS$41:$CA$49)),0)</f>
        <v>0</v>
      </c>
      <c r="R42" s="3">
        <f t="array" aca="1" ref="R42" ca="1">IF(P18=C18,SUM(IF(($BR$41:$BR$49=C18)*($BS$40:$CA$40=P23),$BS$41:$CA$49)),0)</f>
        <v>0</v>
      </c>
      <c r="S42" s="3">
        <f t="array" aca="1" ref="S42" ca="1">IF(P18=C18,SUM(IF(($BR$41:$BR$49=C18)*($BS$40:$CA$40=P$24),$BS$41:$CA$49)),0)</f>
        <v>0</v>
      </c>
      <c r="T42" s="3">
        <f t="array" aca="1" ref="T42" ca="1">IF(P18=C18,SUM(IF(($BR$41:$BR$49=C18)*($BS$40:$CA$40=P$25),$BS$41:$CA$49)),0)</f>
        <v>0</v>
      </c>
      <c r="U42" s="5">
        <f t="array" aca="1" ref="U42" ca="1">IF(Q18=C18,SUM(IF(($BR$41:$BR$49=C18)*($BS$40:$CA$40=Q17),$BS$41:$CA$49)),0)</f>
        <v>0</v>
      </c>
      <c r="V42" s="3">
        <f t="array" aca="1" ref="V42" ca="1">IF(Q18=C18,SUM(IF(($BR$41:$BR$49=C18)*($BS$40:$CA$40=Q19),$BS$41:$CA$49)),0)</f>
        <v>0</v>
      </c>
      <c r="W42" s="3">
        <f t="array" aca="1" ref="W42" ca="1">IF(Q18=C18,SUM(IF(($BR$41:$BR$49=C18)*($BS$40:$CA$40=Q20),$BS$41:$CA$49)),0)</f>
        <v>0</v>
      </c>
      <c r="X42" s="3">
        <f t="array" aca="1" ref="X42" ca="1">IF(Q18=C18,SUM(IF(($BR$41:$BR$49=C18)*($BS$40:$CA$40=Q21),$BS$41:$CA$49)),0)</f>
        <v>0</v>
      </c>
      <c r="Y42" s="3">
        <f t="array" aca="1" ref="Y42" ca="1">IF(Q18=C18,SUM(IF(($BR$41:$BR$49=C18)*($BS$40:$CA$40=Q22),$BS$41:$CA$49)),0)</f>
        <v>0</v>
      </c>
      <c r="Z42" s="3">
        <f t="array" aca="1" ref="Z42" ca="1">IF(Q18=C18,SUM(IF(($BR$41:$BR$49=C18)*($BS$40:$CA$40=Q23),$BS$41:$CA$49)),0)</f>
        <v>0</v>
      </c>
      <c r="AA42" s="3">
        <f t="array" aca="1" ref="AA42" ca="1">IF(Q18=C18,SUM(IF(($BR$41:$BR$49=C18)*($BS$40:$CA$40=Q$24),$BS$41:$CA$49)),0)</f>
        <v>0</v>
      </c>
      <c r="AB42" s="3">
        <f t="array" aca="1" ref="AB42" ca="1">IF(Q18=C18,SUM(IF(($BR$41:$BR$49=C18)*($BS$40:$CA$40=Q$25),$BS$41:$CA$49)),0)</f>
        <v>0</v>
      </c>
      <c r="AC42" s="5">
        <f t="array" aca="1" ref="AC42" ca="1">IF(R18=C18,SUM(IF(($BR$41:$BR$49=C18)*($BS$40:$CA$40=R17),$BS$41:$CA$49)),0)</f>
        <v>0</v>
      </c>
      <c r="AD42" s="3">
        <f t="array" aca="1" ref="AD42" ca="1">IF(R18=C18,SUM(IF(($BR$41:$BR$49=C18)*($BS$40:$CA$40=R19),$BS$41:$CA$49)),0)</f>
        <v>0</v>
      </c>
      <c r="AE42" s="3">
        <f t="array" aca="1" ref="AE42" ca="1">IF(R18=C18,SUM(IF(($BR$41:$BR$49=C18)*($BS$40:$CA$40=R20),$BS$41:$CA$49)),0)</f>
        <v>0</v>
      </c>
      <c r="AF42" s="3">
        <f t="array" aca="1" ref="AF42" ca="1">IF(R18=C18,SUM(IF(($BR$41:$BR$49=C18)*($BS$40:$CA$40=R21),$BS$41:$CA$49)),0)</f>
        <v>0</v>
      </c>
      <c r="AG42" s="3">
        <f t="array" aca="1" ref="AG42" ca="1">IF(R18=C18,SUM(IF(($BR$41:$BR$49=C18)*($BS$40:$CA$40=R22),$BS$41:$CA$49)),0)</f>
        <v>0</v>
      </c>
      <c r="AH42" s="3">
        <f t="array" aca="1" ref="AH42" ca="1">IF(R18=C18,SUM(IF(($BR$41:$BR$49=C18)*($BS$40:$CA$40=R23),$BS$41:$CA$49)),0)</f>
        <v>0</v>
      </c>
      <c r="AI42" s="3">
        <f t="array" aca="1" ref="AI42" ca="1">IF(R18=C18,SUM(IF(($BR$41:$BR$49=C18)*($BS$40:$CA$40=R$24),$BS$41:$CA$49)),0)</f>
        <v>0</v>
      </c>
      <c r="AJ42" s="3">
        <f t="array" aca="1" ref="AJ42" ca="1">IF(R18=C18,SUM(IF(($BR$41:$BR$49=C18)*($BS$40:$CA$40=R$25),$BS$41:$CA$49)),0)</f>
        <v>0</v>
      </c>
      <c r="AK42" s="5">
        <f t="array" aca="1" ref="AK42" ca="1">IF(S18=C18,SUM(IF(($BR$41:$BR$49=C18)*($BS$40:$CA$40=S17),$BS$41:$CA$49)),0)</f>
        <v>0</v>
      </c>
      <c r="AL42" s="3">
        <f t="array" aca="1" ref="AL42" ca="1">IF(S18=C18,SUM(IF(($BR$41:$BR$49=C18)*($BS$40:$CA$40=S19),$BS$41:$CA$49)),0)</f>
        <v>0</v>
      </c>
      <c r="AM42" s="3">
        <f t="array" aca="1" ref="AM42" ca="1">IF(S18=C18,SUM(IF(($BR$41:$BR$49=C18)*($BS$40:$CA$40=S20),$BS$41:$CA$49)),0)</f>
        <v>0</v>
      </c>
      <c r="AN42" s="3">
        <f t="array" aca="1" ref="AN42" ca="1">IF(S18=C18,SUM(IF(($BR$41:$BR$49=C18)*($BS$40:$CA$40=S21),$BS$41:$CA$49)),0)</f>
        <v>0</v>
      </c>
      <c r="AO42" s="3">
        <f t="array" aca="1" ref="AO42" ca="1">IF(S18=C18,SUM(IF(($BR$41:$BR$49=C18)*($BS$40:$CA$40=S22),$BS$41:$CA$49)),0)</f>
        <v>0</v>
      </c>
      <c r="AP42" s="3">
        <f t="array" aca="1" ref="AP42" ca="1">IF(S18=C18,SUM(IF(($BR$41:$BR$49=C18)*($BS$40:$CA$40=S23),$BS$41:$CA$49)),0)</f>
        <v>0</v>
      </c>
      <c r="AQ42" s="3">
        <f t="array" aca="1" ref="AQ42" ca="1">IF(S18=C18,SUM(IF(($BR$41:$BR$49=C18)*($BS$40:$CA$40=S$24),$BS$41:$CA$49)),0)</f>
        <v>0</v>
      </c>
      <c r="AR42" s="3">
        <f t="array" aca="1" ref="AR42" ca="1">IF(S18=C18,SUM(IF(($BR$41:$BR$49=C18)*($BS$40:$CA$40=S$25),$BS$41:$CA$49)),0)</f>
        <v>0</v>
      </c>
      <c r="AS42" s="5">
        <f t="array" aca="1" ref="AS42" ca="1">IF(T18=C18,SUM(IF(($BR$41:$BR$49=C18)*($BS$40:$CA$40=T17),$BS$41:$CA$49)),0)</f>
        <v>0</v>
      </c>
      <c r="AT42" s="3">
        <f t="array" aca="1" ref="AT42" ca="1">IF(T18=C18,SUM(IF(($BR$41:$BR$49=C18)*($BS$40:$CA$40=T19),$BS$41:$CA$49)),0)</f>
        <v>0</v>
      </c>
      <c r="AU42" s="3">
        <f t="array" aca="1" ref="AU42" ca="1">IF(T18=C18,SUM(IF(($BR$41:$BR$49=C18)*($BS$40:$CA$40=T20),$BS$41:$CA$49)),0)</f>
        <v>0</v>
      </c>
      <c r="AV42" s="3">
        <f t="array" aca="1" ref="AV42" ca="1">IF(T18=C18,SUM(IF(($BR$41:$BR$49=C18)*($BS$40:$CA$40=T21),$BS$41:$CA$49)),0)</f>
        <v>0</v>
      </c>
      <c r="AW42" s="3">
        <f t="array" aca="1" ref="AW42" ca="1">IF(T18=C18,SUM(IF(($BR$41:$BR$49=C18)*($BS$40:$CA$40=T22),$BS$41:$CA$49)),0)</f>
        <v>0</v>
      </c>
      <c r="AX42" s="3">
        <f t="array" aca="1" ref="AX42" ca="1">IF(T18=C18,SUM(IF(($BR$41:$BR$49=C18)*($BS$40:$CA$40=T23),$BS$41:$CA$49)),0)</f>
        <v>0</v>
      </c>
      <c r="AY42" s="3">
        <f t="array" aca="1" ref="AY42" ca="1">IF(T18=C18,SUM(IF(($BR$41:$BR$49=C18)*($BS$40:$CA$40=T$24),$BS$41:$CA$49)),0)</f>
        <v>0</v>
      </c>
      <c r="AZ42" s="3">
        <f t="array" aca="1" ref="AZ42" ca="1">IF(T18=C18,SUM(IF(($BR$41:$BR$49=C18)*($BS$40:$CA$40=T$25),$BS$41:$CA$49)),0)</f>
        <v>0</v>
      </c>
      <c r="BA42" s="5">
        <f t="array" aca="1" ref="BA42" ca="1">IF(U18=C18,SUM(IF(($BR$41:$BR$49=C18)*($BS$40:$CA$40=U$17),$BS$41:$CA$49)),0)</f>
        <v>0</v>
      </c>
      <c r="BB42" s="3">
        <f t="array" aca="1" ref="BB42" ca="1">IF(U18=C18,SUM(IF(($BR$41:$BR$49=C18)*($BS$40:$CA$40=U$19),$BS$41:$CA$49)),0)</f>
        <v>0</v>
      </c>
      <c r="BC42" s="3">
        <f t="array" aca="1" ref="BC42" ca="1">IF(U18=C18,SUM(IF(($BR$41:$BR$49=C18)*($BS$40:$CA$40=U$20),$BS$41:$CA$49)),0)</f>
        <v>0</v>
      </c>
      <c r="BD42" s="3">
        <f t="array" aca="1" ref="BD42" ca="1">IF(U18=C18,SUM(IF(($BR$41:$BR$49=C18)*($BS$40:$CA$40=U$21),$BS$41:$CA$49)),0)</f>
        <v>0</v>
      </c>
      <c r="BE42" s="3">
        <f t="array" aca="1" ref="BE42" ca="1">IF(U18=C18,SUM(IF(($BR$41:$BR$49=C18)*($BS$40:$CA$40=U$22),$BS$41:$CA$49)),0)</f>
        <v>0</v>
      </c>
      <c r="BF42" s="3">
        <f t="array" aca="1" ref="BF42" ca="1">IF(U18=C18,SUM(IF(($BR$41:$BR$49=C18)*($BS$40:$CA$40=U$23),$BS$41:$CA$49)),0)</f>
        <v>0</v>
      </c>
      <c r="BG42" s="3">
        <f t="array" aca="1" ref="BG42" ca="1">IF(U18=C18,SUM(IF(($BR$41:$BR$49=C18)*($BS$40:$CA$40=U$24),$BS$41:$CA$49)),0)</f>
        <v>0</v>
      </c>
      <c r="BH42" s="3">
        <f t="array" aca="1" ref="BH42" ca="1">IF(U18=C18,SUM(IF(($BR$41:$BR$49=C18)*($BS$40:$CA$40=U$25),$BS$41:$CA$49)),0)</f>
        <v>0</v>
      </c>
      <c r="BI42" s="5">
        <f t="array" aca="1" ref="BI42" ca="1">IF(V18=C18,SUM(IF(($BR$41:$BR$49=C18)*($BS$40:$CA$40=V$18),$BS$41:$CA$49)),0)</f>
        <v>0</v>
      </c>
      <c r="BJ42" s="3">
        <f t="array" aca="1" ref="BJ42" ca="1">IF(V18=C18,SUM(IF(($BR$41:$BR$49=C18)*($BS$40:$CA$40=V$19),$BS$41:$CA$49)),0)</f>
        <v>0</v>
      </c>
      <c r="BK42" s="3">
        <f t="array" aca="1" ref="BK42" ca="1">IF(V18=C18,SUM(IF(($BR$41:$BR$49=C18)*($BS$40:$CA$40=V$20),$BS$41:$CA$49)),0)</f>
        <v>0</v>
      </c>
      <c r="BL42" s="3">
        <f t="array" aca="1" ref="BL42" ca="1">IF(V18=C18,SUM(IF(($BR$41:$BR$49=C18)*($BS$40:$CA$40=V$21),$BS$41:$CA$49)),0)</f>
        <v>0</v>
      </c>
      <c r="BM42" s="3">
        <f t="array" aca="1" ref="BM42" ca="1">IF(V18=C18,SUM(IF(($BR$41:$BR$49=C18)*($BS$40:$CA$40=V$22),$BS$41:$CA$49)),0)</f>
        <v>0</v>
      </c>
      <c r="BN42" s="3">
        <f t="array" aca="1" ref="BN42" ca="1">IF(V18=C18,SUM(IF(($BR$41:$BR$49=C18)*($BS$40:$CA$40=V$23),$BS$41:$CA$49)),0)</f>
        <v>0</v>
      </c>
      <c r="BO42" s="3">
        <f t="array" aca="1" ref="BO42" ca="1">IF(V18=C18,SUM(IF(($BR$41:$BR$49=C18)*($BS$40:$CA$40=V$24),$BS$41:$CA$49)),0)</f>
        <v>0</v>
      </c>
      <c r="BP42" s="15">
        <f t="array" aca="1" ref="BP42" ca="1">IF(V18=C18,SUM(IF(($BR$41:$BR$49=C18)*($BS$40:$CA$40=V$25),$BS$41:$CA$49)),0)</f>
        <v>0</v>
      </c>
      <c r="BQ42" s="3"/>
      <c r="BR42" s="2" t="str">
        <f t="shared" ca="1" si="38"/>
        <v/>
      </c>
      <c r="BS42" s="8">
        <f ca="1">IF(BT41="","",-1*BT41)</f>
        <v>0</v>
      </c>
      <c r="BT42" s="6"/>
      <c r="BU42" s="7">
        <f ca="1">BU31-BT32</f>
        <v>0</v>
      </c>
      <c r="BV42" s="7">
        <f ca="1">BV31-BT33</f>
        <v>0</v>
      </c>
      <c r="BW42" s="7">
        <f ca="1">BW31-BT34</f>
        <v>0</v>
      </c>
      <c r="BX42" s="7">
        <f ca="1">BX31-BT35</f>
        <v>0</v>
      </c>
      <c r="BY42" s="7">
        <f ca="1">BY31-BT36</f>
        <v>0</v>
      </c>
      <c r="BZ42" s="7">
        <f ca="1">BZ31-BT37</f>
        <v>0</v>
      </c>
      <c r="CA42" s="7">
        <f ca="1">CA31-BT38</f>
        <v>0</v>
      </c>
      <c r="CB42" s="3"/>
    </row>
    <row r="43" spans="2:80" s="2" customFormat="1" x14ac:dyDescent="0.2">
      <c r="E43" s="14">
        <f t="array" aca="1" ref="E43" ca="1">IF(O19=C19,SUM(IF(($BR$41:$BR$49=C19)*($BS$40:$CA$40=O17),$BS$41:$CA$49)),0)</f>
        <v>0</v>
      </c>
      <c r="F43" s="3">
        <f t="array" aca="1" ref="F43" ca="1">IF(O19=C19,SUM(IF(($BR$41:$BR$49=C19)*($BS$40:$CA$40=O18),$BS$41:$CA$49)),0)</f>
        <v>0</v>
      </c>
      <c r="G43" s="3">
        <f t="array" aca="1" ref="G43" ca="1">IF(O19=C19,SUM(IF(($BR$41:$BR$49=C19)*($BS$40:$CA$40=O20),$BS$41:$CA$49)),0)</f>
        <v>0</v>
      </c>
      <c r="H43" s="3">
        <f t="array" aca="1" ref="H43" ca="1">IF(O19=C19,SUM(IF(($BR$41:$BR$49=C19)*($BS$40:$CA$40=O21),$BS$41:$CA$49)),0)</f>
        <v>0</v>
      </c>
      <c r="I43" s="3">
        <f t="array" aca="1" ref="I43" ca="1">IF(O19=C19,SUM(IF(($BR$41:$BR$49=C19)*($BS$40:$CA$40=O22),$BS$41:$CA$49)),0)</f>
        <v>0</v>
      </c>
      <c r="J43" s="3">
        <f t="array" aca="1" ref="J43" ca="1">IF(O19=C19,SUM(IF(($BR$41:$BR$49=C19)*($BS$40:$CA$40=O23),$BS$41:$CA$49)),0)</f>
        <v>0</v>
      </c>
      <c r="K43" s="3">
        <f t="array" aca="1" ref="K43" ca="1">IF(O19=C19,SUM(IF(($BR$41:$BR$49=C19)*($BS$40:$CA$40=O$24),$BS$41:$CA$49)),0)</f>
        <v>0</v>
      </c>
      <c r="L43" s="3">
        <f t="array" aca="1" ref="L43" ca="1">IF(O19=C19,SUM(IF(($BR$41:$BR$49=C19)*($BS$40:$CA$40=O$25),$BS$41:$CA$49)),0)</f>
        <v>0</v>
      </c>
      <c r="M43" s="5">
        <f t="array" aca="1" ref="M43" ca="1">IF(P19=C19,SUM(IF(($BR$41:$BR$49=C19)*($BS$40:$CA$40=P17),$BS$41:$CA$49)),0)</f>
        <v>0</v>
      </c>
      <c r="N43" s="3">
        <f t="array" aca="1" ref="N43" ca="1">IF(P19=C19,SUM(IF(($BR$41:$BR$49=C19)*($BS$40:$CA$40=P18),$BS$41:$CA$49)),0)</f>
        <v>0</v>
      </c>
      <c r="O43" s="3">
        <f t="array" aca="1" ref="O43" ca="1">IF(P19=C19,SUM(IF(($BR$41:$BR$49=C19)*($BS$40:$CA$40=P20),$BS$41:$CA$49)),0)</f>
        <v>0</v>
      </c>
      <c r="P43" s="3">
        <f t="array" aca="1" ref="P43" ca="1">IF(P19=C19,SUM(IF(($BR$41:$BR$49=C19)*($BS$40:$CA$40=P21),$BS$41:$CA$49)),0)</f>
        <v>0</v>
      </c>
      <c r="Q43" s="3">
        <f t="array" aca="1" ref="Q43" ca="1">IF(P19=C19,SUM(IF(($BR$41:$BR$49=C19)*($BS$40:$CA$40=P22),$BS$41:$CA$49)),0)</f>
        <v>0</v>
      </c>
      <c r="R43" s="3">
        <f t="array" aca="1" ref="R43" ca="1">IF(P19=C19,SUM(IF(($BR$41:$BR$49=C19)*($BS$40:$CA$40=P23),$BS$41:$CA$49)),0)</f>
        <v>0</v>
      </c>
      <c r="S43" s="3">
        <f t="array" aca="1" ref="S43" ca="1">IF(P19=C19,SUM(IF(($BR$41:$BR$49=C19)*($BS$40:$CA$40=P$24),$BS$41:$CA$49)),0)</f>
        <v>0</v>
      </c>
      <c r="T43" s="3">
        <f t="array" aca="1" ref="T43" ca="1">IF(P19=C19,SUM(IF(($BR$41:$BR$49=C19)*($BS$40:$CA$40=P$25),$BS$41:$CA$49)),0)</f>
        <v>0</v>
      </c>
      <c r="U43" s="5">
        <f t="array" aca="1" ref="U43" ca="1">IF(Q19=C19,SUM(IF(($BR$41:$BR$49=C19)*($BS$40:$CA$40=Q17),$BS$41:$CA$49)),0)</f>
        <v>0</v>
      </c>
      <c r="V43" s="3">
        <f t="array" aca="1" ref="V43" ca="1">IF(Q19=C19,SUM(IF(($BR$41:$BR$49=C19)*($BS$40:$CA$40=Q18),$BS$41:$CA$49)),0)</f>
        <v>0</v>
      </c>
      <c r="W43" s="3">
        <f t="array" aca="1" ref="W43" ca="1">IF(Q19=C19,SUM(IF(($BR$41:$BR$49=C19)*($BS$40:$CA$40=Q20),$BS$41:$CA$49)),0)</f>
        <v>0</v>
      </c>
      <c r="X43" s="3">
        <f t="array" aca="1" ref="X43" ca="1">IF(Q19=C19,SUM(IF(($BR$41:$BR$49=C19)*($BS$40:$CA$40=Q21),$BS$41:$CA$49)),0)</f>
        <v>0</v>
      </c>
      <c r="Y43" s="3">
        <f t="array" aca="1" ref="Y43" ca="1">IF(Q19=C19,SUM(IF(($BR$41:$BR$49=C19)*($BS$40:$CA$40=Q22),$BS$41:$CA$49)),0)</f>
        <v>0</v>
      </c>
      <c r="Z43" s="3">
        <f t="array" aca="1" ref="Z43" ca="1">IF(Q19=C19,SUM(IF(($BR$41:$BR$49=C19)*($BS$40:$CA$40=Q23),$BS$41:$CA$49)),0)</f>
        <v>0</v>
      </c>
      <c r="AA43" s="3">
        <f t="array" aca="1" ref="AA43" ca="1">IF(Q19=C19,SUM(IF(($BR$41:$BR$49=C19)*($BS$40:$CA$40=Q$24),$BS$41:$CA$49)),0)</f>
        <v>0</v>
      </c>
      <c r="AB43" s="3">
        <f t="array" aca="1" ref="AB43" ca="1">IF(Q19=C19,SUM(IF(($BR$41:$BR$49=C19)*($BS$40:$CA$40=Q$25),$BS$41:$CA$49)),0)</f>
        <v>0</v>
      </c>
      <c r="AC43" s="5">
        <f t="array" aca="1" ref="AC43" ca="1">IF(R19=C19,SUM(IF(($BR$41:$BR$49=C19)*($BS$40:$CA$40=R17),$BS$41:$CA$49)),0)</f>
        <v>0</v>
      </c>
      <c r="AD43" s="3">
        <f t="array" aca="1" ref="AD43" ca="1">IF(R19=C19,SUM(IF(($BR$41:$BR$49=C19)*($BS$40:$CA$40=R18),$BS$41:$CA$49)),0)</f>
        <v>0</v>
      </c>
      <c r="AE43" s="3">
        <f t="array" aca="1" ref="AE43" ca="1">IF(R19=C19,SUM(IF(($BR$41:$BR$49=C19)*($BS$40:$CA$40=R20),$BS$41:$CA$49)),0)</f>
        <v>0</v>
      </c>
      <c r="AF43" s="3">
        <f t="array" aca="1" ref="AF43" ca="1">IF(R19=C19,SUM(IF(($BR$41:$BR$49=C19)*($BS$40:$CA$40=R21),$BS$41:$CA$49)),0)</f>
        <v>0</v>
      </c>
      <c r="AG43" s="3">
        <f t="array" aca="1" ref="AG43" ca="1">IF(R19=C19,SUM(IF(($BR$41:$BR$49=C19)*($BS$40:$CA$40=R22),$BS$41:$CA$49)),0)</f>
        <v>0</v>
      </c>
      <c r="AH43" s="3">
        <f t="array" aca="1" ref="AH43" ca="1">IF(R19=C19,SUM(IF(($BR$41:$BR$49=C19)*($BS$40:$CA$40=R23),$BS$41:$CA$49)),0)</f>
        <v>0</v>
      </c>
      <c r="AI43" s="3">
        <f t="array" aca="1" ref="AI43" ca="1">IF(R19=C19,SUM(IF(($BR$41:$BR$49=C19)*($BS$40:$CA$40=R$24),$BS$41:$CA$49)),0)</f>
        <v>0</v>
      </c>
      <c r="AJ43" s="3">
        <f t="array" aca="1" ref="AJ43" ca="1">IF(R19=C19,SUM(IF(($BR$41:$BR$49=C19)*($BS$40:$CA$40=R$25),$BS$41:$CA$49)),0)</f>
        <v>0</v>
      </c>
      <c r="AK43" s="5">
        <f t="array" aca="1" ref="AK43" ca="1">IF(S19=C19,SUM(IF(($BR$41:$BR$49=C19)*($BS$40:$CA$40=S17),$BS$41:$CA$49)),0)</f>
        <v>0</v>
      </c>
      <c r="AL43" s="3">
        <f t="array" aca="1" ref="AL43" ca="1">IF(S19=C19,SUM(IF(($BR$41:$BR$49=C19)*($BS$40:$CA$40=S18),$BS$41:$CA$49)),0)</f>
        <v>0</v>
      </c>
      <c r="AM43" s="3">
        <f t="array" aca="1" ref="AM43" ca="1">IF(S19=C19,SUM(IF(($BR$41:$BR$49=C19)*($BS$40:$CA$40=S20),$BS$41:$CA$49)),0)</f>
        <v>0</v>
      </c>
      <c r="AN43" s="3">
        <f t="array" aca="1" ref="AN43" ca="1">IF(S19=C19,SUM(IF(($BR$41:$BR$49=C19)*($BS$40:$CA$40=S21),$BS$41:$CA$49)),0)</f>
        <v>0</v>
      </c>
      <c r="AO43" s="3">
        <f t="array" aca="1" ref="AO43" ca="1">IF(S19=C19,SUM(IF(($BR$41:$BR$49=C19)*($BS$40:$CA$40=S22),$BS$41:$CA$49)),0)</f>
        <v>0</v>
      </c>
      <c r="AP43" s="3">
        <f t="array" aca="1" ref="AP43" ca="1">IF(S19=C19,SUM(IF(($BR$41:$BR$49=C19)*($BS$40:$CA$40=S23),$BS$41:$CA$49)),0)</f>
        <v>0</v>
      </c>
      <c r="AQ43" s="3">
        <f t="array" aca="1" ref="AQ43" ca="1">IF(S19=C19,SUM(IF(($BR$41:$BR$49=C19)*($BS$40:$CA$40=S$24),$BS$41:$CA$49)),0)</f>
        <v>0</v>
      </c>
      <c r="AR43" s="3">
        <f t="array" aca="1" ref="AR43" ca="1">IF(S19=C19,SUM(IF(($BR$41:$BR$49=C19)*($BS$40:$CA$40=S$25),$BS$41:$CA$49)),0)</f>
        <v>0</v>
      </c>
      <c r="AS43" s="5">
        <f t="array" aca="1" ref="AS43" ca="1">IF(T19=C19,SUM(IF(($BR$41:$BR$49=C19)*($BS$40:$CA$40=T17),$BS$41:$CA$49)),0)</f>
        <v>0</v>
      </c>
      <c r="AT43" s="3">
        <f t="array" aca="1" ref="AT43" ca="1">IF(T19=C19,SUM(IF(($BR$41:$BR$49=C19)*($BS$40:$CA$40=T18),$BS$41:$CA$49)),0)</f>
        <v>0</v>
      </c>
      <c r="AU43" s="3">
        <f t="array" aca="1" ref="AU43" ca="1">IF(T19=C19,SUM(IF(($BR$41:$BR$49=C19)*($BS$40:$CA$40=T20),$BS$41:$CA$49)),0)</f>
        <v>0</v>
      </c>
      <c r="AV43" s="3">
        <f t="array" aca="1" ref="AV43" ca="1">IF(T19=C19,SUM(IF(($BR$41:$BR$49=C19)*($BS$40:$CA$40=T21),$BS$41:$CA$49)),0)</f>
        <v>0</v>
      </c>
      <c r="AW43" s="3">
        <f t="array" aca="1" ref="AW43" ca="1">IF(T19=C19,SUM(IF(($BR$41:$BR$49=C19)*($BS$40:$CA$40=T22),$BS$41:$CA$49)),0)</f>
        <v>0</v>
      </c>
      <c r="AX43" s="3">
        <f t="array" aca="1" ref="AX43" ca="1">IF(T19=C19,SUM(IF(($BR$41:$BR$49=C19)*($BS$40:$CA$40=T23),$BS$41:$CA$49)),0)</f>
        <v>0</v>
      </c>
      <c r="AY43" s="3">
        <f t="array" aca="1" ref="AY43" ca="1">IF(T19=C19,SUM(IF(($BR$41:$BR$49=C19)*($BS$40:$CA$40=T$24),$BS$41:$CA$49)),0)</f>
        <v>0</v>
      </c>
      <c r="AZ43" s="3">
        <f t="array" aca="1" ref="AZ43" ca="1">IF(T19=C19,SUM(IF(($BR$41:$BR$49=C19)*($BS$40:$CA$40=T$25),$BS$41:$CA$49)),0)</f>
        <v>0</v>
      </c>
      <c r="BA43" s="5">
        <f t="array" aca="1" ref="BA43" ca="1">IF(U19=C19,SUM(IF(($BR$41:$BR$49=C19)*($BS$40:$CA$40=U$17),$BS$41:$CA$49)),0)</f>
        <v>0</v>
      </c>
      <c r="BB43" s="3">
        <f t="array" aca="1" ref="BB43" ca="1">IF(U19=C19,SUM(IF(($BR$41:$BR$49=C19)*($BS$40:$CA$40=U$18),$BS$41:$CA$49)),0)</f>
        <v>0</v>
      </c>
      <c r="BC43" s="3">
        <f t="array" aca="1" ref="BC43" ca="1">IF(U19=C19,SUM(IF(($BR$41:$BR$49=C19)*($BS$40:$CA$40=U$20),$BS$41:$CA$49)),0)</f>
        <v>0</v>
      </c>
      <c r="BD43" s="3">
        <f t="array" aca="1" ref="BD43" ca="1">IF(U19=C19,SUM(IF(($BR$41:$BR$49=C19)*($BS$40:$CA$40=U$21),$BS$41:$CA$49)),0)</f>
        <v>0</v>
      </c>
      <c r="BE43" s="3">
        <f t="array" aca="1" ref="BE43" ca="1">IF(U19=C19,SUM(IF(($BR$41:$BR$49=C19)*($BS$40:$CA$40=U$22),$BS$41:$CA$49)),0)</f>
        <v>0</v>
      </c>
      <c r="BF43" s="3">
        <f t="array" aca="1" ref="BF43" ca="1">IF(U19=C19,SUM(IF(($BR$41:$BR$49=C19)*($BS$40:$CA$40=U$23),$BS$41:$CA$49)),0)</f>
        <v>0</v>
      </c>
      <c r="BG43" s="3">
        <f t="array" aca="1" ref="BG43" ca="1">IF(U19=C19,SUM(IF(($BR$41:$BR$49=C19)*($BS$40:$CA$40=U$24),$BS$41:$CA$49)),0)</f>
        <v>0</v>
      </c>
      <c r="BH43" s="3">
        <f t="array" aca="1" ref="BH43" ca="1">IF(U19=C19,SUM(IF(($BR$41:$BR$49=C19)*($BS$40:$CA$40=U$25),$BS$41:$CA$49)),0)</f>
        <v>0</v>
      </c>
      <c r="BI43" s="5">
        <f t="array" aca="1" ref="BI43" ca="1">IF(V19=C19,SUM(IF(($BR$41:$BR$49=C19)*($BS$40:$CA$40=V$18),$BS$41:$CA$49)),0)</f>
        <v>0</v>
      </c>
      <c r="BJ43" s="3">
        <f t="array" aca="1" ref="BJ43" ca="1">IF(V19=C19,SUM(IF(($BR$41:$BR$49=C19)*($BS$40:$CA$40=V$19),$BS$41:$CA$49)),0)</f>
        <v>0</v>
      </c>
      <c r="BK43" s="3">
        <f t="array" aca="1" ref="BK43" ca="1">IF(V19=C19,SUM(IF(($BR$41:$BR$49=C19)*($BS$40:$CA$40=V$20),$BS$41:$CA$49)),0)</f>
        <v>0</v>
      </c>
      <c r="BL43" s="3">
        <f t="array" aca="1" ref="BL43" ca="1">IF(V19=C19,SUM(IF(($BR$41:$BR$49=C19)*($BS$40:$CA$40=V$21),$BS$41:$CA$49)),0)</f>
        <v>0</v>
      </c>
      <c r="BM43" s="3">
        <f t="array" aca="1" ref="BM43" ca="1">IF(V19=C19,SUM(IF(($BR$41:$BR$49=C19)*($BS$40:$CA$40=V$22),$BS$41:$CA$49)),0)</f>
        <v>0</v>
      </c>
      <c r="BN43" s="3">
        <f t="array" aca="1" ref="BN43" ca="1">IF(V19=C19,SUM(IF(($BR$41:$BR$49=C19)*($BS$40:$CA$40=V$23),$BS$41:$CA$49)),0)</f>
        <v>0</v>
      </c>
      <c r="BO43" s="3">
        <f t="array" aca="1" ref="BO43" ca="1">IF(V19=C19,SUM(IF(($BR$41:$BR$49=C19)*($BS$40:$CA$40=V$24),$BS$41:$CA$49)),0)</f>
        <v>0</v>
      </c>
      <c r="BP43" s="15">
        <f t="array" aca="1" ref="BP43" ca="1">IF(V19=C19,SUM(IF(($BR$41:$BR$49=C19)*($BS$40:$CA$40=V$25),$BS$41:$CA$49)),0)</f>
        <v>0</v>
      </c>
      <c r="BQ43" s="3"/>
      <c r="BR43" s="2" t="str">
        <f t="shared" si="38"/>
        <v/>
      </c>
      <c r="BS43" s="8">
        <f ca="1">IF(BU41="","",-1*BU41)</f>
        <v>0</v>
      </c>
      <c r="BT43" s="8">
        <f ca="1">IF(BU42="","",-1*BU42)</f>
        <v>0</v>
      </c>
      <c r="BU43" s="6"/>
      <c r="BV43" s="7">
        <f ca="1">BV32-BU33</f>
        <v>0</v>
      </c>
      <c r="BW43" s="7">
        <f ca="1">BW32-BU34</f>
        <v>0</v>
      </c>
      <c r="BX43" s="7">
        <f ca="1">BX32-BU35</f>
        <v>0</v>
      </c>
      <c r="BY43" s="7">
        <f ca="1">BY32-BU36</f>
        <v>0</v>
      </c>
      <c r="BZ43" s="7">
        <f ca="1">BZ32-BU37</f>
        <v>0</v>
      </c>
      <c r="CA43" s="7">
        <f ca="1">CA32-BU38</f>
        <v>0</v>
      </c>
      <c r="CB43" s="3"/>
    </row>
    <row r="44" spans="2:80" s="2" customFormat="1" x14ac:dyDescent="0.2">
      <c r="E44" s="14">
        <f t="array" aca="1" ref="E44" ca="1">IF(O20=C20,SUM(IF(($BR$41:$BR$49=C20)*($BS$40:$CA$40=O17),$BS$41:$CA$49)),0)</f>
        <v>0</v>
      </c>
      <c r="F44" s="3">
        <f t="array" aca="1" ref="F44" ca="1">IF(O20=C20,SUM(IF(($BR$41:$BR$49=C20)*($BS$40:$CA$40=O18),$BS$41:$CA$49)),0)</f>
        <v>0</v>
      </c>
      <c r="G44" s="3">
        <f t="array" aca="1" ref="G44" ca="1">IF(O20=C20,SUM(IF(($BR$41:$BR$49=C20)*($BS$40:$CA$40=O19),$BS$41:$CA$49)),0)</f>
        <v>0</v>
      </c>
      <c r="H44" s="3">
        <f t="array" aca="1" ref="H44" ca="1">IF(O20=C20,SUM(IF(($BR$41:$BR$49=C20)*($BS$40:$CA$40=O21),$BS$41:$CA$49)),0)</f>
        <v>0</v>
      </c>
      <c r="I44" s="3">
        <f t="array" aca="1" ref="I44" ca="1">IF(O20=C20,SUM(IF(($BR$41:$BR$49=C20)*($BS$40:$CA$40=O22),$BS$41:$CA$49)),0)</f>
        <v>0</v>
      </c>
      <c r="J44" s="3">
        <f t="array" aca="1" ref="J44" ca="1">IF(O20=C20,SUM(IF(($BR$41:$BR$49=C20)*($BS$40:$CA$40=O23),$BS$41:$CA$49)),0)</f>
        <v>0</v>
      </c>
      <c r="K44" s="3">
        <f t="array" aca="1" ref="K44" ca="1">IF(O20=C20,SUM(IF(($BR$41:$BR$49=C20)*($BS$40:$CA$40=O$24),$BS$41:$CA$49)),0)</f>
        <v>0</v>
      </c>
      <c r="L44" s="3">
        <f t="array" aca="1" ref="L44" ca="1">IF(O20=C20,SUM(IF(($BR$41:$BR$49=C20)*($BS$40:$CA$40=O$25),$BS$41:$CA$49)),0)</f>
        <v>0</v>
      </c>
      <c r="M44" s="5">
        <f t="array" aca="1" ref="M44" ca="1">IF(P20=C20,SUM(IF(($BR$41:$BR$49=C20)*($BS$40:$CA$40=P17),$BS$41:$CA$49)),0)</f>
        <v>0</v>
      </c>
      <c r="N44" s="3">
        <f t="array" aca="1" ref="N44" ca="1">IF(P20=C20,SUM(IF(($BR$41:$BR$49=C20)*($BS$40:$CA$40=P18),$BS$41:$CA$49)),0)</f>
        <v>0</v>
      </c>
      <c r="O44" s="3">
        <f t="array" aca="1" ref="O44" ca="1">IF(P20=C20,SUM(IF(($BR$41:$BR$49=C20)*($BS$40:$CA$40=P19),$BS$41:$CA$49)),0)</f>
        <v>0</v>
      </c>
      <c r="P44" s="3">
        <f t="array" aca="1" ref="P44" ca="1">IF(P20=C20,SUM(IF(($BR$41:$BR$49=C20)*($BS$40:$CA$40=P21),$BS$41:$CA$49)),0)</f>
        <v>0</v>
      </c>
      <c r="Q44" s="3">
        <f t="array" aca="1" ref="Q44" ca="1">IF(P20=C20,SUM(IF(($BR$41:$BR$49=C20)*($BS$40:$CA$40=P22),$BS$41:$CA$49)),0)</f>
        <v>0</v>
      </c>
      <c r="R44" s="3">
        <f t="array" aca="1" ref="R44" ca="1">IF(P20=C20,SUM(IF(($BR$41:$BR$49=C20)*($BS$40:$CA$40=P23),$BS$41:$CA$49)),0)</f>
        <v>0</v>
      </c>
      <c r="S44" s="3">
        <f t="array" aca="1" ref="S44" ca="1">IF(P20=C20,SUM(IF(($BR$41:$BR$49=C20)*($BS$40:$CA$40=P$24),$BS$41:$CA$49)),0)</f>
        <v>0</v>
      </c>
      <c r="T44" s="3">
        <f t="array" aca="1" ref="T44" ca="1">IF(P20=C20,SUM(IF(($BR$41:$BR$49=C20)*($BS$40:$CA$40=P$25),$BS$41:$CA$49)),0)</f>
        <v>0</v>
      </c>
      <c r="U44" s="5">
        <f t="array" aca="1" ref="U44" ca="1">IF(Q20=C20,SUM(IF(($BR$41:$BR$49=C20)*($BS$40:$CA$40=Q17),$BS$41:$CA$49)),0)</f>
        <v>0</v>
      </c>
      <c r="V44" s="3">
        <f t="array" aca="1" ref="V44" ca="1">IF(Q20=C20,SUM(IF(($BR$41:$BR$49=C20)*($BS$40:$CA$40=Q18),$BS$41:$CA$49)),0)</f>
        <v>0</v>
      </c>
      <c r="W44" s="3">
        <f t="array" aca="1" ref="W44" ca="1">IF(Q20=C20,SUM(IF(($BR$41:$BR$49=C20)*($BS$40:$CA$40=Q19),$BS$41:$CA$49)),0)</f>
        <v>0</v>
      </c>
      <c r="X44" s="3">
        <f t="array" aca="1" ref="X44" ca="1">IF(Q20=C20,SUM(IF(($BR$41:$BR$49=C20)*($BS$40:$CA$40=Q21),$BS$41:$CA$49)),0)</f>
        <v>0</v>
      </c>
      <c r="Y44" s="3">
        <f t="array" aca="1" ref="Y44" ca="1">IF(Q20=C20,SUM(IF(($BR$41:$BR$49=C20)*($BS$40:$CA$40=Q22),$BS$41:$CA$49)),0)</f>
        <v>0</v>
      </c>
      <c r="Z44" s="3">
        <f t="array" aca="1" ref="Z44" ca="1">IF(Q20=C20,SUM(IF(($BR$41:$BR$49=C20)*($BS$40:$CA$40=Q23),$BS$41:$CA$49)),0)</f>
        <v>0</v>
      </c>
      <c r="AA44" s="3">
        <f t="array" aca="1" ref="AA44" ca="1">IF(Q20=C20,SUM(IF(($BR$41:$BR$49=C20)*($BS$40:$CA$40=Q$24),$BS$41:$CA$49)),0)</f>
        <v>0</v>
      </c>
      <c r="AB44" s="3">
        <f t="array" aca="1" ref="AB44" ca="1">IF(Q20=C20,SUM(IF(($BR$41:$BR$49=C20)*($BS$40:$CA$40=Q$25),$BS$41:$CA$49)),0)</f>
        <v>0</v>
      </c>
      <c r="AC44" s="5">
        <f t="array" aca="1" ref="AC44" ca="1">IF(R20=C20,SUM(IF(($BR$41:$BR$49=C20)*($BS$40:$CA$40=R17),$BS$41:$CA$49)),0)</f>
        <v>0</v>
      </c>
      <c r="AD44" s="3">
        <f t="array" aca="1" ref="AD44" ca="1">IF(R20=C20,SUM(IF(($BR$41:$BR$49=C20)*($BS$40:$CA$40=R18),$BS$41:$CA$49)),0)</f>
        <v>0</v>
      </c>
      <c r="AE44" s="3">
        <f t="array" aca="1" ref="AE44" ca="1">IF(R20=C20,SUM(IF(($BR$41:$BR$49=C20)*($BS$40:$CA$40=R19),$BS$41:$CA$49)),0)</f>
        <v>0</v>
      </c>
      <c r="AF44" s="3">
        <f t="array" aca="1" ref="AF44" ca="1">IF(R20=C20,SUM(IF(($BR$41:$BR$49=C20)*($BS$40:$CA$40=R21),$BS$41:$CA$49)),0)</f>
        <v>0</v>
      </c>
      <c r="AG44" s="3">
        <f t="array" aca="1" ref="AG44" ca="1">IF(R20=C20,SUM(IF(($BR$41:$BR$49=C20)*($BS$40:$CA$40=R22),$BS$41:$CA$49)),0)</f>
        <v>0</v>
      </c>
      <c r="AH44" s="3">
        <f t="array" aca="1" ref="AH44" ca="1">IF(R20=C20,SUM(IF(($BR$41:$BR$49=C20)*($BS$40:$CA$40=R23),$BS$41:$CA$49)),0)</f>
        <v>0</v>
      </c>
      <c r="AI44" s="3">
        <f t="array" aca="1" ref="AI44" ca="1">IF(R20=C20,SUM(IF(($BR$41:$BR$49=C20)*($BS$40:$CA$40=R$24),$BS$41:$CA$49)),0)</f>
        <v>0</v>
      </c>
      <c r="AJ44" s="3">
        <f t="array" aca="1" ref="AJ44" ca="1">IF(R20=C20,SUM(IF(($BR$41:$BR$49=C20)*($BS$40:$CA$40=R$25),$BS$41:$CA$49)),0)</f>
        <v>0</v>
      </c>
      <c r="AK44" s="5">
        <f t="array" aca="1" ref="AK44" ca="1">IF(S20=C20,SUM(IF(($BR$41:$BR$49=C20)*($BS$40:$CA$40=S17),$BS$41:$CA$49)),0)</f>
        <v>0</v>
      </c>
      <c r="AL44" s="3">
        <f t="array" aca="1" ref="AL44" ca="1">IF(S20=C20,SUM(IF(($BR$41:$BR$49=C20)*($BS$40:$CA$40=S18),$BS$41:$CA$49)),0)</f>
        <v>0</v>
      </c>
      <c r="AM44" s="3">
        <f t="array" aca="1" ref="AM44" ca="1">IF(S20=C20,SUM(IF(($BR$41:$BR$49=C20)*($BS$40:$CA$40=S19),$BS$41:$CA$49)),0)</f>
        <v>0</v>
      </c>
      <c r="AN44" s="3">
        <f t="array" aca="1" ref="AN44" ca="1">IF(S20=C20,SUM(IF(($BR$41:$BR$49=C20)*($BS$40:$CA$40=S21),$BS$41:$CA$49)),0)</f>
        <v>0</v>
      </c>
      <c r="AO44" s="3">
        <f t="array" aca="1" ref="AO44" ca="1">IF(S20=C20,SUM(IF(($BR$41:$BR$49=C20)*($BS$40:$CA$40=S22),$BS$41:$CA$49)),0)</f>
        <v>0</v>
      </c>
      <c r="AP44" s="3">
        <f t="array" aca="1" ref="AP44" ca="1">IF(S20=C20,SUM(IF(($BR$41:$BR$49=C20)*($BS$40:$CA$40=S23),$BS$41:$CA$49)),0)</f>
        <v>0</v>
      </c>
      <c r="AQ44" s="3">
        <f t="array" aca="1" ref="AQ44" ca="1">IF(S20=C20,SUM(IF(($BR$41:$BR$49=C20)*($BS$40:$CA$40=S$24),$BS$41:$CA$49)),0)</f>
        <v>0</v>
      </c>
      <c r="AR44" s="3">
        <f t="array" aca="1" ref="AR44" ca="1">IF(S20=C20,SUM(IF(($BR$41:$BR$49=C20)*($BS$40:$CA$40=S$25),$BS$41:$CA$49)),0)</f>
        <v>0</v>
      </c>
      <c r="AS44" s="5">
        <f t="array" aca="1" ref="AS44" ca="1">IF(T20=C20,SUM(IF(($BR$41:$BR$49=C20)*($BS$40:$CA$40=T17),$BS$41:$CA$49)),0)</f>
        <v>0</v>
      </c>
      <c r="AT44" s="3">
        <f t="array" aca="1" ref="AT44" ca="1">IF(T20=C20,SUM(IF(($BR$41:$BR$49=C20)*($BS$40:$CA$40=T18),$BS$41:$CA$49)),0)</f>
        <v>0</v>
      </c>
      <c r="AU44" s="3">
        <f t="array" aca="1" ref="AU44" ca="1">IF(T20=C20,SUM(IF(($BR$41:$BR$49=C20)*($BS$40:$CA$40=T19),$BS$41:$CA$49)),0)</f>
        <v>0</v>
      </c>
      <c r="AV44" s="3">
        <f t="array" aca="1" ref="AV44" ca="1">IF(T20=C20,SUM(IF(($BR$41:$BR$49=C20)*($BS$40:$CA$40=T21),$BS$41:$CA$49)),0)</f>
        <v>0</v>
      </c>
      <c r="AW44" s="3">
        <f t="array" aca="1" ref="AW44" ca="1">IF(T20=C20,SUM(IF(($BR$41:$BR$49=C20)*($BS$40:$CA$40=T22),$BS$41:$CA$49)),0)</f>
        <v>0</v>
      </c>
      <c r="AX44" s="3">
        <f t="array" aca="1" ref="AX44" ca="1">IF(T20=C20,SUM(IF(($BR$41:$BR$49=C20)*($BS$40:$CA$40=T23),$BS$41:$CA$49)),0)</f>
        <v>0</v>
      </c>
      <c r="AY44" s="3">
        <f t="array" aca="1" ref="AY44" ca="1">IF(T20=C20,SUM(IF(($BR$41:$BR$49=C20)*($BS$40:$CA$40=T$24),$BS$41:$CA$49)),0)</f>
        <v>0</v>
      </c>
      <c r="AZ44" s="3">
        <f t="array" aca="1" ref="AZ44" ca="1">IF(T20=C20,SUM(IF(($BR$41:$BR$49=C20)*($BS$40:$CA$40=T$25),$BS$41:$CA$49)),0)</f>
        <v>0</v>
      </c>
      <c r="BA44" s="5">
        <f t="array" aca="1" ref="BA44" ca="1">IF(U20=C20,SUM(IF(($BR$41:$BR$49=C20)*($BS$40:$CA$40=U$17),$BS$41:$CA$49)),0)</f>
        <v>0</v>
      </c>
      <c r="BB44" s="3">
        <f t="array" aca="1" ref="BB44" ca="1">IF(U20=C20,SUM(IF(($BR$41:$BR$49=C20)*($BS$40:$CA$40=U$18),$BS$41:$CA$49)),0)</f>
        <v>0</v>
      </c>
      <c r="BC44" s="3">
        <f t="array" aca="1" ref="BC44" ca="1">IF(U20=C20,SUM(IF(($BR$41:$BR$49=C20)*($BS$40:$CA$40=U$19),$BS$41:$CA$49)),0)</f>
        <v>0</v>
      </c>
      <c r="BD44" s="3">
        <f t="array" aca="1" ref="BD44" ca="1">IF(U20=C20,SUM(IF(($BR$41:$BR$49=C20)*($BS$40:$CA$40=U$21),$BS$41:$CA$49)),0)</f>
        <v>0</v>
      </c>
      <c r="BE44" s="3">
        <f t="array" aca="1" ref="BE44" ca="1">IF(U20=C20,SUM(IF(($BR$41:$BR$49=C20)*($BS$40:$CA$40=U$22),$BS$41:$CA$49)),0)</f>
        <v>0</v>
      </c>
      <c r="BF44" s="3">
        <f t="array" aca="1" ref="BF44" ca="1">IF(U20=C20,SUM(IF(($BR$41:$BR$49=C20)*($BS$40:$CA$40=U$23),$BS$41:$CA$49)),0)</f>
        <v>0</v>
      </c>
      <c r="BG44" s="3">
        <f t="array" aca="1" ref="BG44" ca="1">IF(U20=C20,SUM(IF(($BR$41:$BR$49=C20)*($BS$40:$CA$40=U$24),$BS$41:$CA$49)),0)</f>
        <v>0</v>
      </c>
      <c r="BH44" s="3">
        <f t="array" aca="1" ref="BH44" ca="1">IF(U20=C20,SUM(IF(($BR$41:$BR$49=C20)*($BS$40:$CA$40=U$25),$BS$41:$CA$49)),0)</f>
        <v>0</v>
      </c>
      <c r="BI44" s="5">
        <f t="array" aca="1" ref="BI44" ca="1">IF(V20=C20,SUM(IF(($BR$41:$BR$49=C20)*($BS$40:$CA$40=V$18),$BS$41:$CA$49)),0)</f>
        <v>0</v>
      </c>
      <c r="BJ44" s="3">
        <f t="array" aca="1" ref="BJ44" ca="1">IF(V20=C20,SUM(IF(($BR$41:$BR$49=C20)*($BS$40:$CA$40=V$19),$BS$41:$CA$49)),0)</f>
        <v>0</v>
      </c>
      <c r="BK44" s="3">
        <f t="array" aca="1" ref="BK44" ca="1">IF(V20=C20,SUM(IF(($BR$41:$BR$49=C20)*($BS$40:$CA$40=V$20),$BS$41:$CA$49)),0)</f>
        <v>0</v>
      </c>
      <c r="BL44" s="3">
        <f t="array" aca="1" ref="BL44" ca="1">IF(V20=C20,SUM(IF(($BR$41:$BR$49=C20)*($BS$40:$CA$40=V$21),$BS$41:$CA$49)),0)</f>
        <v>0</v>
      </c>
      <c r="BM44" s="3">
        <f t="array" aca="1" ref="BM44" ca="1">IF(V20=C20,SUM(IF(($BR$41:$BR$49=C20)*($BS$40:$CA$40=V$22),$BS$41:$CA$49)),0)</f>
        <v>0</v>
      </c>
      <c r="BN44" s="3">
        <f t="array" aca="1" ref="BN44" ca="1">IF(V20=C20,SUM(IF(($BR$41:$BR$49=C20)*($BS$40:$CA$40=V$23),$BS$41:$CA$49)),0)</f>
        <v>0</v>
      </c>
      <c r="BO44" s="3">
        <f t="array" aca="1" ref="BO44" ca="1">IF(V20=C20,SUM(IF(($BR$41:$BR$49=C20)*($BS$40:$CA$40=V$24),$BS$41:$CA$49)),0)</f>
        <v>0</v>
      </c>
      <c r="BP44" s="15">
        <f t="array" aca="1" ref="BP44" ca="1">IF(V20=C20,SUM(IF(($BR$41:$BR$49=C20)*($BS$40:$CA$40=V$25),$BS$41:$CA$49)),0)</f>
        <v>0</v>
      </c>
      <c r="BQ44" s="3"/>
      <c r="BR44" s="2" t="str">
        <f t="shared" si="38"/>
        <v/>
      </c>
      <c r="BS44" s="8">
        <f ca="1">IF(BV41="","",-1*BV41)</f>
        <v>0</v>
      </c>
      <c r="BT44" s="8">
        <f ca="1">IF(BV42="","",-1*BV42)</f>
        <v>0</v>
      </c>
      <c r="BU44" s="8">
        <f ca="1">IF(BV43="","",-1*BV43)</f>
        <v>0</v>
      </c>
      <c r="BV44" s="6"/>
      <c r="BW44" s="7">
        <f ca="1">BW33-BV34</f>
        <v>0</v>
      </c>
      <c r="BX44" s="7">
        <f ca="1">BX33-BV35</f>
        <v>0</v>
      </c>
      <c r="BY44" s="7">
        <f ca="1">BY33-BV36</f>
        <v>0</v>
      </c>
      <c r="BZ44" s="7">
        <f ca="1">BZ33-BV37</f>
        <v>0</v>
      </c>
      <c r="CA44" s="7">
        <f ca="1">CA33-BV38</f>
        <v>0</v>
      </c>
      <c r="CB44" s="3"/>
    </row>
    <row r="45" spans="2:80" s="2" customFormat="1" x14ac:dyDescent="0.2">
      <c r="E45" s="14">
        <f t="array" aca="1" ref="E45" ca="1">IF(O21=C21,SUM(IF(($BR$41:$BR$49=C21)*($BS$40:$CA$40=O17),$BS$41:$CA$49)),0)</f>
        <v>0</v>
      </c>
      <c r="F45" s="3">
        <f t="array" aca="1" ref="F45" ca="1">IF(O21=C21,SUM(IF(($BR$41:$BR$49=C21)*($BS$40:$CA$40=O18),$BS$41:$CA$49)),0)</f>
        <v>0</v>
      </c>
      <c r="G45" s="3">
        <f t="array" aca="1" ref="G45" ca="1">IF(O21=C21,SUM(IF(($BR$41:$BR$49=C21)*($BS$40:$CA$40=O19),$BS$41:$CA$49)),0)</f>
        <v>0</v>
      </c>
      <c r="H45" s="3">
        <f t="array" aca="1" ref="H45" ca="1">IF(O21=C21,SUM(IF(($BR$41:$BR$49=C21)*($BS$40:$CA$40=O20),$BS$41:$CA$49)),0)</f>
        <v>0</v>
      </c>
      <c r="I45" s="3">
        <f t="array" aca="1" ref="I45" ca="1">IF(O21=C21,SUM(IF(($BR$41:$BR$49=C21)*($BS$40:$CA$40=O22),$BS$41:$CA$49)),0)</f>
        <v>0</v>
      </c>
      <c r="J45" s="3">
        <f t="array" aca="1" ref="J45" ca="1">IF(O21=C21,SUM(IF(($BR$41:$BR$49=C21)*($BS$40:$CA$40=O23),$BS$41:$CA$49)),0)</f>
        <v>0</v>
      </c>
      <c r="K45" s="3">
        <f t="array" aca="1" ref="K45" ca="1">IF(O21=C21,SUM(IF(($BR$41:$BR$49=C21)*($BS$40:$CA$40=O$24),$BS$41:$CA$49)),0)</f>
        <v>0</v>
      </c>
      <c r="L45" s="3">
        <f t="array" aca="1" ref="L45" ca="1">IF(O21=C21,SUM(IF(($BR$41:$BR$49=C21)*($BS$40:$CA$40=O$25),$BS$41:$CA$49)),0)</f>
        <v>0</v>
      </c>
      <c r="M45" s="5">
        <f t="array" aca="1" ref="M45" ca="1">IF(P21=C21,SUM(IF(($BR$41:$BR$49=C21)*($BS$40:$CA$40=P17),$BS$41:$CA$49)),0)</f>
        <v>0</v>
      </c>
      <c r="N45" s="3">
        <f t="array" aca="1" ref="N45" ca="1">IF(P21=C21,SUM(IF(($BR$41:$BR$49=C21)*($BS$40:$CA$40=P18),$BS$41:$CA$49)),0)</f>
        <v>0</v>
      </c>
      <c r="O45" s="3">
        <f t="array" aca="1" ref="O45" ca="1">IF(P21=C21,SUM(IF(($BR$41:$BR$49=C21)*($BS$40:$CA$40=P19),$BS$41:$CA$49)),0)</f>
        <v>0</v>
      </c>
      <c r="P45" s="3">
        <f t="array" aca="1" ref="P45" ca="1">IF(P21=C21,SUM(IF(($BR$41:$BR$49=C21)*($BS$40:$CA$40=P20),$BS$41:$CA$49)),0)</f>
        <v>0</v>
      </c>
      <c r="Q45" s="3">
        <f t="array" aca="1" ref="Q45" ca="1">IF(P21=C21,SUM(IF(($BR$41:$BR$49=C21)*($BS$40:$CA$40=P22),$BS$41:$CA$49)),0)</f>
        <v>0</v>
      </c>
      <c r="R45" s="3">
        <f t="array" aca="1" ref="R45" ca="1">IF(P21=C21,SUM(IF(($BR$41:$BR$49=C21)*($BS$40:$CA$40=P23),$BS$41:$CA$49)),0)</f>
        <v>0</v>
      </c>
      <c r="S45" s="3">
        <f t="array" aca="1" ref="S45" ca="1">IF(P21=C21,SUM(IF(($BR$41:$BR$49=C21)*($BS$40:$CA$40=P$24),$BS$41:$CA$49)),0)</f>
        <v>0</v>
      </c>
      <c r="T45" s="3">
        <f t="array" aca="1" ref="T45" ca="1">IF(P21=C21,SUM(IF(($BR$41:$BR$49=C21)*($BS$40:$CA$40=P$25),$BS$41:$CA$49)),0)</f>
        <v>0</v>
      </c>
      <c r="U45" s="5">
        <f t="array" aca="1" ref="U45" ca="1">IF(Q21=C21,SUM(IF(($BR$41:$BR$49=C21)*($BS$40:$CA$40=Q17),$BS$41:$CA$49)),0)</f>
        <v>0</v>
      </c>
      <c r="V45" s="3">
        <f t="array" aca="1" ref="V45" ca="1">IF(Q21=C21,SUM(IF(($BR$41:$BR$49=C21)*($BS$40:$CA$40=Q18),$BS$41:$CA$49)),0)</f>
        <v>0</v>
      </c>
      <c r="W45" s="3">
        <f t="array" aca="1" ref="W45" ca="1">IF(Q21=C21,SUM(IF(($BR$41:$BR$49=C21)*($BS$40:$CA$40=Q19),$BS$41:$CA$49)),0)</f>
        <v>0</v>
      </c>
      <c r="X45" s="3">
        <f t="array" aca="1" ref="X45" ca="1">IF(Q21=C21,SUM(IF(($BR$41:$BR$49=C21)*($BS$40:$CA$40=Q20),$BS$41:$CA$49)),0)</f>
        <v>0</v>
      </c>
      <c r="Y45" s="3">
        <f t="array" aca="1" ref="Y45" ca="1">IF(Q21=C21,SUM(IF(($BR$41:$BR$49=C21)*($BS$40:$CA$40=Q22),$BS$41:$CA$49)),0)</f>
        <v>0</v>
      </c>
      <c r="Z45" s="3">
        <f t="array" aca="1" ref="Z45" ca="1">IF(Q21=C21,SUM(IF(($BR$41:$BR$49=C21)*($BS$40:$CA$40=Q23),$BS$41:$CA$49)),0)</f>
        <v>0</v>
      </c>
      <c r="AA45" s="3">
        <f t="array" aca="1" ref="AA45" ca="1">IF(Q21=C21,SUM(IF(($BR$41:$BR$49=C21)*($BS$40:$CA$40=Q$24),$BS$41:$CA$49)),0)</f>
        <v>0</v>
      </c>
      <c r="AB45" s="3">
        <f t="array" aca="1" ref="AB45" ca="1">IF(Q21=C21,SUM(IF(($BR$41:$BR$49=C21)*($BS$40:$CA$40=Q$25),$BS$41:$CA$49)),0)</f>
        <v>0</v>
      </c>
      <c r="AC45" s="5">
        <f t="array" aca="1" ref="AC45" ca="1">IF(R21=C21,SUM(IF(($BR$41:$BR$49=C21)*($BS$40:$CA$40=R17),$BS$41:$CA$49)),0)</f>
        <v>0</v>
      </c>
      <c r="AD45" s="3">
        <f t="array" aca="1" ref="AD45" ca="1">IF(R21=C21,SUM(IF(($BR$41:$BR$49=C21)*($BS$40:$CA$40=R18),$BS$41:$CA$49)),0)</f>
        <v>0</v>
      </c>
      <c r="AE45" s="3">
        <f t="array" aca="1" ref="AE45" ca="1">IF(R21=C21,SUM(IF(($BR$41:$BR$49=C21)*($BS$40:$CA$40=R19),$BS$41:$CA$49)),0)</f>
        <v>0</v>
      </c>
      <c r="AF45" s="3">
        <f t="array" aca="1" ref="AF45" ca="1">IF(R21=C21,SUM(IF(($BR$41:$BR$49=C21)*($BS$40:$CA$40=R20),$BS$41:$CA$49)),0)</f>
        <v>0</v>
      </c>
      <c r="AG45" s="3">
        <f t="array" aca="1" ref="AG45" ca="1">IF(R21=C21,SUM(IF(($BR$41:$BR$49=C21)*($BS$40:$CA$40=R22),$BS$41:$CA$49)),0)</f>
        <v>0</v>
      </c>
      <c r="AH45" s="3">
        <f t="array" aca="1" ref="AH45" ca="1">IF(R21=C21,SUM(IF(($BR$41:$BR$49=C21)*($BS$40:$CA$40=R23),$BS$41:$CA$49)),0)</f>
        <v>0</v>
      </c>
      <c r="AI45" s="3">
        <f t="array" aca="1" ref="AI45" ca="1">IF(R21=C21,SUM(IF(($BR$41:$BR$49=C21)*($BS$40:$CA$40=R$24),$BS$41:$CA$49)),0)</f>
        <v>0</v>
      </c>
      <c r="AJ45" s="3">
        <f t="array" aca="1" ref="AJ45" ca="1">IF(R21=C21,SUM(IF(($BR$41:$BR$49=C21)*($BS$40:$CA$40=R$25),$BS$41:$CA$49)),0)</f>
        <v>0</v>
      </c>
      <c r="AK45" s="5">
        <f t="array" aca="1" ref="AK45" ca="1">IF(S21=C21,SUM(IF(($BR$41:$BR$49=C21)*($BS$40:$CA$40=S17),$BS$41:$CA$49)),0)</f>
        <v>0</v>
      </c>
      <c r="AL45" s="3">
        <f t="array" aca="1" ref="AL45" ca="1">IF(S21=C21,SUM(IF(($BR$41:$BR$49=C21)*($BS$40:$CA$40=S18),$BS$41:$CA$49)),0)</f>
        <v>0</v>
      </c>
      <c r="AM45" s="3">
        <f t="array" aca="1" ref="AM45" ca="1">IF(S21=C21,SUM(IF(($BR$41:$BR$49=C21)*($BS$40:$CA$40=S19),$BS$41:$CA$49)),0)</f>
        <v>0</v>
      </c>
      <c r="AN45" s="3">
        <f t="array" aca="1" ref="AN45" ca="1">IF(S21=C21,SUM(IF(($BR$41:$BR$49=C21)*($BS$40:$CA$40=S20),$BS$41:$CA$49)),0)</f>
        <v>0</v>
      </c>
      <c r="AO45" s="3">
        <f t="array" aca="1" ref="AO45" ca="1">IF(S21=C21,SUM(IF(($BR$41:$BR$49=C21)*($BS$40:$CA$40=S22),$BS$41:$CA$49)),0)</f>
        <v>0</v>
      </c>
      <c r="AP45" s="3">
        <f t="array" aca="1" ref="AP45" ca="1">IF(S21=C21,SUM(IF(($BR$41:$BR$49=C21)*($BS$40:$CA$40=S23),$BS$41:$CA$49)),0)</f>
        <v>0</v>
      </c>
      <c r="AQ45" s="3">
        <f t="array" aca="1" ref="AQ45" ca="1">IF(S21=C21,SUM(IF(($BR$41:$BR$49=C21)*($BS$40:$CA$40=S$24),$BS$41:$CA$49)),0)</f>
        <v>0</v>
      </c>
      <c r="AR45" s="3">
        <f t="array" aca="1" ref="AR45" ca="1">IF(S21=C21,SUM(IF(($BR$41:$BR$49=C21)*($BS$40:$CA$40=S$25),$BS$41:$CA$49)),0)</f>
        <v>0</v>
      </c>
      <c r="AS45" s="5">
        <f t="array" aca="1" ref="AS45" ca="1">IF(T21=C21,SUM(IF(($BR$41:$BR$49=C21)*($BS$40:$CA$40=T17),$BS$41:$CA$49)),0)</f>
        <v>0</v>
      </c>
      <c r="AT45" s="3">
        <f t="array" aca="1" ref="AT45" ca="1">IF(T21=C21,SUM(IF(($BR$41:$BR$49=C21)*($BS$40:$CA$40=T18),$BS$41:$CA$49)),0)</f>
        <v>0</v>
      </c>
      <c r="AU45" s="3">
        <f t="array" aca="1" ref="AU45" ca="1">IF(T21=C21,SUM(IF(($BR$41:$BR$49=C21)*($BS$40:$CA$40=T19),$BS$41:$CA$49)),0)</f>
        <v>0</v>
      </c>
      <c r="AV45" s="3">
        <f t="array" aca="1" ref="AV45" ca="1">IF(T21=C21,SUM(IF(($BR$41:$BR$49=C21)*($BS$40:$CA$40=T20),$BS$41:$CA$49)),0)</f>
        <v>0</v>
      </c>
      <c r="AW45" s="3">
        <f t="array" aca="1" ref="AW45" ca="1">IF(T21=C21,SUM(IF(($BR$41:$BR$49=C21)*($BS$40:$CA$40=T22),$BS$41:$CA$49)),0)</f>
        <v>0</v>
      </c>
      <c r="AX45" s="3">
        <f t="array" aca="1" ref="AX45" ca="1">IF(T21=C21,SUM(IF(($BR$41:$BR$49=C21)*($BS$40:$CA$40=T23),$BS$41:$CA$49)),0)</f>
        <v>0</v>
      </c>
      <c r="AY45" s="3">
        <f t="array" aca="1" ref="AY45" ca="1">IF(T21=C21,SUM(IF(($BR$41:$BR$49=C21)*($BS$40:$CA$40=T$24),$BS$41:$CA$49)),0)</f>
        <v>0</v>
      </c>
      <c r="AZ45" s="3">
        <f t="array" aca="1" ref="AZ45" ca="1">IF(T21=C21,SUM(IF(($BR$41:$BR$49=C21)*($BS$40:$CA$40=T$25),$BS$41:$CA$49)),0)</f>
        <v>0</v>
      </c>
      <c r="BA45" s="5">
        <f t="array" aca="1" ref="BA45" ca="1">IF(U21=C21,SUM(IF(($BR$41:$BR$49=C21)*($BS$40:$CA$40=U$17),$BS$41:$CA$49)),0)</f>
        <v>0</v>
      </c>
      <c r="BB45" s="3">
        <f t="array" aca="1" ref="BB45" ca="1">IF(U21=C21,SUM(IF(($BR$41:$BR$49=C21)*($BS$40:$CA$40=U$18),$BS$41:$CA$49)),0)</f>
        <v>0</v>
      </c>
      <c r="BC45" s="3">
        <f t="array" aca="1" ref="BC45" ca="1">IF(U21=C21,SUM(IF(($BR$41:$BR$49=C21)*($BS$40:$CA$40=U$19),$BS$41:$CA$49)),0)</f>
        <v>0</v>
      </c>
      <c r="BD45" s="3">
        <f t="array" aca="1" ref="BD45" ca="1">IF(U21=C21,SUM(IF(($BR$41:$BR$49=C21)*($BS$40:$CA$40=U$20),$BS$41:$CA$49)),0)</f>
        <v>0</v>
      </c>
      <c r="BE45" s="3">
        <f t="array" aca="1" ref="BE45" ca="1">IF(U21=C21,SUM(IF(($BR$41:$BR$49=C21)*($BS$40:$CA$40=U$22),$BS$41:$CA$49)),0)</f>
        <v>0</v>
      </c>
      <c r="BF45" s="3">
        <f t="array" aca="1" ref="BF45" ca="1">IF(U21=C21,SUM(IF(($BR$41:$BR$49=C21)*($BS$40:$CA$40=U$23),$BS$41:$CA$49)),0)</f>
        <v>0</v>
      </c>
      <c r="BG45" s="3">
        <f t="array" aca="1" ref="BG45" ca="1">IF(U21=C21,SUM(IF(($BR$41:$BR$49=C21)*($BS$40:$CA$40=U$24),$BS$41:$CA$49)),0)</f>
        <v>0</v>
      </c>
      <c r="BH45" s="3">
        <f t="array" aca="1" ref="BH45" ca="1">IF(U21=C21,SUM(IF(($BR$41:$BR$49=C21)*($BS$40:$CA$40=U$25),$BS$41:$CA$49)),0)</f>
        <v>0</v>
      </c>
      <c r="BI45" s="5">
        <f t="array" aca="1" ref="BI45" ca="1">IF(V21=C21,SUM(IF(($BR$41:$BR$49=C21)*($BS$40:$CA$40=V$18),$BS$41:$CA$49)),0)</f>
        <v>0</v>
      </c>
      <c r="BJ45" s="3">
        <f t="array" aca="1" ref="BJ45" ca="1">IF(V21=C21,SUM(IF(($BR$41:$BR$49=C21)*($BS$40:$CA$40=V$19),$BS$41:$CA$49)),0)</f>
        <v>0</v>
      </c>
      <c r="BK45" s="3">
        <f t="array" aca="1" ref="BK45" ca="1">IF(V21=C21,SUM(IF(($BR$41:$BR$49=C21)*($BS$40:$CA$40=V$20),$BS$41:$CA$49)),0)</f>
        <v>0</v>
      </c>
      <c r="BL45" s="3">
        <f t="array" aca="1" ref="BL45" ca="1">IF(V21=C21,SUM(IF(($BR$41:$BR$49=C21)*($BS$40:$CA$40=V$21),$BS$41:$CA$49)),0)</f>
        <v>0</v>
      </c>
      <c r="BM45" s="3">
        <f t="array" aca="1" ref="BM45" ca="1">IF(V21=C21,SUM(IF(($BR$41:$BR$49=C21)*($BS$40:$CA$40=V$22),$BS$41:$CA$49)),0)</f>
        <v>0</v>
      </c>
      <c r="BN45" s="3">
        <f t="array" aca="1" ref="BN45" ca="1">IF(V21=C21,SUM(IF(($BR$41:$BR$49=C21)*($BS$40:$CA$40=V$23),$BS$41:$CA$49)),0)</f>
        <v>0</v>
      </c>
      <c r="BO45" s="3">
        <f t="array" aca="1" ref="BO45" ca="1">IF(V21=C21,SUM(IF(($BR$41:$BR$49=C21)*($BS$40:$CA$40=V$24),$BS$41:$CA$49)),0)</f>
        <v>0</v>
      </c>
      <c r="BP45" s="15">
        <f t="array" aca="1" ref="BP45" ca="1">IF(V21=C21,SUM(IF(($BR$41:$BR$49=C21)*($BS$40:$CA$40=V$25),$BS$41:$CA$49)),0)</f>
        <v>0</v>
      </c>
      <c r="BQ45" s="3"/>
      <c r="BR45" s="2" t="str">
        <f t="shared" si="38"/>
        <v/>
      </c>
      <c r="BS45" s="8">
        <f ca="1">IF(BW41="","",-1*BW41)</f>
        <v>0</v>
      </c>
      <c r="BT45" s="8">
        <f ca="1">IF(BW42="","",-1*BW42)</f>
        <v>0</v>
      </c>
      <c r="BU45" s="8">
        <f ca="1">IF(BW43="","",-1*BW43)</f>
        <v>0</v>
      </c>
      <c r="BV45" s="8">
        <f ca="1">IF(BW44="","",-1*BW44)</f>
        <v>0</v>
      </c>
      <c r="BW45" s="6"/>
      <c r="BX45" s="7">
        <f ca="1">BX34-BW35</f>
        <v>0</v>
      </c>
      <c r="BY45" s="7">
        <f ca="1">BY34-BW36</f>
        <v>0</v>
      </c>
      <c r="BZ45" s="7">
        <f ca="1">BZ34-BW37</f>
        <v>0</v>
      </c>
      <c r="CA45" s="7">
        <f ca="1">CA34-BW38</f>
        <v>0</v>
      </c>
      <c r="CB45" s="3"/>
    </row>
    <row r="46" spans="2:80" s="2" customFormat="1" x14ac:dyDescent="0.2">
      <c r="E46" s="14">
        <f t="array" aca="1" ref="E46" ca="1">IF(O22=C22,SUM(IF(($BR$41:$BR$49=C22)*($BS$40:$CA$40=O17),$BS$41:$CA$49)),0)</f>
        <v>0</v>
      </c>
      <c r="F46" s="3">
        <f t="array" aca="1" ref="F46" ca="1">IF(O22=C22,SUM(IF(($BR$41:$BR$49=C22)*($BS$40:$CA$40=O18),$BS$41:$CA$49)),0)</f>
        <v>0</v>
      </c>
      <c r="G46" s="3">
        <f t="array" aca="1" ref="G46" ca="1">IF(O22=C22,SUM(IF(($BR$41:$BR$49=C22)*($BS$40:$CA$40=O19),$BS$41:$CA$49)),0)</f>
        <v>0</v>
      </c>
      <c r="H46" s="3">
        <f t="array" aca="1" ref="H46" ca="1">IF(O22=C22,SUM(IF(($BR$41:$BR$49=C22)*($BS$40:$CA$40=O20),$BS$41:$CA$49)),0)</f>
        <v>0</v>
      </c>
      <c r="I46" s="3">
        <f t="array" aca="1" ref="I46" ca="1">IF(O22=C22,SUM(IF(($BR$41:$BR$49=C22)*($BS$40:$CA$40=O21),$BS$41:$CA$49)),0)</f>
        <v>0</v>
      </c>
      <c r="J46" s="3">
        <f t="array" aca="1" ref="J46" ca="1">IF(O22=C22,SUM(IF(($BR$41:$BR$49=C22)*($BS$40:$CA$40=O23),$BS$41:$CA$49)),0)</f>
        <v>0</v>
      </c>
      <c r="K46" s="3">
        <f t="array" aca="1" ref="K46" ca="1">IF(O22=C22,SUM(IF(($BR$41:$BR$49=C22)*($BS$40:$CA$40=O$24),$BS$41:$CA$49)),0)</f>
        <v>0</v>
      </c>
      <c r="L46" s="3">
        <f t="array" aca="1" ref="L46" ca="1">IF(O22=C22,SUM(IF(($BR$41:$BR$49=C22)*($BS$40:$CA$40=O$25),$BS$41:$CA$49)),0)</f>
        <v>0</v>
      </c>
      <c r="M46" s="5">
        <f t="array" aca="1" ref="M46" ca="1">IF(P22=C22,SUM(IF(($BR$41:$BR$49=C22)*($BS$40:$CA$40=P17),$BS$41:$CA$49)),0)</f>
        <v>0</v>
      </c>
      <c r="N46" s="3">
        <f t="array" aca="1" ref="N46" ca="1">IF(P22=C22,SUM(IF(($BR$41:$BR$49=C22)*($BS$40:$CA$40=P18),$BS$41:$CA$49)),0)</f>
        <v>0</v>
      </c>
      <c r="O46" s="3">
        <f t="array" aca="1" ref="O46" ca="1">IF(P22=C22,SUM(IF(($BR$41:$BR$49=C22)*($BS$40:$CA$40=P19),$BS$41:$CA$49)),0)</f>
        <v>0</v>
      </c>
      <c r="P46" s="3">
        <f t="array" aca="1" ref="P46" ca="1">IF(P22=C22,SUM(IF(($BR$41:$BR$49=C22)*($BS$40:$CA$40=P20),$BS$41:$CA$49)),0)</f>
        <v>0</v>
      </c>
      <c r="Q46" s="3">
        <f t="array" aca="1" ref="Q46" ca="1">IF(P22=C22,SUM(IF(($BR$41:$BR$49=C22)*($BS$40:$CA$40=P21),$BS$41:$CA$49)),0)</f>
        <v>0</v>
      </c>
      <c r="R46" s="3">
        <f t="array" aca="1" ref="R46" ca="1">IF(P22=C22,SUM(IF(($BR$41:$BR$49=C22)*($BS$40:$CA$40=P23),$BS$41:$CA$49)),0)</f>
        <v>0</v>
      </c>
      <c r="S46" s="3">
        <f t="array" aca="1" ref="S46" ca="1">IF(P22=C22,SUM(IF(($BR$41:$BR$49=C22)*($BS$40:$CA$40=P$24),$BS$41:$CA$49)),0)</f>
        <v>0</v>
      </c>
      <c r="T46" s="3">
        <f t="array" aca="1" ref="T46" ca="1">IF(P22=C22,SUM(IF(($BR$41:$BR$49=C22)*($BS$40:$CA$40=P$25),$BS$41:$CA$49)),0)</f>
        <v>0</v>
      </c>
      <c r="U46" s="5">
        <f t="array" aca="1" ref="U46" ca="1">IF(Q22=C22,SUM(IF(($BR$41:$BR$49=C22)*($BS$40:$CA$40=Q17),$BS$41:$CA$49)),0)</f>
        <v>0</v>
      </c>
      <c r="V46" s="3">
        <f t="array" aca="1" ref="V46" ca="1">IF(Q22=C22,SUM(IF(($BR$41:$BR$49=C22)*($BS$40:$CA$40=Q18),$BS$41:$CA$49)),0)</f>
        <v>0</v>
      </c>
      <c r="W46" s="3">
        <f t="array" aca="1" ref="W46" ca="1">IF(Q22=C22,SUM(IF(($BR$41:$BR$49=C22)*($BS$40:$CA$40=Q19),$BS$41:$CA$49)),0)</f>
        <v>0</v>
      </c>
      <c r="X46" s="3">
        <f t="array" aca="1" ref="X46" ca="1">IF(Q22=C22,SUM(IF(($BR$41:$BR$49=C22)*($BS$40:$CA$40=Q20),$BS$41:$CA$49)),0)</f>
        <v>0</v>
      </c>
      <c r="Y46" s="3">
        <f t="array" aca="1" ref="Y46" ca="1">IF(Q22=C22,SUM(IF(($BR$41:$BR$49=C22)*($BS$40:$CA$40=Q21),$BS$41:$CA$49)),0)</f>
        <v>0</v>
      </c>
      <c r="Z46" s="3">
        <f t="array" aca="1" ref="Z46" ca="1">IF(Q22=C22,SUM(IF(($BR$41:$BR$49=C22)*($BS$40:$CA$40=Q23),$BS$41:$CA$49)),0)</f>
        <v>0</v>
      </c>
      <c r="AA46" s="3">
        <f t="array" aca="1" ref="AA46" ca="1">IF(Q22=C22,SUM(IF(($BR$41:$BR$49=C22)*($BS$40:$CA$40=Q$24),$BS$41:$CA$49)),0)</f>
        <v>0</v>
      </c>
      <c r="AB46" s="3">
        <f t="array" aca="1" ref="AB46" ca="1">IF(Q22=C22,SUM(IF(($BR$41:$BR$49=C22)*($BS$40:$CA$40=Q$25),$BS$41:$CA$49)),0)</f>
        <v>0</v>
      </c>
      <c r="AC46" s="5">
        <f t="array" aca="1" ref="AC46" ca="1">IF(R22=C22,SUM(IF(($BR$41:$BR$49=C22)*($BS$40:$CA$40=R17),$BS$41:$CA$49)),0)</f>
        <v>0</v>
      </c>
      <c r="AD46" s="3">
        <f t="array" aca="1" ref="AD46" ca="1">IF(R22=C22,SUM(IF(($BR$41:$BR$49=C22)*($BS$40:$CA$40=R18),$BS$41:$CA$49)),0)</f>
        <v>0</v>
      </c>
      <c r="AE46" s="3">
        <f t="array" aca="1" ref="AE46" ca="1">IF(R22=C22,SUM(IF(($BR$41:$BR$49=C22)*($BS$40:$CA$40=R19),$BS$41:$CA$49)),0)</f>
        <v>0</v>
      </c>
      <c r="AF46" s="3">
        <f t="array" aca="1" ref="AF46" ca="1">IF(R22=C22,SUM(IF(($BR$41:$BR$49=C22)*($BS$40:$CA$40=R20),$BS$41:$CA$49)),0)</f>
        <v>0</v>
      </c>
      <c r="AG46" s="3">
        <f t="array" aca="1" ref="AG46" ca="1">IF(R22=C22,SUM(IF(($BR$41:$BR$49=C22)*($BS$40:$CA$40=R21),$BS$41:$CA$49)),0)</f>
        <v>0</v>
      </c>
      <c r="AH46" s="3">
        <f t="array" aca="1" ref="AH46" ca="1">IF(R22=C22,SUM(IF(($BR$41:$BR$49=C22)*($BS$40:$CA$40=R23),$BS$41:$CA$49)),0)</f>
        <v>0</v>
      </c>
      <c r="AI46" s="3">
        <f t="array" aca="1" ref="AI46" ca="1">IF(R22=C22,SUM(IF(($BR$41:$BR$49=C22)*($BS$40:$CA$40=R$24),$BS$41:$CA$49)),0)</f>
        <v>0</v>
      </c>
      <c r="AJ46" s="3">
        <f t="array" aca="1" ref="AJ46" ca="1">IF(R22=C22,SUM(IF(($BR$41:$BR$49=C22)*($BS$40:$CA$40=R$25),$BS$41:$CA$49)),0)</f>
        <v>0</v>
      </c>
      <c r="AK46" s="5">
        <f t="array" aca="1" ref="AK46" ca="1">IF(S22=C22,SUM(IF(($BR$41:$BR$49=C22)*($BS$40:$CA$40=S17),$BS$41:$CA$49)),0)</f>
        <v>0</v>
      </c>
      <c r="AL46" s="3">
        <f t="array" aca="1" ref="AL46" ca="1">IF(S22=C22,SUM(IF(($BR$41:$BR$49=C22)*($BS$40:$CA$40=S18),$BS$41:$CA$49)),0)</f>
        <v>0</v>
      </c>
      <c r="AM46" s="3">
        <f t="array" aca="1" ref="AM46" ca="1">IF(S22=C22,SUM(IF(($BR$41:$BR$49=C22)*($BS$40:$CA$40=S19),$BS$41:$CA$49)),0)</f>
        <v>0</v>
      </c>
      <c r="AN46" s="3">
        <f t="array" aca="1" ref="AN46" ca="1">IF(S22=C22,SUM(IF(($BR$41:$BR$49=C22)*($BS$40:$CA$40=S20),$BS$41:$CA$49)),0)</f>
        <v>0</v>
      </c>
      <c r="AO46" s="3">
        <f t="array" aca="1" ref="AO46" ca="1">IF(S22=C22,SUM(IF(($BR$41:$BR$49=C22)*($BS$40:$CA$40=S21),$BS$41:$CA$49)),0)</f>
        <v>0</v>
      </c>
      <c r="AP46" s="3">
        <f t="array" aca="1" ref="AP46" ca="1">IF(S22=C22,SUM(IF(($BR$41:$BR$49=C22)*($BS$40:$CA$40=S23),$BS$41:$CA$49)),0)</f>
        <v>0</v>
      </c>
      <c r="AQ46" s="3">
        <f t="array" aca="1" ref="AQ46" ca="1">IF(S22=C22,SUM(IF(($BR$41:$BR$49=C22)*($BS$40:$CA$40=S$24),$BS$41:$CA$49)),0)</f>
        <v>0</v>
      </c>
      <c r="AR46" s="3">
        <f t="array" aca="1" ref="AR46" ca="1">IF(S22=C22,SUM(IF(($BR$41:$BR$49=C22)*($BS$40:$CA$40=S$25),$BS$41:$CA$49)),0)</f>
        <v>0</v>
      </c>
      <c r="AS46" s="5">
        <f t="array" aca="1" ref="AS46" ca="1">IF(T22=C22,SUM(IF(($BR$41:$BR$49=C22)*($BS$40:$CA$40=T17),$BS$41:$CA$49)),0)</f>
        <v>0</v>
      </c>
      <c r="AT46" s="3">
        <f t="array" aca="1" ref="AT46" ca="1">IF(T22=C22,SUM(IF(($BR$41:$BR$49=C22)*($BS$40:$CA$40=T18),$BS$41:$CA$49)),0)</f>
        <v>0</v>
      </c>
      <c r="AU46" s="3">
        <f t="array" aca="1" ref="AU46" ca="1">IF(T22=C22,SUM(IF(($BR$41:$BR$49=C22)*($BS$40:$CA$40=T19),$BS$41:$CA$49)),0)</f>
        <v>0</v>
      </c>
      <c r="AV46" s="3">
        <f t="array" aca="1" ref="AV46" ca="1">IF(T22=C22,SUM(IF(($BR$41:$BR$49=C22)*($BS$40:$CA$40=T20),$BS$41:$CA$49)),0)</f>
        <v>0</v>
      </c>
      <c r="AW46" s="3">
        <f t="array" aca="1" ref="AW46" ca="1">IF(T22=C22,SUM(IF(($BR$41:$BR$49=C22)*($BS$40:$CA$40=T21),$BS$41:$CA$49)),0)</f>
        <v>0</v>
      </c>
      <c r="AX46" s="3">
        <f t="array" aca="1" ref="AX46" ca="1">IF(T22=C22,SUM(IF(($BR$41:$BR$49=C22)*($BS$40:$CA$40=T23),$BS$41:$CA$49)),0)</f>
        <v>0</v>
      </c>
      <c r="AY46" s="3">
        <f t="array" aca="1" ref="AY46" ca="1">IF(T22=C22,SUM(IF(($BR$41:$BR$49=C22)*($BS$40:$CA$40=T$24),$BS$41:$CA$49)),0)</f>
        <v>0</v>
      </c>
      <c r="AZ46" s="3">
        <f t="array" aca="1" ref="AZ46" ca="1">IF(T22=C22,SUM(IF(($BR$41:$BR$49=C22)*($BS$40:$CA$40=T$25),$BS$41:$CA$49)),0)</f>
        <v>0</v>
      </c>
      <c r="BA46" s="5">
        <f t="array" aca="1" ref="BA46" ca="1">IF(U22=C22,SUM(IF(($BR$41:$BR$49=C22)*($BS$40:$CA$40=U$17),$BS$41:$CA$49)),0)</f>
        <v>0</v>
      </c>
      <c r="BB46" s="3">
        <f t="array" aca="1" ref="BB46" ca="1">IF(U22=C22,SUM(IF(($BR$41:$BR$49=C22)*($BS$40:$CA$40=U$18),$BS$41:$CA$49)),0)</f>
        <v>0</v>
      </c>
      <c r="BC46" s="3">
        <f t="array" aca="1" ref="BC46" ca="1">IF(U22=C22,SUM(IF(($BR$41:$BR$49=C22)*($BS$40:$CA$40=U$19),$BS$41:$CA$49)),0)</f>
        <v>0</v>
      </c>
      <c r="BD46" s="3">
        <f t="array" aca="1" ref="BD46" ca="1">IF(U22=C22,SUM(IF(($BR$41:$BR$49=C22)*($BS$40:$CA$40=U$20),$BS$41:$CA$49)),0)</f>
        <v>0</v>
      </c>
      <c r="BE46" s="3">
        <f t="array" aca="1" ref="BE46" ca="1">IF(U22=C22,SUM(IF(($BR$41:$BR$49=C22)*($BS$40:$CA$40=U$21),$BS$41:$CA$49)),0)</f>
        <v>0</v>
      </c>
      <c r="BF46" s="3">
        <f t="array" aca="1" ref="BF46" ca="1">IF(U22=C22,SUM(IF(($BR$41:$BR$49=C22)*($BS$40:$CA$40=U$23),$BS$41:$CA$49)),0)</f>
        <v>0</v>
      </c>
      <c r="BG46" s="3">
        <f t="array" aca="1" ref="BG46" ca="1">IF(U22=C22,SUM(IF(($BR$41:$BR$49=C22)*($BS$40:$CA$40=U$24),$BS$41:$CA$49)),0)</f>
        <v>0</v>
      </c>
      <c r="BH46" s="3">
        <f t="array" aca="1" ref="BH46" ca="1">IF(U22=C22,SUM(IF(($BR$41:$BR$49=C22)*($BS$40:$CA$40=U$25),$BS$41:$CA$49)),0)</f>
        <v>0</v>
      </c>
      <c r="BI46" s="5">
        <f t="array" aca="1" ref="BI46" ca="1">IF(V22=C22,SUM(IF(($BR$41:$BR$49=C22)*($BS$40:$CA$40=V$18),$BS$41:$CA$49)),0)</f>
        <v>0</v>
      </c>
      <c r="BJ46" s="3">
        <f t="array" aca="1" ref="BJ46" ca="1">IF(V22=C22,SUM(IF(($BR$41:$BR$49=C22)*($BS$40:$CA$40=V$19),$BS$41:$CA$49)),0)</f>
        <v>0</v>
      </c>
      <c r="BK46" s="3">
        <f t="array" aca="1" ref="BK46" ca="1">IF(V22=C22,SUM(IF(($BR$41:$BR$49=C22)*($BS$40:$CA$40=V$20),$BS$41:$CA$49)),0)</f>
        <v>0</v>
      </c>
      <c r="BL46" s="3">
        <f t="array" aca="1" ref="BL46" ca="1">IF(V22=C22,SUM(IF(($BR$41:$BR$49=C22)*($BS$40:$CA$40=V$21),$BS$41:$CA$49)),0)</f>
        <v>0</v>
      </c>
      <c r="BM46" s="3">
        <f t="array" aca="1" ref="BM46" ca="1">IF(V22=C22,SUM(IF(($BR$41:$BR$49=C22)*($BS$40:$CA$40=V$22),$BS$41:$CA$49)),0)</f>
        <v>0</v>
      </c>
      <c r="BN46" s="3">
        <f t="array" aca="1" ref="BN46" ca="1">IF(V22=C22,SUM(IF(($BR$41:$BR$49=C22)*($BS$40:$CA$40=V$23),$BS$41:$CA$49)),0)</f>
        <v>0</v>
      </c>
      <c r="BO46" s="3">
        <f t="array" aca="1" ref="BO46" ca="1">IF(V22=C22,SUM(IF(($BR$41:$BR$49=C22)*($BS$40:$CA$40=V$24),$BS$41:$CA$49)),0)</f>
        <v>0</v>
      </c>
      <c r="BP46" s="15">
        <f t="array" aca="1" ref="BP46" ca="1">IF(V22=C22,SUM(IF(($BR$41:$BR$49=C22)*($BS$40:$CA$40=V$25),$BS$41:$CA$49)),0)</f>
        <v>0</v>
      </c>
      <c r="BQ46" s="3"/>
      <c r="BR46" s="2" t="str">
        <f t="shared" si="38"/>
        <v/>
      </c>
      <c r="BS46" s="8">
        <f ca="1">IF(BX41="","",-1*BX41)</f>
        <v>0</v>
      </c>
      <c r="BT46" s="8">
        <f ca="1">IF(BX42="","",-1*BX42)</f>
        <v>0</v>
      </c>
      <c r="BU46" s="8">
        <f ca="1">IF(BX43="","",-1*BX43)</f>
        <v>0</v>
      </c>
      <c r="BV46" s="8">
        <f ca="1">IF(BX44="","",-1*BX44)</f>
        <v>0</v>
      </c>
      <c r="BW46" s="8">
        <f ca="1">IF(BX45="","",-1*BX45)</f>
        <v>0</v>
      </c>
      <c r="BX46" s="6"/>
      <c r="BY46" s="7">
        <f ca="1">BY35-BX36</f>
        <v>0</v>
      </c>
      <c r="BZ46" s="7">
        <f ca="1">BZ35-BX37</f>
        <v>0</v>
      </c>
      <c r="CA46" s="7">
        <f ca="1">CA35-BX38</f>
        <v>0</v>
      </c>
      <c r="CB46" s="3"/>
    </row>
    <row r="47" spans="2:80" s="2" customFormat="1" x14ac:dyDescent="0.2">
      <c r="E47" s="14">
        <f t="array" aca="1" ref="E47" ca="1">IF(O23=C23,SUM(IF(($BR$41:$BR$49=C23)*($BS$40:$CA$40=O$17),$BS$41:$CA$49)),0)</f>
        <v>0</v>
      </c>
      <c r="F47" s="3">
        <f t="array" aca="1" ref="F47" ca="1">IF(O23=C23,SUM(IF(($BR$41:$BR$49=C23)*($BS$40:$CA$40=O$18),$BS$41:$CA$49)),0)</f>
        <v>0</v>
      </c>
      <c r="G47" s="3">
        <f t="array" aca="1" ref="G47" ca="1">IF(O23=C23,SUM(IF(($BR$41:$BR$49=C23)*($BS$40:$CA$40=O$19),$BS$41:$CA$49)),0)</f>
        <v>0</v>
      </c>
      <c r="H47" s="3">
        <f t="array" aca="1" ref="H47" ca="1">IF(O23=C23,SUM(IF(($BR$41:$BR$49=C23)*($BS$40:$CA$40=O$20),$BS$41:$CA$49)),0)</f>
        <v>0</v>
      </c>
      <c r="I47" s="3">
        <f t="array" aca="1" ref="I47" ca="1">IF(O23=C23,SUM(IF(($BR$41:$BR$49=C23)*($BS$40:$CA$40=O$21),$BS$41:$CA$49)),0)</f>
        <v>0</v>
      </c>
      <c r="J47" s="3">
        <f t="array" aca="1" ref="J47" ca="1">IF(O23=C23,SUM(IF(($BR$41:$BR$49=C23)*($BS$40:$CA$40=O$22),$BS$41:$CA$49)),0)</f>
        <v>0</v>
      </c>
      <c r="K47" s="3">
        <f t="array" aca="1" ref="K47" ca="1">IF(O23=C23,SUM(IF(($BR$41:$BR$49=C23)*($BS$40:$CA$40=O$24),$BS$41:$CA$49)),0)</f>
        <v>0</v>
      </c>
      <c r="L47" s="3">
        <f t="array" aca="1" ref="L47" ca="1">IF(O23=C23,SUM(IF(($BR$41:$BR$49=C23)*($BS$40:$CA$40=O$25),$BS$41:$CA$49)),0)</f>
        <v>0</v>
      </c>
      <c r="M47" s="5">
        <f t="array" aca="1" ref="M47" ca="1">IF(P23=C23,SUM(IF(($BR$41:$BR$49=C23)*($BS$40:$CA$40=P$17),$BS$41:$CA$49)),0)</f>
        <v>0</v>
      </c>
      <c r="N47" s="3">
        <f t="array" aca="1" ref="N47" ca="1">IF(P23=C23,SUM(IF(($BR$41:$BR$49=C23)*($BS$40:$CA$40=P$18),$BS$41:$CA$49)),0)</f>
        <v>0</v>
      </c>
      <c r="O47" s="3">
        <f t="array" aca="1" ref="O47" ca="1">IF(P23=C23,SUM(IF(($BR$41:$BR$49=C23)*($BS$40:$CA$40=P$19),$BS$41:$CA$49)),0)</f>
        <v>0</v>
      </c>
      <c r="P47" s="3">
        <f t="array" aca="1" ref="P47" ca="1">IF(P23=C23,SUM(IF(($BR$41:$BR$49=C23)*($BS$40:$CA$40=P$20),$BS$41:$CA$49)),0)</f>
        <v>0</v>
      </c>
      <c r="Q47" s="3">
        <f t="array" aca="1" ref="Q47" ca="1">IF(P23=C23,SUM(IF(($BR$41:$BR$49=C23)*($BS$40:$CA$40=P$21),$BS$41:$CA$49)),0)</f>
        <v>0</v>
      </c>
      <c r="R47" s="3">
        <f t="array" aca="1" ref="R47" ca="1">IF(P23=C23,SUM(IF(($BR$41:$BR$49=C23)*($BS$40:$CA$40=P$22),$BS$41:$CA$49)),0)</f>
        <v>0</v>
      </c>
      <c r="S47" s="3">
        <f t="array" aca="1" ref="S47" ca="1">IF(P23=C23,SUM(IF(($BR$41:$BR$49=C23)*($BS$40:$CA$40=P$24),$BS$41:$CA$49)),0)</f>
        <v>0</v>
      </c>
      <c r="T47" s="3">
        <f t="array" aca="1" ref="T47" ca="1">IF(P23=C23,SUM(IF(($BR$41:$BR$49=C23)*($BS$40:$CA$40=P$25),$BS$41:$CA$49)),0)</f>
        <v>0</v>
      </c>
      <c r="U47" s="5">
        <f t="array" aca="1" ref="U47" ca="1">IF(Q23=C23,SUM(IF(($BR$41:$BR$49=C23)*($BS$40:$CA$40=Q$17),$BS$41:$CA$49)),0)</f>
        <v>0</v>
      </c>
      <c r="V47" s="3">
        <f t="array" aca="1" ref="V47" ca="1">IF(Q23=C23,SUM(IF(($BR$41:$BR$49=C23)*($BS$40:$CA$40=Q$18),$BS$41:$CA$49)),0)</f>
        <v>0</v>
      </c>
      <c r="W47" s="3">
        <f t="array" aca="1" ref="W47" ca="1">IF(Q23=C23,SUM(IF(($BR$41:$BR$49=C23)*($BS$40:$CA$40=Q$19),$BS$41:$CA$49)),0)</f>
        <v>0</v>
      </c>
      <c r="X47" s="3">
        <f t="array" aca="1" ref="X47" ca="1">IF(Q23=C23,SUM(IF(($BR$41:$BR$49=C23)*($BS$40:$CA$40=Q$20),$BS$41:$CA$49)),0)</f>
        <v>0</v>
      </c>
      <c r="Y47" s="3">
        <f t="array" aca="1" ref="Y47" ca="1">IF(Q23=C23,SUM(IF(($BR$41:$BR$49=C23)*($BS$40:$CA$40=Q$21),$BS$41:$CA$49)),0)</f>
        <v>0</v>
      </c>
      <c r="Z47" s="3">
        <f t="array" aca="1" ref="Z47" ca="1">IF(Q23=C23,SUM(IF(($BR$41:$BR$49=C23)*($BS$40:$CA$40=Q$22),$BS$41:$CA$49)),0)</f>
        <v>0</v>
      </c>
      <c r="AA47" s="3">
        <f t="array" aca="1" ref="AA47" ca="1">IF(Q23=C23,SUM(IF(($BR$41:$BR$49=C23)*($BS$40:$CA$40=Q$24),$BS$41:$CA$49)),0)</f>
        <v>0</v>
      </c>
      <c r="AB47" s="3">
        <f t="array" aca="1" ref="AB47" ca="1">IF(Q23=C23,SUM(IF(($BR$41:$BR$49=C23)*($BS$40:$CA$40=Q$25),$BS$41:$CA$49)),0)</f>
        <v>0</v>
      </c>
      <c r="AC47" s="5">
        <f t="array" aca="1" ref="AC47" ca="1">IF(R23=C23,SUM(IF(($BR$41:$BR$49=C23)*($BS$40:$CA$40=R$17),$BS$41:$CA$49)),0)</f>
        <v>0</v>
      </c>
      <c r="AD47" s="3">
        <f t="array" aca="1" ref="AD47" ca="1">IF(R23=C23,SUM(IF(($BR$41:$BR$49=C23)*($BS$40:$CA$40=R$18),$BS$41:$CA$49)),0)</f>
        <v>0</v>
      </c>
      <c r="AE47" s="3">
        <f t="array" aca="1" ref="AE47" ca="1">IF(R23=C23,SUM(IF(($BR$41:$BR$49=C23)*($BS$40:$CA$40=R$19),$BS$41:$CA$49)),0)</f>
        <v>0</v>
      </c>
      <c r="AF47" s="3">
        <f t="array" aca="1" ref="AF47" ca="1">IF(R23=C23,SUM(IF(($BR$41:$BR$49=C23)*($BS$40:$CA$40=R$20),$BS$41:$CA$49)),0)</f>
        <v>0</v>
      </c>
      <c r="AG47" s="3">
        <f t="array" aca="1" ref="AG47" ca="1">IF(R23=C23,SUM(IF(($BR$41:$BR$49=C23)*($BS$40:$CA$40=R$21),$BS$41:$CA$49)),0)</f>
        <v>0</v>
      </c>
      <c r="AH47" s="3">
        <f t="array" aca="1" ref="AH47" ca="1">IF(R23=C23,SUM(IF(($BR$41:$BR$49=C23)*($BS$40:$CA$40=R$22),$BS$41:$CA$49)),0)</f>
        <v>0</v>
      </c>
      <c r="AI47" s="3">
        <f t="array" aca="1" ref="AI47" ca="1">IF(R23=C23,SUM(IF(($BR$41:$BR$49=C23)*($BS$40:$CA$40=R$24),$BS$41:$CA$49)),0)</f>
        <v>0</v>
      </c>
      <c r="AJ47" s="3">
        <f t="array" aca="1" ref="AJ47" ca="1">IF(R23=C23,SUM(IF(($BR$41:$BR$49=C23)*($BS$40:$CA$40=R$25),$BS$41:$CA$49)),0)</f>
        <v>0</v>
      </c>
      <c r="AK47" s="5">
        <f t="array" aca="1" ref="AK47" ca="1">IF(S23=C23,SUM(IF(($BR$41:$BR$49=C23)*($BS$40:$CA$40=S$17),$BS$41:$CA$49)),0)</f>
        <v>0</v>
      </c>
      <c r="AL47" s="3">
        <f t="array" aca="1" ref="AL47" ca="1">IF(S23=C23,SUM(IF(($BR$41:$BR$49=C23)*($BS$40:$CA$40=S$18),$BS$41:$CA$49)),0)</f>
        <v>0</v>
      </c>
      <c r="AM47" s="3">
        <f t="array" aca="1" ref="AM47" ca="1">IF(S23=C23,SUM(IF(($BR$41:$BR$49=C23)*($BS$40:$CA$40=S$19),$BS$41:$CA$49)),0)</f>
        <v>0</v>
      </c>
      <c r="AN47" s="3">
        <f t="array" aca="1" ref="AN47" ca="1">IF(S23=C23,SUM(IF(($BR$41:$BR$49=C23)*($BS$40:$CA$40=S$20),$BS$41:$CA$49)),0)</f>
        <v>0</v>
      </c>
      <c r="AO47" s="3">
        <f t="array" aca="1" ref="AO47" ca="1">IF(S23=C23,SUM(IF(($BR$41:$BR$49=C23)*($BS$40:$CA$40=S$21),$BS$41:$CA$49)),0)</f>
        <v>0</v>
      </c>
      <c r="AP47" s="3">
        <f t="array" aca="1" ref="AP47" ca="1">IF(S23=C23,SUM(IF(($BR$41:$BR$49=C23)*($BS$40:$CA$40=S$22),$BS$41:$CA$49)),0)</f>
        <v>0</v>
      </c>
      <c r="AQ47" s="3">
        <f t="array" aca="1" ref="AQ47" ca="1">IF(S23=C23,SUM(IF(($BR$41:$BR$49=C23)*($BS$40:$CA$40=S$24),$BS$41:$CA$49)),0)</f>
        <v>0</v>
      </c>
      <c r="AR47" s="3">
        <f t="array" aca="1" ref="AR47" ca="1">IF(S23=C23,SUM(IF(($BR$41:$BR$49=C23)*($BS$40:$CA$40=S$25),$BS$41:$CA$49)),0)</f>
        <v>0</v>
      </c>
      <c r="AS47" s="5">
        <f t="array" aca="1" ref="AS47" ca="1">IF(T23=C23,SUM(IF(($BR$41:$BR$49=C23)*($BS$40:$CA$40=T$17),$BS$41:$CA$49)),0)</f>
        <v>0</v>
      </c>
      <c r="AT47" s="3">
        <f t="array" aca="1" ref="AT47" ca="1">IF(T23=C23,SUM(IF(($BR$41:$BR$49=C23)*($BS$40:$CA$40=T$18),$BS$41:$CA$49)),0)</f>
        <v>0</v>
      </c>
      <c r="AU47" s="3">
        <f t="array" aca="1" ref="AU47" ca="1">IF(T23=C23,SUM(IF(($BR$41:$BR$49=C23)*($BS$40:$CA$40=T$19),$BS$41:$CA$49)),0)</f>
        <v>0</v>
      </c>
      <c r="AV47" s="3">
        <f t="array" aca="1" ref="AV47" ca="1">IF(T23=C23,SUM(IF(($BR$41:$BR$49=C23)*($BS$40:$CA$40=T$20),$BS$41:$CA$49)),0)</f>
        <v>0</v>
      </c>
      <c r="AW47" s="3">
        <f t="array" aca="1" ref="AW47" ca="1">IF(T23=C23,SUM(IF(($BR$41:$BR$49=C23)*($BS$40:$CA$40=T$21),$BS$41:$CA$49)),0)</f>
        <v>0</v>
      </c>
      <c r="AX47" s="3">
        <f t="array" aca="1" ref="AX47" ca="1">IF(T23=C23,SUM(IF(($BR$41:$BR$49=C23)*($BS$40:$CA$40=T$22),$BS$41:$CA$49)),0)</f>
        <v>0</v>
      </c>
      <c r="AY47" s="3">
        <f t="array" aca="1" ref="AY47" ca="1">IF(T23=C23,SUM(IF(($BR$41:$BR$49=C23)*($BS$40:$CA$40=T$24),$BS$41:$CA$49)),0)</f>
        <v>0</v>
      </c>
      <c r="AZ47" s="3">
        <f t="array" aca="1" ref="AZ47" ca="1">IF(T23=C23,SUM(IF(($BR$41:$BR$49=C23)*($BS$40:$CA$40=T$25),$BS$41:$CA$49)),0)</f>
        <v>0</v>
      </c>
      <c r="BA47" s="5">
        <f t="array" aca="1" ref="BA47" ca="1">IF(U23=C23,SUM(IF(($BR$41:$BR$49=C23)*($BS$40:$CA$40=U$17),$BS$41:$CA$49)),0)</f>
        <v>0</v>
      </c>
      <c r="BB47" s="3">
        <f t="array" aca="1" ref="BB47" ca="1">IF(U23=C23,SUM(IF(($BR$41:$BR$49=C23)*($BS$40:$CA$40=U$18),$BS$41:$CA$49)),0)</f>
        <v>0</v>
      </c>
      <c r="BC47" s="3">
        <f t="array" aca="1" ref="BC47" ca="1">IF(U23=C23,SUM(IF(($BR$41:$BR$49=C23)*($BS$40:$CA$40=U$19),$BS$41:$CA$49)),0)</f>
        <v>0</v>
      </c>
      <c r="BD47" s="3">
        <f t="array" aca="1" ref="BD47" ca="1">IF(U23=C23,SUM(IF(($BR$41:$BR$49=C23)*($BS$40:$CA$40=U$20),$BS$41:$CA$49)),0)</f>
        <v>0</v>
      </c>
      <c r="BE47" s="3">
        <f t="array" aca="1" ref="BE47" ca="1">IF(U23=C23,SUM(IF(($BR$41:$BR$49=C23)*($BS$40:$CA$40=U$21),$BS$41:$CA$49)),0)</f>
        <v>0</v>
      </c>
      <c r="BF47" s="3">
        <f t="array" aca="1" ref="BF47" ca="1">IF(U23=C23,SUM(IF(($BR$41:$BR$49=C23)*($BS$40:$CA$40=U$22),$BS$41:$CA$49)),0)</f>
        <v>0</v>
      </c>
      <c r="BG47" s="3">
        <f t="array" aca="1" ref="BG47" ca="1">IF(U23=C23,SUM(IF(($BR$41:$BR$49=C23)*($BS$40:$CA$40=U$24),$BS$41:$CA$49)),0)</f>
        <v>0</v>
      </c>
      <c r="BH47" s="3">
        <f t="array" aca="1" ref="BH47" ca="1">IF(U23=C23,SUM(IF(($BR$41:$BR$49=C23)*($BS$40:$CA$40=U$25),$BS$41:$CA$49)),0)</f>
        <v>0</v>
      </c>
      <c r="BI47" s="5">
        <f t="array" aca="1" ref="BI47" ca="1">IF(V23=C23,SUM(IF(($BR$41:$BR$49=C23)*($BS$40:$CA$40=V$18),$BS$41:$CA$49)),0)</f>
        <v>0</v>
      </c>
      <c r="BJ47" s="3">
        <f t="array" aca="1" ref="BJ47" ca="1">IF(V23=C23,SUM(IF(($BR$41:$BR$49=C23)*($BS$40:$CA$40=V$19),$BS$41:$CA$49)),0)</f>
        <v>0</v>
      </c>
      <c r="BK47" s="3">
        <f t="array" aca="1" ref="BK47" ca="1">IF(V23=C23,SUM(IF(($BR$41:$BR$49=C23)*($BS$40:$CA$40=V$20),$BS$41:$CA$49)),0)</f>
        <v>0</v>
      </c>
      <c r="BL47" s="3">
        <f t="array" aca="1" ref="BL47" ca="1">IF(V23=C23,SUM(IF(($BR$41:$BR$49=C23)*($BS$40:$CA$40=V$21),$BS$41:$CA$49)),0)</f>
        <v>0</v>
      </c>
      <c r="BM47" s="3">
        <f t="array" aca="1" ref="BM47" ca="1">IF(V23=C23,SUM(IF(($BR$41:$BR$49=C23)*($BS$40:$CA$40=V$22),$BS$41:$CA$49)),0)</f>
        <v>0</v>
      </c>
      <c r="BN47" s="3">
        <f t="array" aca="1" ref="BN47" ca="1">IF(V23=C23,SUM(IF(($BR$41:$BR$49=C23)*($BS$40:$CA$40=V$23),$BS$41:$CA$49)),0)</f>
        <v>0</v>
      </c>
      <c r="BO47" s="3">
        <f t="array" aca="1" ref="BO47" ca="1">IF(V23=C23,SUM(IF(($BR$41:$BR$49=C23)*($BS$40:$CA$40=V$24),$BS$41:$CA$49)),0)</f>
        <v>0</v>
      </c>
      <c r="BP47" s="15">
        <f t="array" aca="1" ref="BP47" ca="1">IF(V23=C23,SUM(IF(($BR$41:$BR$49=C23)*($BS$40:$CA$40=V$25),$BS$41:$CA$49)),0)</f>
        <v>0</v>
      </c>
      <c r="BQ47" s="3"/>
      <c r="BR47" s="2" t="str">
        <f t="shared" si="38"/>
        <v/>
      </c>
      <c r="BS47" s="8">
        <f ca="1">IF(BY41="","",-1*BY41)</f>
        <v>0</v>
      </c>
      <c r="BT47" s="8">
        <f ca="1">IF(BY42="","",-1*BY42)</f>
        <v>0</v>
      </c>
      <c r="BU47" s="8">
        <f ca="1">IF(BY43="","",-1*BY43)</f>
        <v>0</v>
      </c>
      <c r="BV47" s="8">
        <f ca="1">IF(BY44="","",-1*BY44)</f>
        <v>0</v>
      </c>
      <c r="BW47" s="8">
        <f ca="1">IF(BY45="","",-1*BY45)</f>
        <v>0</v>
      </c>
      <c r="BX47" s="8">
        <f ca="1">IF(BY46="","",-1*BY46)</f>
        <v>0</v>
      </c>
      <c r="BY47" s="6"/>
      <c r="BZ47" s="7">
        <f ca="1">BZ36-BY37</f>
        <v>0</v>
      </c>
      <c r="CA47" s="7">
        <f ca="1">CA36-BY38</f>
        <v>0</v>
      </c>
      <c r="CB47" s="3"/>
    </row>
    <row r="48" spans="2:80" s="2" customFormat="1" x14ac:dyDescent="0.2">
      <c r="E48" s="14">
        <f t="array" aca="1" ref="E48" ca="1">IF(O24=C24,SUM(IF(($BR$41:$BR$49=C24)*($BS$40:$CA$40=O$17),$BS$41:$CA$49)),0)</f>
        <v>0</v>
      </c>
      <c r="F48" s="3">
        <f t="array" aca="1" ref="F48" ca="1">IF(O24=C24,SUM(IF(($BR$41:$BR$49=C24)*($BS$40:$CA$40=O$18),$BS$41:$CA$49)),0)</f>
        <v>0</v>
      </c>
      <c r="G48" s="3">
        <f t="array" aca="1" ref="G48" ca="1">IF(O24=C24,SUM(IF(($BR$41:$BR$49=C24)*($BS$40:$CA$40=O$19),$BS$41:$CA$49)),0)</f>
        <v>0</v>
      </c>
      <c r="H48" s="3">
        <f t="array" aca="1" ref="H48" ca="1">IF(O24=C24,SUM(IF(($BR$41:$BR$49=C24)*($BS$40:$CA$40=O$20),$BS$41:$CA$49)),0)</f>
        <v>0</v>
      </c>
      <c r="I48" s="3">
        <f t="array" aca="1" ref="I48" ca="1">IF(O24=C24,SUM(IF(($BR$41:$BR$49=C24)*($BS$40:$CA$40=O$21),$BS$41:$CA$49)),0)</f>
        <v>0</v>
      </c>
      <c r="J48" s="3">
        <f t="array" aca="1" ref="J48" ca="1">IF(O24=C24,SUM(IF(($BR$41:$BR$49=C24)*($BS$40:$CA$40=O$22),$BS$41:$CA$49)),0)</f>
        <v>0</v>
      </c>
      <c r="K48" s="3">
        <f t="array" aca="1" ref="K48" ca="1">IF(O24=C24,SUM(IF(($BR$41:$BR$49=C24)*($BS$40:$CA$40=O$23),$BS$41:$CA$49)),0)</f>
        <v>0</v>
      </c>
      <c r="L48" s="3">
        <f t="array" aca="1" ref="L48" ca="1">IF(O24=C24,SUM(IF(($BR$41:$BR$49=C24)*($BS$40:$CA$40=O$25),$BS$41:$CA$49)),0)</f>
        <v>0</v>
      </c>
      <c r="M48" s="5">
        <f t="array" aca="1" ref="M48" ca="1">IF(P24=C24,SUM(IF(($BR$41:$BR$49=C24)*($BS$40:$CA$40=P$17),$BS$41:$CA$49)),0)</f>
        <v>0</v>
      </c>
      <c r="N48" s="3">
        <f t="array" aca="1" ref="N48" ca="1">IF(P24=C24,SUM(IF(($BR$41:$BR$49=C24)*($BS$40:$CA$40=P$18),$BS$41:$CA$49)),0)</f>
        <v>0</v>
      </c>
      <c r="O48" s="3">
        <f t="array" aca="1" ref="O48" ca="1">IF(P24=C24,SUM(IF(($BR$41:$BR$49=C24)*($BS$40:$CA$40=P$19),$BS$41:$CA$49)),0)</f>
        <v>0</v>
      </c>
      <c r="P48" s="3">
        <f t="array" aca="1" ref="P48" ca="1">IF(P24=C24,SUM(IF(($BR$41:$BR$49=C24)*($BS$40:$CA$40=P$20),$BS$41:$CA$49)),0)</f>
        <v>0</v>
      </c>
      <c r="Q48" s="3">
        <f t="array" aca="1" ref="Q48" ca="1">IF(P24=C24,SUM(IF(($BR$41:$BR$49=C24)*($BS$40:$CA$40=P$21),$BS$41:$CA$49)),0)</f>
        <v>0</v>
      </c>
      <c r="R48" s="3">
        <f t="array" aca="1" ref="R48" ca="1">IF(P24=C24,SUM(IF(($BR$41:$BR$49=C24)*($BS$40:$CA$40=P$22),$BS$41:$CA$49)),0)</f>
        <v>0</v>
      </c>
      <c r="S48" s="3">
        <f t="array" aca="1" ref="S48" ca="1">IF(P24=C24,SUM(IF(($BR$41:$BR$49=C24)*($BS$40:$CA$40=P$23),$BS$41:$CA$49)),0)</f>
        <v>0</v>
      </c>
      <c r="T48" s="3">
        <f t="array" aca="1" ref="T48" ca="1">IF(P24=C24,SUM(IF(($BR$41:$BR$49=C24)*($BS$40:$CA$40=P$25),$BS$41:$CA$49)),0)</f>
        <v>0</v>
      </c>
      <c r="U48" s="5">
        <f t="array" aca="1" ref="U48" ca="1">IF(Q24=C24,SUM(IF(($BR$41:$BR$49=C24)*($BS$40:$CA$40=Q$17),$BS$41:$CA$49)),0)</f>
        <v>0</v>
      </c>
      <c r="V48" s="3">
        <f t="array" aca="1" ref="V48" ca="1">IF(Q24=C24,SUM(IF(($BR$41:$BR$49=C24)*($BS$40:$CA$40=Q$18),$BS$41:$CA$49)),0)</f>
        <v>0</v>
      </c>
      <c r="W48" s="3">
        <f t="array" aca="1" ref="W48" ca="1">IF(Q24=C24,SUM(IF(($BR$41:$BR$49=C24)*($BS$40:$CA$40=Q$19),$BS$41:$CA$49)),0)</f>
        <v>0</v>
      </c>
      <c r="X48" s="3">
        <f t="array" aca="1" ref="X48" ca="1">IF(Q24=C24,SUM(IF(($BR$41:$BR$49=C24)*($BS$40:$CA$40=Q$20),$BS$41:$CA$49)),0)</f>
        <v>0</v>
      </c>
      <c r="Y48" s="3">
        <f t="array" aca="1" ref="Y48" ca="1">IF(Q24=C24,SUM(IF(($BR$41:$BR$49=C24)*($BS$40:$CA$40=Q$21),$BS$41:$CA$49)),0)</f>
        <v>0</v>
      </c>
      <c r="Z48" s="3">
        <f t="array" aca="1" ref="Z48" ca="1">IF(Q24=C24,SUM(IF(($BR$41:$BR$49=C24)*($BS$40:$CA$40=Q$22),$BS$41:$CA$49)),0)</f>
        <v>0</v>
      </c>
      <c r="AA48" s="3">
        <f t="array" aca="1" ref="AA48" ca="1">IF(Q24=C24,SUM(IF(($BR$41:$BR$49=C24)*($BS$40:$CA$40=Q$23),$BS$41:$CA$49)),0)</f>
        <v>0</v>
      </c>
      <c r="AB48" s="3">
        <f t="array" aca="1" ref="AB48" ca="1">IF(Q24=C24,SUM(IF(($BR$41:$BR$49=C24)*($BS$40:$CA$40=Q$25),$BS$41:$CA$49)),0)</f>
        <v>0</v>
      </c>
      <c r="AC48" s="5">
        <f t="array" aca="1" ref="AC48" ca="1">IF(R24=C24,SUM(IF(($BR$41:$BR$49=C24)*($BS$40:$CA$40=R$17),$BS$41:$CA$49)),0)</f>
        <v>0</v>
      </c>
      <c r="AD48" s="3">
        <f t="array" aca="1" ref="AD48" ca="1">IF(R24=C24,SUM(IF(($BR$41:$BR$49=C24)*($BS$40:$CA$40=R$18),$BS$41:$CA$49)),0)</f>
        <v>0</v>
      </c>
      <c r="AE48" s="3">
        <f t="array" aca="1" ref="AE48" ca="1">IF(R24=C24,SUM(IF(($BR$41:$BR$49=C24)*($BS$40:$CA$40=R$19),$BS$41:$CA$49)),0)</f>
        <v>0</v>
      </c>
      <c r="AF48" s="3">
        <f t="array" aca="1" ref="AF48" ca="1">IF(R24=C24,SUM(IF(($BR$41:$BR$49=C24)*($BS$40:$CA$40=R$20),$BS$41:$CA$49)),0)</f>
        <v>0</v>
      </c>
      <c r="AG48" s="3">
        <f t="array" aca="1" ref="AG48" ca="1">IF(R24=C24,SUM(IF(($BR$41:$BR$49=C24)*($BS$40:$CA$40=R$21),$BS$41:$CA$49)),0)</f>
        <v>0</v>
      </c>
      <c r="AH48" s="3">
        <f t="array" aca="1" ref="AH48" ca="1">IF(R24=C24,SUM(IF(($BR$41:$BR$49=C24)*($BS$40:$CA$40=R$22),$BS$41:$CA$49)),0)</f>
        <v>0</v>
      </c>
      <c r="AI48" s="3">
        <f t="array" aca="1" ref="AI48" ca="1">IF(R24=C24,SUM(IF(($BR$41:$BR$49=C24)*($BS$40:$CA$40=R$23),$BS$41:$CA$49)),0)</f>
        <v>0</v>
      </c>
      <c r="AJ48" s="3">
        <f t="array" aca="1" ref="AJ48" ca="1">IF(R24=C24,SUM(IF(($BR$41:$BR$49=C24)*($BS$40:$CA$40=R$25),$BS$41:$CA$49)),0)</f>
        <v>0</v>
      </c>
      <c r="AK48" s="5">
        <f t="array" aca="1" ref="AK48" ca="1">IF(S24=C24,SUM(IF(($BR$41:$BR$49=C24)*($BS$40:$CA$40=S$17),$BS$41:$CA$49)),0)</f>
        <v>0</v>
      </c>
      <c r="AL48" s="3">
        <f t="array" aca="1" ref="AL48" ca="1">IF(S24=C24,SUM(IF(($BR$41:$BR$49=C24)*($BS$40:$CA$40=S$18),$BS$41:$CA$49)),0)</f>
        <v>0</v>
      </c>
      <c r="AM48" s="3">
        <f t="array" aca="1" ref="AM48" ca="1">IF(S24=C24,SUM(IF(($BR$41:$BR$49=C24)*($BS$40:$CA$40=S$19),$BS$41:$CA$49)),0)</f>
        <v>0</v>
      </c>
      <c r="AN48" s="3">
        <f t="array" aca="1" ref="AN48" ca="1">IF(S24=C24,SUM(IF(($BR$41:$BR$49=C24)*($BS$40:$CA$40=S$20),$BS$41:$CA$49)),0)</f>
        <v>0</v>
      </c>
      <c r="AO48" s="3">
        <f t="array" aca="1" ref="AO48" ca="1">IF(S24=C24,SUM(IF(($BR$41:$BR$49=C24)*($BS$40:$CA$40=S$21),$BS$41:$CA$49)),0)</f>
        <v>0</v>
      </c>
      <c r="AP48" s="3">
        <f t="array" aca="1" ref="AP48" ca="1">IF(S24=C24,SUM(IF(($BR$41:$BR$49=C24)*($BS$40:$CA$40=S$22),$BS$41:$CA$49)),0)</f>
        <v>0</v>
      </c>
      <c r="AQ48" s="3">
        <f t="array" aca="1" ref="AQ48" ca="1">IF(S24=C24,SUM(IF(($BR$41:$BR$49=C24)*($BS$40:$CA$40=S$23),$BS$41:$CA$49)),0)</f>
        <v>0</v>
      </c>
      <c r="AR48" s="3">
        <f t="array" aca="1" ref="AR48" ca="1">IF(S24=C24,SUM(IF(($BR$41:$BR$49=C24)*($BS$40:$CA$40=S$25),$BS$41:$CA$49)),0)</f>
        <v>0</v>
      </c>
      <c r="AS48" s="5">
        <f t="array" aca="1" ref="AS48" ca="1">IF(T24=C24,SUM(IF(($BR$41:$BR$49=C24)*($BS$40:$CA$40=T$17),$BS$41:$CA$49)),0)</f>
        <v>0</v>
      </c>
      <c r="AT48" s="3">
        <f t="array" aca="1" ref="AT48" ca="1">IF(T24=C24,SUM(IF(($BR$41:$BR$49=C24)*($BS$40:$CA$40=T$18),$BS$41:$CA$49)),0)</f>
        <v>0</v>
      </c>
      <c r="AU48" s="3">
        <f t="array" aca="1" ref="AU48" ca="1">IF(T24=C24,SUM(IF(($BR$41:$BR$49=C24)*($BS$40:$CA$40=T$19),$BS$41:$CA$49)),0)</f>
        <v>0</v>
      </c>
      <c r="AV48" s="3">
        <f t="array" aca="1" ref="AV48" ca="1">IF(T24=C24,SUM(IF(($BR$41:$BR$49=C24)*($BS$40:$CA$40=T$20),$BS$41:$CA$49)),0)</f>
        <v>0</v>
      </c>
      <c r="AW48" s="3">
        <f t="array" aca="1" ref="AW48" ca="1">IF(T24=C24,SUM(IF(($BR$41:$BR$49=C24)*($BS$40:$CA$40=T$21),$BS$41:$CA$49)),0)</f>
        <v>0</v>
      </c>
      <c r="AX48" s="3">
        <f t="array" aca="1" ref="AX48" ca="1">IF(T24=C24,SUM(IF(($BR$41:$BR$49=C24)*($BS$40:$CA$40=T$22),$BS$41:$CA$49)),0)</f>
        <v>0</v>
      </c>
      <c r="AY48" s="3">
        <f t="array" aca="1" ref="AY48" ca="1">IF(T24=C24,SUM(IF(($BR$41:$BR$49=C24)*($BS$40:$CA$40=T$23),$BS$41:$CA$49)),0)</f>
        <v>0</v>
      </c>
      <c r="AZ48" s="3">
        <f t="array" aca="1" ref="AZ48" ca="1">IF(T24=C24,SUM(IF(($BR$41:$BR$49=C24)*($BS$40:$CA$40=T$25),$BS$41:$CA$49)),0)</f>
        <v>0</v>
      </c>
      <c r="BA48" s="5">
        <f t="array" aca="1" ref="BA48" ca="1">IF(U24=C24,SUM(IF(($BR$41:$BR$49=C24)*($BS$40:$CA$40=U$17),$BS$41:$CA$49)),0)</f>
        <v>0</v>
      </c>
      <c r="BB48" s="3">
        <f t="array" aca="1" ref="BB48" ca="1">IF(U24=C24,SUM(IF(($BR$41:$BR$49=C24)*($BS$40:$CA$40=U$18),$BS$41:$CA$49)),0)</f>
        <v>0</v>
      </c>
      <c r="BC48" s="3">
        <f t="array" aca="1" ref="BC48" ca="1">IF(U24=C24,SUM(IF(($BR$41:$BR$49=C24)*($BS$40:$CA$40=U$19),$BS$41:$CA$49)),0)</f>
        <v>0</v>
      </c>
      <c r="BD48" s="3">
        <f t="array" aca="1" ref="BD48" ca="1">IF(U24=C24,SUM(IF(($BR$41:$BR$49=C24)*($BS$40:$CA$40=U$20),$BS$41:$CA$49)),0)</f>
        <v>0</v>
      </c>
      <c r="BE48" s="3">
        <f t="array" aca="1" ref="BE48" ca="1">IF(U24=C24,SUM(IF(($BR$41:$BR$49=C24)*($BS$40:$CA$40=U$21),$BS$41:$CA$49)),0)</f>
        <v>0</v>
      </c>
      <c r="BF48" s="3">
        <f t="array" aca="1" ref="BF48" ca="1">IF(U24=C24,SUM(IF(($BR$41:$BR$49=C24)*($BS$40:$CA$40=U$22),$BS$41:$CA$49)),0)</f>
        <v>0</v>
      </c>
      <c r="BG48" s="3">
        <f t="array" aca="1" ref="BG48" ca="1">IF(U24=C24,SUM(IF(($BR$41:$BR$49=C24)*($BS$40:$CA$40=U$23),$BS$41:$CA$49)),0)</f>
        <v>0</v>
      </c>
      <c r="BH48" s="3">
        <f t="array" aca="1" ref="BH48" ca="1">IF(U24=C24,SUM(IF(($BR$41:$BR$49=C24)*($BS$40:$CA$40=U$25),$BS$41:$CA$49)),0)</f>
        <v>0</v>
      </c>
      <c r="BI48" s="5">
        <f t="array" aca="1" ref="BI48" ca="1">IF(V24=C24,SUM(IF(($BR$41:$BR$49=C24)*($BS$40:$CA$40=V$18),$BS$41:$CA$49)),0)</f>
        <v>0</v>
      </c>
      <c r="BJ48" s="3">
        <f t="array" aca="1" ref="BJ48" ca="1">IF(V24=C24,SUM(IF(($BR$41:$BR$49=C24)*($BS$40:$CA$40=V$19),$BS$41:$CA$49)),0)</f>
        <v>0</v>
      </c>
      <c r="BK48" s="3">
        <f t="array" aca="1" ref="BK48" ca="1">IF(V24=C24,SUM(IF(($BR$41:$BR$49=C24)*($BS$40:$CA$40=V$20),$BS$41:$CA$49)),0)</f>
        <v>0</v>
      </c>
      <c r="BL48" s="3">
        <f t="array" aca="1" ref="BL48" ca="1">IF(V24=C24,SUM(IF(($BR$41:$BR$49=C24)*($BS$40:$CA$40=V$21),$BS$41:$CA$49)),0)</f>
        <v>0</v>
      </c>
      <c r="BM48" s="3">
        <f t="array" aca="1" ref="BM48" ca="1">IF(V24=C24,SUM(IF(($BR$41:$BR$49=C24)*($BS$40:$CA$40=V$22),$BS$41:$CA$49)),0)</f>
        <v>0</v>
      </c>
      <c r="BN48" s="3">
        <f t="array" aca="1" ref="BN48" ca="1">IF(V24=C24,SUM(IF(($BR$41:$BR$49=C24)*($BS$40:$CA$40=V$23),$BS$41:$CA$49)),0)</f>
        <v>0</v>
      </c>
      <c r="BO48" s="3">
        <f t="array" aca="1" ref="BO48" ca="1">IF(V24=C24,SUM(IF(($BR$41:$BR$49=C24)*($BS$40:$CA$40=V$24),$BS$41:$CA$49)),0)</f>
        <v>0</v>
      </c>
      <c r="BP48" s="15">
        <f t="array" aca="1" ref="BP48" ca="1">IF(V24=C24,SUM(IF(($BR$41:$BR$49=C24)*($BS$40:$CA$40=V$25),$BS$41:$CA$49)),0)</f>
        <v>0</v>
      </c>
      <c r="BQ48" s="3"/>
      <c r="BR48" s="2" t="str">
        <f t="shared" si="38"/>
        <v/>
      </c>
      <c r="BS48" s="8">
        <f ca="1">IF(BZ41="","",-1*BZ41)</f>
        <v>0</v>
      </c>
      <c r="BT48" s="8">
        <f ca="1">IF(BZ42="","",-1*BZ42)</f>
        <v>0</v>
      </c>
      <c r="BU48" s="8">
        <f ca="1">IF(BZ43="","",-1*BZ43)</f>
        <v>0</v>
      </c>
      <c r="BV48" s="8">
        <f ca="1">IF(BZ44="","",-1*BZ44)</f>
        <v>0</v>
      </c>
      <c r="BW48" s="8">
        <f ca="1">IF(BZ45="","",-1*BZ45)</f>
        <v>0</v>
      </c>
      <c r="BX48" s="8">
        <f ca="1">IF(BZ46="","",-1*BZ46)</f>
        <v>0</v>
      </c>
      <c r="BY48" s="8">
        <f ca="1">IF(BZ47="","",-1*BZ47)</f>
        <v>0</v>
      </c>
      <c r="BZ48" s="6"/>
      <c r="CA48" s="7">
        <f ca="1">CA37-BZ38</f>
        <v>0</v>
      </c>
      <c r="CB48" s="3"/>
    </row>
    <row r="49" spans="5:80" s="2" customFormat="1" x14ac:dyDescent="0.2">
      <c r="E49" s="14">
        <f t="array" aca="1" ref="E49" ca="1">IF(O25=C25,SUM(IF(($BR$41:$BR$49=C25)*($BS$40:$CA$40=O$17),$BS$41:$CA$49)),0)</f>
        <v>0</v>
      </c>
      <c r="F49" s="3">
        <f t="array" aca="1" ref="F49" ca="1">IF(O25=C25,SUM(IF(($BR$41:$BR$49=C25)*($BS$40:$CA$40=O$18),$BS$41:$CA$49)),0)</f>
        <v>0</v>
      </c>
      <c r="G49" s="3">
        <f t="array" aca="1" ref="G49" ca="1">IF(O25=C25,SUM(IF(($BR$41:$BR$49=C25)*($BS$40:$CA$40=O$19),$BS$41:$CA$49)),0)</f>
        <v>0</v>
      </c>
      <c r="H49" s="3">
        <f t="array" aca="1" ref="H49" ca="1">IF(O25=C25,SUM(IF(($BR$41:$BR$49=C25)*($BS$40:$CA$40=O$20),$BS$41:$CA$49)),0)</f>
        <v>0</v>
      </c>
      <c r="I49" s="3">
        <f t="array" aca="1" ref="I49" ca="1">IF(O25=C25,SUM(IF(($BR$41:$BR$49=C25)*($BS$40:$CA$40=O$21),$BS$41:$CA$49)),0)</f>
        <v>0</v>
      </c>
      <c r="J49" s="3">
        <f t="array" aca="1" ref="J49" ca="1">IF(O25=C25,SUM(IF(($BR$41:$BR$49=C25)*($BS$40:$CA$40=O$22),$BS$41:$CA$49)),0)</f>
        <v>0</v>
      </c>
      <c r="K49" s="3">
        <f t="array" aca="1" ref="K49" ca="1">IF(O25=C25,SUM(IF(($BR$41:$BR$49=C25)*($BS$40:$CA$40=O$23),$BS$41:$CA$49)),0)</f>
        <v>0</v>
      </c>
      <c r="L49" s="3">
        <f t="array" aca="1" ref="L49" ca="1">IF(O25=C25,SUM(IF(($BR$41:$BR$49=C25)*($BS$40:$CA$40=O$24),$BS$41:$CA$49)),0)</f>
        <v>0</v>
      </c>
      <c r="M49" s="5">
        <f t="array" aca="1" ref="M49" ca="1">IF(P25=C25,SUM(IF(($BR$41:$BR$49=C25)*($BS$40:$CA$40=P$17),$BS$41:$CA$49)),0)</f>
        <v>0</v>
      </c>
      <c r="N49" s="3">
        <f t="array" aca="1" ref="N49" ca="1">IF(P25=C25,SUM(IF(($BR$41:$BR$49=C25)*($BS$40:$CA$40=P$18),$BS$41:$CA$49)),0)</f>
        <v>0</v>
      </c>
      <c r="O49" s="3">
        <f t="array" aca="1" ref="O49" ca="1">IF(P25=C25,SUM(IF(($BR$41:$BR$49=C25)*($BS$40:$CA$40=P$19),$BS$41:$CA$49)),0)</f>
        <v>0</v>
      </c>
      <c r="P49" s="3">
        <f t="array" aca="1" ref="P49" ca="1">IF(P25=C25,SUM(IF(($BR$41:$BR$49=C25)*($BS$40:$CA$40=P$20),$BS$41:$CA$49)),0)</f>
        <v>0</v>
      </c>
      <c r="Q49" s="3">
        <f t="array" aca="1" ref="Q49" ca="1">IF(P25=C25,SUM(IF(($BR$41:$BR$49=C25)*($BS$40:$CA$40=P$21),$BS$41:$CA$49)),0)</f>
        <v>0</v>
      </c>
      <c r="R49" s="3">
        <f t="array" aca="1" ref="R49" ca="1">IF(P25=C25,SUM(IF(($BR$41:$BR$49=C25)*($BS$40:$CA$40=P$22),$BS$41:$CA$49)),0)</f>
        <v>0</v>
      </c>
      <c r="S49" s="3">
        <f t="array" aca="1" ref="S49" ca="1">IF(P25=C25,SUM(IF(($BR$41:$BR$49=C25)*($BS$40:$CA$40=P$23),$BS$41:$CA$49)),0)</f>
        <v>0</v>
      </c>
      <c r="T49" s="3">
        <f t="array" aca="1" ref="T49" ca="1">IF(P25=C25,SUM(IF(($BR$41:$BR$49=C25)*($BS$40:$CA$40=P$24),$BS$41:$CA$49)),0)</f>
        <v>0</v>
      </c>
      <c r="U49" s="5">
        <f t="array" aca="1" ref="U49" ca="1">IF(Q25=C25,SUM(IF(($BR$41:$BR$49=C25)*($BS$40:$CA$40=Q$17),$BS$41:$CA$49)),0)</f>
        <v>0</v>
      </c>
      <c r="V49" s="3">
        <f t="array" aca="1" ref="V49" ca="1">IF(Q25=C25,SUM(IF(($BR$41:$BR$49=C25)*($BS$40:$CA$40=Q$18),$BS$41:$CA$49)),0)</f>
        <v>0</v>
      </c>
      <c r="W49" s="3">
        <f t="array" aca="1" ref="W49" ca="1">IF(Q25=C25,SUM(IF(($BR$41:$BR$49=C25)*($BS$40:$CA$40=Q$19),$BS$41:$CA$49)),0)</f>
        <v>0</v>
      </c>
      <c r="X49" s="3">
        <f t="array" aca="1" ref="X49" ca="1">IF(Q25=C25,SUM(IF(($BR$41:$BR$49=C25)*($BS$40:$CA$40=Q$20),$BS$41:$CA$49)),0)</f>
        <v>0</v>
      </c>
      <c r="Y49" s="3">
        <f t="array" aca="1" ref="Y49" ca="1">IF(Q25=C25,SUM(IF(($BR$41:$BR$49=C25)*($BS$40:$CA$40=Q$21),$BS$41:$CA$49)),0)</f>
        <v>0</v>
      </c>
      <c r="Z49" s="3">
        <f t="array" aca="1" ref="Z49" ca="1">IF(Q25=C25,SUM(IF(($BR$41:$BR$49=C25)*($BS$40:$CA$40=Q$22),$BS$41:$CA$49)),0)</f>
        <v>0</v>
      </c>
      <c r="AA49" s="3">
        <f t="array" aca="1" ref="AA49" ca="1">IF(Q25=C25,SUM(IF(($BR$41:$BR$49=C25)*($BS$40:$CA$40=Q$23),$BS$41:$CA$49)),0)</f>
        <v>0</v>
      </c>
      <c r="AB49" s="3">
        <f t="array" aca="1" ref="AB49" ca="1">IF(Q25=C25,SUM(IF(($BR$41:$BR$49=C25)*($BS$40:$CA$40=Q$24),$BS$41:$CA$49)),0)</f>
        <v>0</v>
      </c>
      <c r="AC49" s="5">
        <f t="array" aca="1" ref="AC49" ca="1">IF(R25=C25,SUM(IF(($BR$41:$BR$49=C25)*($BS$40:$CA$40=R$17),$BS$41:$CA$49)),0)</f>
        <v>0</v>
      </c>
      <c r="AD49" s="3">
        <f t="array" aca="1" ref="AD49" ca="1">IF(R25=C25,SUM(IF(($BR$41:$BR$49=C25)*($BS$40:$CA$40=R$18),$BS$41:$CA$49)),0)</f>
        <v>0</v>
      </c>
      <c r="AE49" s="3">
        <f t="array" aca="1" ref="AE49" ca="1">IF(R25=C25,SUM(IF(($BR$41:$BR$49=C25)*($BS$40:$CA$40=R$19),$BS$41:$CA$49)),0)</f>
        <v>0</v>
      </c>
      <c r="AF49" s="3">
        <f t="array" aca="1" ref="AF49" ca="1">IF(R25=C25,SUM(IF(($BR$41:$BR$49=C25)*($BS$40:$CA$40=R$20),$BS$41:$CA$49)),0)</f>
        <v>0</v>
      </c>
      <c r="AG49" s="3">
        <f t="array" aca="1" ref="AG49" ca="1">IF(R25=C25,SUM(IF(($BR$41:$BR$49=C25)*($BS$40:$CA$40=R$21),$BS$41:$CA$49)),0)</f>
        <v>0</v>
      </c>
      <c r="AH49" s="3">
        <f t="array" aca="1" ref="AH49" ca="1">IF(R25=C25,SUM(IF(($BR$41:$BR$49=C25)*($BS$40:$CA$40=R$22),$BS$41:$CA$49)),0)</f>
        <v>0</v>
      </c>
      <c r="AI49" s="3">
        <f t="array" aca="1" ref="AI49" ca="1">IF(R25=C25,SUM(IF(($BR$41:$BR$49=C25)*($BS$40:$CA$40=R$23),$BS$41:$CA$49)),0)</f>
        <v>0</v>
      </c>
      <c r="AJ49" s="3">
        <f t="array" aca="1" ref="AJ49" ca="1">IF(R25=C25,SUM(IF(($BR$41:$BR$49=C25)*($BS$40:$CA$40=R$24),$BS$41:$CA$49)),0)</f>
        <v>0</v>
      </c>
      <c r="AK49" s="5">
        <f t="array" aca="1" ref="AK49" ca="1">IF(S25=C25,SUM(IF(($BR$41:$BR$49=C25)*($BS$40:$CA$40=S$17),$BS$41:$CA$49)),0)</f>
        <v>0</v>
      </c>
      <c r="AL49" s="3">
        <f t="array" aca="1" ref="AL49" ca="1">IF(S25=C25,SUM(IF(($BR$41:$BR$49=C25)*($BS$40:$CA$40=S$18),$BS$41:$CA$49)),0)</f>
        <v>0</v>
      </c>
      <c r="AM49" s="3">
        <f t="array" aca="1" ref="AM49" ca="1">IF(S25=C25,SUM(IF(($BR$41:$BR$49=C25)*($BS$40:$CA$40=S$19),$BS$41:$CA$49)),0)</f>
        <v>0</v>
      </c>
      <c r="AN49" s="3">
        <f t="array" aca="1" ref="AN49" ca="1">IF(S25=C25,SUM(IF(($BR$41:$BR$49=C25)*($BS$40:$CA$40=S$20),$BS$41:$CA$49)),0)</f>
        <v>0</v>
      </c>
      <c r="AO49" s="3">
        <f t="array" aca="1" ref="AO49" ca="1">IF(S25=C25,SUM(IF(($BR$41:$BR$49=C25)*($BS$40:$CA$40=S$21),$BS$41:$CA$49)),0)</f>
        <v>0</v>
      </c>
      <c r="AP49" s="3">
        <f t="array" aca="1" ref="AP49" ca="1">IF(S25=C25,SUM(IF(($BR$41:$BR$49=C25)*($BS$40:$CA$40=S$22),$BS$41:$CA$49)),0)</f>
        <v>0</v>
      </c>
      <c r="AQ49" s="3">
        <f t="array" aca="1" ref="AQ49" ca="1">IF(S25=C25,SUM(IF(($BR$41:$BR$49=C25)*($BS$40:$CA$40=S$23),$BS$41:$CA$49)),0)</f>
        <v>0</v>
      </c>
      <c r="AR49" s="3">
        <f t="array" aca="1" ref="AR49" ca="1">IF(S25=C25,SUM(IF(($BR$41:$BR$49=C25)*($BS$40:$CA$40=S$24),$BS$41:$CA$49)),0)</f>
        <v>0</v>
      </c>
      <c r="AS49" s="5">
        <f t="array" aca="1" ref="AS49" ca="1">IF(T25=C25,SUM(IF(($BR$41:$BR$49=C25)*($BS$40:$CA$40=T$17),$BS$41:$CA$49)),0)</f>
        <v>0</v>
      </c>
      <c r="AT49" s="3">
        <f t="array" aca="1" ref="AT49" ca="1">IF(T25=C25,SUM(IF(($BR$41:$BR$49=C25)*($BS$40:$CA$40=T$18),$BS$41:$CA$49)),0)</f>
        <v>0</v>
      </c>
      <c r="AU49" s="3">
        <f t="array" aca="1" ref="AU49" ca="1">IF(T25=C25,SUM(IF(($BR$41:$BR$49=C25)*($BS$40:$CA$40=T$19),$BS$41:$CA$49)),0)</f>
        <v>0</v>
      </c>
      <c r="AV49" s="3">
        <f t="array" aca="1" ref="AV49" ca="1">IF(T25=C25,SUM(IF(($BR$41:$BR$49=C25)*($BS$40:$CA$40=T$20),$BS$41:$CA$49)),0)</f>
        <v>0</v>
      </c>
      <c r="AW49" s="3">
        <f t="array" aca="1" ref="AW49" ca="1">IF(T25=C25,SUM(IF(($BR$41:$BR$49=C25)*($BS$40:$CA$40=T$21),$BS$41:$CA$49)),0)</f>
        <v>0</v>
      </c>
      <c r="AX49" s="3">
        <f t="array" aca="1" ref="AX49" ca="1">IF(T25=C25,SUM(IF(($BR$41:$BR$49=C25)*($BS$40:$CA$40=T$22),$BS$41:$CA$49)),0)</f>
        <v>0</v>
      </c>
      <c r="AY49" s="3">
        <f t="array" aca="1" ref="AY49" ca="1">IF(T25=C25,SUM(IF(($BR$41:$BR$49=C25)*($BS$40:$CA$40=T$23),$BS$41:$CA$49)),0)</f>
        <v>0</v>
      </c>
      <c r="AZ49" s="3">
        <f t="array" aca="1" ref="AZ49" ca="1">IF(T25=C25,SUM(IF(($BR$41:$BR$49=C25)*($BS$40:$CA$40=T$24),$BS$41:$CA$49)),0)</f>
        <v>0</v>
      </c>
      <c r="BA49" s="5">
        <f t="array" aca="1" ref="BA49" ca="1">IF(U25=C25,SUM(IF(($BR$41:$BR$49=C25)*($BS$40:$CA$40=U$17),$BS$41:$CA$49)),0)</f>
        <v>0</v>
      </c>
      <c r="BB49" s="3">
        <f t="array" aca="1" ref="BB49" ca="1">IF(U25=C25,SUM(IF(($BR$41:$BR$49=C25)*($BS$40:$CA$40=U$18),$BS$41:$CA$49)),0)</f>
        <v>0</v>
      </c>
      <c r="BC49" s="3">
        <f t="array" aca="1" ref="BC49" ca="1">IF(U25=C25,SUM(IF(($BR$41:$BR$49=C25)*($BS$40:$CA$40=U$19),$BS$41:$CA$49)),0)</f>
        <v>0</v>
      </c>
      <c r="BD49" s="3">
        <f t="array" aca="1" ref="BD49" ca="1">IF(U25=C25,SUM(IF(($BR$41:$BR$49=C25)*($BS$40:$CA$40=U$20),$BS$41:$CA$49)),0)</f>
        <v>0</v>
      </c>
      <c r="BE49" s="3">
        <f t="array" aca="1" ref="BE49" ca="1">IF(U25=C25,SUM(IF(($BR$41:$BR$49=C25)*($BS$40:$CA$40=U$21),$BS$41:$CA$49)),0)</f>
        <v>0</v>
      </c>
      <c r="BF49" s="3">
        <f t="array" aca="1" ref="BF49" ca="1">IF(U25=C25,SUM(IF(($BR$41:$BR$49=C25)*($BS$40:$CA$40=U$22),$BS$41:$CA$49)),0)</f>
        <v>0</v>
      </c>
      <c r="BG49" s="3">
        <f t="array" aca="1" ref="BG49" ca="1">IF(U25=C25,SUM(IF(($BR$41:$BR$49=C25)*($BS$40:$CA$40=U$23),$BS$41:$CA$49)),0)</f>
        <v>0</v>
      </c>
      <c r="BH49" s="3">
        <f t="array" aca="1" ref="BH49" ca="1">IF(U25=C25,SUM(IF(($BR$41:$BR$49=C25)*($BS$40:$CA$40=U$24),$BS$41:$CA$49)),0)</f>
        <v>0</v>
      </c>
      <c r="BI49" s="5">
        <f t="array" aca="1" ref="BI49" ca="1">IF(V25=C25,SUM(IF(($BR$41:$BR$49=C25)*($BS$40:$CA$40=V$18),$BS$41:$CA$49)),0)</f>
        <v>0</v>
      </c>
      <c r="BJ49" s="3">
        <f t="array" aca="1" ref="BJ49" ca="1">IF(V25=C25,SUM(IF(($BR$41:$BR$49=C25)*($BS$40:$CA$40=V$19),$BS$41:$CA$49)),0)</f>
        <v>0</v>
      </c>
      <c r="BK49" s="3">
        <f t="array" aca="1" ref="BK49" ca="1">IF(V25=C25,SUM(IF(($BR$41:$BR$49=C25)*($BS$40:$CA$40=V$20),$BS$41:$CA$49)),0)</f>
        <v>0</v>
      </c>
      <c r="BL49" s="3">
        <f t="array" aca="1" ref="BL49" ca="1">IF(V25=C25,SUM(IF(($BR$41:$BR$49=C25)*($BS$40:$CA$40=V$21),$BS$41:$CA$49)),0)</f>
        <v>0</v>
      </c>
      <c r="BM49" s="3">
        <f t="array" aca="1" ref="BM49" ca="1">IF(V25=C25,SUM(IF(($BR$41:$BR$49=C25)*($BS$40:$CA$40=V$22),$BS$41:$CA$49)),0)</f>
        <v>0</v>
      </c>
      <c r="BN49" s="3">
        <f t="array" aca="1" ref="BN49" ca="1">IF(V25=C25,SUM(IF(($BR$41:$BR$49=C25)*($BS$40:$CA$40=V$23),$BS$41:$CA$49)),0)</f>
        <v>0</v>
      </c>
      <c r="BO49" s="3">
        <f t="array" aca="1" ref="BO49" ca="1">IF(V25=C25,SUM(IF(($BR$41:$BR$49=C25)*($BS$40:$CA$40=V$24),$BS$41:$CA$49)),0)</f>
        <v>0</v>
      </c>
      <c r="BP49" s="15">
        <f t="array" aca="1" ref="BP49" ca="1">IF(V25=C25,SUM(IF(($BR$41:$BR$49=C25)*($BS$40:$CA$40=V$25),$BS$41:$CA$49)),0)</f>
        <v>0</v>
      </c>
      <c r="BQ49" s="3"/>
      <c r="BR49" s="2" t="str">
        <f t="shared" si="38"/>
        <v/>
      </c>
      <c r="BS49" s="8">
        <f ca="1">IF(CA41="","",-1*CA41)</f>
        <v>0</v>
      </c>
      <c r="BT49" s="8">
        <f ca="1">IF(CA42="","",-1*CA42)</f>
        <v>0</v>
      </c>
      <c r="BU49" s="8">
        <f ca="1">IF(CA43="","",-1*CA43)</f>
        <v>0</v>
      </c>
      <c r="BV49" s="8">
        <f ca="1">IF(CA44="","",-1*CA44)</f>
        <v>0</v>
      </c>
      <c r="BW49" s="8">
        <f ca="1">IF(CA45="","",-1*CA45)</f>
        <v>0</v>
      </c>
      <c r="BX49" s="8">
        <f ca="1">IF(CA46="","",-1*CA46)</f>
        <v>0</v>
      </c>
      <c r="BY49" s="8">
        <f ca="1">IF(CA47="","",-1*CA47)</f>
        <v>0</v>
      </c>
      <c r="BZ49" s="8">
        <f t="shared" ref="BZ49" ca="1" si="39">IF(CA48="","",-1*CA48)</f>
        <v>0</v>
      </c>
      <c r="CA49" s="6"/>
      <c r="CB49" s="3"/>
    </row>
    <row r="50" spans="5:80" s="2" customFormat="1" x14ac:dyDescent="0.2">
      <c r="E50" s="14"/>
      <c r="F50" s="3"/>
      <c r="G50" s="3"/>
      <c r="H50" s="3"/>
      <c r="I50" s="3"/>
      <c r="J50" s="3"/>
      <c r="K50" s="3"/>
      <c r="L50" s="3"/>
      <c r="M50" s="5"/>
      <c r="N50" s="3"/>
      <c r="O50" s="3"/>
      <c r="P50" s="3"/>
      <c r="Q50" s="3"/>
      <c r="R50" s="3"/>
      <c r="S50" s="3"/>
      <c r="T50" s="3"/>
      <c r="U50" s="5"/>
      <c r="V50" s="3"/>
      <c r="W50" s="3"/>
      <c r="X50" s="3"/>
      <c r="Y50" s="3"/>
      <c r="Z50" s="3"/>
      <c r="AA50" s="3"/>
      <c r="AB50" s="3"/>
      <c r="AC50" s="5"/>
      <c r="AD50" s="3"/>
      <c r="AE50" s="3"/>
      <c r="AF50" s="3"/>
      <c r="AG50" s="3"/>
      <c r="AH50" s="3"/>
      <c r="AI50" s="3"/>
      <c r="AJ50" s="3"/>
      <c r="AK50" s="5"/>
      <c r="AL50" s="3"/>
      <c r="AM50" s="3"/>
      <c r="AN50" s="3"/>
      <c r="AO50" s="3"/>
      <c r="AP50" s="3"/>
      <c r="AQ50" s="3"/>
      <c r="AR50" s="3"/>
      <c r="AS50" s="5"/>
      <c r="AT50" s="3"/>
      <c r="AU50" s="3"/>
      <c r="AV50" s="3"/>
      <c r="AW50" s="3"/>
      <c r="AX50" s="3"/>
      <c r="AY50" s="3"/>
      <c r="AZ50" s="3"/>
      <c r="BA50" s="5"/>
      <c r="BB50" s="3"/>
      <c r="BC50" s="3"/>
      <c r="BD50" s="3"/>
      <c r="BE50" s="3"/>
      <c r="BF50" s="3"/>
      <c r="BG50" s="3"/>
      <c r="BH50" s="3"/>
      <c r="BI50" s="5"/>
      <c r="BJ50" s="3"/>
      <c r="BK50" s="3"/>
      <c r="BL50" s="3"/>
      <c r="BM50" s="3"/>
      <c r="BN50" s="3"/>
      <c r="BO50" s="3"/>
      <c r="BP50" s="15"/>
      <c r="BQ50" s="3"/>
      <c r="CB50" s="3"/>
    </row>
    <row r="51" spans="5:80" s="2" customFormat="1" x14ac:dyDescent="0.2">
      <c r="E51" s="14"/>
      <c r="F51" s="3"/>
      <c r="G51" s="3"/>
      <c r="H51" s="3"/>
      <c r="I51" s="3"/>
      <c r="J51" s="3"/>
      <c r="K51" s="3"/>
      <c r="L51" s="3"/>
      <c r="M51" s="5"/>
      <c r="N51" s="3"/>
      <c r="O51" s="3"/>
      <c r="P51" s="3"/>
      <c r="Q51" s="3"/>
      <c r="R51" s="3"/>
      <c r="S51" s="3"/>
      <c r="T51" s="3"/>
      <c r="U51" s="5"/>
      <c r="V51" s="3"/>
      <c r="W51" s="3"/>
      <c r="X51" s="3"/>
      <c r="Y51" s="3"/>
      <c r="Z51" s="3"/>
      <c r="AA51" s="3"/>
      <c r="AB51" s="3"/>
      <c r="AC51" s="5"/>
      <c r="AD51" s="3"/>
      <c r="AE51" s="3"/>
      <c r="AF51" s="3"/>
      <c r="AG51" s="3"/>
      <c r="AH51" s="3"/>
      <c r="AI51" s="3"/>
      <c r="AJ51" s="3"/>
      <c r="AK51" s="5"/>
      <c r="AL51" s="3"/>
      <c r="AM51" s="3"/>
      <c r="AN51" s="3"/>
      <c r="AO51" s="3"/>
      <c r="AP51" s="3"/>
      <c r="AQ51" s="3"/>
      <c r="AR51" s="3"/>
      <c r="AS51" s="5"/>
      <c r="AT51" s="3"/>
      <c r="AU51" s="3"/>
      <c r="AV51" s="3"/>
      <c r="AW51" s="3"/>
      <c r="AX51" s="3"/>
      <c r="AY51" s="3"/>
      <c r="AZ51" s="3"/>
      <c r="BA51" s="5"/>
      <c r="BB51" s="3"/>
      <c r="BC51" s="3"/>
      <c r="BD51" s="3"/>
      <c r="BE51" s="3"/>
      <c r="BF51" s="3"/>
      <c r="BG51" s="3"/>
      <c r="BH51" s="3"/>
      <c r="BI51" s="5"/>
      <c r="BJ51" s="3"/>
      <c r="BK51" s="3"/>
      <c r="BL51" s="3"/>
      <c r="BM51" s="3"/>
      <c r="BN51" s="3"/>
      <c r="BO51" s="3"/>
      <c r="BP51" s="15"/>
      <c r="BQ51" s="3"/>
      <c r="BR51" s="4" t="s">
        <v>95</v>
      </c>
      <c r="BS51" s="2" t="str">
        <f ca="1">$F$4</f>
        <v/>
      </c>
      <c r="BT51" s="2" t="str">
        <f ca="1">$F$5</f>
        <v/>
      </c>
      <c r="BU51" s="2" t="str">
        <f>$F$6</f>
        <v/>
      </c>
      <c r="BV51" s="2" t="str">
        <f>$F$7</f>
        <v/>
      </c>
      <c r="BW51" s="2" t="str">
        <f>$F$8</f>
        <v/>
      </c>
      <c r="BX51" s="2" t="str">
        <f>$F$9</f>
        <v/>
      </c>
      <c r="BY51" s="2" t="str">
        <f>$F$10</f>
        <v/>
      </c>
      <c r="BZ51" s="2" t="str">
        <f>$F$11</f>
        <v/>
      </c>
      <c r="CA51" s="2" t="str">
        <f>$F$12</f>
        <v/>
      </c>
      <c r="CB51" s="3"/>
    </row>
    <row r="52" spans="5:80" s="2" customFormat="1" x14ac:dyDescent="0.2">
      <c r="E52" s="14"/>
      <c r="F52" s="3"/>
      <c r="G52" s="3"/>
      <c r="H52" s="3"/>
      <c r="I52" s="3"/>
      <c r="J52" s="3"/>
      <c r="K52" s="3"/>
      <c r="L52" s="3"/>
      <c r="M52" s="5"/>
      <c r="N52" s="3"/>
      <c r="O52" s="3"/>
      <c r="P52" s="3"/>
      <c r="Q52" s="3"/>
      <c r="R52" s="3"/>
      <c r="S52" s="3"/>
      <c r="T52" s="3"/>
      <c r="U52" s="5"/>
      <c r="V52" s="3"/>
      <c r="W52" s="3"/>
      <c r="X52" s="3"/>
      <c r="Y52" s="3"/>
      <c r="Z52" s="3"/>
      <c r="AA52" s="3"/>
      <c r="AB52" s="3"/>
      <c r="AC52" s="5"/>
      <c r="AD52" s="3"/>
      <c r="AE52" s="3"/>
      <c r="AF52" s="3"/>
      <c r="AG52" s="3"/>
      <c r="AH52" s="3"/>
      <c r="AI52" s="3"/>
      <c r="AJ52" s="3"/>
      <c r="AK52" s="5"/>
      <c r="AL52" s="3"/>
      <c r="AM52" s="3"/>
      <c r="AN52" s="3"/>
      <c r="AO52" s="3"/>
      <c r="AP52" s="3"/>
      <c r="AQ52" s="3"/>
      <c r="AR52" s="3"/>
      <c r="AS52" s="5"/>
      <c r="AT52" s="3"/>
      <c r="AU52" s="3"/>
      <c r="AV52" s="3"/>
      <c r="AW52" s="3"/>
      <c r="AX52" s="3"/>
      <c r="AY52" s="3"/>
      <c r="AZ52" s="3"/>
      <c r="BA52" s="5"/>
      <c r="BB52" s="3"/>
      <c r="BC52" s="3"/>
      <c r="BD52" s="3"/>
      <c r="BE52" s="3"/>
      <c r="BF52" s="3"/>
      <c r="BG52" s="3"/>
      <c r="BH52" s="3"/>
      <c r="BI52" s="5"/>
      <c r="BJ52" s="3"/>
      <c r="BK52" s="3"/>
      <c r="BL52" s="3"/>
      <c r="BM52" s="3"/>
      <c r="BN52" s="3"/>
      <c r="BO52" s="3"/>
      <c r="BP52" s="15"/>
      <c r="BQ52" s="3"/>
      <c r="BR52" s="2" t="str">
        <f t="shared" ref="BR52:BR60" ca="1" si="40">F4</f>
        <v/>
      </c>
      <c r="BS52" s="6"/>
      <c r="BT52" s="7">
        <f t="shared" ref="BT52:CA58" ca="1" si="41">SUMIFS($AE$64:$AE$135,$V$64:$V$135,$BR52,$W$64:$W$135,BT$51)+SUMIFS($AF$64:$AF$135,$W$64:$W$135,$BR52,$V$64:$V$135,BT$51)</f>
        <v>0</v>
      </c>
      <c r="BU52" s="7">
        <f t="shared" ca="1" si="41"/>
        <v>0</v>
      </c>
      <c r="BV52" s="7">
        <f t="shared" ca="1" si="41"/>
        <v>0</v>
      </c>
      <c r="BW52" s="7">
        <f t="shared" ca="1" si="41"/>
        <v>0</v>
      </c>
      <c r="BX52" s="7">
        <f t="shared" ca="1" si="41"/>
        <v>0</v>
      </c>
      <c r="BY52" s="7">
        <f t="shared" ca="1" si="41"/>
        <v>0</v>
      </c>
      <c r="BZ52" s="7">
        <f t="shared" ca="1" si="41"/>
        <v>0</v>
      </c>
      <c r="CA52" s="7">
        <f t="shared" ca="1" si="41"/>
        <v>0</v>
      </c>
      <c r="CB52" s="3"/>
    </row>
    <row r="53" spans="5:80" s="2" customFormat="1" x14ac:dyDescent="0.2">
      <c r="E53" s="14"/>
      <c r="F53" s="3"/>
      <c r="G53" s="3"/>
      <c r="H53" s="3"/>
      <c r="I53" s="3"/>
      <c r="J53" s="3"/>
      <c r="K53" s="3"/>
      <c r="L53" s="3"/>
      <c r="M53" s="5"/>
      <c r="N53" s="3"/>
      <c r="O53" s="3"/>
      <c r="P53" s="3"/>
      <c r="Q53" s="3"/>
      <c r="R53" s="3"/>
      <c r="S53" s="3"/>
      <c r="T53" s="3"/>
      <c r="U53" s="5"/>
      <c r="V53" s="3"/>
      <c r="W53" s="3"/>
      <c r="X53" s="3"/>
      <c r="Y53" s="3"/>
      <c r="Z53" s="3"/>
      <c r="AA53" s="3"/>
      <c r="AB53" s="3"/>
      <c r="AC53" s="5"/>
      <c r="AD53" s="3"/>
      <c r="AE53" s="3"/>
      <c r="AF53" s="3"/>
      <c r="AG53" s="3"/>
      <c r="AH53" s="3"/>
      <c r="AI53" s="3"/>
      <c r="AJ53" s="3"/>
      <c r="AK53" s="5"/>
      <c r="AL53" s="3"/>
      <c r="AM53" s="3"/>
      <c r="AN53" s="3"/>
      <c r="AO53" s="3"/>
      <c r="AP53" s="3"/>
      <c r="AQ53" s="3"/>
      <c r="AR53" s="3"/>
      <c r="AS53" s="5"/>
      <c r="AT53" s="3"/>
      <c r="AU53" s="3"/>
      <c r="AV53" s="3"/>
      <c r="AW53" s="3"/>
      <c r="AX53" s="3"/>
      <c r="AY53" s="3"/>
      <c r="AZ53" s="3"/>
      <c r="BA53" s="5"/>
      <c r="BB53" s="3"/>
      <c r="BC53" s="3"/>
      <c r="BD53" s="3"/>
      <c r="BE53" s="3"/>
      <c r="BF53" s="3"/>
      <c r="BG53" s="3"/>
      <c r="BH53" s="3"/>
      <c r="BI53" s="5"/>
      <c r="BJ53" s="3"/>
      <c r="BK53" s="3"/>
      <c r="BL53" s="3"/>
      <c r="BM53" s="3"/>
      <c r="BN53" s="3"/>
      <c r="BO53" s="3"/>
      <c r="BP53" s="15"/>
      <c r="BQ53" s="3"/>
      <c r="BR53" s="2" t="str">
        <f t="shared" ca="1" si="40"/>
        <v/>
      </c>
      <c r="BS53" s="8">
        <f t="shared" ref="BS53:BU60" ca="1" si="42">SUMIFS($AE$64:$AE$135,$V$64:$V$135,$BR53,$W$64:$W$135,BS$51)+SUMIFS($AF$64:$AF$135,$W$64:$W$135,$BR53,$V$64:$V$135,BS$51)</f>
        <v>0</v>
      </c>
      <c r="BT53" s="6"/>
      <c r="BU53" s="7">
        <f ca="1">SUMIFS($AE$64:$AE$135,$V$64:$V$135,$BR53,$W$64:$W$135,BU$51)+SUMIFS($AF$64:$AF$135,$W$64:$W$135,$BR53,$V$64:$V$135,BU$51)</f>
        <v>0</v>
      </c>
      <c r="BV53" s="7">
        <f ca="1">SUMIFS($AE$64:$AE$135,$V$64:$V$135,$BR53,$W$64:$W$135,BV$51)+SUMIFS($AF$64:$AF$135,$W$64:$W$135,$BR53,$V$64:$V$135,BV$51)</f>
        <v>0</v>
      </c>
      <c r="BW53" s="7">
        <f ca="1">SUMIFS($AE$64:$AE$135,$V$64:$V$135,$BR53,$W$64:$W$135,BW$51)+SUMIFS($AF$64:$AF$135,$W$64:$W$135,$BR53,$V$64:$V$135,BW$51)</f>
        <v>0</v>
      </c>
      <c r="BX53" s="7">
        <f ca="1">SUMIFS($AE$64:$AE$135,$V$64:$V$135,$BR53,$W$64:$W$135,BX$51)+SUMIFS($AF$64:$AF$135,$W$64:$W$135,$BR53,$V$64:$V$135,BX$51)</f>
        <v>0</v>
      </c>
      <c r="BY53" s="7">
        <f ca="1">SUMIFS($AE$64:$AE$135,$V$64:$V$135,$BR53,$W$64:$W$135,BY$51)+SUMIFS($AF$64:$AF$135,$W$64:$W$135,$BR53,$V$64:$V$135,BY$51)</f>
        <v>0</v>
      </c>
      <c r="BZ53" s="7">
        <f t="shared" ca="1" si="41"/>
        <v>0</v>
      </c>
      <c r="CA53" s="7">
        <f t="shared" ca="1" si="41"/>
        <v>0</v>
      </c>
      <c r="CB53" s="3"/>
    </row>
    <row r="54" spans="5:80" s="2" customFormat="1" x14ac:dyDescent="0.2">
      <c r="E54" s="14"/>
      <c r="F54" s="3"/>
      <c r="G54" s="3"/>
      <c r="H54" s="3"/>
      <c r="I54" s="3"/>
      <c r="J54" s="3"/>
      <c r="K54" s="3"/>
      <c r="L54" s="3"/>
      <c r="M54" s="5"/>
      <c r="N54" s="3"/>
      <c r="O54" s="3"/>
      <c r="P54" s="3"/>
      <c r="Q54" s="3"/>
      <c r="R54" s="3"/>
      <c r="S54" s="3"/>
      <c r="T54" s="3"/>
      <c r="U54" s="5"/>
      <c r="V54" s="3"/>
      <c r="W54" s="3"/>
      <c r="X54" s="3"/>
      <c r="Y54" s="3"/>
      <c r="Z54" s="3"/>
      <c r="AA54" s="3"/>
      <c r="AB54" s="3"/>
      <c r="AC54" s="5"/>
      <c r="AD54" s="3"/>
      <c r="AE54" s="3"/>
      <c r="AF54" s="3"/>
      <c r="AG54" s="3"/>
      <c r="AH54" s="3"/>
      <c r="AI54" s="3"/>
      <c r="AJ54" s="3"/>
      <c r="AK54" s="5"/>
      <c r="AL54" s="3"/>
      <c r="AM54" s="3"/>
      <c r="AN54" s="3"/>
      <c r="AO54" s="3"/>
      <c r="AP54" s="3"/>
      <c r="AQ54" s="3"/>
      <c r="AR54" s="3"/>
      <c r="AS54" s="5"/>
      <c r="AT54" s="3"/>
      <c r="AU54" s="3"/>
      <c r="AV54" s="3"/>
      <c r="AW54" s="3"/>
      <c r="AX54" s="3"/>
      <c r="AY54" s="3"/>
      <c r="AZ54" s="3"/>
      <c r="BA54" s="5"/>
      <c r="BB54" s="3"/>
      <c r="BC54" s="3"/>
      <c r="BD54" s="3"/>
      <c r="BE54" s="3"/>
      <c r="BF54" s="3"/>
      <c r="BG54" s="3"/>
      <c r="BH54" s="3"/>
      <c r="BI54" s="5"/>
      <c r="BJ54" s="3"/>
      <c r="BK54" s="3"/>
      <c r="BL54" s="3"/>
      <c r="BM54" s="3"/>
      <c r="BN54" s="3"/>
      <c r="BO54" s="3"/>
      <c r="BP54" s="15"/>
      <c r="BQ54" s="3"/>
      <c r="BR54" s="2" t="str">
        <f t="shared" si="40"/>
        <v/>
      </c>
      <c r="BS54" s="8">
        <f t="shared" ca="1" si="42"/>
        <v>0</v>
      </c>
      <c r="BT54" s="8">
        <f t="shared" ca="1" si="42"/>
        <v>0</v>
      </c>
      <c r="BU54" s="6"/>
      <c r="BV54" s="7">
        <f ca="1">SUMIFS($AE$64:$AE$135,$V$64:$V$135,$BR54,$W$64:$W$135,BV$51)+SUMIFS($AF$64:$AF$135,$W$64:$W$135,$BR54,$V$64:$V$135,BV$51)</f>
        <v>0</v>
      </c>
      <c r="BW54" s="7">
        <f ca="1">SUMIFS($AE$64:$AE$135,$V$64:$V$135,$BR54,$W$64:$W$135,BW$51)+SUMIFS($AF$64:$AF$135,$W$64:$W$135,$BR54,$V$64:$V$135,BW$51)</f>
        <v>0</v>
      </c>
      <c r="BX54" s="7">
        <f ca="1">SUMIFS($AE$64:$AE$135,$V$64:$V$135,$BR54,$W$64:$W$135,BX$51)+SUMIFS($AF$64:$AF$135,$W$64:$W$135,$BR54,$V$64:$V$135,BX$51)</f>
        <v>0</v>
      </c>
      <c r="BY54" s="7">
        <f ca="1">SUMIFS($AE$64:$AE$135,$V$64:$V$135,$BR54,$W$64:$W$135,BY$51)+SUMIFS($AF$64:$AF$135,$W$64:$W$135,$BR54,$V$64:$V$135,BY$51)</f>
        <v>0</v>
      </c>
      <c r="BZ54" s="7">
        <f t="shared" ca="1" si="41"/>
        <v>0</v>
      </c>
      <c r="CA54" s="7">
        <f t="shared" ca="1" si="41"/>
        <v>0</v>
      </c>
      <c r="CB54" s="3"/>
    </row>
    <row r="55" spans="5:80" s="2" customFormat="1" x14ac:dyDescent="0.2">
      <c r="E55" s="14"/>
      <c r="F55" s="3"/>
      <c r="G55" s="3"/>
      <c r="H55" s="3"/>
      <c r="I55" s="3"/>
      <c r="J55" s="3"/>
      <c r="K55" s="3"/>
      <c r="L55" s="3"/>
      <c r="M55" s="5"/>
      <c r="N55" s="3"/>
      <c r="O55" s="3"/>
      <c r="P55" s="3"/>
      <c r="Q55" s="3"/>
      <c r="R55" s="3"/>
      <c r="S55" s="3"/>
      <c r="T55" s="3"/>
      <c r="U55" s="5"/>
      <c r="V55" s="3"/>
      <c r="W55" s="3"/>
      <c r="X55" s="3"/>
      <c r="Y55" s="3"/>
      <c r="Z55" s="3"/>
      <c r="AA55" s="3"/>
      <c r="AB55" s="3"/>
      <c r="AC55" s="5"/>
      <c r="AD55" s="3"/>
      <c r="AE55" s="3"/>
      <c r="AF55" s="3"/>
      <c r="AG55" s="3"/>
      <c r="AH55" s="3"/>
      <c r="AI55" s="3"/>
      <c r="AJ55" s="3"/>
      <c r="AK55" s="5"/>
      <c r="AL55" s="3"/>
      <c r="AM55" s="3"/>
      <c r="AN55" s="3"/>
      <c r="AO55" s="3"/>
      <c r="AP55" s="3"/>
      <c r="AQ55" s="3"/>
      <c r="AR55" s="3"/>
      <c r="AS55" s="5"/>
      <c r="AT55" s="3"/>
      <c r="AU55" s="3"/>
      <c r="AV55" s="3"/>
      <c r="AW55" s="3"/>
      <c r="AX55" s="3"/>
      <c r="AY55" s="3"/>
      <c r="AZ55" s="3"/>
      <c r="BA55" s="5"/>
      <c r="BB55" s="3"/>
      <c r="BC55" s="3"/>
      <c r="BD55" s="3"/>
      <c r="BE55" s="3"/>
      <c r="BF55" s="3"/>
      <c r="BG55" s="3"/>
      <c r="BH55" s="3"/>
      <c r="BI55" s="5"/>
      <c r="BJ55" s="3"/>
      <c r="BK55" s="3"/>
      <c r="BL55" s="3"/>
      <c r="BM55" s="3"/>
      <c r="BN55" s="3"/>
      <c r="BO55" s="3"/>
      <c r="BP55" s="15"/>
      <c r="BQ55" s="3"/>
      <c r="BR55" s="2" t="str">
        <f t="shared" si="40"/>
        <v/>
      </c>
      <c r="BS55" s="8">
        <f t="shared" ca="1" si="42"/>
        <v>0</v>
      </c>
      <c r="BT55" s="8">
        <f t="shared" ca="1" si="42"/>
        <v>0</v>
      </c>
      <c r="BU55" s="8">
        <f t="shared" ca="1" si="42"/>
        <v>0</v>
      </c>
      <c r="BV55" s="6"/>
      <c r="BW55" s="7">
        <f ca="1">SUMIFS($AE$64:$AE$135,$V$64:$V$135,$BR55,$W$64:$W$135,BW$51)+SUMIFS($AF$64:$AF$135,$W$64:$W$135,$BR55,$V$64:$V$135,BW$51)</f>
        <v>0</v>
      </c>
      <c r="BX55" s="7">
        <f ca="1">SUMIFS($AE$64:$AE$135,$V$64:$V$135,$BR55,$W$64:$W$135,BX$51)+SUMIFS($AF$64:$AF$135,$W$64:$W$135,$BR55,$V$64:$V$135,BX$51)</f>
        <v>0</v>
      </c>
      <c r="BY55" s="7">
        <f ca="1">SUMIFS($AE$64:$AE$135,$V$64:$V$135,$BR55,$W$64:$W$135,BY$51)+SUMIFS($AF$64:$AF$135,$W$64:$W$135,$BR55,$V$64:$V$135,BY$51)</f>
        <v>0</v>
      </c>
      <c r="BZ55" s="7">
        <f t="shared" ca="1" si="41"/>
        <v>0</v>
      </c>
      <c r="CA55" s="7">
        <f t="shared" ca="1" si="41"/>
        <v>0</v>
      </c>
      <c r="CB55" s="3"/>
    </row>
    <row r="56" spans="5:80" s="2" customFormat="1" x14ac:dyDescent="0.2">
      <c r="E56" s="14"/>
      <c r="F56" s="3"/>
      <c r="G56" s="3"/>
      <c r="H56" s="3"/>
      <c r="I56" s="3"/>
      <c r="J56" s="3"/>
      <c r="K56" s="3"/>
      <c r="L56" s="3"/>
      <c r="M56" s="5"/>
      <c r="N56" s="3"/>
      <c r="O56" s="3"/>
      <c r="P56" s="3"/>
      <c r="Q56" s="3"/>
      <c r="R56" s="3"/>
      <c r="S56" s="3"/>
      <c r="T56" s="3"/>
      <c r="U56" s="5"/>
      <c r="V56" s="3"/>
      <c r="W56" s="3"/>
      <c r="X56" s="3"/>
      <c r="Y56" s="3"/>
      <c r="Z56" s="3"/>
      <c r="AA56" s="3"/>
      <c r="AB56" s="3"/>
      <c r="AC56" s="5"/>
      <c r="AD56" s="3"/>
      <c r="AE56" s="3"/>
      <c r="AF56" s="3"/>
      <c r="AG56" s="3"/>
      <c r="AH56" s="3"/>
      <c r="AI56" s="3"/>
      <c r="AJ56" s="3"/>
      <c r="AK56" s="5"/>
      <c r="AL56" s="3"/>
      <c r="AM56" s="3"/>
      <c r="AN56" s="3"/>
      <c r="AO56" s="3"/>
      <c r="AP56" s="3"/>
      <c r="AQ56" s="3"/>
      <c r="AR56" s="3"/>
      <c r="AS56" s="5"/>
      <c r="AT56" s="3"/>
      <c r="AU56" s="3"/>
      <c r="AV56" s="3"/>
      <c r="AW56" s="3"/>
      <c r="AX56" s="3"/>
      <c r="AY56" s="3"/>
      <c r="AZ56" s="3"/>
      <c r="BA56" s="5"/>
      <c r="BB56" s="3"/>
      <c r="BC56" s="3"/>
      <c r="BD56" s="3"/>
      <c r="BE56" s="3"/>
      <c r="BF56" s="3"/>
      <c r="BG56" s="3"/>
      <c r="BH56" s="3"/>
      <c r="BI56" s="5"/>
      <c r="BJ56" s="3"/>
      <c r="BK56" s="3"/>
      <c r="BL56" s="3"/>
      <c r="BM56" s="3"/>
      <c r="BN56" s="3"/>
      <c r="BO56" s="3"/>
      <c r="BP56" s="15"/>
      <c r="BQ56" s="3"/>
      <c r="BR56" s="2" t="str">
        <f t="shared" si="40"/>
        <v/>
      </c>
      <c r="BS56" s="8">
        <f t="shared" ca="1" si="42"/>
        <v>0</v>
      </c>
      <c r="BT56" s="8">
        <f t="shared" ca="1" si="42"/>
        <v>0</v>
      </c>
      <c r="BU56" s="8">
        <f t="shared" ca="1" si="42"/>
        <v>0</v>
      </c>
      <c r="BV56" s="8">
        <f ca="1">SUMIFS($AE$64:$AE$135,$V$64:$V$135,$BR56,$W$64:$W$135,BV$51)+SUMIFS($AF$64:$AF$135,$W$64:$W$135,$BR56,$V$64:$V$135,BV$51)</f>
        <v>0</v>
      </c>
      <c r="BW56" s="6"/>
      <c r="BX56" s="7">
        <f ca="1">SUMIFS($AE$64:$AE$135,$V$64:$V$135,$BR56,$W$64:$W$135,BX$51)+SUMIFS($AF$64:$AF$135,$W$64:$W$135,$BR56,$V$64:$V$135,BX$51)</f>
        <v>0</v>
      </c>
      <c r="BY56" s="7">
        <f ca="1">SUMIFS($AE$64:$AE$135,$V$64:$V$135,$BR56,$W$64:$W$135,BY$51)+SUMIFS($AF$64:$AF$135,$W$64:$W$135,$BR56,$V$64:$V$135,BY$51)</f>
        <v>0</v>
      </c>
      <c r="BZ56" s="7">
        <f t="shared" ca="1" si="41"/>
        <v>0</v>
      </c>
      <c r="CA56" s="7">
        <f t="shared" ca="1" si="41"/>
        <v>0</v>
      </c>
      <c r="CB56" s="3"/>
    </row>
    <row r="57" spans="5:80" s="2" customFormat="1" x14ac:dyDescent="0.2">
      <c r="E57" s="14"/>
      <c r="F57" s="3"/>
      <c r="G57" s="3"/>
      <c r="H57" s="3"/>
      <c r="I57" s="3"/>
      <c r="J57" s="3"/>
      <c r="K57" s="3"/>
      <c r="L57" s="3"/>
      <c r="M57" s="5"/>
      <c r="N57" s="3"/>
      <c r="O57" s="3"/>
      <c r="P57" s="3"/>
      <c r="Q57" s="3"/>
      <c r="R57" s="3"/>
      <c r="S57" s="3"/>
      <c r="T57" s="3"/>
      <c r="U57" s="5"/>
      <c r="V57" s="3"/>
      <c r="W57" s="3"/>
      <c r="X57" s="3"/>
      <c r="Y57" s="3"/>
      <c r="Z57" s="3"/>
      <c r="AA57" s="3"/>
      <c r="AB57" s="3"/>
      <c r="AC57" s="5"/>
      <c r="AD57" s="3"/>
      <c r="AE57" s="3"/>
      <c r="AF57" s="3"/>
      <c r="AG57" s="3"/>
      <c r="AH57" s="3"/>
      <c r="AI57" s="3"/>
      <c r="AJ57" s="3"/>
      <c r="AK57" s="5"/>
      <c r="AL57" s="3"/>
      <c r="AM57" s="3"/>
      <c r="AN57" s="3"/>
      <c r="AO57" s="3"/>
      <c r="AP57" s="3"/>
      <c r="AQ57" s="3"/>
      <c r="AR57" s="3"/>
      <c r="AS57" s="5"/>
      <c r="AT57" s="3"/>
      <c r="AU57" s="3"/>
      <c r="AV57" s="3"/>
      <c r="AW57" s="3"/>
      <c r="AX57" s="3"/>
      <c r="AY57" s="3"/>
      <c r="AZ57" s="3"/>
      <c r="BA57" s="5"/>
      <c r="BB57" s="3"/>
      <c r="BC57" s="3"/>
      <c r="BD57" s="3"/>
      <c r="BE57" s="3"/>
      <c r="BF57" s="3"/>
      <c r="BG57" s="3"/>
      <c r="BH57" s="3"/>
      <c r="BI57" s="5"/>
      <c r="BJ57" s="3"/>
      <c r="BK57" s="3"/>
      <c r="BL57" s="3"/>
      <c r="BM57" s="3"/>
      <c r="BN57" s="3"/>
      <c r="BO57" s="3"/>
      <c r="BP57" s="15"/>
      <c r="BQ57" s="3"/>
      <c r="BR57" s="2" t="str">
        <f t="shared" si="40"/>
        <v/>
      </c>
      <c r="BS57" s="8">
        <f t="shared" ca="1" si="42"/>
        <v>0</v>
      </c>
      <c r="BT57" s="8">
        <f t="shared" ca="1" si="42"/>
        <v>0</v>
      </c>
      <c r="BU57" s="8">
        <f t="shared" ca="1" si="42"/>
        <v>0</v>
      </c>
      <c r="BV57" s="8">
        <f ca="1">SUMIFS($AE$64:$AE$135,$V$64:$V$135,$BR57,$W$64:$W$135,BV$51)+SUMIFS($AF$64:$AF$135,$W$64:$W$135,$BR57,$V$64:$V$135,BV$51)</f>
        <v>0</v>
      </c>
      <c r="BW57" s="8">
        <f ca="1">SUMIFS($AE$64:$AE$135,$V$64:$V$135,$BR57,$W$64:$W$135,BW$51)+SUMIFS($AF$64:$AF$135,$W$64:$W$135,$BR57,$V$64:$V$135,BW$51)</f>
        <v>0</v>
      </c>
      <c r="BX57" s="6"/>
      <c r="BY57" s="7">
        <f ca="1">SUMIFS($AE$64:$AE$135,$V$64:$V$135,$BR57,$W$64:$W$135,BY$51)+SUMIFS($AF$64:$AF$135,$W$64:$W$135,$BR57,$V$64:$V$135,BY$51)</f>
        <v>0</v>
      </c>
      <c r="BZ57" s="7">
        <f t="shared" ca="1" si="41"/>
        <v>0</v>
      </c>
      <c r="CA57" s="7">
        <f t="shared" ca="1" si="41"/>
        <v>0</v>
      </c>
      <c r="CB57" s="3"/>
    </row>
    <row r="58" spans="5:80" s="2" customFormat="1" x14ac:dyDescent="0.2">
      <c r="E58" s="14"/>
      <c r="F58" s="3"/>
      <c r="G58" s="3"/>
      <c r="H58" s="3"/>
      <c r="I58" s="3"/>
      <c r="J58" s="3"/>
      <c r="K58" s="3"/>
      <c r="L58" s="3"/>
      <c r="M58" s="5"/>
      <c r="N58" s="3"/>
      <c r="O58" s="3"/>
      <c r="P58" s="3"/>
      <c r="Q58" s="3"/>
      <c r="R58" s="3"/>
      <c r="S58" s="3"/>
      <c r="T58" s="3"/>
      <c r="U58" s="5"/>
      <c r="V58" s="3"/>
      <c r="W58" s="3"/>
      <c r="X58" s="3"/>
      <c r="Y58" s="3"/>
      <c r="Z58" s="3"/>
      <c r="AA58" s="3"/>
      <c r="AB58" s="3"/>
      <c r="AC58" s="5"/>
      <c r="AD58" s="3"/>
      <c r="AE58" s="3"/>
      <c r="AF58" s="3"/>
      <c r="AG58" s="3"/>
      <c r="AH58" s="3"/>
      <c r="AI58" s="3"/>
      <c r="AJ58" s="3"/>
      <c r="AK58" s="5"/>
      <c r="AL58" s="3"/>
      <c r="AM58" s="3"/>
      <c r="AN58" s="3"/>
      <c r="AO58" s="3"/>
      <c r="AP58" s="3"/>
      <c r="AQ58" s="3"/>
      <c r="AR58" s="3"/>
      <c r="AS58" s="5"/>
      <c r="AT58" s="3"/>
      <c r="AU58" s="3"/>
      <c r="AV58" s="3"/>
      <c r="AW58" s="3"/>
      <c r="AX58" s="3"/>
      <c r="AY58" s="3"/>
      <c r="AZ58" s="3"/>
      <c r="BA58" s="5"/>
      <c r="BB58" s="3"/>
      <c r="BC58" s="3"/>
      <c r="BD58" s="3"/>
      <c r="BE58" s="3"/>
      <c r="BF58" s="3"/>
      <c r="BG58" s="3"/>
      <c r="BH58" s="3"/>
      <c r="BI58" s="5"/>
      <c r="BJ58" s="3"/>
      <c r="BK58" s="3"/>
      <c r="BL58" s="3"/>
      <c r="BM58" s="3"/>
      <c r="BN58" s="3"/>
      <c r="BO58" s="3"/>
      <c r="BP58" s="15"/>
      <c r="BQ58" s="3"/>
      <c r="BR58" s="2" t="str">
        <f t="shared" si="40"/>
        <v/>
      </c>
      <c r="BS58" s="8">
        <f t="shared" ca="1" si="42"/>
        <v>0</v>
      </c>
      <c r="BT58" s="8">
        <f t="shared" ca="1" si="42"/>
        <v>0</v>
      </c>
      <c r="BU58" s="8">
        <f t="shared" ca="1" si="42"/>
        <v>0</v>
      </c>
      <c r="BV58" s="8">
        <f ca="1">SUMIFS($AE$64:$AE$135,$V$64:$V$135,$BR58,$W$64:$W$135,BV$51)+SUMIFS($AF$64:$AF$135,$W$64:$W$135,$BR58,$V$64:$V$135,BV$51)</f>
        <v>0</v>
      </c>
      <c r="BW58" s="8">
        <f ca="1">SUMIFS($AE$64:$AE$135,$V$64:$V$135,$BR58,$W$64:$W$135,BW$51)+SUMIFS($AF$64:$AF$135,$W$64:$W$135,$BR58,$V$64:$V$135,BW$51)</f>
        <v>0</v>
      </c>
      <c r="BX58" s="8">
        <f ca="1">SUMIFS($AE$64:$AE$135,$V$64:$V$135,$BR58,$W$64:$W$135,BX$51)+SUMIFS($AF$64:$AF$135,$W$64:$W$135,$BR58,$V$64:$V$135,BX$51)</f>
        <v>0</v>
      </c>
      <c r="BY58" s="6"/>
      <c r="BZ58" s="7">
        <f t="shared" ca="1" si="41"/>
        <v>0</v>
      </c>
      <c r="CA58" s="7">
        <f t="shared" ca="1" si="41"/>
        <v>0</v>
      </c>
      <c r="CB58" s="3"/>
    </row>
    <row r="59" spans="5:80" s="2" customFormat="1" x14ac:dyDescent="0.2">
      <c r="E59" s="14"/>
      <c r="F59" s="3"/>
      <c r="G59" s="3"/>
      <c r="H59" s="3"/>
      <c r="I59" s="3"/>
      <c r="J59" s="3"/>
      <c r="K59" s="3"/>
      <c r="L59" s="3"/>
      <c r="M59" s="5"/>
      <c r="N59" s="3"/>
      <c r="O59" s="3"/>
      <c r="P59" s="3"/>
      <c r="Q59" s="3"/>
      <c r="R59" s="3"/>
      <c r="S59" s="3"/>
      <c r="T59" s="3"/>
      <c r="U59" s="5"/>
      <c r="V59" s="3"/>
      <c r="W59" s="3"/>
      <c r="X59" s="3"/>
      <c r="Y59" s="3"/>
      <c r="Z59" s="3"/>
      <c r="AA59" s="3"/>
      <c r="AB59" s="3"/>
      <c r="AC59" s="5"/>
      <c r="AD59" s="3"/>
      <c r="AE59" s="3"/>
      <c r="AF59" s="3"/>
      <c r="AG59" s="3"/>
      <c r="AH59" s="3"/>
      <c r="AI59" s="3"/>
      <c r="AJ59" s="3"/>
      <c r="AK59" s="5"/>
      <c r="AL59" s="3"/>
      <c r="AM59" s="3"/>
      <c r="AN59" s="3"/>
      <c r="AO59" s="3"/>
      <c r="AP59" s="3"/>
      <c r="AQ59" s="3"/>
      <c r="AR59" s="3"/>
      <c r="AS59" s="5"/>
      <c r="AT59" s="3"/>
      <c r="AU59" s="3"/>
      <c r="AV59" s="3"/>
      <c r="AW59" s="3"/>
      <c r="AX59" s="3"/>
      <c r="AY59" s="3"/>
      <c r="AZ59" s="3"/>
      <c r="BA59" s="5"/>
      <c r="BB59" s="3"/>
      <c r="BC59" s="3"/>
      <c r="BD59" s="3"/>
      <c r="BE59" s="3"/>
      <c r="BF59" s="3"/>
      <c r="BG59" s="3"/>
      <c r="BH59" s="3"/>
      <c r="BI59" s="5"/>
      <c r="BJ59" s="3"/>
      <c r="BK59" s="3"/>
      <c r="BL59" s="3"/>
      <c r="BM59" s="3"/>
      <c r="BN59" s="3"/>
      <c r="BO59" s="3"/>
      <c r="BP59" s="15"/>
      <c r="BQ59" s="3"/>
      <c r="BR59" s="2" t="str">
        <f t="shared" si="40"/>
        <v/>
      </c>
      <c r="BS59" s="8">
        <f t="shared" ca="1" si="42"/>
        <v>0</v>
      </c>
      <c r="BT59" s="8">
        <f t="shared" ca="1" si="42"/>
        <v>0</v>
      </c>
      <c r="BU59" s="8">
        <f t="shared" ca="1" si="42"/>
        <v>0</v>
      </c>
      <c r="BV59" s="8">
        <f ca="1">SUMIFS($AE$64:$AE$135,$V$64:$V$135,$BR59,$W$64:$W$135,BV$51)+SUMIFS($AF$64:$AF$135,$W$64:$W$135,$BR59,$V$64:$V$135,BV$51)</f>
        <v>0</v>
      </c>
      <c r="BW59" s="8">
        <f ca="1">SUMIFS($AE$64:$AE$135,$V$64:$V$135,$BR59,$W$64:$W$135,BW$51)+SUMIFS($AF$64:$AF$135,$W$64:$W$135,$BR59,$V$64:$V$135,BW$51)</f>
        <v>0</v>
      </c>
      <c r="BX59" s="8">
        <f ca="1">SUMIFS($AE$64:$AE$135,$V$64:$V$135,$BR59,$W$64:$W$135,BX$51)+SUMIFS($AF$64:$AF$135,$W$64:$W$135,$BR59,$V$64:$V$135,BX$51)</f>
        <v>0</v>
      </c>
      <c r="BY59" s="8">
        <f ca="1">SUMIFS($AE$64:$AE$135,$V$64:$V$135,$BR59,$W$64:$W$135,BY$51)+SUMIFS($AF$64:$AF$135,$W$64:$W$135,$BR59,$V$64:$V$135,BY$51)</f>
        <v>0</v>
      </c>
      <c r="BZ59" s="6"/>
      <c r="CA59" s="7">
        <f ca="1">SUMIFS($AE$64:$AE$135,$V$64:$V$135,$BR59,$W$64:$W$135,CA$51)+SUMIFS($AF$64:$AF$135,$W$64:$W$135,$BR59,$V$64:$V$135,CA$51)</f>
        <v>0</v>
      </c>
      <c r="CB59" s="3"/>
    </row>
    <row r="60" spans="5:80" s="2" customFormat="1" ht="12.75" thickBot="1" x14ac:dyDescent="0.25">
      <c r="E60" s="16"/>
      <c r="F60" s="17"/>
      <c r="G60" s="17"/>
      <c r="H60" s="17"/>
      <c r="I60" s="17"/>
      <c r="J60" s="17"/>
      <c r="K60" s="17"/>
      <c r="L60" s="17"/>
      <c r="M60" s="18"/>
      <c r="N60" s="17"/>
      <c r="O60" s="17"/>
      <c r="P60" s="17"/>
      <c r="Q60" s="17"/>
      <c r="R60" s="17"/>
      <c r="S60" s="17"/>
      <c r="T60" s="17"/>
      <c r="U60" s="18"/>
      <c r="V60" s="17"/>
      <c r="W60" s="17"/>
      <c r="X60" s="17"/>
      <c r="Y60" s="17"/>
      <c r="Z60" s="17"/>
      <c r="AA60" s="17"/>
      <c r="AB60" s="17"/>
      <c r="AC60" s="18"/>
      <c r="AD60" s="17"/>
      <c r="AE60" s="17"/>
      <c r="AF60" s="17"/>
      <c r="AG60" s="17"/>
      <c r="AH60" s="17"/>
      <c r="AI60" s="17"/>
      <c r="AJ60" s="17"/>
      <c r="AK60" s="18"/>
      <c r="AL60" s="17"/>
      <c r="AM60" s="17"/>
      <c r="AN60" s="17"/>
      <c r="AO60" s="17"/>
      <c r="AP60" s="17"/>
      <c r="AQ60" s="17"/>
      <c r="AR60" s="17"/>
      <c r="AS60" s="18"/>
      <c r="AT60" s="17"/>
      <c r="AU60" s="17"/>
      <c r="AV60" s="17"/>
      <c r="AW60" s="17"/>
      <c r="AX60" s="17"/>
      <c r="AY60" s="17"/>
      <c r="AZ60" s="17"/>
      <c r="BA60" s="18"/>
      <c r="BB60" s="17"/>
      <c r="BC60" s="17"/>
      <c r="BD60" s="17"/>
      <c r="BE60" s="17"/>
      <c r="BF60" s="17"/>
      <c r="BG60" s="17"/>
      <c r="BH60" s="17"/>
      <c r="BI60" s="18"/>
      <c r="BJ60" s="17"/>
      <c r="BK60" s="17"/>
      <c r="BL60" s="17"/>
      <c r="BM60" s="17"/>
      <c r="BN60" s="17"/>
      <c r="BO60" s="17"/>
      <c r="BP60" s="19"/>
      <c r="BQ60" s="3"/>
      <c r="BR60" s="2" t="str">
        <f t="shared" si="40"/>
        <v/>
      </c>
      <c r="BS60" s="8">
        <f t="shared" ca="1" si="42"/>
        <v>0</v>
      </c>
      <c r="BT60" s="8">
        <f t="shared" ca="1" si="42"/>
        <v>0</v>
      </c>
      <c r="BU60" s="8">
        <f t="shared" ca="1" si="42"/>
        <v>0</v>
      </c>
      <c r="BV60" s="8">
        <f ca="1">SUMIFS($AE$64:$AE$135,$V$64:$V$135,$BR60,$W$64:$W$135,BV$51)+SUMIFS($AF$64:$AF$135,$W$64:$W$135,$BR60,$V$64:$V$135,BV$51)</f>
        <v>0</v>
      </c>
      <c r="BW60" s="8">
        <f ca="1">SUMIFS($AE$64:$AE$135,$V$64:$V$135,$BR60,$W$64:$W$135,BW$51)+SUMIFS($AF$64:$AF$135,$W$64:$W$135,$BR60,$V$64:$V$135,BW$51)</f>
        <v>0</v>
      </c>
      <c r="BX60" s="8">
        <f ca="1">SUMIFS($AE$64:$AE$135,$V$64:$V$135,$BR60,$W$64:$W$135,BX$51)+SUMIFS($AF$64:$AF$135,$W$64:$W$135,$BR60,$V$64:$V$135,BX$51)</f>
        <v>0</v>
      </c>
      <c r="BY60" s="8">
        <f ca="1">SUMIFS($AE$64:$AE$135,$V$64:$V$135,$BR60,$W$64:$W$135,BY$51)+SUMIFS($AF$64:$AF$135,$W$64:$W$135,$BR60,$V$64:$V$135,BY$51)</f>
        <v>0</v>
      </c>
      <c r="BZ60" s="8">
        <f ca="1">SUMIFS($AE$64:$AE$135,$V$64:$V$135,$BR60,$W$64:$W$135,BZ$51)+SUMIFS($AF$64:$AF$135,$W$64:$W$135,$BR60,$V$64:$V$135,BZ$51)</f>
        <v>0</v>
      </c>
      <c r="CA60" s="6"/>
      <c r="CB60" s="3"/>
    </row>
    <row r="61" spans="5:80" s="2" customFormat="1" ht="12.75" thickTop="1" x14ac:dyDescent="0.2">
      <c r="AC61" s="3"/>
      <c r="AD61" s="3"/>
      <c r="AE61" s="3"/>
      <c r="AF61" s="3"/>
      <c r="AG61" s="3"/>
      <c r="AH61" s="3"/>
      <c r="AI61" s="3"/>
      <c r="AJ61" s="3"/>
      <c r="AK61" s="3"/>
      <c r="AL61" s="3"/>
      <c r="AM61" s="3"/>
      <c r="AN61" s="3"/>
      <c r="AO61" s="3"/>
      <c r="AP61" s="3"/>
      <c r="AQ61" s="3"/>
      <c r="AR61" s="3"/>
    </row>
    <row r="62" spans="5:80" s="2" customFormat="1" x14ac:dyDescent="0.2">
      <c r="AC62" s="3"/>
      <c r="AD62" s="3"/>
      <c r="AE62" s="3"/>
      <c r="AF62" s="3"/>
      <c r="AG62" s="3"/>
      <c r="AH62" s="3"/>
      <c r="AI62" s="3"/>
      <c r="AJ62" s="3"/>
      <c r="AK62" s="3"/>
      <c r="AL62" s="3"/>
      <c r="AM62" s="3"/>
      <c r="AN62" s="3"/>
      <c r="AO62" s="3"/>
      <c r="AP62" s="3"/>
      <c r="AQ62" s="3"/>
      <c r="AR62" s="3"/>
    </row>
    <row r="63" spans="5:80" s="2" customFormat="1" ht="12.75" thickBot="1" x14ac:dyDescent="0.25">
      <c r="F63" s="191" t="s">
        <v>171</v>
      </c>
      <c r="X63" s="1031" t="s">
        <v>372</v>
      </c>
      <c r="Y63" s="1031"/>
      <c r="Z63" s="163" t="s">
        <v>156</v>
      </c>
      <c r="AA63" s="163" t="s">
        <v>15</v>
      </c>
      <c r="AB63" s="163" t="s">
        <v>154</v>
      </c>
      <c r="AC63" s="726" t="s">
        <v>157</v>
      </c>
      <c r="AD63" s="163" t="s">
        <v>155</v>
      </c>
      <c r="AE63" s="1024" t="s">
        <v>395</v>
      </c>
      <c r="AF63" s="1024"/>
      <c r="AG63" s="1030" t="s">
        <v>374</v>
      </c>
      <c r="AH63" s="1030"/>
      <c r="AI63" s="727" t="s">
        <v>396</v>
      </c>
      <c r="AJ63" s="3"/>
      <c r="AK63" s="3"/>
      <c r="AL63" s="3"/>
      <c r="AM63" s="3"/>
      <c r="AN63" s="3"/>
      <c r="AO63" s="3"/>
      <c r="AP63" s="3"/>
      <c r="AQ63" s="3"/>
      <c r="AR63" s="3"/>
    </row>
    <row r="64" spans="5:80" s="2" customFormat="1" ht="14.25" thickTop="1" thickBot="1" x14ac:dyDescent="0.25">
      <c r="F64" s="192">
        <v>1000000</v>
      </c>
      <c r="G64" s="193" t="s">
        <v>110</v>
      </c>
      <c r="P64" s="44" t="s">
        <v>6</v>
      </c>
      <c r="Q64" s="59" t="str">
        <f ca="1">IF('Finals 4'!$AH44="","",'Finals 4'!$AH44)</f>
        <v/>
      </c>
      <c r="U64" s="65" t="s">
        <v>6</v>
      </c>
      <c r="V64" s="39" t="str">
        <f ca="1">'Finals 4'!$I12</f>
        <v/>
      </c>
      <c r="W64" s="32" t="str">
        <f ca="1">'Finals 4'!$K12</f>
        <v/>
      </c>
      <c r="X64" s="32" t="str">
        <f ca="1">IF(AA64=1,'Finals 4'!$L12,"")</f>
        <v/>
      </c>
      <c r="Y64" s="33" t="str">
        <f ca="1">IF(AA64=1,'Finals 4'!$N12,"")</f>
        <v/>
      </c>
      <c r="Z64" s="31" t="str">
        <f ca="1">V64&amp;W64</f>
        <v/>
      </c>
      <c r="AA64" s="12">
        <f ca="1">IF(AND('Finals 4'!$L12&lt;&gt;"",'Finals 4'!$N12&lt;&gt;"",'Finals 4'!$L12&lt;&gt;'Finals 4'!$N12,OR(AND('Finals 4'!$O12="",'Finals 4'!$Q12=""),AND('Finals 4'!$O12&lt;&gt;"",'Finals 4'!$Q12&lt;&gt;"",'Finals 4'!$O12&lt;&gt;'Finals 4'!$Q12)),'Finals 4'!$I12&lt;&gt;"",'Finals 4'!$K12&lt;&gt;"",'Finals 4'!$I12&lt;&gt;'Finals 4'!$K12),1,0)</f>
        <v>0</v>
      </c>
      <c r="AB64" s="141" t="str">
        <f ca="1">IF(AA64&gt;0,X64&amp;Language!$E$96&amp;Y64,"")</f>
        <v/>
      </c>
      <c r="AD64" s="142"/>
      <c r="AE64" s="147">
        <f ca="1">IF($AA64=0,0,IF($X64&gt;$Y64,1,0)+IF($AG64&gt;$AH64,1,0))</f>
        <v>0</v>
      </c>
      <c r="AF64" s="142">
        <f ca="1">IF($AA64=0,0,IF($X64&lt;$Y64,1,0)+IF($AG64&lt;$AH64,1,0))</f>
        <v>0</v>
      </c>
      <c r="AG64" s="147" t="str">
        <f ca="1">IF(AA64=1,'Finals 4'!$O12,"")</f>
        <v/>
      </c>
      <c r="AH64" s="721" t="str">
        <f ca="1">IF(AA64=1,'Finals 4'!$Q12,"")</f>
        <v/>
      </c>
      <c r="AI64" s="142" t="str">
        <f ca="1">IF(AA64&gt;0,AE64&amp;Language!$E$96&amp;AF64,"")</f>
        <v/>
      </c>
      <c r="AJ64" s="3"/>
      <c r="AK64" s="3"/>
      <c r="AL64" s="3"/>
      <c r="AM64" s="3"/>
      <c r="AN64" s="3"/>
      <c r="AO64" s="3"/>
      <c r="AP64" s="3"/>
      <c r="AQ64" s="3"/>
      <c r="AR64" s="3"/>
    </row>
    <row r="65" spans="2:43" s="2" customFormat="1" ht="13.5" thickBot="1" x14ac:dyDescent="0.25">
      <c r="F65" s="194">
        <v>1000</v>
      </c>
      <c r="G65" s="195" t="s">
        <v>109</v>
      </c>
      <c r="H65" s="199">
        <v>500</v>
      </c>
      <c r="I65" s="198" t="s">
        <v>341</v>
      </c>
      <c r="P65" s="45" t="s">
        <v>7</v>
      </c>
      <c r="Q65" s="60" t="str">
        <f ca="1">IF('Finals 4'!$AH45="","",'Finals 4'!$AH45)</f>
        <v/>
      </c>
      <c r="U65" s="66" t="s">
        <v>7</v>
      </c>
      <c r="V65" s="40" t="str">
        <f ca="1">'Finals 4'!$I13</f>
        <v>FSV Rauen</v>
      </c>
      <c r="W65" s="12" t="str">
        <f ca="1">'Finals 4'!$K13</f>
        <v/>
      </c>
      <c r="X65" s="12" t="str">
        <f ca="1">IF(AA65=1,'Finals 4'!$L13,"")</f>
        <v/>
      </c>
      <c r="Y65" s="35" t="str">
        <f ca="1">IF(AA65=1,'Finals 4'!$N13,"")</f>
        <v/>
      </c>
      <c r="Z65" s="34" t="str">
        <f t="shared" ref="Z65:Z73" ca="1" si="43">V65&amp;W65</f>
        <v>FSV Rauen</v>
      </c>
      <c r="AA65" s="12">
        <f ca="1">IF(AND('Finals 4'!$L13&lt;&gt;"",'Finals 4'!$N13&lt;&gt;"",'Finals 4'!$L13&lt;&gt;'Finals 4'!$N13,OR(AND('Finals 4'!$O13="",'Finals 4'!$Q13=""),AND('Finals 4'!$O13&lt;&gt;"",'Finals 4'!$Q13&lt;&gt;"",'Finals 4'!$O13&lt;&gt;'Finals 4'!$Q13)),'Finals 4'!$I13&lt;&gt;"",'Finals 4'!$K13&lt;&gt;"",'Finals 4'!$I13&lt;&gt;'Finals 4'!$K13),1,0)</f>
        <v>0</v>
      </c>
      <c r="AB65" s="12" t="str">
        <f ca="1">IF(AA65&gt;0,X65&amp;Language!$E$96&amp;Y65,"")</f>
        <v/>
      </c>
      <c r="AD65" s="143"/>
      <c r="AE65" s="148">
        <f t="shared" ref="AE65:AE88" ca="1" si="44">IF($AA65=0,0,IF($X65&gt;$Y65,1,0)+IF($AG65&gt;$AH65,1,0))</f>
        <v>0</v>
      </c>
      <c r="AF65" s="143">
        <f t="shared" ref="AF65:AF88" ca="1" si="45">IF($AA65=0,0,IF($X65&lt;$Y65,1,0)+IF($AG65&lt;$AH65,1,0))</f>
        <v>0</v>
      </c>
      <c r="AG65" s="148" t="str">
        <f ca="1">IF(AA65=1,'Finals 4'!$O13,"")</f>
        <v/>
      </c>
      <c r="AH65" s="12" t="str">
        <f ca="1">IF(AA65=1,'Finals 4'!$Q13,"")</f>
        <v/>
      </c>
      <c r="AI65" s="143" t="str">
        <f ca="1">IF(AA65&gt;0,AE65&amp;Language!$E$96&amp;AF65,"")</f>
        <v/>
      </c>
      <c r="AJ65" s="12"/>
      <c r="AK65" s="12"/>
      <c r="AL65" s="12"/>
      <c r="AM65" s="12"/>
      <c r="AN65" s="12"/>
      <c r="AO65" s="12"/>
      <c r="AP65" s="12"/>
      <c r="AQ65" s="12"/>
    </row>
    <row r="66" spans="2:43" s="2" customFormat="1" ht="13.5" thickBot="1" x14ac:dyDescent="0.25">
      <c r="F66" s="196">
        <v>1</v>
      </c>
      <c r="G66" s="197" t="s">
        <v>107</v>
      </c>
      <c r="P66" s="45"/>
      <c r="Q66" s="60" t="str">
        <f>""</f>
        <v/>
      </c>
      <c r="U66" s="66" t="s">
        <v>8</v>
      </c>
      <c r="V66" s="40" t="str">
        <f ca="1">'Finals 4'!$I14</f>
        <v>FC Grönlingen</v>
      </c>
      <c r="W66" s="12" t="str">
        <f ca="1">'Finals 4'!$K14</f>
        <v>Mainz 05</v>
      </c>
      <c r="X66" s="12">
        <f ca="1">IF(AA66=1,'Finals 4'!$L14,"")</f>
        <v>19</v>
      </c>
      <c r="Y66" s="35">
        <f ca="1">IF(AA66=1,'Finals 4'!$N14,"")</f>
        <v>25</v>
      </c>
      <c r="Z66" s="34" t="str">
        <f t="shared" ca="1" si="43"/>
        <v>FC GrönlingenMainz 05</v>
      </c>
      <c r="AA66" s="12">
        <f ca="1">IF(AND('Finals 4'!$L14&lt;&gt;"",'Finals 4'!$N14&lt;&gt;"",'Finals 4'!$L14&lt;&gt;'Finals 4'!$N14,OR(AND('Finals 4'!$O14="",'Finals 4'!$Q14=""),AND('Finals 4'!$O14&lt;&gt;"",'Finals 4'!$Q14&lt;&gt;"",'Finals 4'!$O14&lt;&gt;'Finals 4'!$Q14)),'Finals 4'!$I14&lt;&gt;"",'Finals 4'!$K14&lt;&gt;"",'Finals 4'!$I14&lt;&gt;'Finals 4'!$K14),1,0)</f>
        <v>1</v>
      </c>
      <c r="AB66" s="12" t="str">
        <f ca="1">IF(AA66&gt;0,X66&amp;Language!$E$96&amp;Y66,"")</f>
        <v>19-25</v>
      </c>
      <c r="AD66" s="143"/>
      <c r="AE66" s="148">
        <f t="shared" ca="1" si="44"/>
        <v>0</v>
      </c>
      <c r="AF66" s="143">
        <f t="shared" ca="1" si="45"/>
        <v>2</v>
      </c>
      <c r="AG66" s="148">
        <f ca="1">IF(AA66=1,'Finals 4'!$O14,"")</f>
        <v>19</v>
      </c>
      <c r="AH66" s="12">
        <f ca="1">IF(AA66=1,'Finals 4'!$Q14,"")</f>
        <v>25</v>
      </c>
      <c r="AI66" s="143" t="str">
        <f ca="1">IF(AA66&gt;0,AE66&amp;Language!$E$96&amp;AF66,"")</f>
        <v>0-2</v>
      </c>
      <c r="AJ66" s="3"/>
      <c r="AK66" s="12"/>
      <c r="AL66" s="12"/>
      <c r="AM66" s="12"/>
      <c r="AN66" s="12"/>
      <c r="AO66" s="12"/>
      <c r="AP66" s="12"/>
      <c r="AQ66" s="12"/>
    </row>
    <row r="67" spans="2:43" s="2" customFormat="1" x14ac:dyDescent="0.2">
      <c r="P67" s="45"/>
      <c r="Q67" s="60" t="str">
        <f>""</f>
        <v/>
      </c>
      <c r="U67" s="66" t="s">
        <v>9</v>
      </c>
      <c r="V67" s="40" t="str">
        <f ca="1">'Finals 4'!$I15</f>
        <v>Eintracht Frankfurt</v>
      </c>
      <c r="W67" s="12" t="str">
        <f ca="1">'Finals 4'!$K15</f>
        <v>Real Madrid</v>
      </c>
      <c r="X67" s="12">
        <f ca="1">IF(AA67=1,'Finals 4'!$L15,"")</f>
        <v>25</v>
      </c>
      <c r="Y67" s="35">
        <f ca="1">IF(AA67=1,'Finals 4'!$N15,"")</f>
        <v>20</v>
      </c>
      <c r="Z67" s="34" t="str">
        <f t="shared" ca="1" si="43"/>
        <v>Eintracht FrankfurtReal Madrid</v>
      </c>
      <c r="AA67" s="12">
        <f ca="1">IF(AND('Finals 4'!$L15&lt;&gt;"",'Finals 4'!$N15&lt;&gt;"",'Finals 4'!$L15&lt;&gt;'Finals 4'!$N15,OR(AND('Finals 4'!$O15="",'Finals 4'!$Q15=""),AND('Finals 4'!$O15&lt;&gt;"",'Finals 4'!$Q15&lt;&gt;"",'Finals 4'!$O15&lt;&gt;'Finals 4'!$Q15)),'Finals 4'!$I15&lt;&gt;"",'Finals 4'!$K15&lt;&gt;"",'Finals 4'!$I15&lt;&gt;'Finals 4'!$K15),1,0)</f>
        <v>1</v>
      </c>
      <c r="AB67" s="12" t="str">
        <f ca="1">IF(AA67&gt;0,X67&amp;Language!$E$96&amp;Y67,"")</f>
        <v>25-20</v>
      </c>
      <c r="AD67" s="143"/>
      <c r="AE67" s="148">
        <f t="shared" ca="1" si="44"/>
        <v>1</v>
      </c>
      <c r="AF67" s="143">
        <f t="shared" ca="1" si="45"/>
        <v>1</v>
      </c>
      <c r="AG67" s="148">
        <f ca="1">IF(AA67=1,'Finals 4'!$O15,"")</f>
        <v>20</v>
      </c>
      <c r="AH67" s="12">
        <f ca="1">IF(AA67=1,'Finals 4'!$Q15,"")</f>
        <v>25</v>
      </c>
      <c r="AI67" s="143" t="str">
        <f ca="1">IF(AA67&gt;0,AE67&amp;Language!$E$96&amp;AF67,"")</f>
        <v>1-1</v>
      </c>
      <c r="AJ67" s="12"/>
      <c r="AK67" s="3"/>
      <c r="AL67" s="12"/>
      <c r="AM67" s="12"/>
      <c r="AN67" s="12"/>
      <c r="AO67" s="12"/>
      <c r="AP67" s="12"/>
      <c r="AQ67" s="12"/>
    </row>
    <row r="68" spans="2:43" s="2" customFormat="1" x14ac:dyDescent="0.2">
      <c r="P68" s="45"/>
      <c r="Q68" s="60" t="str">
        <f>""</f>
        <v/>
      </c>
      <c r="U68" s="66" t="s">
        <v>10</v>
      </c>
      <c r="V68" s="40" t="str">
        <f ca="1">'Finals 4'!$I16</f>
        <v>Borussia Dortmund</v>
      </c>
      <c r="W68" s="12" t="str">
        <f ca="1">'Finals 4'!$K16</f>
        <v>SSV Wildbach</v>
      </c>
      <c r="X68" s="12">
        <f ca="1">IF(AA68=1,'Finals 4'!$L16,"")</f>
        <v>25</v>
      </c>
      <c r="Y68" s="35">
        <f ca="1">IF(AA68=1,'Finals 4'!$N16,"")</f>
        <v>21</v>
      </c>
      <c r="Z68" s="34" t="str">
        <f t="shared" ca="1" si="43"/>
        <v>Borussia DortmundSSV Wildbach</v>
      </c>
      <c r="AA68" s="12">
        <f ca="1">IF(AND('Finals 4'!$L16&lt;&gt;"",'Finals 4'!$N16&lt;&gt;"",'Finals 4'!$L16&lt;&gt;'Finals 4'!$N16,OR(AND('Finals 4'!$O16="",'Finals 4'!$Q16=""),AND('Finals 4'!$O16&lt;&gt;"",'Finals 4'!$Q16&lt;&gt;"",'Finals 4'!$O16&lt;&gt;'Finals 4'!$Q16)),'Finals 4'!$I16&lt;&gt;"",'Finals 4'!$K16&lt;&gt;"",'Finals 4'!$I16&lt;&gt;'Finals 4'!$K16),1,0)</f>
        <v>1</v>
      </c>
      <c r="AB68" s="12" t="str">
        <f ca="1">IF(AA68&gt;0,X68&amp;Language!$E$96&amp;Y68,"")</f>
        <v>25-21</v>
      </c>
      <c r="AD68" s="143"/>
      <c r="AE68" s="148">
        <f t="shared" ca="1" si="44"/>
        <v>2</v>
      </c>
      <c r="AF68" s="143">
        <f t="shared" ca="1" si="45"/>
        <v>0</v>
      </c>
      <c r="AG68" s="148">
        <f ca="1">IF(AA68=1,'Finals 4'!$O16,"")</f>
        <v>25</v>
      </c>
      <c r="AH68" s="12">
        <f ca="1">IF(AA68=1,'Finals 4'!$Q16,"")</f>
        <v>19</v>
      </c>
      <c r="AI68" s="143" t="str">
        <f ca="1">IF(AA68&gt;0,AE68&amp;Language!$E$96&amp;AF68,"")</f>
        <v>2-0</v>
      </c>
      <c r="AJ68" s="12"/>
      <c r="AK68" s="12"/>
      <c r="AL68" s="3"/>
      <c r="AM68" s="12"/>
      <c r="AN68" s="12"/>
      <c r="AO68" s="12"/>
      <c r="AP68" s="12"/>
      <c r="AQ68" s="12"/>
    </row>
    <row r="69" spans="2:43" s="2" customFormat="1" x14ac:dyDescent="0.2">
      <c r="P69" s="45"/>
      <c r="Q69" s="60" t="str">
        <f>""</f>
        <v/>
      </c>
      <c r="U69" s="66" t="s">
        <v>11</v>
      </c>
      <c r="V69" s="40" t="str">
        <f ca="1">'Finals 4'!$I17</f>
        <v>1. FC Riedwald</v>
      </c>
      <c r="W69" s="12" t="str">
        <f ca="1">'Finals 4'!$K17</f>
        <v>Manchester City</v>
      </c>
      <c r="X69" s="12">
        <f ca="1">IF(AA69=1,'Finals 4'!$L17,"")</f>
        <v>25</v>
      </c>
      <c r="Y69" s="35">
        <f ca="1">IF(AA69=1,'Finals 4'!$N17,"")</f>
        <v>22</v>
      </c>
      <c r="Z69" s="34" t="str">
        <f t="shared" ca="1" si="43"/>
        <v>1. FC RiedwaldManchester City</v>
      </c>
      <c r="AA69" s="12">
        <f ca="1">IF(AND('Finals 4'!$L17&lt;&gt;"",'Finals 4'!$N17&lt;&gt;"",'Finals 4'!$L17&lt;&gt;'Finals 4'!$N17,OR(AND('Finals 4'!$O17="",'Finals 4'!$Q17=""),AND('Finals 4'!$O17&lt;&gt;"",'Finals 4'!$Q17&lt;&gt;"",'Finals 4'!$O17&lt;&gt;'Finals 4'!$Q17)),'Finals 4'!$I17&lt;&gt;"",'Finals 4'!$K17&lt;&gt;"",'Finals 4'!$I17&lt;&gt;'Finals 4'!$K17),1,0)</f>
        <v>1</v>
      </c>
      <c r="AB69" s="12" t="str">
        <f ca="1">IF(AA69&gt;0,X69&amp;Language!$E$96&amp;Y69,"")</f>
        <v>25-22</v>
      </c>
      <c r="AD69" s="143"/>
      <c r="AE69" s="148">
        <f t="shared" ca="1" si="44"/>
        <v>2</v>
      </c>
      <c r="AF69" s="143">
        <f t="shared" ca="1" si="45"/>
        <v>0</v>
      </c>
      <c r="AG69" s="148">
        <f ca="1">IF(AA69=1,'Finals 4'!$O17,"")</f>
        <v>25</v>
      </c>
      <c r="AH69" s="12">
        <f ca="1">IF(AA69=1,'Finals 4'!$Q17,"")</f>
        <v>20</v>
      </c>
      <c r="AI69" s="143" t="str">
        <f ca="1">IF(AA69&gt;0,AE69&amp;Language!$E$96&amp;AF69,"")</f>
        <v>2-0</v>
      </c>
      <c r="AJ69" s="12"/>
      <c r="AK69" s="12"/>
      <c r="AL69" s="12"/>
      <c r="AM69" s="3"/>
      <c r="AN69" s="12"/>
      <c r="AO69" s="12"/>
      <c r="AP69" s="12"/>
      <c r="AQ69" s="12"/>
    </row>
    <row r="70" spans="2:43" s="2" customFormat="1" x14ac:dyDescent="0.2">
      <c r="P70" s="45"/>
      <c r="Q70" s="60" t="str">
        <f>""</f>
        <v/>
      </c>
      <c r="U70" s="66" t="s">
        <v>16</v>
      </c>
      <c r="V70" s="40" t="str">
        <f ca="1">'Finals 4'!$I18</f>
        <v>Maibach 1822 eV</v>
      </c>
      <c r="W70" s="12" t="str">
        <f ca="1">'Finals 4'!$K18</f>
        <v>Kickers Rodendorf</v>
      </c>
      <c r="X70" s="12">
        <f ca="1">IF(AA70=1,'Finals 4'!$L18,"")</f>
        <v>25</v>
      </c>
      <c r="Y70" s="35">
        <f ca="1">IF(AA70=1,'Finals 4'!$N18,"")</f>
        <v>23</v>
      </c>
      <c r="Z70" s="34" t="str">
        <f t="shared" ca="1" si="43"/>
        <v>Maibach 1822 eVKickers Rodendorf</v>
      </c>
      <c r="AA70" s="12">
        <f ca="1">IF(AND('Finals 4'!$L18&lt;&gt;"",'Finals 4'!$N18&lt;&gt;"",'Finals 4'!$L18&lt;&gt;'Finals 4'!$N18,OR(AND('Finals 4'!$O18="",'Finals 4'!$Q18=""),AND('Finals 4'!$O18&lt;&gt;"",'Finals 4'!$Q18&lt;&gt;"",'Finals 4'!$O18&lt;&gt;'Finals 4'!$Q18)),'Finals 4'!$I18&lt;&gt;"",'Finals 4'!$K18&lt;&gt;"",'Finals 4'!$I18&lt;&gt;'Finals 4'!$K18),1,0)</f>
        <v>1</v>
      </c>
      <c r="AB70" s="12" t="str">
        <f ca="1">IF(AA70&gt;0,X70&amp;Language!$E$96&amp;Y70,"")</f>
        <v>25-23</v>
      </c>
      <c r="AD70" s="143"/>
      <c r="AE70" s="148">
        <f t="shared" ca="1" si="44"/>
        <v>2</v>
      </c>
      <c r="AF70" s="143">
        <f t="shared" ca="1" si="45"/>
        <v>0</v>
      </c>
      <c r="AG70" s="148">
        <f ca="1">IF(AA70=1,'Finals 4'!$O18,"")</f>
        <v>25</v>
      </c>
      <c r="AH70" s="12">
        <f ca="1">IF(AA70=1,'Finals 4'!$Q18,"")</f>
        <v>21</v>
      </c>
      <c r="AI70" s="143" t="str">
        <f ca="1">IF(AA70&gt;0,AE70&amp;Language!$E$96&amp;AF70,"")</f>
        <v>2-0</v>
      </c>
      <c r="AJ70" s="12"/>
      <c r="AK70" s="12"/>
      <c r="AL70" s="12"/>
      <c r="AM70" s="12"/>
      <c r="AN70" s="3"/>
      <c r="AO70" s="12"/>
      <c r="AP70" s="12"/>
      <c r="AQ70" s="12"/>
    </row>
    <row r="71" spans="2:43" s="2" customFormat="1" x14ac:dyDescent="0.2">
      <c r="B71" s="3"/>
      <c r="C71" s="3"/>
      <c r="D71" s="3"/>
      <c r="E71" s="3"/>
      <c r="F71" s="3"/>
      <c r="G71" s="3"/>
      <c r="H71" s="3"/>
      <c r="I71" s="3"/>
      <c r="J71" s="3"/>
      <c r="K71" s="3"/>
      <c r="L71" s="3"/>
      <c r="M71" s="3"/>
      <c r="P71" s="45"/>
      <c r="Q71" s="60" t="str">
        <f>""</f>
        <v/>
      </c>
      <c r="U71" s="66" t="s">
        <v>17</v>
      </c>
      <c r="V71" s="40" t="str">
        <f ca="1">'Finals 4'!$I19</f>
        <v>1. FC Nürnberg</v>
      </c>
      <c r="W71" s="12" t="str">
        <f ca="1">'Finals 4'!$K19</f>
        <v>VFB Essenheim</v>
      </c>
      <c r="X71" s="12">
        <f ca="1">IF(AA71=1,'Finals 4'!$L19,"")</f>
        <v>25</v>
      </c>
      <c r="Y71" s="35">
        <f ca="1">IF(AA71=1,'Finals 4'!$N19,"")</f>
        <v>17</v>
      </c>
      <c r="Z71" s="34" t="str">
        <f t="shared" ca="1" si="43"/>
        <v>1. FC NürnbergVFB Essenheim</v>
      </c>
      <c r="AA71" s="12">
        <f ca="1">IF(AND('Finals 4'!$L19&lt;&gt;"",'Finals 4'!$N19&lt;&gt;"",'Finals 4'!$L19&lt;&gt;'Finals 4'!$N19,OR(AND('Finals 4'!$O19="",'Finals 4'!$Q19=""),AND('Finals 4'!$O19&lt;&gt;"",'Finals 4'!$Q19&lt;&gt;"",'Finals 4'!$O19&lt;&gt;'Finals 4'!$Q19)),'Finals 4'!$I19&lt;&gt;"",'Finals 4'!$K19&lt;&gt;"",'Finals 4'!$I19&lt;&gt;'Finals 4'!$K19),1,0)</f>
        <v>1</v>
      </c>
      <c r="AB71" s="12" t="str">
        <f ca="1">IF(AA71&gt;0,X71&amp;Language!$E$96&amp;Y71,"")</f>
        <v>25-17</v>
      </c>
      <c r="AD71" s="143"/>
      <c r="AE71" s="148">
        <f t="shared" ca="1" si="44"/>
        <v>2</v>
      </c>
      <c r="AF71" s="143">
        <f t="shared" ca="1" si="45"/>
        <v>0</v>
      </c>
      <c r="AG71" s="148">
        <f ca="1">IF(AA71=1,'Finals 4'!$O19,"")</f>
        <v>25</v>
      </c>
      <c r="AH71" s="12">
        <f ca="1">IF(AA71=1,'Finals 4'!$Q19,"")</f>
        <v>22</v>
      </c>
      <c r="AI71" s="143" t="str">
        <f ca="1">IF(AA71&gt;0,AE71&amp;Language!$E$96&amp;AF71,"")</f>
        <v>2-0</v>
      </c>
      <c r="AJ71" s="12"/>
      <c r="AK71" s="12"/>
      <c r="AL71" s="12"/>
      <c r="AM71" s="12"/>
      <c r="AN71" s="12"/>
      <c r="AO71" s="3"/>
      <c r="AP71" s="12"/>
      <c r="AQ71" s="12"/>
    </row>
    <row r="72" spans="2:43" s="2" customFormat="1" ht="12.75" thickBot="1" x14ac:dyDescent="0.25">
      <c r="B72" s="3"/>
      <c r="C72" s="3"/>
      <c r="D72" s="3"/>
      <c r="E72" s="3"/>
      <c r="F72" s="12"/>
      <c r="G72" s="12"/>
      <c r="H72" s="12"/>
      <c r="I72" s="12"/>
      <c r="J72" s="12"/>
      <c r="K72" s="12"/>
      <c r="L72" s="12"/>
      <c r="M72" s="12"/>
      <c r="P72" s="46"/>
      <c r="Q72" s="61" t="str">
        <f>""</f>
        <v/>
      </c>
      <c r="U72" s="66" t="s">
        <v>18</v>
      </c>
      <c r="V72" s="40" t="str">
        <f ca="1">'Finals 4'!$I20</f>
        <v>Inter Mailand</v>
      </c>
      <c r="W72" s="12" t="str">
        <f ca="1">'Finals 4'!$K20</f>
        <v>FC Barcelona</v>
      </c>
      <c r="X72" s="12">
        <f ca="1">IF(AA72=1,'Finals 4'!$L20,"")</f>
        <v>23</v>
      </c>
      <c r="Y72" s="35">
        <f ca="1">IF(AA72=1,'Finals 4'!$N20,"")</f>
        <v>25</v>
      </c>
      <c r="Z72" s="34" t="str">
        <f t="shared" ca="1" si="43"/>
        <v>Inter MailandFC Barcelona</v>
      </c>
      <c r="AA72" s="12">
        <f ca="1">IF(AND('Finals 4'!$L20&lt;&gt;"",'Finals 4'!$N20&lt;&gt;"",'Finals 4'!$L20&lt;&gt;'Finals 4'!$N20,OR(AND('Finals 4'!$O20="",'Finals 4'!$Q20=""),AND('Finals 4'!$O20&lt;&gt;"",'Finals 4'!$Q20&lt;&gt;"",'Finals 4'!$O20&lt;&gt;'Finals 4'!$Q20)),'Finals 4'!$I20&lt;&gt;"",'Finals 4'!$K20&lt;&gt;"",'Finals 4'!$I20&lt;&gt;'Finals 4'!$K20),1,0)</f>
        <v>1</v>
      </c>
      <c r="AB72" s="12" t="str">
        <f ca="1">IF(AA72&gt;0,X72&amp;Language!$E$96&amp;Y72,"")</f>
        <v>23-25</v>
      </c>
      <c r="AD72" s="143"/>
      <c r="AE72" s="148">
        <f t="shared" ca="1" si="44"/>
        <v>0</v>
      </c>
      <c r="AF72" s="143">
        <f t="shared" ca="1" si="45"/>
        <v>2</v>
      </c>
      <c r="AG72" s="148">
        <f ca="1">IF(AA72=1,'Finals 4'!$O20,"")</f>
        <v>22</v>
      </c>
      <c r="AH72" s="12">
        <f ca="1">IF(AA72=1,'Finals 4'!$Q20,"")</f>
        <v>25</v>
      </c>
      <c r="AI72" s="143" t="str">
        <f ca="1">IF(AA72&gt;0,AE72&amp;Language!$E$96&amp;AF72,"")</f>
        <v>0-2</v>
      </c>
      <c r="AJ72" s="12"/>
      <c r="AK72" s="12"/>
      <c r="AL72" s="12"/>
      <c r="AM72" s="12"/>
      <c r="AN72" s="12"/>
      <c r="AO72" s="12"/>
      <c r="AP72" s="3"/>
      <c r="AQ72" s="12"/>
    </row>
    <row r="73" spans="2:43" s="2" customFormat="1" ht="12.75" thickTop="1" x14ac:dyDescent="0.2">
      <c r="B73" s="3"/>
      <c r="C73" s="3"/>
      <c r="D73" s="3"/>
      <c r="E73" s="3"/>
      <c r="F73" s="12"/>
      <c r="G73" s="12"/>
      <c r="H73" s="12"/>
      <c r="I73" s="12"/>
      <c r="J73" s="12"/>
      <c r="K73" s="12"/>
      <c r="L73" s="12"/>
      <c r="M73" s="12"/>
      <c r="U73" s="66" t="s">
        <v>24</v>
      </c>
      <c r="V73" s="40" t="str">
        <f ca="1">'Finals 4'!$I21</f>
        <v/>
      </c>
      <c r="W73" s="12" t="str">
        <f ca="1">'Finals 4'!$K21</f>
        <v>1. FC Riedwald</v>
      </c>
      <c r="X73" s="12" t="str">
        <f ca="1">IF(AA73=1,'Finals 4'!$L21,"")</f>
        <v/>
      </c>
      <c r="Y73" s="35" t="str">
        <f ca="1">IF(AA73=1,'Finals 4'!$N21,"")</f>
        <v/>
      </c>
      <c r="Z73" s="34" t="str">
        <f t="shared" ca="1" si="43"/>
        <v>1. FC Riedwald</v>
      </c>
      <c r="AA73" s="12">
        <f ca="1">IF(AND('Finals 4'!$L21&lt;&gt;"",'Finals 4'!$N21&lt;&gt;"",'Finals 4'!$L21&lt;&gt;'Finals 4'!$N21,OR(AND('Finals 4'!$O21="",'Finals 4'!$Q21=""),AND('Finals 4'!$O21&lt;&gt;"",'Finals 4'!$Q21&lt;&gt;"",'Finals 4'!$O21&lt;&gt;'Finals 4'!$Q21)),'Finals 4'!$I21&lt;&gt;"",'Finals 4'!$K21&lt;&gt;"",'Finals 4'!$I21&lt;&gt;'Finals 4'!$K21),1,0)</f>
        <v>0</v>
      </c>
      <c r="AB73" s="12" t="str">
        <f ca="1">IF(AA73&gt;0,X73&amp;Language!$E$96&amp;Y73,"")</f>
        <v/>
      </c>
      <c r="AD73" s="143"/>
      <c r="AE73" s="148">
        <f t="shared" ca="1" si="44"/>
        <v>0</v>
      </c>
      <c r="AF73" s="143">
        <f t="shared" ca="1" si="45"/>
        <v>0</v>
      </c>
      <c r="AG73" s="148" t="str">
        <f ca="1">IF(AA73=1,'Finals 4'!$O21,"")</f>
        <v/>
      </c>
      <c r="AH73" s="12" t="str">
        <f ca="1">IF(AA73=1,'Finals 4'!$Q21,"")</f>
        <v/>
      </c>
      <c r="AI73" s="143" t="str">
        <f ca="1">IF(AA73&gt;0,AE73&amp;Language!$E$96&amp;AF73,"")</f>
        <v/>
      </c>
      <c r="AJ73" s="12"/>
      <c r="AK73" s="12"/>
      <c r="AL73" s="12"/>
      <c r="AM73" s="12"/>
      <c r="AN73" s="12"/>
      <c r="AO73" s="12"/>
      <c r="AP73" s="12"/>
      <c r="AQ73" s="3"/>
    </row>
    <row r="74" spans="2:43" s="2" customFormat="1" x14ac:dyDescent="0.2">
      <c r="B74" s="3"/>
      <c r="C74" s="3"/>
      <c r="D74" s="3"/>
      <c r="E74" s="3"/>
      <c r="F74" s="12"/>
      <c r="G74" s="12"/>
      <c r="H74" s="12"/>
      <c r="I74" s="12"/>
      <c r="J74" s="12"/>
      <c r="K74" s="12"/>
      <c r="L74" s="12"/>
      <c r="M74" s="12"/>
      <c r="U74" s="66" t="s">
        <v>25</v>
      </c>
      <c r="V74" s="40" t="str">
        <f ca="1">'Finals 4'!$I22</f>
        <v>Mainz 05</v>
      </c>
      <c r="W74" s="12" t="str">
        <f ca="1">'Finals 4'!$K22</f>
        <v>Maibach 1822 eV</v>
      </c>
      <c r="X74" s="12">
        <f ca="1">IF(AA74=1,'Finals 4'!$L22,"")</f>
        <v>16</v>
      </c>
      <c r="Y74" s="35">
        <f ca="1">IF(AA74=1,'Finals 4'!$N22,"")</f>
        <v>25</v>
      </c>
      <c r="Z74" s="34" t="str">
        <f ca="1">V74&amp;W74</f>
        <v>Mainz 05Maibach 1822 eV</v>
      </c>
      <c r="AA74" s="12">
        <f ca="1">IF(AND('Finals 4'!$L22&lt;&gt;"",'Finals 4'!$N22&lt;&gt;"",'Finals 4'!$L22&lt;&gt;'Finals 4'!$N22,OR(AND('Finals 4'!$O22="",'Finals 4'!$Q22=""),AND('Finals 4'!$O22&lt;&gt;"",'Finals 4'!$Q22&lt;&gt;"",'Finals 4'!$O22&lt;&gt;'Finals 4'!$Q22)),'Finals 4'!$I22&lt;&gt;"",'Finals 4'!$K22&lt;&gt;"",'Finals 4'!$I22&lt;&gt;'Finals 4'!$K22),1,0)</f>
        <v>1</v>
      </c>
      <c r="AB74" s="12" t="str">
        <f ca="1">IF(AA74&gt;0,X74&amp;Language!$E$96&amp;Y74,"")</f>
        <v>16-25</v>
      </c>
      <c r="AD74" s="143"/>
      <c r="AE74" s="148">
        <f t="shared" ca="1" si="44"/>
        <v>1</v>
      </c>
      <c r="AF74" s="143">
        <f t="shared" ca="1" si="45"/>
        <v>1</v>
      </c>
      <c r="AG74" s="148">
        <f ca="1">IF(AA74=1,'Finals 4'!$O22,"")</f>
        <v>25</v>
      </c>
      <c r="AH74" s="12">
        <f ca="1">IF(AA74=1,'Finals 4'!$Q22,"")</f>
        <v>18</v>
      </c>
      <c r="AI74" s="143" t="str">
        <f ca="1">IF(AA74&gt;0,AE74&amp;Language!$E$96&amp;AF74,"")</f>
        <v>1-1</v>
      </c>
    </row>
    <row r="75" spans="2:43" s="2" customFormat="1" x14ac:dyDescent="0.2">
      <c r="B75" s="3"/>
      <c r="C75" s="3"/>
      <c r="D75" s="3"/>
      <c r="E75" s="3"/>
      <c r="F75" s="12"/>
      <c r="G75" s="12"/>
      <c r="H75" s="12"/>
      <c r="I75" s="12"/>
      <c r="J75" s="12"/>
      <c r="K75" s="12"/>
      <c r="L75" s="12"/>
      <c r="M75" s="12"/>
      <c r="U75" s="66" t="s">
        <v>26</v>
      </c>
      <c r="V75" s="40" t="str">
        <f ca="1">'Finals 4'!$I23</f>
        <v>Real Madrid</v>
      </c>
      <c r="W75" s="12" t="str">
        <f ca="1">'Finals 4'!$K23</f>
        <v>1. FC Nürnberg</v>
      </c>
      <c r="X75" s="12">
        <f ca="1">IF(AA75=1,'Finals 4'!$L23,"")</f>
        <v>14</v>
      </c>
      <c r="Y75" s="35">
        <f ca="1">IF(AA75=1,'Finals 4'!$N23,"")</f>
        <v>25</v>
      </c>
      <c r="Z75" s="34" t="str">
        <f t="shared" ref="Z75:Z88" ca="1" si="46">V75&amp;W75</f>
        <v>Real Madrid1. FC Nürnberg</v>
      </c>
      <c r="AA75" s="12">
        <f ca="1">IF(AND('Finals 4'!$L23&lt;&gt;"",'Finals 4'!$N23&lt;&gt;"",'Finals 4'!$L23&lt;&gt;'Finals 4'!$N23,OR(AND('Finals 4'!$O23="",'Finals 4'!$Q23=""),AND('Finals 4'!$O23&lt;&gt;"",'Finals 4'!$Q23&lt;&gt;"",'Finals 4'!$O23&lt;&gt;'Finals 4'!$Q23)),'Finals 4'!$I23&lt;&gt;"",'Finals 4'!$K23&lt;&gt;"",'Finals 4'!$I23&lt;&gt;'Finals 4'!$K23),1,0)</f>
        <v>1</v>
      </c>
      <c r="AB75" s="12" t="str">
        <f ca="1">IF(AA75&gt;0,X75&amp;Language!$E$96&amp;Y75,"")</f>
        <v>14-25</v>
      </c>
      <c r="AD75" s="143"/>
      <c r="AE75" s="148">
        <f t="shared" ca="1" si="44"/>
        <v>1</v>
      </c>
      <c r="AF75" s="143">
        <f t="shared" ca="1" si="45"/>
        <v>1</v>
      </c>
      <c r="AG75" s="148">
        <f ca="1">IF(AA75=1,'Finals 4'!$O23,"")</f>
        <v>25</v>
      </c>
      <c r="AH75" s="12">
        <f ca="1">IF(AA75=1,'Finals 4'!$Q23,"")</f>
        <v>19</v>
      </c>
      <c r="AI75" s="143" t="str">
        <f ca="1">IF(AA75&gt;0,AE75&amp;Language!$E$96&amp;AF75,"")</f>
        <v>1-1</v>
      </c>
    </row>
    <row r="76" spans="2:43" s="2" customFormat="1" x14ac:dyDescent="0.2">
      <c r="B76" s="3"/>
      <c r="C76" s="3"/>
      <c r="D76" s="3"/>
      <c r="E76" s="3"/>
      <c r="F76" s="12"/>
      <c r="G76" s="12"/>
      <c r="H76" s="12"/>
      <c r="I76" s="12"/>
      <c r="J76" s="12"/>
      <c r="K76" s="12"/>
      <c r="L76" s="12"/>
      <c r="M76" s="12"/>
      <c r="U76" s="66" t="s">
        <v>27</v>
      </c>
      <c r="V76" s="40" t="str">
        <f ca="1">'Finals 4'!$I24</f>
        <v>SSV Wildbach</v>
      </c>
      <c r="W76" s="12" t="str">
        <f ca="1">'Finals 4'!$K24</f>
        <v>Inter Mailand</v>
      </c>
      <c r="X76" s="12">
        <f ca="1">IF(AA76=1,'Finals 4'!$L24,"")</f>
        <v>22</v>
      </c>
      <c r="Y76" s="35">
        <f ca="1">IF(AA76=1,'Finals 4'!$N24,"")</f>
        <v>25</v>
      </c>
      <c r="Z76" s="34" t="str">
        <f t="shared" ca="1" si="46"/>
        <v>SSV WildbachInter Mailand</v>
      </c>
      <c r="AA76" s="12">
        <f ca="1">IF(AND('Finals 4'!$L24&lt;&gt;"",'Finals 4'!$N24&lt;&gt;"",'Finals 4'!$L24&lt;&gt;'Finals 4'!$N24,OR(AND('Finals 4'!$O24="",'Finals 4'!$Q24=""),AND('Finals 4'!$O24&lt;&gt;"",'Finals 4'!$Q24&lt;&gt;"",'Finals 4'!$O24&lt;&gt;'Finals 4'!$Q24)),'Finals 4'!$I24&lt;&gt;"",'Finals 4'!$K24&lt;&gt;"",'Finals 4'!$I24&lt;&gt;'Finals 4'!$K24),1,0)</f>
        <v>1</v>
      </c>
      <c r="AB76" s="12" t="str">
        <f ca="1">IF(AA76&gt;0,X76&amp;Language!$E$96&amp;Y76,"")</f>
        <v>22-25</v>
      </c>
      <c r="AD76" s="143"/>
      <c r="AE76" s="148">
        <f t="shared" ca="1" si="44"/>
        <v>1</v>
      </c>
      <c r="AF76" s="143">
        <f t="shared" ca="1" si="45"/>
        <v>1</v>
      </c>
      <c r="AG76" s="148">
        <f ca="1">IF(AA76=1,'Finals 4'!$O24,"")</f>
        <v>25</v>
      </c>
      <c r="AH76" s="12">
        <f ca="1">IF(AA76=1,'Finals 4'!$Q24,"")</f>
        <v>20</v>
      </c>
      <c r="AI76" s="143" t="str">
        <f ca="1">IF(AA76&gt;0,AE76&amp;Language!$E$96&amp;AF76,"")</f>
        <v>1-1</v>
      </c>
    </row>
    <row r="77" spans="2:43" s="2" customFormat="1" x14ac:dyDescent="0.2">
      <c r="B77" s="3"/>
      <c r="C77" s="3"/>
      <c r="D77" s="3"/>
      <c r="E77" s="3"/>
      <c r="F77" s="12"/>
      <c r="G77" s="12"/>
      <c r="H77" s="12"/>
      <c r="I77" s="12"/>
      <c r="J77" s="12"/>
      <c r="K77" s="12"/>
      <c r="L77" s="12"/>
      <c r="M77" s="12"/>
      <c r="U77" s="66" t="s">
        <v>28</v>
      </c>
      <c r="V77" s="40" t="str">
        <f ca="1">'Finals 4'!$I25</f>
        <v>Manchester City</v>
      </c>
      <c r="W77" s="12" t="str">
        <f ca="1">'Finals 4'!$K25</f>
        <v>FSV Rauen</v>
      </c>
      <c r="X77" s="12">
        <f ca="1">IF(AA77=1,'Finals 4'!$L25,"")</f>
        <v>19</v>
      </c>
      <c r="Y77" s="35">
        <f ca="1">IF(AA77=1,'Finals 4'!$N25,"")</f>
        <v>25</v>
      </c>
      <c r="Z77" s="34" t="str">
        <f t="shared" ca="1" si="46"/>
        <v>Manchester CityFSV Rauen</v>
      </c>
      <c r="AA77" s="12">
        <f ca="1">IF(AND('Finals 4'!$L25&lt;&gt;"",'Finals 4'!$N25&lt;&gt;"",'Finals 4'!$L25&lt;&gt;'Finals 4'!$N25,OR(AND('Finals 4'!$O25="",'Finals 4'!$Q25=""),AND('Finals 4'!$O25&lt;&gt;"",'Finals 4'!$Q25&lt;&gt;"",'Finals 4'!$O25&lt;&gt;'Finals 4'!$Q25)),'Finals 4'!$I25&lt;&gt;"",'Finals 4'!$K25&lt;&gt;"",'Finals 4'!$I25&lt;&gt;'Finals 4'!$K25),1,0)</f>
        <v>1</v>
      </c>
      <c r="AB77" s="12" t="str">
        <f ca="1">IF(AA77&gt;0,X77&amp;Language!$E$96&amp;Y77,"")</f>
        <v>19-25</v>
      </c>
      <c r="AD77" s="143"/>
      <c r="AE77" s="148">
        <f t="shared" ca="1" si="44"/>
        <v>1</v>
      </c>
      <c r="AF77" s="143">
        <f t="shared" ca="1" si="45"/>
        <v>1</v>
      </c>
      <c r="AG77" s="148">
        <f ca="1">IF(AA77=1,'Finals 4'!$O25,"")</f>
        <v>25</v>
      </c>
      <c r="AH77" s="12">
        <f ca="1">IF(AA77=1,'Finals 4'!$Q25,"")</f>
        <v>21</v>
      </c>
      <c r="AI77" s="143" t="str">
        <f ca="1">IF(AA77&gt;0,AE77&amp;Language!$E$96&amp;AF77,"")</f>
        <v>1-1</v>
      </c>
    </row>
    <row r="78" spans="2:43" s="2" customFormat="1" x14ac:dyDescent="0.2">
      <c r="B78" s="3"/>
      <c r="C78" s="3"/>
      <c r="D78" s="3"/>
      <c r="E78" s="3"/>
      <c r="F78" s="12"/>
      <c r="G78" s="12"/>
      <c r="H78" s="12"/>
      <c r="I78" s="12"/>
      <c r="J78" s="12"/>
      <c r="K78" s="12"/>
      <c r="L78" s="12"/>
      <c r="M78" s="12"/>
      <c r="U78" s="66" t="s">
        <v>29</v>
      </c>
      <c r="V78" s="40" t="str">
        <f ca="1">'Finals 4'!$I26</f>
        <v>Kickers Rodendorf</v>
      </c>
      <c r="W78" s="12" t="str">
        <f ca="1">'Finals 4'!$K26</f>
        <v>FC Grönlingen</v>
      </c>
      <c r="X78" s="12">
        <f ca="1">IF(AA78=1,'Finals 4'!$L26,"")</f>
        <v>17</v>
      </c>
      <c r="Y78" s="35">
        <f ca="1">IF(AA78=1,'Finals 4'!$N26,"")</f>
        <v>25</v>
      </c>
      <c r="Z78" s="34" t="str">
        <f t="shared" ca="1" si="46"/>
        <v>Kickers RodendorfFC Grönlingen</v>
      </c>
      <c r="AA78" s="12">
        <f ca="1">IF(AND('Finals 4'!$L26&lt;&gt;"",'Finals 4'!$N26&lt;&gt;"",'Finals 4'!$L26&lt;&gt;'Finals 4'!$N26,OR(AND('Finals 4'!$O26="",'Finals 4'!$Q26=""),AND('Finals 4'!$O26&lt;&gt;"",'Finals 4'!$Q26&lt;&gt;"",'Finals 4'!$O26&lt;&gt;'Finals 4'!$Q26)),'Finals 4'!$I26&lt;&gt;"",'Finals 4'!$K26&lt;&gt;"",'Finals 4'!$I26&lt;&gt;'Finals 4'!$K26),1,0)</f>
        <v>1</v>
      </c>
      <c r="AB78" s="12" t="str">
        <f ca="1">IF(AA78&gt;0,X78&amp;Language!$E$96&amp;Y78,"")</f>
        <v>17-25</v>
      </c>
      <c r="AD78" s="143"/>
      <c r="AE78" s="148">
        <f t="shared" ca="1" si="44"/>
        <v>0</v>
      </c>
      <c r="AF78" s="143">
        <f t="shared" ca="1" si="45"/>
        <v>2</v>
      </c>
      <c r="AG78" s="148">
        <f ca="1">IF(AA78=1,'Finals 4'!$O26,"")</f>
        <v>12</v>
      </c>
      <c r="AH78" s="12">
        <f ca="1">IF(AA78=1,'Finals 4'!$Q26,"")</f>
        <v>25</v>
      </c>
      <c r="AI78" s="143" t="str">
        <f ca="1">IF(AA78&gt;0,AE78&amp;Language!$E$96&amp;AF78,"")</f>
        <v>0-2</v>
      </c>
    </row>
    <row r="79" spans="2:43" s="2" customFormat="1" x14ac:dyDescent="0.2">
      <c r="B79" s="3"/>
      <c r="C79" s="3"/>
      <c r="D79" s="3"/>
      <c r="E79" s="3"/>
      <c r="F79" s="12"/>
      <c r="G79" s="12"/>
      <c r="H79" s="12"/>
      <c r="I79" s="12"/>
      <c r="J79" s="12"/>
      <c r="K79" s="12"/>
      <c r="L79" s="12"/>
      <c r="M79" s="12"/>
      <c r="U79" s="66" t="s">
        <v>30</v>
      </c>
      <c r="V79" s="40" t="str">
        <f ca="1">'Finals 4'!$I27</f>
        <v>VFB Essenheim</v>
      </c>
      <c r="W79" s="12" t="str">
        <f ca="1">'Finals 4'!$K27</f>
        <v>Eintracht Frankfurt</v>
      </c>
      <c r="X79" s="12">
        <f ca="1">IF(AA79=1,'Finals 4'!$L27,"")</f>
        <v>14</v>
      </c>
      <c r="Y79" s="35">
        <f ca="1">IF(AA79=1,'Finals 4'!$N27,"")</f>
        <v>25</v>
      </c>
      <c r="Z79" s="34" t="str">
        <f t="shared" ca="1" si="46"/>
        <v>VFB EssenheimEintracht Frankfurt</v>
      </c>
      <c r="AA79" s="12">
        <f ca="1">IF(AND('Finals 4'!$L27&lt;&gt;"",'Finals 4'!$N27&lt;&gt;"",'Finals 4'!$L27&lt;&gt;'Finals 4'!$N27,OR(AND('Finals 4'!$O27="",'Finals 4'!$Q27=""),AND('Finals 4'!$O27&lt;&gt;"",'Finals 4'!$Q27&lt;&gt;"",'Finals 4'!$O27&lt;&gt;'Finals 4'!$Q27)),'Finals 4'!$I27&lt;&gt;"",'Finals 4'!$K27&lt;&gt;"",'Finals 4'!$I27&lt;&gt;'Finals 4'!$K27),1,0)</f>
        <v>1</v>
      </c>
      <c r="AB79" s="12" t="str">
        <f ca="1">IF(AA79&gt;0,X79&amp;Language!$E$96&amp;Y79,"")</f>
        <v>14-25</v>
      </c>
      <c r="AD79" s="143"/>
      <c r="AE79" s="148">
        <f t="shared" ca="1" si="44"/>
        <v>1</v>
      </c>
      <c r="AF79" s="143">
        <f t="shared" ca="1" si="45"/>
        <v>1</v>
      </c>
      <c r="AG79" s="148">
        <f ca="1">IF(AA79=1,'Finals 4'!$O27,"")</f>
        <v>25</v>
      </c>
      <c r="AH79" s="12">
        <f ca="1">IF(AA79=1,'Finals 4'!$Q27,"")</f>
        <v>23</v>
      </c>
      <c r="AI79" s="143" t="str">
        <f ca="1">IF(AA79&gt;0,AE79&amp;Language!$E$96&amp;AF79,"")</f>
        <v>1-1</v>
      </c>
    </row>
    <row r="80" spans="2:43" s="2" customFormat="1" x14ac:dyDescent="0.2">
      <c r="B80" s="3"/>
      <c r="C80" s="3"/>
      <c r="D80" s="3"/>
      <c r="E80" s="3"/>
      <c r="F80" s="12"/>
      <c r="G80" s="12"/>
      <c r="H80" s="12"/>
      <c r="I80" s="12"/>
      <c r="J80" s="12"/>
      <c r="K80" s="12"/>
      <c r="L80" s="12"/>
      <c r="M80" s="12"/>
      <c r="U80" s="66" t="s">
        <v>31</v>
      </c>
      <c r="V80" s="40" t="str">
        <f ca="1">'Finals 4'!$I28</f>
        <v>FC Barcelona</v>
      </c>
      <c r="W80" s="12" t="str">
        <f ca="1">'Finals 4'!$K28</f>
        <v>Borussia Dortmund</v>
      </c>
      <c r="X80" s="12">
        <f ca="1">IF(AA80=1,'Finals 4'!$L28,"")</f>
        <v>21</v>
      </c>
      <c r="Y80" s="35">
        <f ca="1">IF(AA80=1,'Finals 4'!$N28,"")</f>
        <v>25</v>
      </c>
      <c r="Z80" s="34" t="str">
        <f t="shared" ca="1" si="46"/>
        <v>FC BarcelonaBorussia Dortmund</v>
      </c>
      <c r="AA80" s="12">
        <f ca="1">IF(AND('Finals 4'!$L28&lt;&gt;"",'Finals 4'!$N28&lt;&gt;"",'Finals 4'!$L28&lt;&gt;'Finals 4'!$N28,OR(AND('Finals 4'!$O28="",'Finals 4'!$Q28=""),AND('Finals 4'!$O28&lt;&gt;"",'Finals 4'!$Q28&lt;&gt;"",'Finals 4'!$O28&lt;&gt;'Finals 4'!$Q28)),'Finals 4'!$I28&lt;&gt;"",'Finals 4'!$K28&lt;&gt;"",'Finals 4'!$I28&lt;&gt;'Finals 4'!$K28),1,0)</f>
        <v>1</v>
      </c>
      <c r="AB80" s="12" t="str">
        <f ca="1">IF(AA80&gt;0,X80&amp;Language!$E$96&amp;Y80,"")</f>
        <v>21-25</v>
      </c>
      <c r="AD80" s="143"/>
      <c r="AE80" s="148">
        <f t="shared" ca="1" si="44"/>
        <v>1</v>
      </c>
      <c r="AF80" s="143">
        <f t="shared" ca="1" si="45"/>
        <v>1</v>
      </c>
      <c r="AG80" s="148">
        <f ca="1">IF(AA80=1,'Finals 4'!$O28,"")</f>
        <v>25</v>
      </c>
      <c r="AH80" s="12">
        <f ca="1">IF(AA80=1,'Finals 4'!$Q28,"")</f>
        <v>17</v>
      </c>
      <c r="AI80" s="143" t="str">
        <f ca="1">IF(AA80&gt;0,AE80&amp;Language!$E$96&amp;AF80,"")</f>
        <v>1-1</v>
      </c>
    </row>
    <row r="81" spans="2:35" s="2" customFormat="1" x14ac:dyDescent="0.2">
      <c r="B81" s="3"/>
      <c r="C81" s="3"/>
      <c r="D81" s="3"/>
      <c r="E81" s="3"/>
      <c r="F81" s="12"/>
      <c r="G81" s="12"/>
      <c r="H81" s="12"/>
      <c r="I81" s="12"/>
      <c r="J81" s="12"/>
      <c r="K81" s="12"/>
      <c r="L81" s="12"/>
      <c r="M81" s="12"/>
      <c r="U81" s="66" t="s">
        <v>32</v>
      </c>
      <c r="V81" s="40" t="str">
        <f ca="1">'Finals 4'!$I29</f>
        <v/>
      </c>
      <c r="W81" s="12" t="str">
        <f ca="1">'Finals 4'!$K29</f>
        <v>Manchester City</v>
      </c>
      <c r="X81" s="12" t="str">
        <f ca="1">IF(AA81=1,'Finals 4'!$L29,"")</f>
        <v/>
      </c>
      <c r="Y81" s="35" t="str">
        <f ca="1">IF(AA81=1,'Finals 4'!$N29,"")</f>
        <v/>
      </c>
      <c r="Z81" s="34" t="str">
        <f t="shared" ca="1" si="46"/>
        <v>Manchester City</v>
      </c>
      <c r="AA81" s="12">
        <f ca="1">IF(AND('Finals 4'!$L29&lt;&gt;"",'Finals 4'!$N29&lt;&gt;"",'Finals 4'!$L29&lt;&gt;'Finals 4'!$N29,OR(AND('Finals 4'!$O29="",'Finals 4'!$Q29=""),AND('Finals 4'!$O29&lt;&gt;"",'Finals 4'!$Q29&lt;&gt;"",'Finals 4'!$O29&lt;&gt;'Finals 4'!$Q29)),'Finals 4'!$I29&lt;&gt;"",'Finals 4'!$K29&lt;&gt;"",'Finals 4'!$I29&lt;&gt;'Finals 4'!$K29),1,0)</f>
        <v>0</v>
      </c>
      <c r="AB81" s="12" t="str">
        <f ca="1">IF(AA81&gt;0,X81&amp;Language!$E$96&amp;Y81,"")</f>
        <v/>
      </c>
      <c r="AD81" s="143"/>
      <c r="AE81" s="148">
        <f t="shared" ca="1" si="44"/>
        <v>0</v>
      </c>
      <c r="AF81" s="143">
        <f t="shared" ca="1" si="45"/>
        <v>0</v>
      </c>
      <c r="AG81" s="148" t="str">
        <f ca="1">IF(AA81=1,'Finals 4'!$O29,"")</f>
        <v/>
      </c>
      <c r="AH81" s="12" t="str">
        <f ca="1">IF(AA81=1,'Finals 4'!$Q29,"")</f>
        <v/>
      </c>
      <c r="AI81" s="143" t="str">
        <f ca="1">IF(AA81&gt;0,AE81&amp;Language!$E$96&amp;AF81,"")</f>
        <v/>
      </c>
    </row>
    <row r="82" spans="2:35" s="2" customFormat="1" x14ac:dyDescent="0.2">
      <c r="B82" s="3"/>
      <c r="C82" s="3"/>
      <c r="D82" s="3"/>
      <c r="E82" s="3"/>
      <c r="F82" s="12"/>
      <c r="G82" s="12"/>
      <c r="H82" s="12"/>
      <c r="I82" s="12"/>
      <c r="J82" s="12"/>
      <c r="K82" s="12"/>
      <c r="L82" s="12"/>
      <c r="M82" s="12"/>
      <c r="U82" s="66" t="s">
        <v>33</v>
      </c>
      <c r="V82" s="40" t="str">
        <f ca="1">'Finals 4'!$I30</f>
        <v>Mainz 05</v>
      </c>
      <c r="W82" s="12" t="str">
        <f ca="1">'Finals 4'!$K30</f>
        <v>Kickers Rodendorf</v>
      </c>
      <c r="X82" s="12">
        <f ca="1">IF(AA82=1,'Finals 4'!$L30,"")</f>
        <v>25</v>
      </c>
      <c r="Y82" s="35">
        <f ca="1">IF(AA82=1,'Finals 4'!$N30,"")</f>
        <v>20</v>
      </c>
      <c r="Z82" s="34" t="str">
        <f t="shared" ca="1" si="46"/>
        <v>Mainz 05Kickers Rodendorf</v>
      </c>
      <c r="AA82" s="12">
        <f ca="1">IF(AND('Finals 4'!$L30&lt;&gt;"",'Finals 4'!$N30&lt;&gt;"",'Finals 4'!$L30&lt;&gt;'Finals 4'!$N30,OR(AND('Finals 4'!$O30="",'Finals 4'!$Q30=""),AND('Finals 4'!$O30&lt;&gt;"",'Finals 4'!$Q30&lt;&gt;"",'Finals 4'!$O30&lt;&gt;'Finals 4'!$Q30)),'Finals 4'!$I30&lt;&gt;"",'Finals 4'!$K30&lt;&gt;"",'Finals 4'!$I30&lt;&gt;'Finals 4'!$K30),1,0)</f>
        <v>1</v>
      </c>
      <c r="AB82" s="12" t="str">
        <f ca="1">IF(AA82&gt;0,X82&amp;Language!$E$96&amp;Y82,"")</f>
        <v>25-20</v>
      </c>
      <c r="AD82" s="143"/>
      <c r="AE82" s="148">
        <f t="shared" ca="1" si="44"/>
        <v>2</v>
      </c>
      <c r="AF82" s="143">
        <f t="shared" ca="1" si="45"/>
        <v>0</v>
      </c>
      <c r="AG82" s="148">
        <f ca="1">IF(AA82=1,'Finals 4'!$O30,"")</f>
        <v>25</v>
      </c>
      <c r="AH82" s="12">
        <f ca="1">IF(AA82=1,'Finals 4'!$Q30,"")</f>
        <v>19</v>
      </c>
      <c r="AI82" s="143" t="str">
        <f ca="1">IF(AA82&gt;0,AE82&amp;Language!$E$96&amp;AF82,"")</f>
        <v>2-0</v>
      </c>
    </row>
    <row r="83" spans="2:35" s="2" customFormat="1" x14ac:dyDescent="0.2">
      <c r="B83" s="3"/>
      <c r="C83" s="3"/>
      <c r="D83" s="3"/>
      <c r="E83" s="3"/>
      <c r="F83" s="12"/>
      <c r="G83" s="12"/>
      <c r="H83" s="12"/>
      <c r="I83" s="12"/>
      <c r="J83" s="12"/>
      <c r="K83" s="12"/>
      <c r="L83" s="12"/>
      <c r="M83" s="12"/>
      <c r="U83" s="66" t="s">
        <v>34</v>
      </c>
      <c r="V83" s="40" t="str">
        <f ca="1">'Finals 4'!$I31</f>
        <v>Real Madrid</v>
      </c>
      <c r="W83" s="12" t="str">
        <f ca="1">'Finals 4'!$K31</f>
        <v>VFB Essenheim</v>
      </c>
      <c r="X83" s="12">
        <f ca="1">IF(AA83=1,'Finals 4'!$L31,"")</f>
        <v>25</v>
      </c>
      <c r="Y83" s="35">
        <f ca="1">IF(AA83=1,'Finals 4'!$N31,"")</f>
        <v>2</v>
      </c>
      <c r="Z83" s="34" t="str">
        <f t="shared" ca="1" si="46"/>
        <v>Real MadridVFB Essenheim</v>
      </c>
      <c r="AA83" s="12">
        <f ca="1">IF(AND('Finals 4'!$L31&lt;&gt;"",'Finals 4'!$N31&lt;&gt;"",'Finals 4'!$L31&lt;&gt;'Finals 4'!$N31,OR(AND('Finals 4'!$O31="",'Finals 4'!$Q31=""),AND('Finals 4'!$O31&lt;&gt;"",'Finals 4'!$Q31&lt;&gt;"",'Finals 4'!$O31&lt;&gt;'Finals 4'!$Q31)),'Finals 4'!$I31&lt;&gt;"",'Finals 4'!$K31&lt;&gt;"",'Finals 4'!$I31&lt;&gt;'Finals 4'!$K31),1,0)</f>
        <v>1</v>
      </c>
      <c r="AB83" s="12" t="str">
        <f ca="1">IF(AA83&gt;0,X83&amp;Language!$E$96&amp;Y83,"")</f>
        <v>25-2</v>
      </c>
      <c r="AD83" s="143"/>
      <c r="AE83" s="148">
        <f t="shared" ca="1" si="44"/>
        <v>2</v>
      </c>
      <c r="AF83" s="143">
        <f t="shared" ca="1" si="45"/>
        <v>0</v>
      </c>
      <c r="AG83" s="148">
        <f ca="1">IF(AA83=1,'Finals 4'!$O31,"")</f>
        <v>25</v>
      </c>
      <c r="AH83" s="12">
        <f ca="1">IF(AA83=1,'Finals 4'!$Q31,"")</f>
        <v>20</v>
      </c>
      <c r="AI83" s="143" t="str">
        <f ca="1">IF(AA83&gt;0,AE83&amp;Language!$E$96&amp;AF83,"")</f>
        <v>2-0</v>
      </c>
    </row>
    <row r="84" spans="2:35" s="2" customFormat="1" x14ac:dyDescent="0.2">
      <c r="B84" s="3"/>
      <c r="C84" s="3"/>
      <c r="D84" s="3"/>
      <c r="E84" s="3"/>
      <c r="F84" s="12"/>
      <c r="G84" s="12"/>
      <c r="H84" s="12"/>
      <c r="I84" s="12"/>
      <c r="J84" s="12"/>
      <c r="K84" s="12"/>
      <c r="L84" s="12"/>
      <c r="M84" s="12"/>
      <c r="U84" s="66" t="s">
        <v>35</v>
      </c>
      <c r="V84" s="40" t="str">
        <f ca="1">'Finals 4'!$I32</f>
        <v>SSV Wildbach</v>
      </c>
      <c r="W84" s="12" t="str">
        <f ca="1">'Finals 4'!$K32</f>
        <v>FC Barcelona</v>
      </c>
      <c r="X84" s="12">
        <f ca="1">IF(AA84=1,'Finals 4'!$L32,"")</f>
        <v>25</v>
      </c>
      <c r="Y84" s="35">
        <f ca="1">IF(AA84=1,'Finals 4'!$N32,"")</f>
        <v>16</v>
      </c>
      <c r="Z84" s="34" t="str">
        <f t="shared" ca="1" si="46"/>
        <v>SSV WildbachFC Barcelona</v>
      </c>
      <c r="AA84" s="12">
        <f ca="1">IF(AND('Finals 4'!$L32&lt;&gt;"",'Finals 4'!$N32&lt;&gt;"",'Finals 4'!$L32&lt;&gt;'Finals 4'!$N32,OR(AND('Finals 4'!$O32="",'Finals 4'!$Q32=""),AND('Finals 4'!$O32&lt;&gt;"",'Finals 4'!$Q32&lt;&gt;"",'Finals 4'!$O32&lt;&gt;'Finals 4'!$Q32)),'Finals 4'!$I32&lt;&gt;"",'Finals 4'!$K32&lt;&gt;"",'Finals 4'!$I32&lt;&gt;'Finals 4'!$K32),1,0)</f>
        <v>1</v>
      </c>
      <c r="AB84" s="12" t="str">
        <f ca="1">IF(AA84&gt;0,X84&amp;Language!$E$96&amp;Y84,"")</f>
        <v>25-16</v>
      </c>
      <c r="AD84" s="143"/>
      <c r="AE84" s="148">
        <f t="shared" ca="1" si="44"/>
        <v>2</v>
      </c>
      <c r="AF84" s="143">
        <f t="shared" ca="1" si="45"/>
        <v>0</v>
      </c>
      <c r="AG84" s="148">
        <f ca="1">IF(AA84=1,'Finals 4'!$O32,"")</f>
        <v>25</v>
      </c>
      <c r="AH84" s="12">
        <f ca="1">IF(AA84=1,'Finals 4'!$Q32,"")</f>
        <v>21</v>
      </c>
      <c r="AI84" s="143" t="str">
        <f ca="1">IF(AA84&gt;0,AE84&amp;Language!$E$96&amp;AF84,"")</f>
        <v>2-0</v>
      </c>
    </row>
    <row r="85" spans="2:35" s="2" customFormat="1" x14ac:dyDescent="0.2">
      <c r="B85" s="3"/>
      <c r="C85" s="3"/>
      <c r="D85" s="3"/>
      <c r="E85" s="3"/>
      <c r="F85" s="12"/>
      <c r="G85" s="12"/>
      <c r="H85" s="12"/>
      <c r="I85" s="12"/>
      <c r="J85" s="12"/>
      <c r="K85" s="12"/>
      <c r="L85" s="12"/>
      <c r="M85" s="12"/>
      <c r="U85" s="66" t="s">
        <v>36</v>
      </c>
      <c r="V85" s="40" t="str">
        <f ca="1">'Finals 4'!$I33</f>
        <v>FSV Rauen</v>
      </c>
      <c r="W85" s="12" t="str">
        <f ca="1">'Finals 4'!$K33</f>
        <v>1. FC Riedwald</v>
      </c>
      <c r="X85" s="12">
        <f ca="1">IF(AA85=1,'Finals 4'!$L33,"")</f>
        <v>25</v>
      </c>
      <c r="Y85" s="35">
        <f ca="1">IF(AA85=1,'Finals 4'!$N33,"")</f>
        <v>2</v>
      </c>
      <c r="Z85" s="34" t="str">
        <f t="shared" ca="1" si="46"/>
        <v>FSV Rauen1. FC Riedwald</v>
      </c>
      <c r="AA85" s="12">
        <f ca="1">IF(AND('Finals 4'!$L33&lt;&gt;"",'Finals 4'!$N33&lt;&gt;"",'Finals 4'!$L33&lt;&gt;'Finals 4'!$N33,OR(AND('Finals 4'!$O33="",'Finals 4'!$Q33=""),AND('Finals 4'!$O33&lt;&gt;"",'Finals 4'!$Q33&lt;&gt;"",'Finals 4'!$O33&lt;&gt;'Finals 4'!$Q33)),'Finals 4'!$I33&lt;&gt;"",'Finals 4'!$K33&lt;&gt;"",'Finals 4'!$I33&lt;&gt;'Finals 4'!$K33),1,0)</f>
        <v>1</v>
      </c>
      <c r="AB85" s="12" t="str">
        <f ca="1">IF(AA85&gt;0,X85&amp;Language!$E$96&amp;Y85,"")</f>
        <v>25-2</v>
      </c>
      <c r="AD85" s="143"/>
      <c r="AE85" s="148">
        <f t="shared" ca="1" si="44"/>
        <v>2</v>
      </c>
      <c r="AF85" s="143">
        <f t="shared" ca="1" si="45"/>
        <v>0</v>
      </c>
      <c r="AG85" s="148">
        <f ca="1">IF(AA85=1,'Finals 4'!$O33,"")</f>
        <v>25</v>
      </c>
      <c r="AH85" s="12">
        <f ca="1">IF(AA85=1,'Finals 4'!$Q33,"")</f>
        <v>22</v>
      </c>
      <c r="AI85" s="143" t="str">
        <f ca="1">IF(AA85&gt;0,AE85&amp;Language!$E$96&amp;AF85,"")</f>
        <v>2-0</v>
      </c>
    </row>
    <row r="86" spans="2:35" s="2" customFormat="1" x14ac:dyDescent="0.2">
      <c r="B86" s="3"/>
      <c r="C86" s="3"/>
      <c r="D86" s="3"/>
      <c r="E86" s="3"/>
      <c r="F86" s="12"/>
      <c r="G86" s="12"/>
      <c r="H86" s="12"/>
      <c r="I86" s="12"/>
      <c r="J86" s="12"/>
      <c r="K86" s="12"/>
      <c r="L86" s="12"/>
      <c r="M86" s="12"/>
      <c r="U86" s="66" t="s">
        <v>37</v>
      </c>
      <c r="V86" s="40" t="str">
        <f ca="1">'Finals 4'!$I34</f>
        <v>FC Grönlingen</v>
      </c>
      <c r="W86" s="12" t="str">
        <f ca="1">'Finals 4'!$K34</f>
        <v>Maibach 1822 eV</v>
      </c>
      <c r="X86" s="12">
        <f ca="1">IF(AA86=1,'Finals 4'!$L34,"")</f>
        <v>13</v>
      </c>
      <c r="Y86" s="35">
        <f ca="1">IF(AA86=1,'Finals 4'!$N34,"")</f>
        <v>25</v>
      </c>
      <c r="Z86" s="34" t="str">
        <f t="shared" ca="1" si="46"/>
        <v>FC GrönlingenMaibach 1822 eV</v>
      </c>
      <c r="AA86" s="12">
        <f ca="1">IF(AND('Finals 4'!$L34&lt;&gt;"",'Finals 4'!$N34&lt;&gt;"",'Finals 4'!$L34&lt;&gt;'Finals 4'!$N34,OR(AND('Finals 4'!$O34="",'Finals 4'!$Q34=""),AND('Finals 4'!$O34&lt;&gt;"",'Finals 4'!$Q34&lt;&gt;"",'Finals 4'!$O34&lt;&gt;'Finals 4'!$Q34)),'Finals 4'!$I34&lt;&gt;"",'Finals 4'!$K34&lt;&gt;"",'Finals 4'!$I34&lt;&gt;'Finals 4'!$K34),1,0)</f>
        <v>1</v>
      </c>
      <c r="AB86" s="12" t="str">
        <f ca="1">IF(AA86&gt;0,X86&amp;Language!$E$96&amp;Y86,"")</f>
        <v>13-25</v>
      </c>
      <c r="AD86" s="143"/>
      <c r="AE86" s="148">
        <f t="shared" ca="1" si="44"/>
        <v>1</v>
      </c>
      <c r="AF86" s="143">
        <f t="shared" ca="1" si="45"/>
        <v>1</v>
      </c>
      <c r="AG86" s="148">
        <f ca="1">IF(AA86=1,'Finals 4'!$O34,"")</f>
        <v>25</v>
      </c>
      <c r="AH86" s="12">
        <f ca="1">IF(AA86=1,'Finals 4'!$Q34,"")</f>
        <v>11</v>
      </c>
      <c r="AI86" s="143" t="str">
        <f ca="1">IF(AA86&gt;0,AE86&amp;Language!$E$96&amp;AF86,"")</f>
        <v>1-1</v>
      </c>
    </row>
    <row r="87" spans="2:35" s="2" customFormat="1" ht="12.75" thickBot="1" x14ac:dyDescent="0.25">
      <c r="B87" s="3"/>
      <c r="C87" s="3"/>
      <c r="D87" s="3"/>
      <c r="E87" s="3"/>
      <c r="F87" s="12"/>
      <c r="G87" s="12"/>
      <c r="H87" s="12"/>
      <c r="I87" s="12"/>
      <c r="J87" s="12"/>
      <c r="K87" s="12"/>
      <c r="L87" s="12"/>
      <c r="M87" s="12"/>
      <c r="U87" s="66" t="s">
        <v>38</v>
      </c>
      <c r="V87" s="40" t="str">
        <f ca="1">'Finals 4'!$I35</f>
        <v>Eintracht Frankfurt</v>
      </c>
      <c r="W87" s="12" t="str">
        <f ca="1">'Finals 4'!$K35</f>
        <v>1. FC Nürnberg</v>
      </c>
      <c r="X87" s="12">
        <f ca="1">IF(AA87=1,'Finals 4'!$L35,"")</f>
        <v>19</v>
      </c>
      <c r="Y87" s="35">
        <f ca="1">IF(AA87=1,'Finals 4'!$N35,"")</f>
        <v>25</v>
      </c>
      <c r="Z87" s="34" t="str">
        <f t="shared" ca="1" si="46"/>
        <v>Eintracht Frankfurt1. FC Nürnberg</v>
      </c>
      <c r="AA87" s="686">
        <f ca="1">IF(AND('Finals 4'!$L35&lt;&gt;"",'Finals 4'!$N35&lt;&gt;"",'Finals 4'!$L35&lt;&gt;'Finals 4'!$N35,OR(AND('Finals 4'!$O35="",'Finals 4'!$Q35=""),AND('Finals 4'!$O35&lt;&gt;"",'Finals 4'!$Q35&lt;&gt;"",'Finals 4'!$O35&lt;&gt;'Finals 4'!$Q35)),'Finals 4'!$I35&lt;&gt;"",'Finals 4'!$K35&lt;&gt;"",'Finals 4'!$I35&lt;&gt;'Finals 4'!$K35),1,0)</f>
        <v>1</v>
      </c>
      <c r="AB87" s="12" t="str">
        <f ca="1">IF(AA87&gt;0,X87&amp;Language!$E$96&amp;Y87,"")</f>
        <v>19-25</v>
      </c>
      <c r="AD87" s="143"/>
      <c r="AE87" s="148">
        <f t="shared" ca="1" si="44"/>
        <v>1</v>
      </c>
      <c r="AF87" s="143">
        <f t="shared" ca="1" si="45"/>
        <v>1</v>
      </c>
      <c r="AG87" s="148">
        <f ca="1">IF(AA87=1,'Finals 4'!$O35,"")</f>
        <v>25</v>
      </c>
      <c r="AH87" s="12">
        <f ca="1">IF(AA87=1,'Finals 4'!$Q35,"")</f>
        <v>17</v>
      </c>
      <c r="AI87" s="143" t="str">
        <f ca="1">IF(AA87&gt;0,AE87&amp;Language!$E$96&amp;AF87,"")</f>
        <v>1-1</v>
      </c>
    </row>
    <row r="88" spans="2:35" s="2" customFormat="1" ht="13.5" thickTop="1" thickBot="1" x14ac:dyDescent="0.25">
      <c r="B88" s="3"/>
      <c r="C88" s="3"/>
      <c r="D88" s="3"/>
      <c r="E88" s="3"/>
      <c r="F88" s="12"/>
      <c r="G88" s="12"/>
      <c r="H88" s="12"/>
      <c r="I88" s="12"/>
      <c r="J88" s="12"/>
      <c r="K88" s="12"/>
      <c r="L88" s="12"/>
      <c r="M88" s="12"/>
      <c r="U88" s="684" t="s">
        <v>39</v>
      </c>
      <c r="V88" s="738" t="str">
        <f ca="1">'Finals 4'!$I36</f>
        <v>Borussia Dortmund</v>
      </c>
      <c r="W88" s="686" t="str">
        <f ca="1">'Finals 4'!$K36</f>
        <v>Inter Mailand</v>
      </c>
      <c r="X88" s="686">
        <f ca="1">IF(AA88=1,'Finals 4'!$L36,"")</f>
        <v>17</v>
      </c>
      <c r="Y88" s="739">
        <f ca="1">IF(AA88=1,'Finals 4'!$N36,"")</f>
        <v>25</v>
      </c>
      <c r="Z88" s="685" t="str">
        <f t="shared" ca="1" si="46"/>
        <v>Borussia DortmundInter Mailand</v>
      </c>
      <c r="AA88" s="686">
        <f ca="1">IF(AND('Finals 4'!$L36&lt;&gt;"",'Finals 4'!$N36&lt;&gt;"",'Finals 4'!$L36&lt;&gt;'Finals 4'!$N36,OR(AND('Finals 4'!$O36="",'Finals 4'!$Q36=""),AND('Finals 4'!$O36&lt;&gt;"",'Finals 4'!$Q36&lt;&gt;"",'Finals 4'!$N36&lt;&gt;'Finals 4'!$Q36)),'Finals 4'!$I36&lt;&gt;"",'Finals 4'!$K36&lt;&gt;"",'Finals 4'!$I36&lt;&gt;'Finals 4'!$K36),1,0)</f>
        <v>1</v>
      </c>
      <c r="AB88" s="686" t="str">
        <f ca="1">IF(AA88&gt;0,X88&amp;Language!$E$96&amp;Y88,"")</f>
        <v>17-25</v>
      </c>
      <c r="AC88" s="687"/>
      <c r="AD88" s="688"/>
      <c r="AE88" s="722">
        <f t="shared" ca="1" si="44"/>
        <v>1</v>
      </c>
      <c r="AF88" s="688">
        <f t="shared" ca="1" si="45"/>
        <v>1</v>
      </c>
      <c r="AG88" s="722">
        <f ca="1">IF(AA88=1,'Finals 4'!$O36,"")</f>
        <v>25</v>
      </c>
      <c r="AH88" s="686">
        <f ca="1">IF(AA88=1,'Finals 4'!$Q36,"")</f>
        <v>16</v>
      </c>
      <c r="AI88" s="688" t="str">
        <f ca="1">IF(AA88&gt;0,AE88&amp;Language!$E$96&amp;AF88,"")</f>
        <v>1-1</v>
      </c>
    </row>
    <row r="89" spans="2:35" s="2" customFormat="1" ht="12.75" thickTop="1" x14ac:dyDescent="0.2">
      <c r="B89" s="3"/>
      <c r="C89" s="3"/>
      <c r="D89" s="3"/>
      <c r="E89" s="3"/>
      <c r="F89" s="12"/>
      <c r="G89" s="12"/>
      <c r="H89" s="12"/>
      <c r="I89" s="12"/>
      <c r="J89" s="12"/>
      <c r="K89" s="12"/>
      <c r="L89" s="12"/>
      <c r="M89" s="12"/>
      <c r="U89" s="66" t="s">
        <v>40</v>
      </c>
      <c r="V89" s="40" t="str">
        <f>""</f>
        <v/>
      </c>
      <c r="W89" s="12" t="str">
        <f>""</f>
        <v/>
      </c>
      <c r="X89" s="12" t="str">
        <f>""</f>
        <v/>
      </c>
      <c r="Y89" s="35" t="str">
        <f>""</f>
        <v/>
      </c>
      <c r="Z89" s="34" t="str">
        <f>""</f>
        <v/>
      </c>
      <c r="AA89" s="12">
        <v>0</v>
      </c>
      <c r="AB89" s="12" t="str">
        <f>""</f>
        <v/>
      </c>
      <c r="AD89" s="143"/>
      <c r="AE89" s="148"/>
      <c r="AF89" s="143"/>
      <c r="AG89" s="717"/>
      <c r="AH89" s="3"/>
      <c r="AI89" s="718"/>
    </row>
    <row r="90" spans="2:35" s="2" customFormat="1" x14ac:dyDescent="0.2">
      <c r="B90" s="3"/>
      <c r="C90" s="3"/>
      <c r="D90" s="3"/>
      <c r="E90" s="3"/>
      <c r="F90" s="12"/>
      <c r="G90" s="12"/>
      <c r="H90" s="12"/>
      <c r="I90" s="12"/>
      <c r="J90" s="12"/>
      <c r="K90" s="12"/>
      <c r="L90" s="12"/>
      <c r="M90" s="12"/>
      <c r="U90" s="66" t="s">
        <v>41</v>
      </c>
      <c r="V90" s="40" t="str">
        <f>""</f>
        <v/>
      </c>
      <c r="W90" s="12" t="str">
        <f>""</f>
        <v/>
      </c>
      <c r="X90" s="12" t="str">
        <f>""</f>
        <v/>
      </c>
      <c r="Y90" s="35" t="str">
        <f>""</f>
        <v/>
      </c>
      <c r="Z90" s="34" t="str">
        <f>""</f>
        <v/>
      </c>
      <c r="AA90" s="12">
        <v>0</v>
      </c>
      <c r="AB90" s="12" t="str">
        <f>""</f>
        <v/>
      </c>
      <c r="AD90" s="143"/>
      <c r="AE90" s="148"/>
      <c r="AF90" s="143"/>
      <c r="AG90" s="717"/>
      <c r="AH90" s="3"/>
      <c r="AI90" s="718"/>
    </row>
    <row r="91" spans="2:35" s="2" customFormat="1" x14ac:dyDescent="0.2">
      <c r="B91" s="3"/>
      <c r="C91" s="3"/>
      <c r="D91" s="3"/>
      <c r="E91" s="3"/>
      <c r="F91" s="12"/>
      <c r="G91" s="12"/>
      <c r="H91" s="12"/>
      <c r="I91" s="12"/>
      <c r="J91" s="12"/>
      <c r="K91" s="12"/>
      <c r="L91" s="12"/>
      <c r="M91" s="12"/>
      <c r="U91" s="66" t="s">
        <v>42</v>
      </c>
      <c r="V91" s="40" t="str">
        <f>""</f>
        <v/>
      </c>
      <c r="W91" s="12" t="str">
        <f>""</f>
        <v/>
      </c>
      <c r="X91" s="12" t="str">
        <f>""</f>
        <v/>
      </c>
      <c r="Y91" s="35" t="str">
        <f>""</f>
        <v/>
      </c>
      <c r="Z91" s="34" t="str">
        <f>""</f>
        <v/>
      </c>
      <c r="AA91" s="12">
        <v>0</v>
      </c>
      <c r="AB91" s="12" t="str">
        <f>""</f>
        <v/>
      </c>
      <c r="AD91" s="143"/>
      <c r="AE91" s="148"/>
      <c r="AF91" s="143"/>
      <c r="AG91" s="717"/>
      <c r="AH91" s="3"/>
      <c r="AI91" s="718"/>
    </row>
    <row r="92" spans="2:35" s="2" customFormat="1" x14ac:dyDescent="0.2">
      <c r="B92" s="3"/>
      <c r="C92" s="3"/>
      <c r="D92" s="3"/>
      <c r="E92" s="3"/>
      <c r="F92" s="12"/>
      <c r="G92" s="12"/>
      <c r="H92" s="12"/>
      <c r="I92" s="12"/>
      <c r="J92" s="12"/>
      <c r="K92" s="12"/>
      <c r="L92" s="12"/>
      <c r="M92" s="12"/>
      <c r="U92" s="66" t="s">
        <v>43</v>
      </c>
      <c r="V92" s="40" t="str">
        <f>""</f>
        <v/>
      </c>
      <c r="W92" s="12" t="str">
        <f>""</f>
        <v/>
      </c>
      <c r="X92" s="12" t="str">
        <f>""</f>
        <v/>
      </c>
      <c r="Y92" s="35" t="str">
        <f>""</f>
        <v/>
      </c>
      <c r="Z92" s="34" t="str">
        <f>""</f>
        <v/>
      </c>
      <c r="AA92" s="12">
        <v>0</v>
      </c>
      <c r="AB92" s="12" t="str">
        <f>""</f>
        <v/>
      </c>
      <c r="AD92" s="143"/>
      <c r="AE92" s="148"/>
      <c r="AF92" s="143"/>
      <c r="AG92" s="717"/>
      <c r="AH92" s="3"/>
      <c r="AI92" s="718"/>
    </row>
    <row r="93" spans="2:35" s="2" customFormat="1" x14ac:dyDescent="0.2">
      <c r="B93" s="3"/>
      <c r="C93" s="3"/>
      <c r="D93" s="3"/>
      <c r="E93" s="3"/>
      <c r="F93" s="12"/>
      <c r="G93" s="12"/>
      <c r="H93" s="12"/>
      <c r="I93" s="12"/>
      <c r="J93" s="12"/>
      <c r="K93" s="12"/>
      <c r="L93" s="12"/>
      <c r="M93" s="12"/>
      <c r="U93" s="66" t="s">
        <v>44</v>
      </c>
      <c r="V93" s="40" t="str">
        <f>""</f>
        <v/>
      </c>
      <c r="W93" s="12" t="str">
        <f>""</f>
        <v/>
      </c>
      <c r="X93" s="12" t="str">
        <f>""</f>
        <v/>
      </c>
      <c r="Y93" s="35" t="str">
        <f>""</f>
        <v/>
      </c>
      <c r="Z93" s="34" t="str">
        <f>""</f>
        <v/>
      </c>
      <c r="AA93" s="12">
        <v>0</v>
      </c>
      <c r="AB93" s="12" t="str">
        <f>""</f>
        <v/>
      </c>
      <c r="AD93" s="143"/>
      <c r="AE93" s="148"/>
      <c r="AF93" s="143"/>
      <c r="AG93" s="717"/>
      <c r="AH93" s="3"/>
      <c r="AI93" s="718"/>
    </row>
    <row r="94" spans="2:35" s="2" customFormat="1" x14ac:dyDescent="0.2">
      <c r="B94" s="3"/>
      <c r="C94" s="3"/>
      <c r="D94" s="3"/>
      <c r="E94" s="3"/>
      <c r="F94" s="12"/>
      <c r="G94" s="12"/>
      <c r="H94" s="12"/>
      <c r="I94" s="12"/>
      <c r="J94" s="12"/>
      <c r="K94" s="12"/>
      <c r="L94" s="12"/>
      <c r="M94" s="12"/>
      <c r="U94" s="66" t="s">
        <v>45</v>
      </c>
      <c r="V94" s="40" t="str">
        <f>""</f>
        <v/>
      </c>
      <c r="W94" s="12" t="str">
        <f>""</f>
        <v/>
      </c>
      <c r="X94" s="12" t="str">
        <f>""</f>
        <v/>
      </c>
      <c r="Y94" s="35" t="str">
        <f>""</f>
        <v/>
      </c>
      <c r="Z94" s="34" t="str">
        <f>""</f>
        <v/>
      </c>
      <c r="AA94" s="12">
        <v>0</v>
      </c>
      <c r="AB94" s="12" t="str">
        <f>""</f>
        <v/>
      </c>
      <c r="AD94" s="143"/>
      <c r="AE94" s="148"/>
      <c r="AF94" s="143"/>
      <c r="AG94" s="717"/>
      <c r="AH94" s="3"/>
      <c r="AI94" s="718"/>
    </row>
    <row r="95" spans="2:35" s="2" customFormat="1" x14ac:dyDescent="0.2">
      <c r="B95" s="3"/>
      <c r="C95" s="3"/>
      <c r="D95" s="3"/>
      <c r="E95" s="3"/>
      <c r="F95" s="12"/>
      <c r="G95" s="12"/>
      <c r="H95" s="12"/>
      <c r="I95" s="12"/>
      <c r="J95" s="12"/>
      <c r="K95" s="12"/>
      <c r="L95" s="12"/>
      <c r="M95" s="12"/>
      <c r="U95" s="66" t="s">
        <v>46</v>
      </c>
      <c r="V95" s="40" t="str">
        <f>""</f>
        <v/>
      </c>
      <c r="W95" s="12" t="str">
        <f>""</f>
        <v/>
      </c>
      <c r="X95" s="12" t="str">
        <f>""</f>
        <v/>
      </c>
      <c r="Y95" s="35" t="str">
        <f>""</f>
        <v/>
      </c>
      <c r="Z95" s="34" t="str">
        <f>""</f>
        <v/>
      </c>
      <c r="AA95" s="12">
        <v>0</v>
      </c>
      <c r="AB95" s="12" t="str">
        <f>""</f>
        <v/>
      </c>
      <c r="AD95" s="143"/>
      <c r="AE95" s="148"/>
      <c r="AF95" s="143"/>
      <c r="AG95" s="717"/>
      <c r="AH95" s="3"/>
      <c r="AI95" s="718"/>
    </row>
    <row r="96" spans="2:35" s="2" customFormat="1" x14ac:dyDescent="0.2">
      <c r="B96" s="3"/>
      <c r="C96" s="3"/>
      <c r="D96" s="3"/>
      <c r="E96" s="3"/>
      <c r="F96" s="12"/>
      <c r="G96" s="12"/>
      <c r="H96" s="12"/>
      <c r="I96" s="12"/>
      <c r="J96" s="12"/>
      <c r="K96" s="12"/>
      <c r="L96" s="12"/>
      <c r="M96" s="12"/>
      <c r="U96" s="66" t="s">
        <v>47</v>
      </c>
      <c r="V96" s="40" t="str">
        <f>""</f>
        <v/>
      </c>
      <c r="W96" s="12" t="str">
        <f>""</f>
        <v/>
      </c>
      <c r="X96" s="12" t="str">
        <f>""</f>
        <v/>
      </c>
      <c r="Y96" s="35" t="str">
        <f>""</f>
        <v/>
      </c>
      <c r="Z96" s="34" t="str">
        <f>""</f>
        <v/>
      </c>
      <c r="AA96" s="12">
        <v>0</v>
      </c>
      <c r="AB96" s="12" t="str">
        <f>""</f>
        <v/>
      </c>
      <c r="AD96" s="143"/>
      <c r="AE96" s="148"/>
      <c r="AF96" s="143"/>
      <c r="AG96" s="717"/>
      <c r="AH96" s="3"/>
      <c r="AI96" s="718"/>
    </row>
    <row r="97" spans="2:35" s="2" customFormat="1" x14ac:dyDescent="0.2">
      <c r="B97" s="3"/>
      <c r="C97" s="3"/>
      <c r="D97" s="3"/>
      <c r="E97" s="3"/>
      <c r="F97" s="12"/>
      <c r="G97" s="12"/>
      <c r="H97" s="12"/>
      <c r="I97" s="12"/>
      <c r="J97" s="12"/>
      <c r="K97" s="12"/>
      <c r="L97" s="12"/>
      <c r="M97" s="12"/>
      <c r="U97" s="66" t="s">
        <v>48</v>
      </c>
      <c r="V97" s="40" t="str">
        <f>""</f>
        <v/>
      </c>
      <c r="W97" s="12" t="str">
        <f>""</f>
        <v/>
      </c>
      <c r="X97" s="12" t="str">
        <f>""</f>
        <v/>
      </c>
      <c r="Y97" s="35" t="str">
        <f>""</f>
        <v/>
      </c>
      <c r="Z97" s="34" t="str">
        <f>""</f>
        <v/>
      </c>
      <c r="AA97" s="12">
        <v>0</v>
      </c>
      <c r="AB97" s="12" t="str">
        <f>""</f>
        <v/>
      </c>
      <c r="AD97" s="143"/>
      <c r="AE97" s="148"/>
      <c r="AF97" s="143"/>
      <c r="AG97" s="717"/>
      <c r="AH97" s="3"/>
      <c r="AI97" s="718"/>
    </row>
    <row r="98" spans="2:35" s="2" customFormat="1" x14ac:dyDescent="0.2">
      <c r="B98" s="3"/>
      <c r="C98" s="3"/>
      <c r="D98" s="3"/>
      <c r="E98" s="3"/>
      <c r="F98" s="12"/>
      <c r="G98" s="12"/>
      <c r="H98" s="12"/>
      <c r="I98" s="12"/>
      <c r="J98" s="12"/>
      <c r="K98" s="12"/>
      <c r="L98" s="12"/>
      <c r="M98" s="12"/>
      <c r="U98" s="66" t="s">
        <v>49</v>
      </c>
      <c r="V98" s="40" t="str">
        <f>""</f>
        <v/>
      </c>
      <c r="W98" s="12" t="str">
        <f>""</f>
        <v/>
      </c>
      <c r="X98" s="12" t="str">
        <f>""</f>
        <v/>
      </c>
      <c r="Y98" s="35" t="str">
        <f>""</f>
        <v/>
      </c>
      <c r="Z98" s="34" t="str">
        <f>""</f>
        <v/>
      </c>
      <c r="AA98" s="12">
        <v>0</v>
      </c>
      <c r="AB98" s="12" t="str">
        <f>""</f>
        <v/>
      </c>
      <c r="AD98" s="143"/>
      <c r="AE98" s="148"/>
      <c r="AF98" s="143"/>
      <c r="AG98" s="717"/>
      <c r="AH98" s="3"/>
      <c r="AI98" s="718"/>
    </row>
    <row r="99" spans="2:35" s="2" customFormat="1" x14ac:dyDescent="0.2">
      <c r="B99" s="3"/>
      <c r="C99" s="3"/>
      <c r="D99" s="3"/>
      <c r="E99" s="3"/>
      <c r="F99" s="12"/>
      <c r="G99" s="12"/>
      <c r="H99" s="12"/>
      <c r="I99" s="12"/>
      <c r="J99" s="12"/>
      <c r="K99" s="12"/>
      <c r="L99" s="12"/>
      <c r="M99" s="12"/>
      <c r="U99" s="66" t="s">
        <v>50</v>
      </c>
      <c r="V99" s="40" t="str">
        <f>""</f>
        <v/>
      </c>
      <c r="W99" s="12" t="str">
        <f>""</f>
        <v/>
      </c>
      <c r="X99" s="12" t="str">
        <f>""</f>
        <v/>
      </c>
      <c r="Y99" s="35" t="str">
        <f>""</f>
        <v/>
      </c>
      <c r="Z99" s="34" t="str">
        <f>""</f>
        <v/>
      </c>
      <c r="AA99" s="12">
        <v>0</v>
      </c>
      <c r="AB99" s="12" t="str">
        <f>""</f>
        <v/>
      </c>
      <c r="AD99" s="143"/>
      <c r="AE99" s="148"/>
      <c r="AF99" s="143"/>
      <c r="AG99" s="717"/>
      <c r="AH99" s="3"/>
      <c r="AI99" s="718"/>
    </row>
    <row r="100" spans="2:35" s="2" customFormat="1" x14ac:dyDescent="0.2">
      <c r="B100" s="3"/>
      <c r="C100" s="3"/>
      <c r="D100" s="3"/>
      <c r="E100" s="3"/>
      <c r="F100" s="12"/>
      <c r="G100" s="12"/>
      <c r="H100" s="12"/>
      <c r="I100" s="12"/>
      <c r="J100" s="12"/>
      <c r="K100" s="12"/>
      <c r="L100" s="12"/>
      <c r="M100" s="12"/>
      <c r="U100" s="66" t="s">
        <v>58</v>
      </c>
      <c r="V100" s="40" t="str">
        <f>""</f>
        <v/>
      </c>
      <c r="W100" s="12" t="str">
        <f>""</f>
        <v/>
      </c>
      <c r="X100" s="12" t="str">
        <f>""</f>
        <v/>
      </c>
      <c r="Y100" s="35" t="str">
        <f>""</f>
        <v/>
      </c>
      <c r="Z100" s="34" t="str">
        <f>""</f>
        <v/>
      </c>
      <c r="AA100" s="12">
        <v>0</v>
      </c>
      <c r="AB100" s="12" t="str">
        <f>""</f>
        <v/>
      </c>
      <c r="AD100" s="143"/>
      <c r="AE100" s="148"/>
      <c r="AF100" s="143"/>
      <c r="AG100" s="717"/>
      <c r="AH100" s="3"/>
      <c r="AI100" s="718"/>
    </row>
    <row r="101" spans="2:35" s="2" customFormat="1" x14ac:dyDescent="0.2">
      <c r="B101" s="3"/>
      <c r="C101" s="3"/>
      <c r="D101" s="3"/>
      <c r="E101" s="3"/>
      <c r="F101" s="12"/>
      <c r="G101" s="12"/>
      <c r="H101" s="12"/>
      <c r="I101" s="12"/>
      <c r="J101" s="12"/>
      <c r="K101" s="12"/>
      <c r="L101" s="12"/>
      <c r="M101" s="12"/>
      <c r="U101" s="66" t="s">
        <v>59</v>
      </c>
      <c r="V101" s="40" t="str">
        <f>""</f>
        <v/>
      </c>
      <c r="W101" s="12" t="str">
        <f>""</f>
        <v/>
      </c>
      <c r="X101" s="12" t="str">
        <f>""</f>
        <v/>
      </c>
      <c r="Y101" s="35" t="str">
        <f>""</f>
        <v/>
      </c>
      <c r="Z101" s="34" t="str">
        <f>""</f>
        <v/>
      </c>
      <c r="AA101" s="12">
        <v>0</v>
      </c>
      <c r="AB101" s="12" t="str">
        <f>""</f>
        <v/>
      </c>
      <c r="AD101" s="143"/>
      <c r="AE101" s="148"/>
      <c r="AF101" s="143"/>
      <c r="AG101" s="717"/>
      <c r="AH101" s="3"/>
      <c r="AI101" s="718"/>
    </row>
    <row r="102" spans="2:35" s="2" customFormat="1" x14ac:dyDescent="0.2">
      <c r="B102" s="3"/>
      <c r="C102" s="3"/>
      <c r="D102" s="3"/>
      <c r="E102" s="3"/>
      <c r="F102" s="12"/>
      <c r="G102" s="12"/>
      <c r="H102" s="12"/>
      <c r="I102" s="12"/>
      <c r="J102" s="12"/>
      <c r="K102" s="12"/>
      <c r="L102" s="12"/>
      <c r="M102" s="12"/>
      <c r="U102" s="66" t="s">
        <v>60</v>
      </c>
      <c r="V102" s="40" t="str">
        <f>""</f>
        <v/>
      </c>
      <c r="W102" s="12" t="str">
        <f>""</f>
        <v/>
      </c>
      <c r="X102" s="12" t="str">
        <f>""</f>
        <v/>
      </c>
      <c r="Y102" s="35" t="str">
        <f>""</f>
        <v/>
      </c>
      <c r="Z102" s="34" t="str">
        <f>""</f>
        <v/>
      </c>
      <c r="AA102" s="12">
        <v>0</v>
      </c>
      <c r="AB102" s="12" t="str">
        <f>""</f>
        <v/>
      </c>
      <c r="AD102" s="143"/>
      <c r="AE102" s="148"/>
      <c r="AF102" s="143"/>
      <c r="AG102" s="717"/>
      <c r="AH102" s="3"/>
      <c r="AI102" s="718"/>
    </row>
    <row r="103" spans="2:35" s="2" customFormat="1" x14ac:dyDescent="0.2">
      <c r="B103" s="3"/>
      <c r="C103" s="3"/>
      <c r="D103" s="3"/>
      <c r="E103" s="3"/>
      <c r="F103" s="12"/>
      <c r="G103" s="12"/>
      <c r="H103" s="12"/>
      <c r="I103" s="12"/>
      <c r="J103" s="12"/>
      <c r="K103" s="12"/>
      <c r="L103" s="12"/>
      <c r="M103" s="12"/>
      <c r="U103" s="66" t="s">
        <v>61</v>
      </c>
      <c r="V103" s="40" t="str">
        <f>""</f>
        <v/>
      </c>
      <c r="W103" s="12" t="str">
        <f>""</f>
        <v/>
      </c>
      <c r="X103" s="12" t="str">
        <f>""</f>
        <v/>
      </c>
      <c r="Y103" s="35" t="str">
        <f>""</f>
        <v/>
      </c>
      <c r="Z103" s="34" t="str">
        <f>""</f>
        <v/>
      </c>
      <c r="AA103" s="12">
        <v>0</v>
      </c>
      <c r="AB103" s="12" t="str">
        <f>""</f>
        <v/>
      </c>
      <c r="AD103" s="143"/>
      <c r="AE103" s="148"/>
      <c r="AF103" s="143"/>
      <c r="AG103" s="717"/>
      <c r="AH103" s="3"/>
      <c r="AI103" s="718"/>
    </row>
    <row r="104" spans="2:35" s="2" customFormat="1" x14ac:dyDescent="0.2">
      <c r="B104" s="3"/>
      <c r="C104" s="3"/>
      <c r="D104" s="3"/>
      <c r="E104" s="3"/>
      <c r="F104" s="12"/>
      <c r="G104" s="12"/>
      <c r="H104" s="12"/>
      <c r="I104" s="12"/>
      <c r="J104" s="12"/>
      <c r="K104" s="12"/>
      <c r="L104" s="12"/>
      <c r="M104" s="12"/>
      <c r="U104" s="66" t="s">
        <v>62</v>
      </c>
      <c r="V104" s="40" t="str">
        <f>""</f>
        <v/>
      </c>
      <c r="W104" s="12" t="str">
        <f>""</f>
        <v/>
      </c>
      <c r="X104" s="12" t="str">
        <f>""</f>
        <v/>
      </c>
      <c r="Y104" s="35" t="str">
        <f>""</f>
        <v/>
      </c>
      <c r="Z104" s="34" t="str">
        <f>""</f>
        <v/>
      </c>
      <c r="AA104" s="12">
        <v>0</v>
      </c>
      <c r="AB104" s="12" t="str">
        <f>""</f>
        <v/>
      </c>
      <c r="AD104" s="143"/>
      <c r="AE104" s="148"/>
      <c r="AF104" s="143"/>
      <c r="AG104" s="717"/>
      <c r="AH104" s="3"/>
      <c r="AI104" s="718"/>
    </row>
    <row r="105" spans="2:35" s="2" customFormat="1" x14ac:dyDescent="0.2">
      <c r="B105" s="3"/>
      <c r="C105" s="3"/>
      <c r="D105" s="3"/>
      <c r="E105" s="3"/>
      <c r="F105" s="12"/>
      <c r="G105" s="12"/>
      <c r="H105" s="12"/>
      <c r="I105" s="12"/>
      <c r="J105" s="12"/>
      <c r="K105" s="12"/>
      <c r="L105" s="12"/>
      <c r="M105" s="12"/>
      <c r="U105" s="66" t="s">
        <v>63</v>
      </c>
      <c r="V105" s="40" t="str">
        <f>""</f>
        <v/>
      </c>
      <c r="W105" s="12" t="str">
        <f>""</f>
        <v/>
      </c>
      <c r="X105" s="12" t="str">
        <f>""</f>
        <v/>
      </c>
      <c r="Y105" s="35" t="str">
        <f>""</f>
        <v/>
      </c>
      <c r="Z105" s="34" t="str">
        <f>""</f>
        <v/>
      </c>
      <c r="AA105" s="12">
        <v>0</v>
      </c>
      <c r="AB105" s="12" t="str">
        <f>""</f>
        <v/>
      </c>
      <c r="AD105" s="143"/>
      <c r="AE105" s="148"/>
      <c r="AF105" s="143"/>
      <c r="AG105" s="717"/>
      <c r="AH105" s="3"/>
      <c r="AI105" s="718"/>
    </row>
    <row r="106" spans="2:35" s="2" customFormat="1" x14ac:dyDescent="0.2">
      <c r="B106" s="3"/>
      <c r="C106" s="3"/>
      <c r="D106" s="3"/>
      <c r="E106" s="3"/>
      <c r="F106" s="12"/>
      <c r="G106" s="12"/>
      <c r="H106" s="12"/>
      <c r="I106" s="12"/>
      <c r="J106" s="12"/>
      <c r="K106" s="12"/>
      <c r="L106" s="12"/>
      <c r="M106" s="12"/>
      <c r="U106" s="66" t="s">
        <v>64</v>
      </c>
      <c r="V106" s="40" t="str">
        <f>""</f>
        <v/>
      </c>
      <c r="W106" s="12" t="str">
        <f>""</f>
        <v/>
      </c>
      <c r="X106" s="12" t="str">
        <f>""</f>
        <v/>
      </c>
      <c r="Y106" s="35" t="str">
        <f>""</f>
        <v/>
      </c>
      <c r="Z106" s="34" t="str">
        <f>""</f>
        <v/>
      </c>
      <c r="AA106" s="12">
        <v>0</v>
      </c>
      <c r="AB106" s="12" t="str">
        <f>""</f>
        <v/>
      </c>
      <c r="AD106" s="143"/>
      <c r="AE106" s="148"/>
      <c r="AF106" s="143"/>
      <c r="AG106" s="717"/>
      <c r="AH106" s="3"/>
      <c r="AI106" s="718"/>
    </row>
    <row r="107" spans="2:35" s="2" customFormat="1" x14ac:dyDescent="0.2">
      <c r="B107" s="3"/>
      <c r="C107" s="3"/>
      <c r="D107" s="3"/>
      <c r="E107" s="3"/>
      <c r="F107" s="12"/>
      <c r="G107" s="12"/>
      <c r="H107" s="12"/>
      <c r="I107" s="12"/>
      <c r="J107" s="12"/>
      <c r="K107" s="12"/>
      <c r="L107" s="12"/>
      <c r="M107" s="12"/>
      <c r="U107" s="66" t="s">
        <v>65</v>
      </c>
      <c r="V107" s="40" t="str">
        <f>""</f>
        <v/>
      </c>
      <c r="W107" s="12" t="str">
        <f>""</f>
        <v/>
      </c>
      <c r="X107" s="12" t="str">
        <f>""</f>
        <v/>
      </c>
      <c r="Y107" s="35" t="str">
        <f>""</f>
        <v/>
      </c>
      <c r="Z107" s="34" t="str">
        <f>""</f>
        <v/>
      </c>
      <c r="AA107" s="12">
        <v>0</v>
      </c>
      <c r="AB107" s="12" t="str">
        <f>""</f>
        <v/>
      </c>
      <c r="AD107" s="143"/>
      <c r="AE107" s="148"/>
      <c r="AF107" s="143"/>
      <c r="AG107" s="717"/>
      <c r="AH107" s="3"/>
      <c r="AI107" s="718"/>
    </row>
    <row r="108" spans="2:35" s="2" customFormat="1" x14ac:dyDescent="0.2">
      <c r="B108" s="3"/>
      <c r="C108" s="3"/>
      <c r="D108" s="3"/>
      <c r="E108" s="3"/>
      <c r="F108" s="12"/>
      <c r="G108" s="12"/>
      <c r="H108" s="12"/>
      <c r="I108" s="12"/>
      <c r="J108" s="12"/>
      <c r="K108" s="12"/>
      <c r="L108" s="12"/>
      <c r="M108" s="12"/>
      <c r="U108" s="66" t="s">
        <v>66</v>
      </c>
      <c r="V108" s="40" t="str">
        <f>""</f>
        <v/>
      </c>
      <c r="W108" s="12" t="str">
        <f>""</f>
        <v/>
      </c>
      <c r="X108" s="12" t="str">
        <f>""</f>
        <v/>
      </c>
      <c r="Y108" s="35" t="str">
        <f>""</f>
        <v/>
      </c>
      <c r="Z108" s="34" t="str">
        <f>""</f>
        <v/>
      </c>
      <c r="AA108" s="12">
        <v>0</v>
      </c>
      <c r="AB108" s="12" t="str">
        <f>""</f>
        <v/>
      </c>
      <c r="AD108" s="143"/>
      <c r="AE108" s="148"/>
      <c r="AF108" s="143"/>
      <c r="AG108" s="717"/>
      <c r="AH108" s="3"/>
      <c r="AI108" s="718"/>
    </row>
    <row r="109" spans="2:35" s="2" customFormat="1" x14ac:dyDescent="0.2">
      <c r="B109" s="3"/>
      <c r="C109" s="3"/>
      <c r="D109" s="3"/>
      <c r="E109" s="3"/>
      <c r="F109" s="12"/>
      <c r="G109" s="12"/>
      <c r="H109" s="12"/>
      <c r="I109" s="12"/>
      <c r="J109" s="12"/>
      <c r="K109" s="12"/>
      <c r="L109" s="12"/>
      <c r="M109" s="12"/>
      <c r="U109" s="66" t="s">
        <v>67</v>
      </c>
      <c r="V109" s="40" t="str">
        <f>""</f>
        <v/>
      </c>
      <c r="W109" s="12" t="str">
        <f>""</f>
        <v/>
      </c>
      <c r="X109" s="12" t="str">
        <f>""</f>
        <v/>
      </c>
      <c r="Y109" s="35" t="str">
        <f>""</f>
        <v/>
      </c>
      <c r="Z109" s="34" t="str">
        <f>""</f>
        <v/>
      </c>
      <c r="AA109" s="12">
        <v>0</v>
      </c>
      <c r="AB109" s="12" t="str">
        <f>""</f>
        <v/>
      </c>
      <c r="AD109" s="143"/>
      <c r="AE109" s="148"/>
      <c r="AF109" s="143"/>
      <c r="AG109" s="717"/>
      <c r="AH109" s="3"/>
      <c r="AI109" s="718"/>
    </row>
    <row r="110" spans="2:35" s="2" customFormat="1" x14ac:dyDescent="0.2">
      <c r="B110" s="3"/>
      <c r="C110" s="3"/>
      <c r="D110" s="3"/>
      <c r="E110" s="3"/>
      <c r="F110" s="12"/>
      <c r="G110" s="12"/>
      <c r="H110" s="12"/>
      <c r="I110" s="12"/>
      <c r="J110" s="12"/>
      <c r="K110" s="12"/>
      <c r="L110" s="12"/>
      <c r="M110" s="12"/>
      <c r="U110" s="66" t="s">
        <v>68</v>
      </c>
      <c r="V110" s="40" t="str">
        <f>""</f>
        <v/>
      </c>
      <c r="W110" s="12" t="str">
        <f>""</f>
        <v/>
      </c>
      <c r="X110" s="12" t="str">
        <f>""</f>
        <v/>
      </c>
      <c r="Y110" s="35" t="str">
        <f>""</f>
        <v/>
      </c>
      <c r="Z110" s="34" t="str">
        <f>""</f>
        <v/>
      </c>
      <c r="AA110" s="12">
        <v>0</v>
      </c>
      <c r="AB110" s="12" t="str">
        <f>""</f>
        <v/>
      </c>
      <c r="AD110" s="143"/>
      <c r="AE110" s="148"/>
      <c r="AF110" s="143"/>
      <c r="AG110" s="717"/>
      <c r="AH110" s="3"/>
      <c r="AI110" s="718"/>
    </row>
    <row r="111" spans="2:35" s="2" customFormat="1" x14ac:dyDescent="0.2">
      <c r="B111" s="3"/>
      <c r="C111" s="3"/>
      <c r="D111" s="3"/>
      <c r="E111" s="3"/>
      <c r="F111" s="12"/>
      <c r="G111" s="12"/>
      <c r="H111" s="12"/>
      <c r="I111" s="12"/>
      <c r="J111" s="12"/>
      <c r="K111" s="12"/>
      <c r="L111" s="12"/>
      <c r="M111" s="12"/>
      <c r="U111" s="66" t="s">
        <v>69</v>
      </c>
      <c r="V111" s="40" t="str">
        <f>""</f>
        <v/>
      </c>
      <c r="W111" s="12" t="str">
        <f>""</f>
        <v/>
      </c>
      <c r="X111" s="12" t="str">
        <f>""</f>
        <v/>
      </c>
      <c r="Y111" s="35" t="str">
        <f>""</f>
        <v/>
      </c>
      <c r="Z111" s="34" t="str">
        <f>""</f>
        <v/>
      </c>
      <c r="AA111" s="12">
        <v>0</v>
      </c>
      <c r="AB111" s="12" t="str">
        <f>""</f>
        <v/>
      </c>
      <c r="AD111" s="143"/>
      <c r="AE111" s="148"/>
      <c r="AF111" s="143"/>
      <c r="AG111" s="717"/>
      <c r="AH111" s="3"/>
      <c r="AI111" s="718"/>
    </row>
    <row r="112" spans="2:35" s="2" customFormat="1" x14ac:dyDescent="0.2">
      <c r="B112" s="3"/>
      <c r="C112" s="3"/>
      <c r="D112" s="3"/>
      <c r="E112" s="3"/>
      <c r="F112" s="12"/>
      <c r="G112" s="12"/>
      <c r="H112" s="12"/>
      <c r="I112" s="12"/>
      <c r="J112" s="12"/>
      <c r="K112" s="12"/>
      <c r="L112" s="12"/>
      <c r="M112" s="12"/>
      <c r="U112" s="66" t="s">
        <v>70</v>
      </c>
      <c r="V112" s="40" t="str">
        <f>""</f>
        <v/>
      </c>
      <c r="W112" s="12" t="str">
        <f>""</f>
        <v/>
      </c>
      <c r="X112" s="12" t="str">
        <f>""</f>
        <v/>
      </c>
      <c r="Y112" s="35" t="str">
        <f>""</f>
        <v/>
      </c>
      <c r="Z112" s="34" t="str">
        <f>""</f>
        <v/>
      </c>
      <c r="AA112" s="12">
        <v>0</v>
      </c>
      <c r="AB112" s="12" t="str">
        <f>""</f>
        <v/>
      </c>
      <c r="AD112" s="143"/>
      <c r="AE112" s="148"/>
      <c r="AF112" s="143"/>
      <c r="AG112" s="717"/>
      <c r="AH112" s="3"/>
      <c r="AI112" s="718"/>
    </row>
    <row r="113" spans="2:35" s="2" customFormat="1" x14ac:dyDescent="0.2">
      <c r="B113" s="3"/>
      <c r="C113" s="3"/>
      <c r="D113" s="3"/>
      <c r="E113" s="3"/>
      <c r="F113" s="12"/>
      <c r="G113" s="12"/>
      <c r="H113" s="12"/>
      <c r="I113" s="12"/>
      <c r="J113" s="12"/>
      <c r="K113" s="12"/>
      <c r="L113" s="12"/>
      <c r="M113" s="12"/>
      <c r="U113" s="66" t="s">
        <v>71</v>
      </c>
      <c r="V113" s="40" t="str">
        <f>""</f>
        <v/>
      </c>
      <c r="W113" s="12" t="str">
        <f>""</f>
        <v/>
      </c>
      <c r="X113" s="12" t="str">
        <f>""</f>
        <v/>
      </c>
      <c r="Y113" s="35" t="str">
        <f>""</f>
        <v/>
      </c>
      <c r="Z113" s="34" t="str">
        <f>""</f>
        <v/>
      </c>
      <c r="AA113" s="12">
        <v>0</v>
      </c>
      <c r="AB113" s="12" t="str">
        <f>""</f>
        <v/>
      </c>
      <c r="AD113" s="143"/>
      <c r="AE113" s="148"/>
      <c r="AF113" s="143"/>
      <c r="AG113" s="717"/>
      <c r="AH113" s="3"/>
      <c r="AI113" s="718"/>
    </row>
    <row r="114" spans="2:35" s="2" customFormat="1" x14ac:dyDescent="0.2">
      <c r="B114" s="3"/>
      <c r="C114" s="3"/>
      <c r="D114" s="3"/>
      <c r="E114" s="3"/>
      <c r="F114" s="12"/>
      <c r="G114" s="12"/>
      <c r="H114" s="12"/>
      <c r="I114" s="12"/>
      <c r="J114" s="12"/>
      <c r="K114" s="12"/>
      <c r="L114" s="12"/>
      <c r="M114" s="12"/>
      <c r="U114" s="66" t="s">
        <v>72</v>
      </c>
      <c r="V114" s="40" t="str">
        <f>""</f>
        <v/>
      </c>
      <c r="W114" s="12" t="str">
        <f>""</f>
        <v/>
      </c>
      <c r="X114" s="12" t="str">
        <f>""</f>
        <v/>
      </c>
      <c r="Y114" s="35" t="str">
        <f>""</f>
        <v/>
      </c>
      <c r="Z114" s="34" t="str">
        <f>""</f>
        <v/>
      </c>
      <c r="AA114" s="12">
        <v>0</v>
      </c>
      <c r="AB114" s="12" t="str">
        <f>""</f>
        <v/>
      </c>
      <c r="AD114" s="143"/>
      <c r="AE114" s="148"/>
      <c r="AF114" s="143"/>
      <c r="AG114" s="717"/>
      <c r="AH114" s="3"/>
      <c r="AI114" s="718"/>
    </row>
    <row r="115" spans="2:35" s="2" customFormat="1" x14ac:dyDescent="0.2">
      <c r="B115" s="3"/>
      <c r="C115" s="3"/>
      <c r="D115" s="3"/>
      <c r="E115" s="3"/>
      <c r="F115" s="12"/>
      <c r="G115" s="12"/>
      <c r="H115" s="12"/>
      <c r="I115" s="12"/>
      <c r="J115" s="12"/>
      <c r="K115" s="12"/>
      <c r="L115" s="12"/>
      <c r="M115" s="12"/>
      <c r="U115" s="66" t="s">
        <v>73</v>
      </c>
      <c r="V115" s="40" t="str">
        <f>""</f>
        <v/>
      </c>
      <c r="W115" s="12" t="str">
        <f>""</f>
        <v/>
      </c>
      <c r="X115" s="12" t="str">
        <f>""</f>
        <v/>
      </c>
      <c r="Y115" s="35" t="str">
        <f>""</f>
        <v/>
      </c>
      <c r="Z115" s="34" t="str">
        <f>""</f>
        <v/>
      </c>
      <c r="AA115" s="12">
        <v>0</v>
      </c>
      <c r="AB115" s="12" t="str">
        <f>""</f>
        <v/>
      </c>
      <c r="AD115" s="143"/>
      <c r="AE115" s="148"/>
      <c r="AF115" s="143"/>
      <c r="AG115" s="717"/>
      <c r="AH115" s="3"/>
      <c r="AI115" s="718"/>
    </row>
    <row r="116" spans="2:35" s="2" customFormat="1" x14ac:dyDescent="0.2">
      <c r="B116" s="3"/>
      <c r="C116" s="3"/>
      <c r="D116" s="3"/>
      <c r="E116" s="3"/>
      <c r="F116" s="12"/>
      <c r="G116" s="12"/>
      <c r="H116" s="12"/>
      <c r="I116" s="12"/>
      <c r="J116" s="12"/>
      <c r="K116" s="12"/>
      <c r="L116" s="12"/>
      <c r="M116" s="12"/>
      <c r="U116" s="66" t="s">
        <v>74</v>
      </c>
      <c r="V116" s="40" t="str">
        <f>""</f>
        <v/>
      </c>
      <c r="W116" s="12" t="str">
        <f>""</f>
        <v/>
      </c>
      <c r="X116" s="12" t="str">
        <f>""</f>
        <v/>
      </c>
      <c r="Y116" s="35" t="str">
        <f>""</f>
        <v/>
      </c>
      <c r="Z116" s="34" t="str">
        <f>""</f>
        <v/>
      </c>
      <c r="AA116" s="12">
        <v>0</v>
      </c>
      <c r="AB116" s="12" t="str">
        <f>""</f>
        <v/>
      </c>
      <c r="AD116" s="143"/>
      <c r="AE116" s="148"/>
      <c r="AF116" s="143"/>
      <c r="AG116" s="717"/>
      <c r="AH116" s="3"/>
      <c r="AI116" s="718"/>
    </row>
    <row r="117" spans="2:35" s="2" customFormat="1" x14ac:dyDescent="0.2">
      <c r="B117" s="3"/>
      <c r="C117" s="3"/>
      <c r="D117" s="3"/>
      <c r="E117" s="3"/>
      <c r="F117" s="12"/>
      <c r="G117" s="12"/>
      <c r="H117" s="12"/>
      <c r="I117" s="12"/>
      <c r="J117" s="12"/>
      <c r="K117" s="12"/>
      <c r="L117" s="12"/>
      <c r="M117" s="12"/>
      <c r="U117" s="66" t="s">
        <v>75</v>
      </c>
      <c r="V117" s="40" t="str">
        <f>""</f>
        <v/>
      </c>
      <c r="W117" s="12" t="str">
        <f>""</f>
        <v/>
      </c>
      <c r="X117" s="12" t="str">
        <f>""</f>
        <v/>
      </c>
      <c r="Y117" s="35" t="str">
        <f>""</f>
        <v/>
      </c>
      <c r="Z117" s="34" t="str">
        <f>""</f>
        <v/>
      </c>
      <c r="AA117" s="12">
        <v>0</v>
      </c>
      <c r="AB117" s="12" t="str">
        <f>""</f>
        <v/>
      </c>
      <c r="AD117" s="143"/>
      <c r="AE117" s="148"/>
      <c r="AF117" s="143"/>
      <c r="AG117" s="717"/>
      <c r="AH117" s="3"/>
      <c r="AI117" s="718"/>
    </row>
    <row r="118" spans="2:35" s="2" customFormat="1" x14ac:dyDescent="0.2">
      <c r="B118" s="3"/>
      <c r="C118" s="3"/>
      <c r="D118" s="3"/>
      <c r="E118" s="3"/>
      <c r="F118" s="12"/>
      <c r="G118" s="12"/>
      <c r="H118" s="12"/>
      <c r="I118" s="12"/>
      <c r="J118" s="12"/>
      <c r="K118" s="12"/>
      <c r="L118" s="12"/>
      <c r="M118" s="12"/>
      <c r="U118" s="66" t="s">
        <v>76</v>
      </c>
      <c r="V118" s="40" t="str">
        <f>""</f>
        <v/>
      </c>
      <c r="W118" s="12" t="str">
        <f>""</f>
        <v/>
      </c>
      <c r="X118" s="12" t="str">
        <f>""</f>
        <v/>
      </c>
      <c r="Y118" s="35" t="str">
        <f>""</f>
        <v/>
      </c>
      <c r="Z118" s="34" t="str">
        <f>""</f>
        <v/>
      </c>
      <c r="AA118" s="12">
        <v>0</v>
      </c>
      <c r="AB118" s="12" t="str">
        <f>""</f>
        <v/>
      </c>
      <c r="AD118" s="143"/>
      <c r="AE118" s="148"/>
      <c r="AF118" s="143"/>
      <c r="AG118" s="717"/>
      <c r="AH118" s="3"/>
      <c r="AI118" s="718"/>
    </row>
    <row r="119" spans="2:35" s="2" customFormat="1" x14ac:dyDescent="0.2">
      <c r="B119" s="3"/>
      <c r="C119" s="3"/>
      <c r="D119" s="3"/>
      <c r="E119" s="3"/>
      <c r="F119" s="12"/>
      <c r="G119" s="12"/>
      <c r="H119" s="12"/>
      <c r="I119" s="12"/>
      <c r="J119" s="12"/>
      <c r="K119" s="12"/>
      <c r="L119" s="12"/>
      <c r="M119" s="12"/>
      <c r="U119" s="66" t="s">
        <v>77</v>
      </c>
      <c r="V119" s="40" t="str">
        <f>""</f>
        <v/>
      </c>
      <c r="W119" s="12" t="str">
        <f>""</f>
        <v/>
      </c>
      <c r="X119" s="12" t="str">
        <f>""</f>
        <v/>
      </c>
      <c r="Y119" s="35" t="str">
        <f>""</f>
        <v/>
      </c>
      <c r="Z119" s="34" t="str">
        <f>""</f>
        <v/>
      </c>
      <c r="AA119" s="12">
        <v>0</v>
      </c>
      <c r="AB119" s="12" t="str">
        <f>""</f>
        <v/>
      </c>
      <c r="AD119" s="143"/>
      <c r="AE119" s="148"/>
      <c r="AF119" s="143"/>
      <c r="AG119" s="717"/>
      <c r="AH119" s="3"/>
      <c r="AI119" s="718"/>
    </row>
    <row r="120" spans="2:35" s="2" customFormat="1" x14ac:dyDescent="0.2">
      <c r="B120" s="3"/>
      <c r="C120" s="3"/>
      <c r="D120" s="3"/>
      <c r="E120" s="3"/>
      <c r="F120" s="12"/>
      <c r="G120" s="12"/>
      <c r="H120" s="12"/>
      <c r="I120" s="12"/>
      <c r="J120" s="12"/>
      <c r="K120" s="12"/>
      <c r="L120" s="12"/>
      <c r="M120" s="12"/>
      <c r="U120" s="66" t="s">
        <v>78</v>
      </c>
      <c r="V120" s="40" t="str">
        <f>""</f>
        <v/>
      </c>
      <c r="W120" s="12" t="str">
        <f>""</f>
        <v/>
      </c>
      <c r="X120" s="12" t="str">
        <f>""</f>
        <v/>
      </c>
      <c r="Y120" s="35" t="str">
        <f>""</f>
        <v/>
      </c>
      <c r="Z120" s="34" t="str">
        <f>""</f>
        <v/>
      </c>
      <c r="AA120" s="12">
        <v>0</v>
      </c>
      <c r="AB120" s="12" t="str">
        <f>""</f>
        <v/>
      </c>
      <c r="AD120" s="143"/>
      <c r="AE120" s="148"/>
      <c r="AF120" s="143"/>
      <c r="AG120" s="717"/>
      <c r="AH120" s="3"/>
      <c r="AI120" s="718"/>
    </row>
    <row r="121" spans="2:35" s="2" customFormat="1" x14ac:dyDescent="0.2">
      <c r="B121" s="3"/>
      <c r="C121" s="3"/>
      <c r="D121" s="3"/>
      <c r="E121" s="3"/>
      <c r="F121" s="12"/>
      <c r="G121" s="12"/>
      <c r="H121" s="12"/>
      <c r="I121" s="12"/>
      <c r="J121" s="12"/>
      <c r="K121" s="12"/>
      <c r="L121" s="12"/>
      <c r="M121" s="12"/>
      <c r="U121" s="66" t="s">
        <v>79</v>
      </c>
      <c r="V121" s="40" t="str">
        <f>""</f>
        <v/>
      </c>
      <c r="W121" s="12" t="str">
        <f>""</f>
        <v/>
      </c>
      <c r="X121" s="12" t="str">
        <f>""</f>
        <v/>
      </c>
      <c r="Y121" s="35" t="str">
        <f>""</f>
        <v/>
      </c>
      <c r="Z121" s="34" t="str">
        <f>""</f>
        <v/>
      </c>
      <c r="AA121" s="12">
        <v>0</v>
      </c>
      <c r="AB121" s="12" t="str">
        <f>""</f>
        <v/>
      </c>
      <c r="AD121" s="143"/>
      <c r="AE121" s="148"/>
      <c r="AF121" s="143"/>
      <c r="AG121" s="717"/>
      <c r="AH121" s="3"/>
      <c r="AI121" s="718"/>
    </row>
    <row r="122" spans="2:35" s="2" customFormat="1" x14ac:dyDescent="0.2">
      <c r="B122" s="3"/>
      <c r="C122" s="3"/>
      <c r="D122" s="3"/>
      <c r="E122" s="3"/>
      <c r="F122" s="12"/>
      <c r="G122" s="12"/>
      <c r="H122" s="12"/>
      <c r="I122" s="12"/>
      <c r="J122" s="12"/>
      <c r="K122" s="12"/>
      <c r="L122" s="12"/>
      <c r="M122" s="12"/>
      <c r="U122" s="66" t="s">
        <v>80</v>
      </c>
      <c r="V122" s="40" t="str">
        <f>""</f>
        <v/>
      </c>
      <c r="W122" s="12" t="str">
        <f>""</f>
        <v/>
      </c>
      <c r="X122" s="12" t="str">
        <f>""</f>
        <v/>
      </c>
      <c r="Y122" s="35" t="str">
        <f>""</f>
        <v/>
      </c>
      <c r="Z122" s="34" t="str">
        <f>""</f>
        <v/>
      </c>
      <c r="AA122" s="12">
        <v>0</v>
      </c>
      <c r="AB122" s="12" t="str">
        <f>""</f>
        <v/>
      </c>
      <c r="AD122" s="143"/>
      <c r="AE122" s="148"/>
      <c r="AF122" s="143"/>
      <c r="AG122" s="717"/>
      <c r="AH122" s="3"/>
      <c r="AI122" s="718"/>
    </row>
    <row r="123" spans="2:35" s="2" customFormat="1" x14ac:dyDescent="0.2">
      <c r="B123" s="3"/>
      <c r="C123" s="3"/>
      <c r="D123" s="3"/>
      <c r="E123" s="3"/>
      <c r="F123" s="12"/>
      <c r="G123" s="12"/>
      <c r="H123" s="12"/>
      <c r="I123" s="12"/>
      <c r="J123" s="12"/>
      <c r="K123" s="12"/>
      <c r="L123" s="12"/>
      <c r="M123" s="12"/>
      <c r="U123" s="66" t="s">
        <v>81</v>
      </c>
      <c r="V123" s="40" t="str">
        <f>""</f>
        <v/>
      </c>
      <c r="W123" s="12" t="str">
        <f>""</f>
        <v/>
      </c>
      <c r="X123" s="12" t="str">
        <f>""</f>
        <v/>
      </c>
      <c r="Y123" s="35" t="str">
        <f>""</f>
        <v/>
      </c>
      <c r="Z123" s="34" t="str">
        <f>""</f>
        <v/>
      </c>
      <c r="AA123" s="12">
        <v>0</v>
      </c>
      <c r="AB123" s="12" t="str">
        <f>""</f>
        <v/>
      </c>
      <c r="AD123" s="143"/>
      <c r="AE123" s="148"/>
      <c r="AF123" s="143"/>
      <c r="AG123" s="717"/>
      <c r="AH123" s="3"/>
      <c r="AI123" s="718"/>
    </row>
    <row r="124" spans="2:35" s="2" customFormat="1" x14ac:dyDescent="0.2">
      <c r="B124" s="3"/>
      <c r="C124" s="3"/>
      <c r="D124" s="3"/>
      <c r="E124" s="3"/>
      <c r="F124" s="12"/>
      <c r="G124" s="12"/>
      <c r="H124" s="12"/>
      <c r="I124" s="12"/>
      <c r="J124" s="12"/>
      <c r="K124" s="12"/>
      <c r="L124" s="12"/>
      <c r="M124" s="12"/>
      <c r="U124" s="66" t="s">
        <v>82</v>
      </c>
      <c r="V124" s="40" t="str">
        <f>""</f>
        <v/>
      </c>
      <c r="W124" s="12" t="str">
        <f>""</f>
        <v/>
      </c>
      <c r="X124" s="12" t="str">
        <f>""</f>
        <v/>
      </c>
      <c r="Y124" s="35" t="str">
        <f>""</f>
        <v/>
      </c>
      <c r="Z124" s="34" t="str">
        <f>""</f>
        <v/>
      </c>
      <c r="AA124" s="12">
        <v>0</v>
      </c>
      <c r="AB124" s="12" t="str">
        <f>""</f>
        <v/>
      </c>
      <c r="AD124" s="143"/>
      <c r="AE124" s="148"/>
      <c r="AF124" s="143"/>
      <c r="AG124" s="717"/>
      <c r="AH124" s="3"/>
      <c r="AI124" s="718"/>
    </row>
    <row r="125" spans="2:35" s="2" customFormat="1" x14ac:dyDescent="0.2">
      <c r="B125" s="3"/>
      <c r="C125" s="3"/>
      <c r="D125" s="3"/>
      <c r="E125" s="3"/>
      <c r="F125" s="12"/>
      <c r="G125" s="12"/>
      <c r="H125" s="12"/>
      <c r="I125" s="12"/>
      <c r="J125" s="12"/>
      <c r="K125" s="12"/>
      <c r="L125" s="12"/>
      <c r="M125" s="12"/>
      <c r="U125" s="66" t="s">
        <v>83</v>
      </c>
      <c r="V125" s="40" t="str">
        <f>""</f>
        <v/>
      </c>
      <c r="W125" s="12" t="str">
        <f>""</f>
        <v/>
      </c>
      <c r="X125" s="12" t="str">
        <f>""</f>
        <v/>
      </c>
      <c r="Y125" s="35" t="str">
        <f>""</f>
        <v/>
      </c>
      <c r="Z125" s="34" t="str">
        <f>""</f>
        <v/>
      </c>
      <c r="AA125" s="12">
        <v>0</v>
      </c>
      <c r="AB125" s="12" t="str">
        <f>""</f>
        <v/>
      </c>
      <c r="AD125" s="143"/>
      <c r="AE125" s="148"/>
      <c r="AF125" s="143"/>
      <c r="AG125" s="717"/>
      <c r="AH125" s="3"/>
      <c r="AI125" s="718"/>
    </row>
    <row r="126" spans="2:35" s="2" customFormat="1" x14ac:dyDescent="0.2">
      <c r="B126" s="3"/>
      <c r="C126" s="3"/>
      <c r="D126" s="3"/>
      <c r="E126" s="3"/>
      <c r="F126" s="12"/>
      <c r="G126" s="12"/>
      <c r="H126" s="12"/>
      <c r="I126" s="12"/>
      <c r="J126" s="12"/>
      <c r="K126" s="12"/>
      <c r="L126" s="12"/>
      <c r="M126" s="12"/>
      <c r="U126" s="66" t="s">
        <v>84</v>
      </c>
      <c r="V126" s="40" t="str">
        <f>""</f>
        <v/>
      </c>
      <c r="W126" s="12" t="str">
        <f>""</f>
        <v/>
      </c>
      <c r="X126" s="12" t="str">
        <f>""</f>
        <v/>
      </c>
      <c r="Y126" s="35" t="str">
        <f>""</f>
        <v/>
      </c>
      <c r="Z126" s="34" t="str">
        <f>""</f>
        <v/>
      </c>
      <c r="AA126" s="12">
        <v>0</v>
      </c>
      <c r="AB126" s="12" t="str">
        <f>""</f>
        <v/>
      </c>
      <c r="AD126" s="143"/>
      <c r="AE126" s="148"/>
      <c r="AF126" s="143"/>
      <c r="AG126" s="717"/>
      <c r="AH126" s="3"/>
      <c r="AI126" s="718"/>
    </row>
    <row r="127" spans="2:35" s="2" customFormat="1" x14ac:dyDescent="0.2">
      <c r="B127" s="3"/>
      <c r="C127" s="3"/>
      <c r="D127" s="3"/>
      <c r="E127" s="3"/>
      <c r="F127" s="12"/>
      <c r="G127" s="12"/>
      <c r="H127" s="12"/>
      <c r="I127" s="12"/>
      <c r="J127" s="12"/>
      <c r="K127" s="12"/>
      <c r="L127" s="12"/>
      <c r="M127" s="12"/>
      <c r="U127" s="66" t="s">
        <v>85</v>
      </c>
      <c r="V127" s="40" t="str">
        <f>""</f>
        <v/>
      </c>
      <c r="W127" s="12" t="str">
        <f>""</f>
        <v/>
      </c>
      <c r="X127" s="12" t="str">
        <f>""</f>
        <v/>
      </c>
      <c r="Y127" s="35" t="str">
        <f>""</f>
        <v/>
      </c>
      <c r="Z127" s="34" t="str">
        <f>""</f>
        <v/>
      </c>
      <c r="AA127" s="12">
        <v>0</v>
      </c>
      <c r="AB127" s="12" t="str">
        <f>""</f>
        <v/>
      </c>
      <c r="AD127" s="143"/>
      <c r="AE127" s="148"/>
      <c r="AF127" s="143"/>
      <c r="AG127" s="717"/>
      <c r="AH127" s="3"/>
      <c r="AI127" s="718"/>
    </row>
    <row r="128" spans="2:35" s="2" customFormat="1" x14ac:dyDescent="0.2">
      <c r="B128" s="3"/>
      <c r="C128" s="3"/>
      <c r="D128" s="3"/>
      <c r="E128" s="3"/>
      <c r="F128" s="12"/>
      <c r="G128" s="12"/>
      <c r="H128" s="12"/>
      <c r="I128" s="12"/>
      <c r="J128" s="12"/>
      <c r="K128" s="12"/>
      <c r="L128" s="12"/>
      <c r="M128" s="12"/>
      <c r="U128" s="66" t="s">
        <v>86</v>
      </c>
      <c r="V128" s="40" t="str">
        <f>""</f>
        <v/>
      </c>
      <c r="W128" s="12" t="str">
        <f>""</f>
        <v/>
      </c>
      <c r="X128" s="12" t="str">
        <f>""</f>
        <v/>
      </c>
      <c r="Y128" s="35" t="str">
        <f>""</f>
        <v/>
      </c>
      <c r="Z128" s="34" t="str">
        <f>""</f>
        <v/>
      </c>
      <c r="AA128" s="12">
        <v>0</v>
      </c>
      <c r="AB128" s="12" t="str">
        <f>""</f>
        <v/>
      </c>
      <c r="AD128" s="143"/>
      <c r="AE128" s="148"/>
      <c r="AF128" s="143"/>
      <c r="AG128" s="717"/>
      <c r="AH128" s="3"/>
      <c r="AI128" s="718"/>
    </row>
    <row r="129" spans="2:35" s="2" customFormat="1" x14ac:dyDescent="0.2">
      <c r="B129" s="3"/>
      <c r="C129" s="3"/>
      <c r="D129" s="3"/>
      <c r="E129" s="3"/>
      <c r="F129" s="12"/>
      <c r="G129" s="12"/>
      <c r="H129" s="12"/>
      <c r="I129" s="12"/>
      <c r="J129" s="12"/>
      <c r="K129" s="12"/>
      <c r="L129" s="12"/>
      <c r="M129" s="12"/>
      <c r="U129" s="66" t="s">
        <v>87</v>
      </c>
      <c r="V129" s="40" t="str">
        <f>""</f>
        <v/>
      </c>
      <c r="W129" s="12" t="str">
        <f>""</f>
        <v/>
      </c>
      <c r="X129" s="12" t="str">
        <f>""</f>
        <v/>
      </c>
      <c r="Y129" s="35" t="str">
        <f>""</f>
        <v/>
      </c>
      <c r="Z129" s="34" t="str">
        <f>""</f>
        <v/>
      </c>
      <c r="AA129" s="12">
        <v>0</v>
      </c>
      <c r="AB129" s="12" t="str">
        <f>""</f>
        <v/>
      </c>
      <c r="AD129" s="143"/>
      <c r="AE129" s="148"/>
      <c r="AF129" s="143"/>
      <c r="AG129" s="717"/>
      <c r="AH129" s="3"/>
      <c r="AI129" s="718"/>
    </row>
    <row r="130" spans="2:35" s="2" customFormat="1" x14ac:dyDescent="0.2">
      <c r="B130" s="3"/>
      <c r="C130" s="3"/>
      <c r="D130" s="3"/>
      <c r="E130" s="3"/>
      <c r="F130" s="12"/>
      <c r="G130" s="12"/>
      <c r="H130" s="12"/>
      <c r="I130" s="12"/>
      <c r="J130" s="12"/>
      <c r="K130" s="12"/>
      <c r="L130" s="12"/>
      <c r="M130" s="12"/>
      <c r="U130" s="66" t="s">
        <v>88</v>
      </c>
      <c r="V130" s="40" t="str">
        <f>""</f>
        <v/>
      </c>
      <c r="W130" s="12" t="str">
        <f>""</f>
        <v/>
      </c>
      <c r="X130" s="12" t="str">
        <f>""</f>
        <v/>
      </c>
      <c r="Y130" s="35" t="str">
        <f>""</f>
        <v/>
      </c>
      <c r="Z130" s="34" t="str">
        <f>""</f>
        <v/>
      </c>
      <c r="AA130" s="12">
        <v>0</v>
      </c>
      <c r="AB130" s="12" t="str">
        <f>""</f>
        <v/>
      </c>
      <c r="AD130" s="143"/>
      <c r="AE130" s="148"/>
      <c r="AF130" s="143"/>
      <c r="AG130" s="717"/>
      <c r="AH130" s="3"/>
      <c r="AI130" s="718"/>
    </row>
    <row r="131" spans="2:35" s="2" customFormat="1" x14ac:dyDescent="0.2">
      <c r="B131" s="3"/>
      <c r="C131" s="3"/>
      <c r="D131" s="3"/>
      <c r="E131" s="3"/>
      <c r="F131" s="12"/>
      <c r="G131" s="12"/>
      <c r="H131" s="12"/>
      <c r="I131" s="12"/>
      <c r="J131" s="12"/>
      <c r="K131" s="12"/>
      <c r="L131" s="12"/>
      <c r="M131" s="12"/>
      <c r="U131" s="66" t="s">
        <v>89</v>
      </c>
      <c r="V131" s="40" t="str">
        <f>""</f>
        <v/>
      </c>
      <c r="W131" s="12" t="str">
        <f>""</f>
        <v/>
      </c>
      <c r="X131" s="12" t="str">
        <f>""</f>
        <v/>
      </c>
      <c r="Y131" s="35" t="str">
        <f>""</f>
        <v/>
      </c>
      <c r="Z131" s="34" t="str">
        <f>""</f>
        <v/>
      </c>
      <c r="AA131" s="12">
        <v>0</v>
      </c>
      <c r="AB131" s="12" t="str">
        <f>""</f>
        <v/>
      </c>
      <c r="AD131" s="143"/>
      <c r="AE131" s="148"/>
      <c r="AF131" s="143"/>
      <c r="AG131" s="717"/>
      <c r="AH131" s="3"/>
      <c r="AI131" s="718"/>
    </row>
    <row r="132" spans="2:35" s="2" customFormat="1" x14ac:dyDescent="0.2">
      <c r="B132" s="3"/>
      <c r="C132" s="3"/>
      <c r="D132" s="3"/>
      <c r="E132" s="3"/>
      <c r="F132" s="12"/>
      <c r="G132" s="12"/>
      <c r="H132" s="12"/>
      <c r="I132" s="12"/>
      <c r="J132" s="12"/>
      <c r="K132" s="12"/>
      <c r="L132" s="12"/>
      <c r="M132" s="12"/>
      <c r="U132" s="66" t="s">
        <v>90</v>
      </c>
      <c r="V132" s="40" t="str">
        <f>""</f>
        <v/>
      </c>
      <c r="W132" s="12" t="str">
        <f>""</f>
        <v/>
      </c>
      <c r="X132" s="12" t="str">
        <f>""</f>
        <v/>
      </c>
      <c r="Y132" s="35" t="str">
        <f>""</f>
        <v/>
      </c>
      <c r="Z132" s="34" t="str">
        <f>""</f>
        <v/>
      </c>
      <c r="AA132" s="12">
        <v>0</v>
      </c>
      <c r="AB132" s="12" t="str">
        <f>""</f>
        <v/>
      </c>
      <c r="AD132" s="143"/>
      <c r="AE132" s="148"/>
      <c r="AF132" s="143"/>
      <c r="AG132" s="717"/>
      <c r="AH132" s="3"/>
      <c r="AI132" s="718"/>
    </row>
    <row r="133" spans="2:35" s="2" customFormat="1" x14ac:dyDescent="0.2">
      <c r="B133" s="3"/>
      <c r="C133" s="3"/>
      <c r="D133" s="3"/>
      <c r="E133" s="3"/>
      <c r="F133" s="12"/>
      <c r="G133" s="12"/>
      <c r="H133" s="12"/>
      <c r="I133" s="12"/>
      <c r="J133" s="12"/>
      <c r="K133" s="12"/>
      <c r="L133" s="12"/>
      <c r="M133" s="12"/>
      <c r="U133" s="66" t="s">
        <v>91</v>
      </c>
      <c r="V133" s="40" t="str">
        <f>""</f>
        <v/>
      </c>
      <c r="W133" s="12" t="str">
        <f>""</f>
        <v/>
      </c>
      <c r="X133" s="12" t="str">
        <f>""</f>
        <v/>
      </c>
      <c r="Y133" s="35" t="str">
        <f>""</f>
        <v/>
      </c>
      <c r="Z133" s="34" t="str">
        <f>""</f>
        <v/>
      </c>
      <c r="AA133" s="12">
        <v>0</v>
      </c>
      <c r="AB133" s="12" t="str">
        <f>""</f>
        <v/>
      </c>
      <c r="AD133" s="143"/>
      <c r="AE133" s="148"/>
      <c r="AF133" s="143"/>
      <c r="AG133" s="717"/>
      <c r="AH133" s="3"/>
      <c r="AI133" s="718"/>
    </row>
    <row r="134" spans="2:35" s="2" customFormat="1" x14ac:dyDescent="0.2">
      <c r="B134" s="3"/>
      <c r="C134" s="3"/>
      <c r="D134" s="3"/>
      <c r="E134" s="3"/>
      <c r="F134" s="12"/>
      <c r="G134" s="12"/>
      <c r="H134" s="12"/>
      <c r="I134" s="12"/>
      <c r="J134" s="12"/>
      <c r="K134" s="12"/>
      <c r="L134" s="12"/>
      <c r="M134" s="12"/>
      <c r="U134" s="66" t="s">
        <v>92</v>
      </c>
      <c r="V134" s="40" t="str">
        <f>""</f>
        <v/>
      </c>
      <c r="W134" s="12" t="str">
        <f>""</f>
        <v/>
      </c>
      <c r="X134" s="12" t="str">
        <f>""</f>
        <v/>
      </c>
      <c r="Y134" s="35" t="str">
        <f>""</f>
        <v/>
      </c>
      <c r="Z134" s="34" t="str">
        <f>""</f>
        <v/>
      </c>
      <c r="AA134" s="12">
        <v>0</v>
      </c>
      <c r="AB134" s="12" t="str">
        <f>""</f>
        <v/>
      </c>
      <c r="AD134" s="143"/>
      <c r="AE134" s="148"/>
      <c r="AF134" s="143"/>
      <c r="AG134" s="717"/>
      <c r="AH134" s="3"/>
      <c r="AI134" s="718"/>
    </row>
    <row r="135" spans="2:35" s="2" customFormat="1" ht="12.75" thickBot="1" x14ac:dyDescent="0.25">
      <c r="B135" s="3"/>
      <c r="C135" s="3"/>
      <c r="D135" s="3"/>
      <c r="E135" s="3"/>
      <c r="F135" s="12"/>
      <c r="G135" s="12"/>
      <c r="H135" s="12"/>
      <c r="I135" s="12"/>
      <c r="J135" s="12"/>
      <c r="K135" s="12"/>
      <c r="L135" s="12"/>
      <c r="M135" s="12"/>
      <c r="U135" s="67" t="s">
        <v>93</v>
      </c>
      <c r="V135" s="41" t="str">
        <f>""</f>
        <v/>
      </c>
      <c r="W135" s="37" t="str">
        <f>""</f>
        <v/>
      </c>
      <c r="X135" s="37" t="str">
        <f>""</f>
        <v/>
      </c>
      <c r="Y135" s="38" t="str">
        <f>""</f>
        <v/>
      </c>
      <c r="Z135" s="34" t="str">
        <f>""</f>
        <v/>
      </c>
      <c r="AA135" s="37">
        <v>0</v>
      </c>
      <c r="AB135" s="144" t="str">
        <f>""</f>
        <v/>
      </c>
      <c r="AC135" s="146"/>
      <c r="AD135" s="145"/>
      <c r="AE135" s="149"/>
      <c r="AF135" s="145"/>
      <c r="AG135" s="719"/>
      <c r="AH135" s="146"/>
      <c r="AI135" s="720"/>
    </row>
    <row r="136" spans="2:35" s="2" customFormat="1" ht="12.75" thickTop="1" x14ac:dyDescent="0.2">
      <c r="B136" s="3"/>
      <c r="C136" s="3"/>
      <c r="D136" s="3"/>
      <c r="E136" s="3"/>
      <c r="F136" s="12"/>
      <c r="G136" s="12"/>
      <c r="H136" s="12"/>
      <c r="I136" s="12"/>
      <c r="J136" s="12"/>
      <c r="K136" s="12"/>
      <c r="L136" s="12"/>
      <c r="M136" s="12"/>
      <c r="Y136" s="65" t="s">
        <v>6</v>
      </c>
      <c r="Z136" s="31" t="str">
        <f ca="1">W64&amp;V64</f>
        <v/>
      </c>
      <c r="AA136" s="32">
        <f ca="1">AA64</f>
        <v>0</v>
      </c>
      <c r="AB136" s="12" t="str">
        <f ca="1">IF(AA136&gt;0,Y64&amp;Language!$E$96&amp;X64,"")</f>
        <v/>
      </c>
      <c r="AD136" s="143"/>
      <c r="AE136" s="707"/>
      <c r="AF136" s="708"/>
      <c r="AG136" s="708"/>
      <c r="AH136" s="708"/>
      <c r="AI136" s="142" t="str">
        <f ca="1">IF(AA64&gt;0,AF64&amp;Language!$E$96&amp;AE64,"")</f>
        <v/>
      </c>
    </row>
    <row r="137" spans="2:35" x14ac:dyDescent="0.2">
      <c r="Y137" s="66" t="s">
        <v>7</v>
      </c>
      <c r="Z137" s="34" t="str">
        <f ca="1">W65&amp;V65</f>
        <v>FSV Rauen</v>
      </c>
      <c r="AA137" s="12">
        <f t="shared" ref="AA137:AA160" ca="1" si="47">AA65</f>
        <v>0</v>
      </c>
      <c r="AB137" s="12" t="str">
        <f ca="1">IF(AA137&gt;0,Y65&amp;Language!$E$96&amp;X65,"")</f>
        <v/>
      </c>
      <c r="AC137" s="2"/>
      <c r="AD137" s="143"/>
      <c r="AE137" s="709"/>
      <c r="AF137" s="710"/>
      <c r="AG137" s="710"/>
      <c r="AH137" s="710"/>
      <c r="AI137" s="711" t="str">
        <f ca="1">IF(AA65&gt;0,AF65&amp;Language!$E$96&amp;AE65,"")</f>
        <v/>
      </c>
    </row>
    <row r="138" spans="2:35" x14ac:dyDescent="0.2">
      <c r="Y138" s="66" t="s">
        <v>8</v>
      </c>
      <c r="Z138" s="34" t="str">
        <f t="shared" ref="Z138:Z160" ca="1" si="48">W66&amp;V66</f>
        <v>Mainz 05FC Grönlingen</v>
      </c>
      <c r="AA138" s="12">
        <f t="shared" ca="1" si="47"/>
        <v>1</v>
      </c>
      <c r="AB138" s="12" t="str">
        <f ca="1">IF(AA138&gt;0,Y66&amp;Language!$E$96&amp;X66,"")</f>
        <v>25-19</v>
      </c>
      <c r="AC138" s="2"/>
      <c r="AD138" s="143"/>
      <c r="AE138" s="709"/>
      <c r="AF138" s="710"/>
      <c r="AG138" s="710"/>
      <c r="AH138" s="710"/>
      <c r="AI138" s="711" t="str">
        <f ca="1">IF(AA66&gt;0,AF66&amp;Language!$E$96&amp;AE66,"")</f>
        <v>2-0</v>
      </c>
    </row>
    <row r="139" spans="2:35" x14ac:dyDescent="0.2">
      <c r="Y139" s="66" t="s">
        <v>9</v>
      </c>
      <c r="Z139" s="34" t="str">
        <f t="shared" ca="1" si="48"/>
        <v>Real MadridEintracht Frankfurt</v>
      </c>
      <c r="AA139" s="12">
        <f t="shared" ca="1" si="47"/>
        <v>1</v>
      </c>
      <c r="AB139" s="12" t="str">
        <f ca="1">IF(AA139&gt;0,Y67&amp;Language!$E$96&amp;X67,"")</f>
        <v>20-25</v>
      </c>
      <c r="AC139" s="2"/>
      <c r="AD139" s="143"/>
      <c r="AE139" s="709"/>
      <c r="AF139" s="710"/>
      <c r="AG139" s="710"/>
      <c r="AH139" s="710"/>
      <c r="AI139" s="711" t="str">
        <f ca="1">IF(AA67&gt;0,AF67&amp;Language!$E$96&amp;AE67,"")</f>
        <v>1-1</v>
      </c>
    </row>
    <row r="140" spans="2:35" x14ac:dyDescent="0.2">
      <c r="Y140" s="66" t="s">
        <v>10</v>
      </c>
      <c r="Z140" s="34" t="str">
        <f t="shared" ca="1" si="48"/>
        <v>SSV WildbachBorussia Dortmund</v>
      </c>
      <c r="AA140" s="12">
        <f t="shared" ca="1" si="47"/>
        <v>1</v>
      </c>
      <c r="AB140" s="12" t="str">
        <f ca="1">IF(AA140&gt;0,Y68&amp;Language!$E$96&amp;X68,"")</f>
        <v>21-25</v>
      </c>
      <c r="AC140" s="2"/>
      <c r="AD140" s="143"/>
      <c r="AE140" s="709"/>
      <c r="AF140" s="710"/>
      <c r="AG140" s="710"/>
      <c r="AH140" s="710"/>
      <c r="AI140" s="711" t="str">
        <f ca="1">IF(AA68&gt;0,AF68&amp;Language!$E$96&amp;AE68,"")</f>
        <v>0-2</v>
      </c>
    </row>
    <row r="141" spans="2:35" x14ac:dyDescent="0.2">
      <c r="Y141" s="66" t="s">
        <v>11</v>
      </c>
      <c r="Z141" s="34" t="str">
        <f t="shared" ca="1" si="48"/>
        <v>Manchester City1. FC Riedwald</v>
      </c>
      <c r="AA141" s="12">
        <f t="shared" ca="1" si="47"/>
        <v>1</v>
      </c>
      <c r="AB141" s="12" t="str">
        <f ca="1">IF(AA141&gt;0,Y69&amp;Language!$E$96&amp;X69,"")</f>
        <v>22-25</v>
      </c>
      <c r="AC141" s="2"/>
      <c r="AD141" s="143"/>
      <c r="AE141" s="709"/>
      <c r="AF141" s="710"/>
      <c r="AG141" s="710"/>
      <c r="AH141" s="710"/>
      <c r="AI141" s="711" t="str">
        <f ca="1">IF(AA69&gt;0,AF69&amp;Language!$E$96&amp;AE69,"")</f>
        <v>0-2</v>
      </c>
    </row>
    <row r="142" spans="2:35" x14ac:dyDescent="0.2">
      <c r="Y142" s="66" t="s">
        <v>16</v>
      </c>
      <c r="Z142" s="34" t="str">
        <f t="shared" ca="1" si="48"/>
        <v>Kickers RodendorfMaibach 1822 eV</v>
      </c>
      <c r="AA142" s="12">
        <f t="shared" ca="1" si="47"/>
        <v>1</v>
      </c>
      <c r="AB142" s="12" t="str">
        <f ca="1">IF(AA142&gt;0,Y70&amp;Language!$E$96&amp;X70,"")</f>
        <v>23-25</v>
      </c>
      <c r="AC142" s="2"/>
      <c r="AD142" s="143"/>
      <c r="AE142" s="709"/>
      <c r="AF142" s="710"/>
      <c r="AG142" s="710"/>
      <c r="AH142" s="710"/>
      <c r="AI142" s="711" t="str">
        <f ca="1">IF(AA70&gt;0,AF70&amp;Language!$E$96&amp;AE70,"")</f>
        <v>0-2</v>
      </c>
    </row>
    <row r="143" spans="2:35" x14ac:dyDescent="0.2">
      <c r="Y143" s="66" t="s">
        <v>17</v>
      </c>
      <c r="Z143" s="34" t="str">
        <f t="shared" ca="1" si="48"/>
        <v>VFB Essenheim1. FC Nürnberg</v>
      </c>
      <c r="AA143" s="12">
        <f t="shared" ca="1" si="47"/>
        <v>1</v>
      </c>
      <c r="AB143" s="12" t="str">
        <f ca="1">IF(AA143&gt;0,Y71&amp;Language!$E$96&amp;X71,"")</f>
        <v>17-25</v>
      </c>
      <c r="AC143" s="2"/>
      <c r="AD143" s="143"/>
      <c r="AE143" s="709"/>
      <c r="AF143" s="710"/>
      <c r="AG143" s="710"/>
      <c r="AH143" s="710"/>
      <c r="AI143" s="711" t="str">
        <f ca="1">IF(AA71&gt;0,AF71&amp;Language!$E$96&amp;AE71,"")</f>
        <v>0-2</v>
      </c>
    </row>
    <row r="144" spans="2:35" x14ac:dyDescent="0.2">
      <c r="Y144" s="66" t="s">
        <v>18</v>
      </c>
      <c r="Z144" s="34" t="str">
        <f t="shared" ca="1" si="48"/>
        <v>FC BarcelonaInter Mailand</v>
      </c>
      <c r="AA144" s="12">
        <f t="shared" ca="1" si="47"/>
        <v>1</v>
      </c>
      <c r="AB144" s="12" t="str">
        <f ca="1">IF(AA144&gt;0,Y72&amp;Language!$E$96&amp;X72,"")</f>
        <v>25-23</v>
      </c>
      <c r="AC144" s="2"/>
      <c r="AD144" s="143"/>
      <c r="AE144" s="709"/>
      <c r="AF144" s="710"/>
      <c r="AG144" s="710"/>
      <c r="AH144" s="710"/>
      <c r="AI144" s="711" t="str">
        <f ca="1">IF(AA72&gt;0,AF72&amp;Language!$E$96&amp;AE72,"")</f>
        <v>2-0</v>
      </c>
    </row>
    <row r="145" spans="25:35" x14ac:dyDescent="0.2">
      <c r="Y145" s="66" t="s">
        <v>24</v>
      </c>
      <c r="Z145" s="34" t="str">
        <f t="shared" ca="1" si="48"/>
        <v>1. FC Riedwald</v>
      </c>
      <c r="AA145" s="12">
        <f t="shared" ca="1" si="47"/>
        <v>0</v>
      </c>
      <c r="AB145" s="12" t="str">
        <f ca="1">IF(AA145&gt;0,Y73&amp;Language!$E$96&amp;X73,"")</f>
        <v/>
      </c>
      <c r="AC145" s="2"/>
      <c r="AD145" s="143"/>
      <c r="AE145" s="709"/>
      <c r="AF145" s="710"/>
      <c r="AG145" s="710"/>
      <c r="AH145" s="710"/>
      <c r="AI145" s="711" t="str">
        <f ca="1">IF(AA73&gt;0,AF73&amp;Language!$E$96&amp;AE73,"")</f>
        <v/>
      </c>
    </row>
    <row r="146" spans="25:35" x14ac:dyDescent="0.2">
      <c r="Y146" s="66" t="s">
        <v>25</v>
      </c>
      <c r="Z146" s="34" t="str">
        <f t="shared" ca="1" si="48"/>
        <v>Maibach 1822 eVMainz 05</v>
      </c>
      <c r="AA146" s="12">
        <f t="shared" ca="1" si="47"/>
        <v>1</v>
      </c>
      <c r="AB146" s="12" t="str">
        <f ca="1">IF(AA146&gt;0,Y74&amp;Language!$E$96&amp;X74,"")</f>
        <v>25-16</v>
      </c>
      <c r="AC146" s="2"/>
      <c r="AD146" s="143"/>
      <c r="AE146" s="709"/>
      <c r="AF146" s="710"/>
      <c r="AG146" s="710"/>
      <c r="AH146" s="710"/>
      <c r="AI146" s="711" t="str">
        <f ca="1">IF(AA74&gt;0,AF74&amp;Language!$E$96&amp;AE74,"")</f>
        <v>1-1</v>
      </c>
    </row>
    <row r="147" spans="25:35" x14ac:dyDescent="0.2">
      <c r="Y147" s="66" t="s">
        <v>26</v>
      </c>
      <c r="Z147" s="34" t="str">
        <f t="shared" ca="1" si="48"/>
        <v>1. FC NürnbergReal Madrid</v>
      </c>
      <c r="AA147" s="12">
        <f t="shared" ca="1" si="47"/>
        <v>1</v>
      </c>
      <c r="AB147" s="12" t="str">
        <f ca="1">IF(AA147&gt;0,Y75&amp;Language!$E$96&amp;X75,"")</f>
        <v>25-14</v>
      </c>
      <c r="AC147" s="2"/>
      <c r="AD147" s="143"/>
      <c r="AE147" s="709"/>
      <c r="AF147" s="710"/>
      <c r="AG147" s="710"/>
      <c r="AH147" s="710"/>
      <c r="AI147" s="711" t="str">
        <f ca="1">IF(AA75&gt;0,AF75&amp;Language!$E$96&amp;AE75,"")</f>
        <v>1-1</v>
      </c>
    </row>
    <row r="148" spans="25:35" x14ac:dyDescent="0.2">
      <c r="Y148" s="66" t="s">
        <v>27</v>
      </c>
      <c r="Z148" s="34" t="str">
        <f t="shared" ca="1" si="48"/>
        <v>Inter MailandSSV Wildbach</v>
      </c>
      <c r="AA148" s="12">
        <f t="shared" ca="1" si="47"/>
        <v>1</v>
      </c>
      <c r="AB148" s="12" t="str">
        <f ca="1">IF(AA148&gt;0,Y76&amp;Language!$E$96&amp;X76,"")</f>
        <v>25-22</v>
      </c>
      <c r="AC148" s="2"/>
      <c r="AD148" s="143"/>
      <c r="AE148" s="709"/>
      <c r="AF148" s="710"/>
      <c r="AG148" s="710"/>
      <c r="AH148" s="710"/>
      <c r="AI148" s="711" t="str">
        <f ca="1">IF(AA76&gt;0,AF76&amp;Language!$E$96&amp;AE76,"")</f>
        <v>1-1</v>
      </c>
    </row>
    <row r="149" spans="25:35" x14ac:dyDescent="0.2">
      <c r="Y149" s="66" t="s">
        <v>28</v>
      </c>
      <c r="Z149" s="34" t="str">
        <f t="shared" ca="1" si="48"/>
        <v>FSV RauenManchester City</v>
      </c>
      <c r="AA149" s="12">
        <f t="shared" ca="1" si="47"/>
        <v>1</v>
      </c>
      <c r="AB149" s="12" t="str">
        <f ca="1">IF(AA149&gt;0,Y77&amp;Language!$E$96&amp;X77,"")</f>
        <v>25-19</v>
      </c>
      <c r="AC149" s="2"/>
      <c r="AD149" s="143"/>
      <c r="AE149" s="709"/>
      <c r="AF149" s="710"/>
      <c r="AG149" s="710"/>
      <c r="AH149" s="710"/>
      <c r="AI149" s="711" t="str">
        <f ca="1">IF(AA77&gt;0,AF77&amp;Language!$E$96&amp;AE77,"")</f>
        <v>1-1</v>
      </c>
    </row>
    <row r="150" spans="25:35" x14ac:dyDescent="0.2">
      <c r="Y150" s="66" t="s">
        <v>29</v>
      </c>
      <c r="Z150" s="34" t="str">
        <f t="shared" ca="1" si="48"/>
        <v>FC GrönlingenKickers Rodendorf</v>
      </c>
      <c r="AA150" s="12">
        <f t="shared" ca="1" si="47"/>
        <v>1</v>
      </c>
      <c r="AB150" s="12" t="str">
        <f ca="1">IF(AA150&gt;0,Y78&amp;Language!$E$96&amp;X78,"")</f>
        <v>25-17</v>
      </c>
      <c r="AC150" s="2"/>
      <c r="AD150" s="143"/>
      <c r="AE150" s="709"/>
      <c r="AF150" s="710"/>
      <c r="AG150" s="710"/>
      <c r="AH150" s="710"/>
      <c r="AI150" s="711" t="str">
        <f ca="1">IF(AA78&gt;0,AF78&amp;Language!$E$96&amp;AE78,"")</f>
        <v>2-0</v>
      </c>
    </row>
    <row r="151" spans="25:35" x14ac:dyDescent="0.2">
      <c r="Y151" s="66" t="s">
        <v>30</v>
      </c>
      <c r="Z151" s="34" t="str">
        <f t="shared" ca="1" si="48"/>
        <v>Eintracht FrankfurtVFB Essenheim</v>
      </c>
      <c r="AA151" s="12">
        <f t="shared" ca="1" si="47"/>
        <v>1</v>
      </c>
      <c r="AB151" s="12" t="str">
        <f ca="1">IF(AA151&gt;0,Y79&amp;Language!$E$96&amp;X79,"")</f>
        <v>25-14</v>
      </c>
      <c r="AC151" s="2"/>
      <c r="AD151" s="143"/>
      <c r="AE151" s="709"/>
      <c r="AF151" s="710"/>
      <c r="AG151" s="710"/>
      <c r="AH151" s="710"/>
      <c r="AI151" s="711" t="str">
        <f ca="1">IF(AA79&gt;0,AF79&amp;Language!$E$96&amp;AE79,"")</f>
        <v>1-1</v>
      </c>
    </row>
    <row r="152" spans="25:35" x14ac:dyDescent="0.2">
      <c r="Y152" s="66" t="s">
        <v>31</v>
      </c>
      <c r="Z152" s="34" t="str">
        <f t="shared" ca="1" si="48"/>
        <v>Borussia DortmundFC Barcelona</v>
      </c>
      <c r="AA152" s="12">
        <f t="shared" ca="1" si="47"/>
        <v>1</v>
      </c>
      <c r="AB152" s="12" t="str">
        <f ca="1">IF(AA152&gt;0,Y80&amp;Language!$E$96&amp;X80,"")</f>
        <v>25-21</v>
      </c>
      <c r="AC152" s="2"/>
      <c r="AD152" s="143"/>
      <c r="AE152" s="709"/>
      <c r="AF152" s="710"/>
      <c r="AG152" s="710"/>
      <c r="AH152" s="710"/>
      <c r="AI152" s="711" t="str">
        <f ca="1">IF(AA80&gt;0,AF80&amp;Language!$E$96&amp;AE80,"")</f>
        <v>1-1</v>
      </c>
    </row>
    <row r="153" spans="25:35" x14ac:dyDescent="0.2">
      <c r="Y153" s="66" t="s">
        <v>32</v>
      </c>
      <c r="Z153" s="34" t="str">
        <f t="shared" ca="1" si="48"/>
        <v>Manchester City</v>
      </c>
      <c r="AA153" s="12">
        <f t="shared" ca="1" si="47"/>
        <v>0</v>
      </c>
      <c r="AB153" s="12" t="str">
        <f ca="1">IF(AA153&gt;0,Y81&amp;Language!$E$96&amp;X81,"")</f>
        <v/>
      </c>
      <c r="AC153" s="2"/>
      <c r="AD153" s="143"/>
      <c r="AE153" s="709"/>
      <c r="AF153" s="710"/>
      <c r="AG153" s="710"/>
      <c r="AH153" s="710"/>
      <c r="AI153" s="711" t="str">
        <f ca="1">IF(AA81&gt;0,AF81&amp;Language!$E$96&amp;AE81,"")</f>
        <v/>
      </c>
    </row>
    <row r="154" spans="25:35" x14ac:dyDescent="0.2">
      <c r="Y154" s="66" t="s">
        <v>33</v>
      </c>
      <c r="Z154" s="34" t="str">
        <f t="shared" ca="1" si="48"/>
        <v>Kickers RodendorfMainz 05</v>
      </c>
      <c r="AA154" s="12">
        <f t="shared" ca="1" si="47"/>
        <v>1</v>
      </c>
      <c r="AB154" s="12" t="str">
        <f ca="1">IF(AA154&gt;0,Y82&amp;Language!$E$96&amp;X82,"")</f>
        <v>20-25</v>
      </c>
      <c r="AC154" s="2"/>
      <c r="AD154" s="143"/>
      <c r="AE154" s="709"/>
      <c r="AF154" s="710"/>
      <c r="AG154" s="710"/>
      <c r="AH154" s="710"/>
      <c r="AI154" s="711" t="str">
        <f ca="1">IF(AA82&gt;0,AF82&amp;Language!$E$96&amp;AE82,"")</f>
        <v>0-2</v>
      </c>
    </row>
    <row r="155" spans="25:35" x14ac:dyDescent="0.2">
      <c r="Y155" s="66" t="s">
        <v>34</v>
      </c>
      <c r="Z155" s="34" t="str">
        <f t="shared" ca="1" si="48"/>
        <v>VFB EssenheimReal Madrid</v>
      </c>
      <c r="AA155" s="12">
        <f t="shared" ca="1" si="47"/>
        <v>1</v>
      </c>
      <c r="AB155" s="12" t="str">
        <f ca="1">IF(AA155&gt;0,Y83&amp;Language!$E$96&amp;X83,"")</f>
        <v>2-25</v>
      </c>
      <c r="AC155" s="2"/>
      <c r="AD155" s="143"/>
      <c r="AE155" s="709"/>
      <c r="AF155" s="710"/>
      <c r="AG155" s="710"/>
      <c r="AH155" s="710"/>
      <c r="AI155" s="711" t="str">
        <f ca="1">IF(AA83&gt;0,AF83&amp;Language!$E$96&amp;AE83,"")</f>
        <v>0-2</v>
      </c>
    </row>
    <row r="156" spans="25:35" x14ac:dyDescent="0.2">
      <c r="Y156" s="66" t="s">
        <v>35</v>
      </c>
      <c r="Z156" s="34" t="str">
        <f t="shared" ca="1" si="48"/>
        <v>FC BarcelonaSSV Wildbach</v>
      </c>
      <c r="AA156" s="12">
        <f t="shared" ca="1" si="47"/>
        <v>1</v>
      </c>
      <c r="AB156" s="12" t="str">
        <f ca="1">IF(AA156&gt;0,Y84&amp;Language!$E$96&amp;X84,"")</f>
        <v>16-25</v>
      </c>
      <c r="AC156" s="2"/>
      <c r="AD156" s="143"/>
      <c r="AE156" s="709"/>
      <c r="AF156" s="710"/>
      <c r="AG156" s="710"/>
      <c r="AH156" s="710"/>
      <c r="AI156" s="711" t="str">
        <f ca="1">IF(AA84&gt;0,AF84&amp;Language!$E$96&amp;AE84,"")</f>
        <v>0-2</v>
      </c>
    </row>
    <row r="157" spans="25:35" x14ac:dyDescent="0.2">
      <c r="Y157" s="66" t="s">
        <v>36</v>
      </c>
      <c r="Z157" s="34" t="str">
        <f t="shared" ca="1" si="48"/>
        <v>1. FC RiedwaldFSV Rauen</v>
      </c>
      <c r="AA157" s="12">
        <f t="shared" ca="1" si="47"/>
        <v>1</v>
      </c>
      <c r="AB157" s="12" t="str">
        <f ca="1">IF(AA157&gt;0,Y85&amp;Language!$E$96&amp;X85,"")</f>
        <v>2-25</v>
      </c>
      <c r="AC157" s="2"/>
      <c r="AD157" s="143"/>
      <c r="AE157" s="709"/>
      <c r="AF157" s="710"/>
      <c r="AG157" s="710"/>
      <c r="AH157" s="710"/>
      <c r="AI157" s="711" t="str">
        <f ca="1">IF(AA85&gt;0,AF85&amp;Language!$E$96&amp;AE85,"")</f>
        <v>0-2</v>
      </c>
    </row>
    <row r="158" spans="25:35" x14ac:dyDescent="0.2">
      <c r="Y158" s="66" t="s">
        <v>37</v>
      </c>
      <c r="Z158" s="34" t="str">
        <f t="shared" ca="1" si="48"/>
        <v>Maibach 1822 eVFC Grönlingen</v>
      </c>
      <c r="AA158" s="12">
        <f t="shared" ca="1" si="47"/>
        <v>1</v>
      </c>
      <c r="AB158" s="12" t="str">
        <f ca="1">IF(AA158&gt;0,Y86&amp;Language!$E$96&amp;X86,"")</f>
        <v>25-13</v>
      </c>
      <c r="AC158" s="2"/>
      <c r="AD158" s="143"/>
      <c r="AE158" s="709"/>
      <c r="AF158" s="710"/>
      <c r="AG158" s="710"/>
      <c r="AH158" s="710"/>
      <c r="AI158" s="711" t="str">
        <f ca="1">IF(AA86&gt;0,AF86&amp;Language!$E$96&amp;AE86,"")</f>
        <v>1-1</v>
      </c>
    </row>
    <row r="159" spans="25:35" x14ac:dyDescent="0.2">
      <c r="Y159" s="66" t="s">
        <v>38</v>
      </c>
      <c r="Z159" s="34" t="str">
        <f t="shared" ca="1" si="48"/>
        <v>1. FC NürnbergEintracht Frankfurt</v>
      </c>
      <c r="AA159" s="12">
        <f t="shared" ca="1" si="47"/>
        <v>1</v>
      </c>
      <c r="AB159" s="12" t="str">
        <f ca="1">IF(AA159&gt;0,Y87&amp;Language!$E$96&amp;X87,"")</f>
        <v>25-19</v>
      </c>
      <c r="AC159" s="2"/>
      <c r="AD159" s="143"/>
      <c r="AE159" s="709"/>
      <c r="AF159" s="710"/>
      <c r="AG159" s="710"/>
      <c r="AH159" s="710"/>
      <c r="AI159" s="711" t="str">
        <f ca="1">IF(AA87&gt;0,AF87&amp;Language!$E$96&amp;AE87,"")</f>
        <v>1-1</v>
      </c>
    </row>
    <row r="160" spans="25:35" ht="12.75" thickBot="1" x14ac:dyDescent="0.25">
      <c r="Y160" s="684" t="s">
        <v>39</v>
      </c>
      <c r="Z160" s="685" t="str">
        <f t="shared" ca="1" si="48"/>
        <v>Inter MailandBorussia Dortmund</v>
      </c>
      <c r="AA160" s="686">
        <f t="shared" ca="1" si="47"/>
        <v>1</v>
      </c>
      <c r="AB160" s="686" t="str">
        <f ca="1">IF(AA160&gt;0,Y88&amp;Language!$E$96&amp;X88,"")</f>
        <v>25-17</v>
      </c>
      <c r="AC160" s="687"/>
      <c r="AD160" s="688"/>
      <c r="AE160" s="705"/>
      <c r="AF160" s="706"/>
      <c r="AG160" s="706"/>
      <c r="AH160" s="706"/>
      <c r="AI160" s="712" t="str">
        <f ca="1">IF(AA88&gt;0,AF88&amp;Language!$E$96&amp;AE88,"")</f>
        <v>1-1</v>
      </c>
    </row>
    <row r="161" spans="25:35" ht="12.75" thickTop="1" x14ac:dyDescent="0.2">
      <c r="Y161" s="66" t="s">
        <v>40</v>
      </c>
      <c r="Z161" s="34" t="str">
        <f>""</f>
        <v/>
      </c>
      <c r="AA161" s="12">
        <v>0</v>
      </c>
      <c r="AB161" s="12" t="str">
        <f>""</f>
        <v/>
      </c>
      <c r="AC161" s="2"/>
      <c r="AD161" s="143"/>
      <c r="AE161" s="709"/>
      <c r="AF161" s="710"/>
      <c r="AG161" s="710"/>
      <c r="AH161" s="710"/>
      <c r="AI161" s="713"/>
    </row>
    <row r="162" spans="25:35" x14ac:dyDescent="0.2">
      <c r="Y162" s="66" t="s">
        <v>41</v>
      </c>
      <c r="Z162" s="34" t="str">
        <f>""</f>
        <v/>
      </c>
      <c r="AA162" s="12">
        <v>0</v>
      </c>
      <c r="AB162" s="12" t="str">
        <f>""</f>
        <v/>
      </c>
      <c r="AC162" s="2"/>
      <c r="AD162" s="143"/>
      <c r="AE162" s="709"/>
      <c r="AF162" s="710"/>
      <c r="AG162" s="710"/>
      <c r="AH162" s="710"/>
      <c r="AI162" s="713"/>
    </row>
    <row r="163" spans="25:35" x14ac:dyDescent="0.2">
      <c r="Y163" s="66" t="s">
        <v>42</v>
      </c>
      <c r="Z163" s="34" t="str">
        <f>""</f>
        <v/>
      </c>
      <c r="AA163" s="12">
        <v>0</v>
      </c>
      <c r="AB163" s="12" t="str">
        <f>""</f>
        <v/>
      </c>
      <c r="AC163" s="2"/>
      <c r="AD163" s="143"/>
      <c r="AE163" s="709"/>
      <c r="AF163" s="710"/>
      <c r="AG163" s="710"/>
      <c r="AH163" s="710"/>
      <c r="AI163" s="713"/>
    </row>
    <row r="164" spans="25:35" x14ac:dyDescent="0.2">
      <c r="Y164" s="66" t="s">
        <v>43</v>
      </c>
      <c r="Z164" s="34" t="str">
        <f>""</f>
        <v/>
      </c>
      <c r="AA164" s="12">
        <v>0</v>
      </c>
      <c r="AB164" s="12" t="str">
        <f>""</f>
        <v/>
      </c>
      <c r="AC164" s="2"/>
      <c r="AD164" s="143"/>
      <c r="AE164" s="709"/>
      <c r="AF164" s="710"/>
      <c r="AG164" s="710"/>
      <c r="AH164" s="710"/>
      <c r="AI164" s="713"/>
    </row>
    <row r="165" spans="25:35" x14ac:dyDescent="0.2">
      <c r="Y165" s="66" t="s">
        <v>44</v>
      </c>
      <c r="Z165" s="34" t="str">
        <f>""</f>
        <v/>
      </c>
      <c r="AA165" s="12">
        <v>0</v>
      </c>
      <c r="AB165" s="12" t="str">
        <f>""</f>
        <v/>
      </c>
      <c r="AC165" s="2"/>
      <c r="AD165" s="143"/>
      <c r="AE165" s="709"/>
      <c r="AF165" s="710"/>
      <c r="AG165" s="710"/>
      <c r="AH165" s="710"/>
      <c r="AI165" s="713"/>
    </row>
    <row r="166" spans="25:35" x14ac:dyDescent="0.2">
      <c r="Y166" s="66" t="s">
        <v>45</v>
      </c>
      <c r="Z166" s="34" t="str">
        <f>""</f>
        <v/>
      </c>
      <c r="AA166" s="12">
        <v>0</v>
      </c>
      <c r="AB166" s="12" t="str">
        <f>""</f>
        <v/>
      </c>
      <c r="AC166" s="2"/>
      <c r="AD166" s="143"/>
      <c r="AE166" s="709"/>
      <c r="AF166" s="710"/>
      <c r="AG166" s="710"/>
      <c r="AH166" s="710"/>
      <c r="AI166" s="713"/>
    </row>
    <row r="167" spans="25:35" x14ac:dyDescent="0.2">
      <c r="Y167" s="66" t="s">
        <v>46</v>
      </c>
      <c r="Z167" s="34" t="str">
        <f>""</f>
        <v/>
      </c>
      <c r="AA167" s="12">
        <v>0</v>
      </c>
      <c r="AB167" s="12" t="str">
        <f>""</f>
        <v/>
      </c>
      <c r="AC167" s="2"/>
      <c r="AD167" s="143"/>
      <c r="AE167" s="709"/>
      <c r="AF167" s="710"/>
      <c r="AG167" s="710"/>
      <c r="AH167" s="710"/>
      <c r="AI167" s="713"/>
    </row>
    <row r="168" spans="25:35" x14ac:dyDescent="0.2">
      <c r="Y168" s="66" t="s">
        <v>47</v>
      </c>
      <c r="Z168" s="34" t="str">
        <f>""</f>
        <v/>
      </c>
      <c r="AA168" s="12">
        <v>0</v>
      </c>
      <c r="AB168" s="12" t="str">
        <f>""</f>
        <v/>
      </c>
      <c r="AC168" s="2"/>
      <c r="AD168" s="143"/>
      <c r="AE168" s="709"/>
      <c r="AF168" s="710"/>
      <c r="AG168" s="710"/>
      <c r="AH168" s="710"/>
      <c r="AI168" s="713"/>
    </row>
    <row r="169" spans="25:35" x14ac:dyDescent="0.2">
      <c r="Y169" s="66" t="s">
        <v>48</v>
      </c>
      <c r="Z169" s="34" t="str">
        <f>""</f>
        <v/>
      </c>
      <c r="AA169" s="12">
        <v>0</v>
      </c>
      <c r="AB169" s="12" t="str">
        <f>""</f>
        <v/>
      </c>
      <c r="AC169" s="2"/>
      <c r="AD169" s="143"/>
      <c r="AE169" s="709"/>
      <c r="AF169" s="710"/>
      <c r="AG169" s="710"/>
      <c r="AH169" s="710"/>
      <c r="AI169" s="713"/>
    </row>
    <row r="170" spans="25:35" x14ac:dyDescent="0.2">
      <c r="Y170" s="66" t="s">
        <v>49</v>
      </c>
      <c r="Z170" s="34" t="str">
        <f>""</f>
        <v/>
      </c>
      <c r="AA170" s="12">
        <v>0</v>
      </c>
      <c r="AB170" s="12" t="str">
        <f>""</f>
        <v/>
      </c>
      <c r="AC170" s="2"/>
      <c r="AD170" s="143"/>
      <c r="AE170" s="709"/>
      <c r="AF170" s="710"/>
      <c r="AG170" s="710"/>
      <c r="AH170" s="710"/>
      <c r="AI170" s="713"/>
    </row>
    <row r="171" spans="25:35" x14ac:dyDescent="0.2">
      <c r="Y171" s="66" t="s">
        <v>50</v>
      </c>
      <c r="Z171" s="34" t="str">
        <f>""</f>
        <v/>
      </c>
      <c r="AA171" s="12">
        <v>0</v>
      </c>
      <c r="AB171" s="12" t="str">
        <f>""</f>
        <v/>
      </c>
      <c r="AC171" s="2"/>
      <c r="AD171" s="143"/>
      <c r="AE171" s="709"/>
      <c r="AF171" s="710"/>
      <c r="AG171" s="710"/>
      <c r="AH171" s="710"/>
      <c r="AI171" s="713"/>
    </row>
    <row r="172" spans="25:35" x14ac:dyDescent="0.2">
      <c r="Y172" s="66" t="s">
        <v>58</v>
      </c>
      <c r="Z172" s="34" t="str">
        <f>""</f>
        <v/>
      </c>
      <c r="AA172" s="12">
        <v>0</v>
      </c>
      <c r="AB172" s="12" t="str">
        <f>""</f>
        <v/>
      </c>
      <c r="AC172" s="2"/>
      <c r="AD172" s="143"/>
      <c r="AE172" s="709"/>
      <c r="AF172" s="710"/>
      <c r="AG172" s="710"/>
      <c r="AH172" s="710"/>
      <c r="AI172" s="713"/>
    </row>
    <row r="173" spans="25:35" x14ac:dyDescent="0.2">
      <c r="Y173" s="66" t="s">
        <v>59</v>
      </c>
      <c r="Z173" s="34" t="str">
        <f>""</f>
        <v/>
      </c>
      <c r="AA173" s="12">
        <v>0</v>
      </c>
      <c r="AB173" s="12" t="str">
        <f>""</f>
        <v/>
      </c>
      <c r="AC173" s="2"/>
      <c r="AD173" s="143"/>
      <c r="AE173" s="709"/>
      <c r="AF173" s="710"/>
      <c r="AG173" s="710"/>
      <c r="AH173" s="710"/>
      <c r="AI173" s="713"/>
    </row>
    <row r="174" spans="25:35" x14ac:dyDescent="0.2">
      <c r="Y174" s="66" t="s">
        <v>60</v>
      </c>
      <c r="Z174" s="34" t="str">
        <f>""</f>
        <v/>
      </c>
      <c r="AA174" s="12">
        <v>0</v>
      </c>
      <c r="AB174" s="12" t="str">
        <f>""</f>
        <v/>
      </c>
      <c r="AC174" s="2"/>
      <c r="AD174" s="143"/>
      <c r="AE174" s="709"/>
      <c r="AF174" s="710"/>
      <c r="AG174" s="710"/>
      <c r="AH174" s="710"/>
      <c r="AI174" s="713"/>
    </row>
    <row r="175" spans="25:35" x14ac:dyDescent="0.2">
      <c r="Y175" s="66" t="s">
        <v>61</v>
      </c>
      <c r="Z175" s="34" t="str">
        <f>""</f>
        <v/>
      </c>
      <c r="AA175" s="12">
        <v>0</v>
      </c>
      <c r="AB175" s="12" t="str">
        <f>""</f>
        <v/>
      </c>
      <c r="AC175" s="2"/>
      <c r="AD175" s="143"/>
      <c r="AE175" s="709"/>
      <c r="AF175" s="710"/>
      <c r="AG175" s="710"/>
      <c r="AH175" s="710"/>
      <c r="AI175" s="713"/>
    </row>
    <row r="176" spans="25:35" x14ac:dyDescent="0.2">
      <c r="Y176" s="66" t="s">
        <v>62</v>
      </c>
      <c r="Z176" s="34" t="str">
        <f>""</f>
        <v/>
      </c>
      <c r="AA176" s="12">
        <v>0</v>
      </c>
      <c r="AB176" s="12" t="str">
        <f>""</f>
        <v/>
      </c>
      <c r="AC176" s="2"/>
      <c r="AD176" s="143"/>
      <c r="AE176" s="709"/>
      <c r="AF176" s="710"/>
      <c r="AG176" s="710"/>
      <c r="AH176" s="710"/>
      <c r="AI176" s="713"/>
    </row>
    <row r="177" spans="25:35" x14ac:dyDescent="0.2">
      <c r="Y177" s="66" t="s">
        <v>63</v>
      </c>
      <c r="Z177" s="34" t="str">
        <f>""</f>
        <v/>
      </c>
      <c r="AA177" s="12">
        <v>0</v>
      </c>
      <c r="AB177" s="12" t="str">
        <f>""</f>
        <v/>
      </c>
      <c r="AC177" s="2"/>
      <c r="AD177" s="143"/>
      <c r="AE177" s="709"/>
      <c r="AF177" s="710"/>
      <c r="AG177" s="710"/>
      <c r="AH177" s="710"/>
      <c r="AI177" s="713"/>
    </row>
    <row r="178" spans="25:35" x14ac:dyDescent="0.2">
      <c r="Y178" s="66" t="s">
        <v>64</v>
      </c>
      <c r="Z178" s="34" t="str">
        <f>""</f>
        <v/>
      </c>
      <c r="AA178" s="12">
        <v>0</v>
      </c>
      <c r="AB178" s="12" t="str">
        <f>""</f>
        <v/>
      </c>
      <c r="AC178" s="2"/>
      <c r="AD178" s="143"/>
      <c r="AE178" s="709"/>
      <c r="AF178" s="710"/>
      <c r="AG178" s="710"/>
      <c r="AH178" s="710"/>
      <c r="AI178" s="713"/>
    </row>
    <row r="179" spans="25:35" x14ac:dyDescent="0.2">
      <c r="Y179" s="66" t="s">
        <v>65</v>
      </c>
      <c r="Z179" s="34" t="str">
        <f>""</f>
        <v/>
      </c>
      <c r="AA179" s="12">
        <v>0</v>
      </c>
      <c r="AB179" s="12" t="str">
        <f>""</f>
        <v/>
      </c>
      <c r="AC179" s="2"/>
      <c r="AD179" s="143"/>
      <c r="AE179" s="709"/>
      <c r="AF179" s="710"/>
      <c r="AG179" s="710"/>
      <c r="AH179" s="710"/>
      <c r="AI179" s="713"/>
    </row>
    <row r="180" spans="25:35" x14ac:dyDescent="0.2">
      <c r="Y180" s="66" t="s">
        <v>66</v>
      </c>
      <c r="Z180" s="34" t="str">
        <f>""</f>
        <v/>
      </c>
      <c r="AA180" s="12">
        <v>0</v>
      </c>
      <c r="AB180" s="12" t="str">
        <f>""</f>
        <v/>
      </c>
      <c r="AC180" s="2"/>
      <c r="AD180" s="143"/>
      <c r="AE180" s="709"/>
      <c r="AF180" s="710"/>
      <c r="AG180" s="710"/>
      <c r="AH180" s="710"/>
      <c r="AI180" s="713"/>
    </row>
    <row r="181" spans="25:35" x14ac:dyDescent="0.2">
      <c r="Y181" s="66" t="s">
        <v>67</v>
      </c>
      <c r="Z181" s="34" t="str">
        <f>""</f>
        <v/>
      </c>
      <c r="AA181" s="12">
        <v>0</v>
      </c>
      <c r="AB181" s="12" t="str">
        <f>""</f>
        <v/>
      </c>
      <c r="AC181" s="2"/>
      <c r="AD181" s="143"/>
      <c r="AE181" s="709"/>
      <c r="AF181" s="710"/>
      <c r="AG181" s="710"/>
      <c r="AH181" s="710"/>
      <c r="AI181" s="713"/>
    </row>
    <row r="182" spans="25:35" x14ac:dyDescent="0.2">
      <c r="Y182" s="66" t="s">
        <v>68</v>
      </c>
      <c r="Z182" s="34" t="str">
        <f>""</f>
        <v/>
      </c>
      <c r="AA182" s="12">
        <v>0</v>
      </c>
      <c r="AB182" s="12" t="str">
        <f>""</f>
        <v/>
      </c>
      <c r="AC182" s="2"/>
      <c r="AD182" s="143"/>
      <c r="AE182" s="709"/>
      <c r="AF182" s="710"/>
      <c r="AG182" s="710"/>
      <c r="AH182" s="710"/>
      <c r="AI182" s="713"/>
    </row>
    <row r="183" spans="25:35" x14ac:dyDescent="0.2">
      <c r="Y183" s="66" t="s">
        <v>69</v>
      </c>
      <c r="Z183" s="34" t="str">
        <f>""</f>
        <v/>
      </c>
      <c r="AA183" s="12">
        <v>0</v>
      </c>
      <c r="AB183" s="12" t="str">
        <f>""</f>
        <v/>
      </c>
      <c r="AC183" s="2"/>
      <c r="AD183" s="143"/>
      <c r="AE183" s="709"/>
      <c r="AF183" s="710"/>
      <c r="AG183" s="710"/>
      <c r="AH183" s="710"/>
      <c r="AI183" s="713"/>
    </row>
    <row r="184" spans="25:35" x14ac:dyDescent="0.2">
      <c r="Y184" s="66" t="s">
        <v>70</v>
      </c>
      <c r="Z184" s="34" t="str">
        <f>""</f>
        <v/>
      </c>
      <c r="AA184" s="12">
        <v>0</v>
      </c>
      <c r="AB184" s="12" t="str">
        <f>""</f>
        <v/>
      </c>
      <c r="AC184" s="2"/>
      <c r="AD184" s="143"/>
      <c r="AE184" s="709"/>
      <c r="AF184" s="710"/>
      <c r="AG184" s="710"/>
      <c r="AH184" s="710"/>
      <c r="AI184" s="713"/>
    </row>
    <row r="185" spans="25:35" x14ac:dyDescent="0.2">
      <c r="Y185" s="66" t="s">
        <v>71</v>
      </c>
      <c r="Z185" s="34" t="str">
        <f>""</f>
        <v/>
      </c>
      <c r="AA185" s="12">
        <v>0</v>
      </c>
      <c r="AB185" s="12" t="str">
        <f>""</f>
        <v/>
      </c>
      <c r="AC185" s="2"/>
      <c r="AD185" s="143"/>
      <c r="AE185" s="709"/>
      <c r="AF185" s="710"/>
      <c r="AG185" s="710"/>
      <c r="AH185" s="710"/>
      <c r="AI185" s="713"/>
    </row>
    <row r="186" spans="25:35" x14ac:dyDescent="0.2">
      <c r="Y186" s="66" t="s">
        <v>72</v>
      </c>
      <c r="Z186" s="34" t="str">
        <f>""</f>
        <v/>
      </c>
      <c r="AA186" s="12">
        <v>0</v>
      </c>
      <c r="AB186" s="12" t="str">
        <f>""</f>
        <v/>
      </c>
      <c r="AC186" s="2"/>
      <c r="AD186" s="143"/>
      <c r="AE186" s="709"/>
      <c r="AF186" s="710"/>
      <c r="AG186" s="710"/>
      <c r="AH186" s="710"/>
      <c r="AI186" s="713"/>
    </row>
    <row r="187" spans="25:35" x14ac:dyDescent="0.2">
      <c r="Y187" s="66" t="s">
        <v>73</v>
      </c>
      <c r="Z187" s="34" t="str">
        <f>""</f>
        <v/>
      </c>
      <c r="AA187" s="12">
        <v>0</v>
      </c>
      <c r="AB187" s="12" t="str">
        <f>""</f>
        <v/>
      </c>
      <c r="AC187" s="2"/>
      <c r="AD187" s="143"/>
      <c r="AE187" s="709"/>
      <c r="AF187" s="710"/>
      <c r="AG187" s="710"/>
      <c r="AH187" s="710"/>
      <c r="AI187" s="713"/>
    </row>
    <row r="188" spans="25:35" x14ac:dyDescent="0.2">
      <c r="Y188" s="66" t="s">
        <v>74</v>
      </c>
      <c r="Z188" s="34" t="str">
        <f>""</f>
        <v/>
      </c>
      <c r="AA188" s="12">
        <v>0</v>
      </c>
      <c r="AB188" s="12" t="str">
        <f>""</f>
        <v/>
      </c>
      <c r="AC188" s="2"/>
      <c r="AD188" s="143"/>
      <c r="AE188" s="709"/>
      <c r="AF188" s="710"/>
      <c r="AG188" s="710"/>
      <c r="AH188" s="710"/>
      <c r="AI188" s="713"/>
    </row>
    <row r="189" spans="25:35" x14ac:dyDescent="0.2">
      <c r="Y189" s="66" t="s">
        <v>75</v>
      </c>
      <c r="Z189" s="34" t="str">
        <f>""</f>
        <v/>
      </c>
      <c r="AA189" s="12">
        <v>0</v>
      </c>
      <c r="AB189" s="12" t="str">
        <f>""</f>
        <v/>
      </c>
      <c r="AC189" s="2"/>
      <c r="AD189" s="143"/>
      <c r="AE189" s="709"/>
      <c r="AF189" s="710"/>
      <c r="AG189" s="710"/>
      <c r="AH189" s="710"/>
      <c r="AI189" s="713"/>
    </row>
    <row r="190" spans="25:35" x14ac:dyDescent="0.2">
      <c r="Y190" s="66" t="s">
        <v>76</v>
      </c>
      <c r="Z190" s="34" t="str">
        <f>""</f>
        <v/>
      </c>
      <c r="AA190" s="12">
        <v>0</v>
      </c>
      <c r="AB190" s="12" t="str">
        <f>""</f>
        <v/>
      </c>
      <c r="AC190" s="2"/>
      <c r="AD190" s="143"/>
      <c r="AE190" s="709"/>
      <c r="AF190" s="710"/>
      <c r="AG190" s="710"/>
      <c r="AH190" s="710"/>
      <c r="AI190" s="713"/>
    </row>
    <row r="191" spans="25:35" x14ac:dyDescent="0.2">
      <c r="Y191" s="66" t="s">
        <v>77</v>
      </c>
      <c r="Z191" s="34" t="str">
        <f>""</f>
        <v/>
      </c>
      <c r="AA191" s="12">
        <v>0</v>
      </c>
      <c r="AB191" s="12" t="str">
        <f>""</f>
        <v/>
      </c>
      <c r="AC191" s="2"/>
      <c r="AD191" s="143"/>
      <c r="AE191" s="709"/>
      <c r="AF191" s="710"/>
      <c r="AG191" s="710"/>
      <c r="AH191" s="710"/>
      <c r="AI191" s="713"/>
    </row>
    <row r="192" spans="25:35" x14ac:dyDescent="0.2">
      <c r="Y192" s="66" t="s">
        <v>78</v>
      </c>
      <c r="Z192" s="34" t="str">
        <f>""</f>
        <v/>
      </c>
      <c r="AA192" s="12">
        <v>0</v>
      </c>
      <c r="AB192" s="12" t="str">
        <f>""</f>
        <v/>
      </c>
      <c r="AC192" s="2"/>
      <c r="AD192" s="143"/>
      <c r="AE192" s="709"/>
      <c r="AF192" s="710"/>
      <c r="AG192" s="710"/>
      <c r="AH192" s="710"/>
      <c r="AI192" s="713"/>
    </row>
    <row r="193" spans="25:35" x14ac:dyDescent="0.2">
      <c r="Y193" s="66" t="s">
        <v>79</v>
      </c>
      <c r="Z193" s="34" t="str">
        <f>""</f>
        <v/>
      </c>
      <c r="AA193" s="12">
        <v>0</v>
      </c>
      <c r="AB193" s="12" t="str">
        <f>""</f>
        <v/>
      </c>
      <c r="AC193" s="2"/>
      <c r="AD193" s="143"/>
      <c r="AE193" s="709"/>
      <c r="AF193" s="710"/>
      <c r="AG193" s="710"/>
      <c r="AH193" s="710"/>
      <c r="AI193" s="713"/>
    </row>
    <row r="194" spans="25:35" x14ac:dyDescent="0.2">
      <c r="Y194" s="66" t="s">
        <v>80</v>
      </c>
      <c r="Z194" s="34" t="str">
        <f>""</f>
        <v/>
      </c>
      <c r="AA194" s="12">
        <v>0</v>
      </c>
      <c r="AB194" s="12" t="str">
        <f>""</f>
        <v/>
      </c>
      <c r="AC194" s="2"/>
      <c r="AD194" s="143"/>
      <c r="AE194" s="709"/>
      <c r="AF194" s="710"/>
      <c r="AG194" s="710"/>
      <c r="AH194" s="710"/>
      <c r="AI194" s="713"/>
    </row>
    <row r="195" spans="25:35" x14ac:dyDescent="0.2">
      <c r="Y195" s="66" t="s">
        <v>81</v>
      </c>
      <c r="Z195" s="34" t="str">
        <f>""</f>
        <v/>
      </c>
      <c r="AA195" s="12">
        <v>0</v>
      </c>
      <c r="AB195" s="12" t="str">
        <f>""</f>
        <v/>
      </c>
      <c r="AC195" s="2"/>
      <c r="AD195" s="143"/>
      <c r="AE195" s="709"/>
      <c r="AF195" s="710"/>
      <c r="AG195" s="710"/>
      <c r="AH195" s="710"/>
      <c r="AI195" s="713"/>
    </row>
    <row r="196" spans="25:35" x14ac:dyDescent="0.2">
      <c r="Y196" s="66" t="s">
        <v>82</v>
      </c>
      <c r="Z196" s="34" t="str">
        <f>""</f>
        <v/>
      </c>
      <c r="AA196" s="12">
        <v>0</v>
      </c>
      <c r="AB196" s="12" t="str">
        <f>""</f>
        <v/>
      </c>
      <c r="AC196" s="2"/>
      <c r="AD196" s="143"/>
      <c r="AE196" s="709"/>
      <c r="AF196" s="710"/>
      <c r="AG196" s="710"/>
      <c r="AH196" s="710"/>
      <c r="AI196" s="713"/>
    </row>
    <row r="197" spans="25:35" x14ac:dyDescent="0.2">
      <c r="Y197" s="66" t="s">
        <v>83</v>
      </c>
      <c r="Z197" s="34" t="str">
        <f>""</f>
        <v/>
      </c>
      <c r="AA197" s="12">
        <v>0</v>
      </c>
      <c r="AB197" s="12" t="str">
        <f>""</f>
        <v/>
      </c>
      <c r="AC197" s="2"/>
      <c r="AD197" s="143"/>
      <c r="AE197" s="709"/>
      <c r="AF197" s="710"/>
      <c r="AG197" s="710"/>
      <c r="AH197" s="710"/>
      <c r="AI197" s="713"/>
    </row>
    <row r="198" spans="25:35" x14ac:dyDescent="0.2">
      <c r="Y198" s="66" t="s">
        <v>84</v>
      </c>
      <c r="Z198" s="34" t="str">
        <f>""</f>
        <v/>
      </c>
      <c r="AA198" s="12">
        <v>0</v>
      </c>
      <c r="AB198" s="12" t="str">
        <f>""</f>
        <v/>
      </c>
      <c r="AC198" s="2"/>
      <c r="AD198" s="143"/>
      <c r="AE198" s="709"/>
      <c r="AF198" s="710"/>
      <c r="AG198" s="710"/>
      <c r="AH198" s="710"/>
      <c r="AI198" s="713"/>
    </row>
    <row r="199" spans="25:35" x14ac:dyDescent="0.2">
      <c r="Y199" s="66" t="s">
        <v>85</v>
      </c>
      <c r="Z199" s="34" t="str">
        <f>""</f>
        <v/>
      </c>
      <c r="AA199" s="12">
        <v>0</v>
      </c>
      <c r="AB199" s="12" t="str">
        <f>""</f>
        <v/>
      </c>
      <c r="AC199" s="2"/>
      <c r="AD199" s="143"/>
      <c r="AE199" s="709"/>
      <c r="AF199" s="710"/>
      <c r="AG199" s="710"/>
      <c r="AH199" s="710"/>
      <c r="AI199" s="713"/>
    </row>
    <row r="200" spans="25:35" x14ac:dyDescent="0.2">
      <c r="Y200" s="66" t="s">
        <v>86</v>
      </c>
      <c r="Z200" s="34" t="str">
        <f>""</f>
        <v/>
      </c>
      <c r="AA200" s="12">
        <v>0</v>
      </c>
      <c r="AB200" s="12" t="str">
        <f>""</f>
        <v/>
      </c>
      <c r="AC200" s="2"/>
      <c r="AD200" s="143"/>
      <c r="AE200" s="709"/>
      <c r="AF200" s="710"/>
      <c r="AG200" s="710"/>
      <c r="AH200" s="710"/>
      <c r="AI200" s="713"/>
    </row>
    <row r="201" spans="25:35" x14ac:dyDescent="0.2">
      <c r="Y201" s="66" t="s">
        <v>87</v>
      </c>
      <c r="Z201" s="34" t="str">
        <f>""</f>
        <v/>
      </c>
      <c r="AA201" s="12">
        <v>0</v>
      </c>
      <c r="AB201" s="12" t="str">
        <f>""</f>
        <v/>
      </c>
      <c r="AC201" s="2"/>
      <c r="AD201" s="143"/>
      <c r="AE201" s="709"/>
      <c r="AF201" s="710"/>
      <c r="AG201" s="710"/>
      <c r="AH201" s="710"/>
      <c r="AI201" s="713"/>
    </row>
    <row r="202" spans="25:35" x14ac:dyDescent="0.2">
      <c r="Y202" s="66" t="s">
        <v>88</v>
      </c>
      <c r="Z202" s="34" t="str">
        <f>""</f>
        <v/>
      </c>
      <c r="AA202" s="12">
        <v>0</v>
      </c>
      <c r="AB202" s="12" t="str">
        <f>""</f>
        <v/>
      </c>
      <c r="AC202" s="2"/>
      <c r="AD202" s="143"/>
      <c r="AE202" s="709"/>
      <c r="AF202" s="710"/>
      <c r="AG202" s="710"/>
      <c r="AH202" s="710"/>
      <c r="AI202" s="713"/>
    </row>
    <row r="203" spans="25:35" x14ac:dyDescent="0.2">
      <c r="Y203" s="66" t="s">
        <v>89</v>
      </c>
      <c r="Z203" s="34" t="str">
        <f>""</f>
        <v/>
      </c>
      <c r="AA203" s="12">
        <v>0</v>
      </c>
      <c r="AB203" s="12" t="str">
        <f>""</f>
        <v/>
      </c>
      <c r="AC203" s="2"/>
      <c r="AD203" s="143"/>
      <c r="AE203" s="709"/>
      <c r="AF203" s="710"/>
      <c r="AG203" s="710"/>
      <c r="AH203" s="710"/>
      <c r="AI203" s="713"/>
    </row>
    <row r="204" spans="25:35" x14ac:dyDescent="0.2">
      <c r="Y204" s="66" t="s">
        <v>90</v>
      </c>
      <c r="Z204" s="34" t="str">
        <f>""</f>
        <v/>
      </c>
      <c r="AA204" s="12">
        <v>0</v>
      </c>
      <c r="AB204" s="12" t="str">
        <f>""</f>
        <v/>
      </c>
      <c r="AC204" s="2"/>
      <c r="AD204" s="143"/>
      <c r="AE204" s="709"/>
      <c r="AF204" s="710"/>
      <c r="AG204" s="710"/>
      <c r="AH204" s="710"/>
      <c r="AI204" s="713"/>
    </row>
    <row r="205" spans="25:35" x14ac:dyDescent="0.2">
      <c r="Y205" s="66" t="s">
        <v>91</v>
      </c>
      <c r="Z205" s="34" t="str">
        <f>""</f>
        <v/>
      </c>
      <c r="AA205" s="12">
        <v>0</v>
      </c>
      <c r="AB205" s="12" t="str">
        <f>""</f>
        <v/>
      </c>
      <c r="AC205" s="2"/>
      <c r="AD205" s="143"/>
      <c r="AE205" s="709"/>
      <c r="AF205" s="710"/>
      <c r="AG205" s="710"/>
      <c r="AH205" s="710"/>
      <c r="AI205" s="713"/>
    </row>
    <row r="206" spans="25:35" x14ac:dyDescent="0.2">
      <c r="Y206" s="66" t="s">
        <v>92</v>
      </c>
      <c r="Z206" s="34" t="str">
        <f>""</f>
        <v/>
      </c>
      <c r="AA206" s="12">
        <v>0</v>
      </c>
      <c r="AB206" s="12" t="str">
        <f>""</f>
        <v/>
      </c>
      <c r="AC206" s="2"/>
      <c r="AD206" s="143"/>
      <c r="AE206" s="709"/>
      <c r="AF206" s="710"/>
      <c r="AG206" s="710"/>
      <c r="AH206" s="710"/>
      <c r="AI206" s="713"/>
    </row>
    <row r="207" spans="25:35" ht="12.75" thickBot="1" x14ac:dyDescent="0.25">
      <c r="Y207" s="67" t="s">
        <v>93</v>
      </c>
      <c r="Z207" s="36" t="str">
        <f>""</f>
        <v/>
      </c>
      <c r="AA207" s="37">
        <v>0</v>
      </c>
      <c r="AB207" s="144" t="str">
        <f>""</f>
        <v/>
      </c>
      <c r="AC207" s="146"/>
      <c r="AD207" s="145"/>
      <c r="AE207" s="714"/>
      <c r="AF207" s="715"/>
      <c r="AG207" s="715"/>
      <c r="AH207" s="715"/>
      <c r="AI207" s="71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Q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2" customWidth="1"/>
    <col min="2" max="2" width="5.140625" style="42" customWidth="1"/>
    <col min="3" max="3" width="8.7109375" style="42" customWidth="1"/>
    <col min="4" max="4" width="6" style="42" customWidth="1"/>
    <col min="5" max="5" width="5.42578125" style="42" customWidth="1"/>
    <col min="6" max="6" width="26.7109375" style="42" customWidth="1"/>
    <col min="7" max="7" width="3" style="42" customWidth="1"/>
    <col min="8" max="8" width="26.7109375" style="42" customWidth="1"/>
    <col min="9" max="9" width="4.7109375" style="42" customWidth="1"/>
    <col min="10" max="10" width="2" style="42" customWidth="1"/>
    <col min="11" max="12" width="4.7109375" style="42" customWidth="1"/>
    <col min="13" max="13" width="2.28515625" style="42" customWidth="1"/>
    <col min="14" max="14" width="4.7109375" style="42" customWidth="1"/>
    <col min="15" max="15" width="15.7109375" style="42" customWidth="1"/>
    <col min="16" max="16" width="3.85546875" style="42" customWidth="1"/>
    <col min="17" max="17" width="4.140625" style="42" customWidth="1"/>
    <col min="18" max="18" width="26.7109375" style="42" customWidth="1"/>
    <col min="19" max="22" width="6.7109375" style="42" customWidth="1"/>
    <col min="23" max="23" width="3.7109375" style="42" customWidth="1"/>
    <col min="24" max="24" width="2.140625" style="42" customWidth="1"/>
    <col min="25" max="25" width="3.7109375" style="42" customWidth="1"/>
    <col min="26" max="26" width="5.7109375" style="42" customWidth="1"/>
    <col min="27" max="27" width="2.140625" style="42" customWidth="1"/>
    <col min="28" max="28" width="5.7109375" style="42" customWidth="1"/>
    <col min="29" max="30" width="6.7109375" style="42" customWidth="1"/>
    <col min="31" max="36" width="7.85546875" style="42" customWidth="1"/>
    <col min="37" max="37" width="26.7109375" style="42" customWidth="1"/>
    <col min="38" max="38" width="4.140625" style="42" customWidth="1"/>
    <col min="39" max="39" width="11.42578125" style="42" hidden="1" customWidth="1"/>
    <col min="40" max="40" width="10" style="42" hidden="1" customWidth="1"/>
    <col min="41" max="41" width="30.7109375" style="42" hidden="1" customWidth="1"/>
    <col min="42" max="42" width="5" style="42" hidden="1" customWidth="1"/>
    <col min="43" max="16384" width="11.42578125" style="42" hidden="1"/>
  </cols>
  <sheetData>
    <row r="1" spans="1:43" ht="13.5" thickBot="1" x14ac:dyDescent="0.25">
      <c r="B1" s="326"/>
      <c r="C1" s="326"/>
      <c r="D1" s="291"/>
      <c r="E1" s="291"/>
      <c r="F1" s="291"/>
      <c r="G1" s="291"/>
      <c r="H1" s="291"/>
      <c r="I1" s="291"/>
      <c r="J1" s="291"/>
      <c r="K1" s="291"/>
      <c r="L1" s="291"/>
      <c r="M1" s="291"/>
      <c r="N1" s="291"/>
      <c r="O1" s="291"/>
      <c r="Q1" s="857"/>
      <c r="R1" s="857"/>
      <c r="AI1" s="326"/>
      <c r="AJ1" s="326"/>
    </row>
    <row r="2" spans="1:43" ht="36" customHeight="1" thickTop="1" x14ac:dyDescent="0.2">
      <c r="B2" s="290"/>
      <c r="C2" s="290"/>
      <c r="G2" s="854" t="s">
        <v>446</v>
      </c>
      <c r="H2" s="855"/>
      <c r="I2" s="855"/>
      <c r="J2" s="855"/>
      <c r="K2" s="855"/>
      <c r="L2" s="855"/>
      <c r="M2" s="855"/>
      <c r="N2" s="855"/>
      <c r="O2" s="855"/>
      <c r="P2" s="855"/>
      <c r="Q2" s="855"/>
      <c r="R2" s="855"/>
      <c r="S2" s="855"/>
      <c r="T2" s="855"/>
      <c r="U2" s="855"/>
      <c r="V2" s="855"/>
      <c r="W2" s="855"/>
      <c r="X2" s="855"/>
      <c r="Y2" s="855"/>
      <c r="Z2" s="855"/>
      <c r="AA2" s="855"/>
      <c r="AB2" s="855"/>
      <c r="AC2" s="856"/>
      <c r="AD2" s="782"/>
      <c r="AE2" s="783"/>
      <c r="AF2" s="783"/>
      <c r="AI2" s="853" t="s">
        <v>445</v>
      </c>
      <c r="AJ2" s="853"/>
    </row>
    <row r="3" spans="1:43" ht="30" customHeight="1" x14ac:dyDescent="0.2">
      <c r="G3" s="860" t="s">
        <v>447</v>
      </c>
      <c r="H3" s="861"/>
      <c r="I3" s="861"/>
      <c r="J3" s="861"/>
      <c r="K3" s="861"/>
      <c r="L3" s="861"/>
      <c r="M3" s="861"/>
      <c r="N3" s="861"/>
      <c r="O3" s="861"/>
      <c r="P3" s="861"/>
      <c r="Q3" s="861"/>
      <c r="R3" s="861"/>
      <c r="S3" s="861"/>
      <c r="T3" s="861"/>
      <c r="U3" s="861"/>
      <c r="V3" s="861"/>
      <c r="W3" s="861"/>
      <c r="X3" s="861"/>
      <c r="Y3" s="861"/>
      <c r="Z3" s="861"/>
      <c r="AA3" s="861"/>
      <c r="AB3" s="861"/>
      <c r="AC3" s="862"/>
      <c r="AD3" s="784"/>
      <c r="AE3" s="785"/>
      <c r="AF3" s="785"/>
    </row>
    <row r="4" spans="1:43" ht="30" customHeight="1" x14ac:dyDescent="0.2">
      <c r="G4" s="863" t="s">
        <v>448</v>
      </c>
      <c r="H4" s="864"/>
      <c r="I4" s="864"/>
      <c r="J4" s="864"/>
      <c r="K4" s="864"/>
      <c r="L4" s="864"/>
      <c r="M4" s="864"/>
      <c r="N4" s="864"/>
      <c r="O4" s="864"/>
      <c r="P4" s="864"/>
      <c r="Q4" s="864"/>
      <c r="R4" s="864"/>
      <c r="S4" s="864"/>
      <c r="T4" s="864"/>
      <c r="U4" s="864"/>
      <c r="V4" s="864"/>
      <c r="W4" s="864"/>
      <c r="X4" s="864"/>
      <c r="Y4" s="864"/>
      <c r="Z4" s="864"/>
      <c r="AA4" s="864"/>
      <c r="AB4" s="864"/>
      <c r="AC4" s="865"/>
      <c r="AD4" s="786"/>
      <c r="AE4" s="787"/>
      <c r="AF4" s="787"/>
    </row>
    <row r="5" spans="1:43" ht="30" customHeight="1" thickBot="1" x14ac:dyDescent="0.25">
      <c r="G5" s="866" t="s">
        <v>449</v>
      </c>
      <c r="H5" s="867"/>
      <c r="I5" s="867"/>
      <c r="J5" s="867"/>
      <c r="K5" s="867"/>
      <c r="L5" s="867"/>
      <c r="M5" s="867"/>
      <c r="N5" s="867"/>
      <c r="O5" s="867"/>
      <c r="P5" s="867"/>
      <c r="Q5" s="867"/>
      <c r="R5" s="867"/>
      <c r="S5" s="867"/>
      <c r="T5" s="867"/>
      <c r="U5" s="867"/>
      <c r="V5" s="867"/>
      <c r="W5" s="867"/>
      <c r="X5" s="867"/>
      <c r="Y5" s="867"/>
      <c r="Z5" s="867"/>
      <c r="AA5" s="867"/>
      <c r="AB5" s="867"/>
      <c r="AC5" s="868"/>
      <c r="AD5" s="786"/>
      <c r="AE5" s="787"/>
      <c r="AF5" s="787"/>
    </row>
    <row r="6" spans="1:43" ht="9" customHeight="1" thickTop="1" thickBot="1" x14ac:dyDescent="0.25">
      <c r="B6" s="327"/>
      <c r="C6" s="327"/>
      <c r="D6" s="327"/>
      <c r="E6" s="327"/>
      <c r="F6" s="327"/>
      <c r="G6" s="327"/>
      <c r="H6" s="327"/>
      <c r="I6" s="327"/>
      <c r="J6" s="327"/>
      <c r="K6" s="327"/>
      <c r="L6" s="327"/>
      <c r="M6" s="327"/>
      <c r="N6" s="327"/>
      <c r="O6" s="327"/>
    </row>
    <row r="7" spans="1:43" ht="30" customHeight="1" thickTop="1" x14ac:dyDescent="0.9">
      <c r="B7" s="327"/>
      <c r="C7" s="327"/>
      <c r="D7" s="327"/>
      <c r="E7" s="327"/>
      <c r="F7" s="327"/>
      <c r="G7" s="327"/>
      <c r="H7" s="327"/>
      <c r="I7" s="327"/>
      <c r="J7" s="327"/>
      <c r="K7" s="869" t="str">
        <f>Language!$E$18</f>
        <v>Preliminary round</v>
      </c>
      <c r="L7" s="870"/>
      <c r="M7" s="870"/>
      <c r="N7" s="870"/>
      <c r="O7" s="870"/>
      <c r="P7" s="870"/>
      <c r="Q7" s="870"/>
      <c r="R7" s="870"/>
      <c r="S7" s="870"/>
      <c r="T7" s="870"/>
      <c r="U7" s="870"/>
      <c r="V7" s="870"/>
      <c r="W7" s="788"/>
      <c r="X7" s="789"/>
      <c r="Y7" s="789"/>
      <c r="Z7" s="789"/>
      <c r="AK7" s="582"/>
      <c r="AN7" s="609"/>
      <c r="AO7" s="609"/>
      <c r="AP7" s="609"/>
      <c r="AQ7" s="609"/>
    </row>
    <row r="8" spans="1:43" ht="30" customHeight="1" thickBot="1" x14ac:dyDescent="0.95">
      <c r="B8" s="327"/>
      <c r="C8" s="327"/>
      <c r="D8" s="327"/>
      <c r="E8" s="327"/>
      <c r="F8" s="327"/>
      <c r="G8" s="327"/>
      <c r="H8" s="327"/>
      <c r="I8" s="327"/>
      <c r="J8" s="327"/>
      <c r="K8" s="871"/>
      <c r="L8" s="872"/>
      <c r="M8" s="872"/>
      <c r="N8" s="872"/>
      <c r="O8" s="872"/>
      <c r="P8" s="872"/>
      <c r="Q8" s="872"/>
      <c r="R8" s="872"/>
      <c r="S8" s="872"/>
      <c r="T8" s="872"/>
      <c r="U8" s="872"/>
      <c r="V8" s="872"/>
      <c r="W8" s="788"/>
      <c r="X8" s="789"/>
      <c r="Y8" s="789"/>
      <c r="Z8" s="789"/>
      <c r="AN8" s="609"/>
      <c r="AO8" s="609"/>
      <c r="AP8" s="609"/>
      <c r="AQ8" s="609"/>
    </row>
    <row r="9" spans="1:43" ht="13.5" customHeight="1" thickTop="1" thickBot="1" x14ac:dyDescent="0.35">
      <c r="C9" s="43"/>
      <c r="D9" s="43"/>
      <c r="E9" s="43"/>
      <c r="F9" s="325"/>
      <c r="G9" s="325"/>
      <c r="H9" s="325"/>
      <c r="I9" s="325"/>
      <c r="J9" s="325"/>
      <c r="K9" s="325"/>
      <c r="L9" s="325"/>
      <c r="M9" s="325"/>
      <c r="N9" s="325"/>
      <c r="O9" s="325"/>
      <c r="AE9" s="303"/>
      <c r="AF9" s="303"/>
      <c r="AG9" s="303"/>
      <c r="AH9" s="303"/>
      <c r="AI9" s="303"/>
      <c r="AJ9" s="303"/>
    </row>
    <row r="10" spans="1:43" ht="24" customHeight="1" thickBot="1" x14ac:dyDescent="0.45">
      <c r="A10" s="321"/>
      <c r="B10" s="323" t="str">
        <f>Language!$E$11</f>
        <v>Results</v>
      </c>
      <c r="C10" s="322"/>
      <c r="D10" s="322"/>
      <c r="E10" s="322"/>
      <c r="F10" s="324"/>
      <c r="G10" s="324"/>
      <c r="H10" s="324"/>
      <c r="I10" s="324"/>
      <c r="J10" s="324"/>
      <c r="K10" s="324"/>
      <c r="L10" s="325"/>
      <c r="M10" s="325"/>
      <c r="N10" s="325"/>
      <c r="O10" s="325"/>
      <c r="Q10" s="839" t="str">
        <f>Language!$E$16&amp;" A"</f>
        <v>Group A</v>
      </c>
      <c r="R10" s="839"/>
      <c r="S10" s="201"/>
      <c r="T10" s="201"/>
      <c r="U10" s="201"/>
      <c r="V10" s="201"/>
      <c r="W10" s="201"/>
      <c r="X10" s="201"/>
      <c r="Y10" s="201"/>
      <c r="Z10" s="201"/>
      <c r="AA10" s="201"/>
      <c r="AB10" s="201"/>
      <c r="AC10" s="201"/>
      <c r="AD10" s="201"/>
      <c r="AE10" s="300" t="str">
        <f ca="1">IF(LEN(R12)&gt;Settings!$C$11,LEFT(R12,Settings!$C$11)&amp;".",R12)</f>
        <v>FC Barc.</v>
      </c>
      <c r="AF10" s="301" t="str">
        <f ca="1">IF(LEN(R13)&gt;Settings!$C$11,LEFT(R13,Settings!$C$11)&amp;".",R13)</f>
        <v>Eintrac.</v>
      </c>
      <c r="AG10" s="301" t="str">
        <f ca="1">IF(LEN(R14)&gt;Settings!$C$11,LEFT(R14,Settings!$C$11)&amp;".",R14)</f>
        <v>VFB Ess.</v>
      </c>
      <c r="AH10" s="301" t="str">
        <f ca="1">IF(LEN(R15)&gt;Settings!$C$11,LEFT(R15,Settings!$C$11)&amp;".",R15)</f>
        <v>Maibach.</v>
      </c>
      <c r="AI10" s="301" t="str">
        <f ca="1">IF(LEN(R16)&gt;Settings!$C$11,LEFT(R16,Settings!$C$11)&amp;".",R16)</f>
        <v>1. FC R.</v>
      </c>
      <c r="AJ10" s="302" t="str">
        <f ca="1">IF(LEN(R17)&gt;Settings!$C$11,LEFT(R17,Settings!$C$11)&amp;".",R17)</f>
        <v/>
      </c>
      <c r="AK10" s="202"/>
      <c r="AN10" s="839" t="str">
        <f>Language!$E$16&amp;" A"</f>
        <v>Group A</v>
      </c>
      <c r="AO10" s="839"/>
      <c r="AP10" s="610"/>
      <c r="AQ10" s="611" t="str">
        <f>Language!$E$49</f>
        <v>Tie break</v>
      </c>
    </row>
    <row r="11" spans="1:43" ht="24" customHeight="1" thickTop="1" thickBot="1" x14ac:dyDescent="0.25">
      <c r="B11" s="63" t="str">
        <f>Language!$E$9</f>
        <v>No.</v>
      </c>
      <c r="C11" s="187" t="str">
        <f>Language!$E$39</f>
        <v>Start:</v>
      </c>
      <c r="D11" s="187" t="str">
        <f>Language!$E$48</f>
        <v>Field</v>
      </c>
      <c r="E11" s="187" t="str">
        <f>Language!$E$17</f>
        <v>Grp</v>
      </c>
      <c r="F11" s="858" t="str">
        <f>Language!$E$14</f>
        <v>Match pairing</v>
      </c>
      <c r="G11" s="841"/>
      <c r="H11" s="859"/>
      <c r="I11" s="840" t="str">
        <f>Language!$E$78</f>
        <v>1st set</v>
      </c>
      <c r="J11" s="841"/>
      <c r="K11" s="859"/>
      <c r="L11" s="840" t="str">
        <f>Language!$E$79</f>
        <v>2nd set</v>
      </c>
      <c r="M11" s="841"/>
      <c r="N11" s="842"/>
      <c r="O11" s="773" t="str">
        <f>Language!$E$125</f>
        <v>Referee</v>
      </c>
      <c r="Q11" s="845"/>
      <c r="R11" s="846"/>
      <c r="S11" s="203" t="str">
        <f>Language!$E$21</f>
        <v>Pld</v>
      </c>
      <c r="T11" s="204" t="str">
        <f>Language!$E$22</f>
        <v>W</v>
      </c>
      <c r="U11" s="204" t="str">
        <f>Language!$E$23</f>
        <v>D</v>
      </c>
      <c r="V11" s="205" t="str">
        <f>Language!$E$24</f>
        <v>L</v>
      </c>
      <c r="W11" s="850" t="str">
        <f>Language!$E$25</f>
        <v>sets</v>
      </c>
      <c r="X11" s="851"/>
      <c r="Y11" s="852"/>
      <c r="Z11" s="847" t="str">
        <f>Language!$E$80</f>
        <v>balls</v>
      </c>
      <c r="AA11" s="848"/>
      <c r="AB11" s="849"/>
      <c r="AC11" s="204" t="str">
        <f>IF(Settings!$G$7,Language!$E$26,Language!$E$86)</f>
        <v>Diff.</v>
      </c>
      <c r="AD11" s="206" t="str">
        <f>Language!$E$27</f>
        <v>Pts</v>
      </c>
      <c r="AE11" s="207" t="str">
        <f ca="1">R12</f>
        <v>FC Barcelona</v>
      </c>
      <c r="AF11" s="208" t="str">
        <f ca="1">R13</f>
        <v>Eintracht Frankfurt</v>
      </c>
      <c r="AG11" s="208" t="str">
        <f ca="1">R14</f>
        <v>VFB Essenheim</v>
      </c>
      <c r="AH11" s="208" t="str">
        <f ca="1">R15</f>
        <v>Maibach 1822 eV</v>
      </c>
      <c r="AI11" s="208" t="str">
        <f ca="1">R16</f>
        <v>1. FC Riedwald</v>
      </c>
      <c r="AJ11" s="587" t="str">
        <f ca="1">R17</f>
        <v/>
      </c>
      <c r="AK11" s="202"/>
      <c r="AN11" s="450" t="str">
        <f>Language!$E$9</f>
        <v>No.</v>
      </c>
      <c r="AO11" s="614" t="str">
        <f>Language!$E$10</f>
        <v>Participant or team</v>
      </c>
      <c r="AP11" s="612"/>
      <c r="AQ11" s="616"/>
    </row>
    <row r="12" spans="1:43" ht="24" customHeight="1" x14ac:dyDescent="0.2">
      <c r="B12" s="350">
        <f>Planning!$E6</f>
        <v>1</v>
      </c>
      <c r="C12" s="238">
        <f>Planning!$F6</f>
        <v>0.375</v>
      </c>
      <c r="D12" s="239" t="str">
        <f>Planning!$G6</f>
        <v>1</v>
      </c>
      <c r="E12" s="239" t="str">
        <f ca="1">Planning!$H6</f>
        <v>A</v>
      </c>
      <c r="F12" s="240" t="str">
        <f ca="1">Planning!$L6</f>
        <v>VFB Essenheim</v>
      </c>
      <c r="G12" s="241" t="s">
        <v>4</v>
      </c>
      <c r="H12" s="240" t="str">
        <f ca="1">Planning!$N6</f>
        <v>FC Barcelona</v>
      </c>
      <c r="I12" s="242">
        <v>19</v>
      </c>
      <c r="J12" s="243" t="str">
        <f>Language!$E$96</f>
        <v>-</v>
      </c>
      <c r="K12" s="603">
        <v>25</v>
      </c>
      <c r="L12" s="605">
        <v>18</v>
      </c>
      <c r="M12" s="606" t="str">
        <f>Language!$E$96</f>
        <v>-</v>
      </c>
      <c r="N12" s="244">
        <v>25</v>
      </c>
      <c r="O12" s="779" t="str">
        <f>IF(Planning!$O6="","",Planning!$O6)</f>
        <v/>
      </c>
      <c r="Q12" s="383">
        <f ca="1">IF(Calc1!$K$13=0,"",1)</f>
        <v>1</v>
      </c>
      <c r="R12" s="384" t="str">
        <f ca="1">IF(Calc1!$F$14&lt;3,"",IF(Calc1!$K$13=0,Calc1!$Q64,VLOOKUP(Calc1!B4,Calc1!$C$4:$N$12,4,0)))</f>
        <v>FC Barcelona</v>
      </c>
      <c r="S12" s="209">
        <f ca="1">IF(Calc1!$K$13=0,"",VLOOKUP(Calc1!B4,Calc1!$C$4:$N$12,9,0))</f>
        <v>4</v>
      </c>
      <c r="T12" s="210">
        <f ca="1">IF(Calc1!$K$13=0,"",VLOOKUP(Calc1!B4,Calc1!$C$4:$N$12,10,0))</f>
        <v>2</v>
      </c>
      <c r="U12" s="210">
        <f ca="1">IF(Calc1!$K$13=0,"",VLOOKUP(Calc1!B4,Calc1!$C$4:$N$12,11,0))</f>
        <v>2</v>
      </c>
      <c r="V12" s="211">
        <f ca="1">IF(Calc1!$K$13=0,"",VLOOKUP(Calc1!B4,Calc1!$C$4:$N$12,12,0))</f>
        <v>0</v>
      </c>
      <c r="W12" s="212">
        <f ca="1">AD12</f>
        <v>6</v>
      </c>
      <c r="X12" s="213" t="str">
        <f>Language!$E$96</f>
        <v>-</v>
      </c>
      <c r="Y12" s="214">
        <f ca="1">IF(Calc1!$K$13=0,"",VLOOKUP(Calc1!B4,Calc1!$C$4:$AS$12,43,0))</f>
        <v>2</v>
      </c>
      <c r="Z12" s="212">
        <f ca="1">IF(Calc1!$K$13=0,"",VLOOKUP(Calc1!B4,Calc1!$C$4:$N$12,5,0))</f>
        <v>187</v>
      </c>
      <c r="AA12" s="213" t="str">
        <f>Language!$E$96</f>
        <v>-</v>
      </c>
      <c r="AB12" s="214">
        <f ca="1">IF(Calc1!$K$13=0,"",VLOOKUP(Calc1!B4,Calc1!$C$4:$N$12,6,0))</f>
        <v>162</v>
      </c>
      <c r="AC12" s="209">
        <f ca="1">IF(Calc1!$K$13=0,"",IF(VLOOKUP(Calc1!B4,Calc1!$C$4:$AR$12,42,0)=Settings!$F$7,"max",VLOOKUP(Calc1!B4,Calc1!$C$4:$AR$12,42,0)))</f>
        <v>25</v>
      </c>
      <c r="AD12" s="215">
        <f ca="1">IF(Calc1!$K$13=0,"",VLOOKUP(Calc1!B4,Calc1!$C$4:$N$12,8,0))</f>
        <v>6</v>
      </c>
      <c r="AE12" s="216"/>
      <c r="AF12" s="210" t="str">
        <f ca="1">IFERROR(VLOOKUP($R12&amp;AF$11,Calc1!$Z$64:$AI$207,Settings!$G$17,0),"")</f>
        <v>39-44</v>
      </c>
      <c r="AG12" s="210" t="str">
        <f ca="1">IFERROR(VLOOKUP($R12&amp;AG$11,Calc1!$Z$64:$AI$207,Settings!$G$17,0),"")</f>
        <v>50-37</v>
      </c>
      <c r="AH12" s="210" t="str">
        <f ca="1">IFERROR(VLOOKUP($R12&amp;AH$11,Calc1!$Z$64:$AI$207,Settings!$G$17,0),"")</f>
        <v>50-37</v>
      </c>
      <c r="AI12" s="210" t="str">
        <f ca="1">IFERROR(VLOOKUP($R12&amp;AI$11,Calc1!$Z$64:$AI$207,Settings!$G$17,0),"")</f>
        <v>48-44</v>
      </c>
      <c r="AJ12" s="217" t="str">
        <f ca="1">IFERROR(VLOOKUP($R12&amp;AJ$11,Calc1!$Z$64:$AI$207,Settings!$G$17,0),"")</f>
        <v/>
      </c>
      <c r="AK12" s="218" t="str">
        <f t="shared" ref="AK12:AK17" ca="1" si="0">R12</f>
        <v>FC Barcelona</v>
      </c>
      <c r="AN12" s="452" t="s">
        <v>196</v>
      </c>
      <c r="AO12" s="615" t="str">
        <f>IF(Planning!$C7="","",Planning!$C7)</f>
        <v>1. FC Riedwald</v>
      </c>
      <c r="AP12" s="294"/>
      <c r="AQ12" s="618">
        <f>IF($AO12="",0,COUNTIF(TieBreak!$U$12:$U$17,$AO12))</f>
        <v>0</v>
      </c>
    </row>
    <row r="13" spans="1:43" ht="24" customHeight="1" x14ac:dyDescent="0.2">
      <c r="B13" s="350">
        <f ca="1">Planning!$E7</f>
        <v>2</v>
      </c>
      <c r="C13" s="238">
        <f ca="1">Planning!$F7</f>
        <v>0.375</v>
      </c>
      <c r="D13" s="239">
        <f ca="1">Planning!$G7</f>
        <v>2</v>
      </c>
      <c r="E13" s="239" t="str">
        <f ca="1">Planning!$H7</f>
        <v>B</v>
      </c>
      <c r="F13" s="240" t="str">
        <f ca="1">Planning!$L7</f>
        <v>FC Grönlingen</v>
      </c>
      <c r="G13" s="241" t="s">
        <v>4</v>
      </c>
      <c r="H13" s="240" t="str">
        <f ca="1">Planning!$N7</f>
        <v>Inter Mailand</v>
      </c>
      <c r="I13" s="242">
        <v>25</v>
      </c>
      <c r="J13" s="243" t="str">
        <f>Language!$E$96</f>
        <v>-</v>
      </c>
      <c r="K13" s="603">
        <v>20</v>
      </c>
      <c r="L13" s="605">
        <v>20</v>
      </c>
      <c r="M13" s="606" t="str">
        <f>Language!$E$96</f>
        <v>-</v>
      </c>
      <c r="N13" s="244">
        <v>25</v>
      </c>
      <c r="O13" s="780" t="str">
        <f>IF(Planning!$O7="","",Planning!$O7)</f>
        <v/>
      </c>
      <c r="Q13" s="385">
        <f ca="1">IF(Calc1!$K$13=0,"",IF(VLOOKUP(Calc1!B5,Calc1!$C$4:$E$12,3,0)=MAX(Q$12:Q12),VLOOKUP(Calc1!B5,Calc1!$C$4:$E$12,3,0),Calc1!B5))</f>
        <v>2</v>
      </c>
      <c r="R13" s="386" t="str">
        <f ca="1">IF(Calc1!$F$14&lt;3,"",IF(Calc1!$K$13=0,Calc1!$Q65,VLOOKUP(Calc1!B5,Calc1!$C$4:$N$12,4,0)))</f>
        <v>Eintracht Frankfurt</v>
      </c>
      <c r="S13" s="219">
        <f ca="1">IF(Calc1!$K$13=0,"",VLOOKUP(Calc1!B5,Calc1!$C$4:$N$12,9,0))</f>
        <v>4</v>
      </c>
      <c r="T13" s="200">
        <f ca="1">IF(Calc1!$K$13=0,"",VLOOKUP(Calc1!B5,Calc1!$C$4:$N$12,10,0))</f>
        <v>1</v>
      </c>
      <c r="U13" s="200">
        <f ca="1">IF(Calc1!$K$13=0,"",VLOOKUP(Calc1!B5,Calc1!$C$4:$N$12,11,0))</f>
        <v>2</v>
      </c>
      <c r="V13" s="220">
        <f ca="1">IF(Calc1!$K$13=0,"",VLOOKUP(Calc1!B5,Calc1!$C$4:$N$12,12,0))</f>
        <v>1</v>
      </c>
      <c r="W13" s="221">
        <f t="shared" ref="W13:W17" ca="1" si="1">AD13</f>
        <v>4</v>
      </c>
      <c r="X13" s="222" t="str">
        <f>Language!$E$96</f>
        <v>-</v>
      </c>
      <c r="Y13" s="223">
        <f ca="1">IF(Calc1!$K$13=0,"",VLOOKUP(Calc1!B5,Calc1!$C$4:$AS$12,43,0))</f>
        <v>4</v>
      </c>
      <c r="Z13" s="221">
        <f ca="1">IF(Calc1!$K$13=0,"",VLOOKUP(Calc1!B5,Calc1!$C$4:$N$12,5,0))</f>
        <v>176</v>
      </c>
      <c r="AA13" s="222" t="str">
        <f>Language!$E$96</f>
        <v>-</v>
      </c>
      <c r="AB13" s="223">
        <f ca="1">IF(Calc1!$K$13=0,"",VLOOKUP(Calc1!B5,Calc1!$C$4:$N$12,6,0))</f>
        <v>173</v>
      </c>
      <c r="AC13" s="219">
        <f ca="1">IF(Calc1!$K$13=0,"",IF(VLOOKUP(Calc1!B5,Calc1!$C$4:$AR$12,42,0)=Settings!$F$7,"max",VLOOKUP(Calc1!B5,Calc1!$C$4:$AR$12,42,0)))</f>
        <v>3</v>
      </c>
      <c r="AD13" s="224">
        <f ca="1">IF(Calc1!$K$13=0,"",VLOOKUP(Calc1!B5,Calc1!$C$4:$N$12,8,0))</f>
        <v>4</v>
      </c>
      <c r="AE13" s="225" t="str">
        <f ca="1">IFERROR(VLOOKUP($R13&amp;AE$11,Calc1!$Z$64:$AI$207,Settings!$G$17,0),"")</f>
        <v>44-39</v>
      </c>
      <c r="AF13" s="226"/>
      <c r="AG13" s="200" t="str">
        <f ca="1">IFERROR(VLOOKUP($R13&amp;AG$11,Calc1!$Z$64:$AI$207,Settings!$G$17,0),"")</f>
        <v>38-50</v>
      </c>
      <c r="AH13" s="200" t="str">
        <f ca="1">IFERROR(VLOOKUP($R13&amp;AH$11,Calc1!$Z$64:$AI$207,Settings!$G$17,0),"")</f>
        <v>50-42</v>
      </c>
      <c r="AI13" s="200" t="str">
        <f ca="1">IFERROR(VLOOKUP($R13&amp;AI$11,Calc1!$Z$64:$AI$207,Settings!$G$17,0),"")</f>
        <v>44-42</v>
      </c>
      <c r="AJ13" s="227" t="str">
        <f ca="1">IFERROR(VLOOKUP($R13&amp;AJ$11,Calc1!$Z$64:$AI$207,Settings!$G$17,0),"")</f>
        <v/>
      </c>
      <c r="AK13" s="228" t="str">
        <f t="shared" ca="1" si="0"/>
        <v>Eintracht Frankfurt</v>
      </c>
      <c r="AN13" s="453" t="s">
        <v>198</v>
      </c>
      <c r="AO13" s="386" t="str">
        <f>IF(Planning!$C9="","",Planning!$C9)</f>
        <v>FC Barcelona</v>
      </c>
      <c r="AP13" s="294"/>
      <c r="AQ13" s="619">
        <f>IF($AO13="",0,COUNTIF(TieBreak!$U$12:$U$17,$AO13))</f>
        <v>0</v>
      </c>
    </row>
    <row r="14" spans="1:43" ht="24" customHeight="1" x14ac:dyDescent="0.2">
      <c r="B14" s="350">
        <f ca="1">Planning!$E8</f>
        <v>3</v>
      </c>
      <c r="C14" s="238">
        <f ca="1">Planning!$F8</f>
        <v>0.375</v>
      </c>
      <c r="D14" s="239">
        <f ca="1">Planning!$G8</f>
        <v>3</v>
      </c>
      <c r="E14" s="239" t="str">
        <f ca="1">Planning!$H8</f>
        <v>C</v>
      </c>
      <c r="F14" s="240" t="str">
        <f ca="1">Planning!$L8</f>
        <v>1. FC Nürnberg</v>
      </c>
      <c r="G14" s="241" t="s">
        <v>4</v>
      </c>
      <c r="H14" s="240" t="str">
        <f ca="1">Planning!$N8</f>
        <v>Real Madrid</v>
      </c>
      <c r="I14" s="242">
        <v>25</v>
      </c>
      <c r="J14" s="243" t="str">
        <f>Language!$E$96</f>
        <v>-</v>
      </c>
      <c r="K14" s="603">
        <v>21</v>
      </c>
      <c r="L14" s="605">
        <v>25</v>
      </c>
      <c r="M14" s="606" t="str">
        <f>Language!$E$96</f>
        <v>-</v>
      </c>
      <c r="N14" s="244">
        <v>19</v>
      </c>
      <c r="O14" s="780" t="str">
        <f>IF(Planning!$O8="","",Planning!$O8)</f>
        <v/>
      </c>
      <c r="Q14" s="385">
        <f ca="1">IF(Calc1!$K$13=0,"",IF(VLOOKUP(Calc1!B6,Calc1!$C$4:$E$12,3,0)=MAX(Q$12:Q13),VLOOKUP(Calc1!B6,Calc1!$C$4:$E$12,3,0),Calc1!B6))</f>
        <v>3</v>
      </c>
      <c r="R14" s="386" t="str">
        <f ca="1">IF(Calc1!$F$14&lt;3,"",IF(Calc1!$K$13=0,Calc1!$Q66,VLOOKUP(Calc1!B6,Calc1!$C$4:$N$12,4,0)))</f>
        <v>VFB Essenheim</v>
      </c>
      <c r="S14" s="219">
        <f ca="1">IF(Calc1!$K$13=0,"",VLOOKUP(Calc1!B6,Calc1!$C$4:$N$12,9,0))</f>
        <v>4</v>
      </c>
      <c r="T14" s="200">
        <f ca="1">IF(Calc1!$K$13=0,"",VLOOKUP(Calc1!B6,Calc1!$C$4:$N$12,10,0))</f>
        <v>1</v>
      </c>
      <c r="U14" s="200">
        <f ca="1">IF(Calc1!$K$13=0,"",VLOOKUP(Calc1!B6,Calc1!$C$4:$N$12,11,0))</f>
        <v>2</v>
      </c>
      <c r="V14" s="220">
        <f ca="1">IF(Calc1!$K$13=0,"",VLOOKUP(Calc1!B6,Calc1!$C$4:$N$12,12,0))</f>
        <v>1</v>
      </c>
      <c r="W14" s="221">
        <f t="shared" ca="1" si="1"/>
        <v>4</v>
      </c>
      <c r="X14" s="222" t="str">
        <f>Language!$E$96</f>
        <v>-</v>
      </c>
      <c r="Y14" s="223">
        <f ca="1">IF(Calc1!$K$13=0,"",VLOOKUP(Calc1!B6,Calc1!$C$4:$AS$12,43,0))</f>
        <v>4</v>
      </c>
      <c r="Z14" s="221">
        <f ca="1">IF(Calc1!$K$13=0,"",VLOOKUP(Calc1!B6,Calc1!$C$4:$N$12,5,0))</f>
        <v>180</v>
      </c>
      <c r="AA14" s="222" t="str">
        <f>Language!$E$96</f>
        <v>-</v>
      </c>
      <c r="AB14" s="223">
        <f ca="1">IF(Calc1!$K$13=0,"",VLOOKUP(Calc1!B6,Calc1!$C$4:$N$12,6,0))</f>
        <v>181</v>
      </c>
      <c r="AC14" s="219">
        <f ca="1">IF(Calc1!$K$13=0,"",IF(VLOOKUP(Calc1!B6,Calc1!$C$4:$AR$12,42,0)=Settings!$F$7,"max",VLOOKUP(Calc1!B6,Calc1!$C$4:$AR$12,42,0)))</f>
        <v>-1</v>
      </c>
      <c r="AD14" s="224">
        <f ca="1">IF(Calc1!$K$13=0,"",VLOOKUP(Calc1!B6,Calc1!$C$4:$N$12,8,0))</f>
        <v>4</v>
      </c>
      <c r="AE14" s="225" t="str">
        <f ca="1">IFERROR(VLOOKUP($R14&amp;AE$11,Calc1!$Z$64:$AI$207,Settings!$G$17,0),"")</f>
        <v>37-50</v>
      </c>
      <c r="AF14" s="412" t="str">
        <f ca="1">IFERROR(VLOOKUP($R14&amp;AF$11,Calc1!$Z$64:$AI$207,Settings!$G$17,0),"")</f>
        <v>50-38</v>
      </c>
      <c r="AG14" s="226"/>
      <c r="AH14" s="200" t="str">
        <f ca="1">IFERROR(VLOOKUP($R14&amp;AH$11,Calc1!$Z$64:$AI$207,Settings!$G$17,0),"")</f>
        <v>45-45</v>
      </c>
      <c r="AI14" s="200" t="str">
        <f ca="1">IFERROR(VLOOKUP($R14&amp;AI$11,Calc1!$Z$64:$AI$207,Settings!$G$17,0),"")</f>
        <v>48-48</v>
      </c>
      <c r="AJ14" s="227" t="str">
        <f ca="1">IFERROR(VLOOKUP($R14&amp;AJ$11,Calc1!$Z$64:$AI$207,Settings!$G$17,0),"")</f>
        <v/>
      </c>
      <c r="AK14" s="228" t="str">
        <f t="shared" ca="1" si="0"/>
        <v>VFB Essenheim</v>
      </c>
      <c r="AN14" s="453" t="s">
        <v>194</v>
      </c>
      <c r="AO14" s="386" t="str">
        <f>IF(Planning!$C11="","",Planning!$C11)</f>
        <v>Eintracht Frankfurt</v>
      </c>
      <c r="AP14" s="294"/>
      <c r="AQ14" s="619">
        <f>IF($AO14="",0,COUNTIF(TieBreak!$U$12:$U$17,$AO14))</f>
        <v>0</v>
      </c>
    </row>
    <row r="15" spans="1:43" ht="24" customHeight="1" x14ac:dyDescent="0.2">
      <c r="B15" s="350">
        <f ca="1">Planning!$E9</f>
        <v>4</v>
      </c>
      <c r="C15" s="238">
        <f ca="1">Planning!$F9</f>
        <v>0.39930555555555558</v>
      </c>
      <c r="D15" s="239">
        <f ca="1">Planning!$G9</f>
        <v>1</v>
      </c>
      <c r="E15" s="239" t="str">
        <f ca="1">Planning!$H9</f>
        <v>A</v>
      </c>
      <c r="F15" s="240" t="str">
        <f ca="1">Planning!$L9</f>
        <v>Eintracht Frankfurt</v>
      </c>
      <c r="G15" s="241" t="s">
        <v>4</v>
      </c>
      <c r="H15" s="240" t="str">
        <f ca="1">Planning!$N9</f>
        <v>Maibach 1822 eV</v>
      </c>
      <c r="I15" s="242">
        <v>25</v>
      </c>
      <c r="J15" s="243" t="str">
        <f>Language!$E$96</f>
        <v>-</v>
      </c>
      <c r="K15" s="603">
        <v>22</v>
      </c>
      <c r="L15" s="605">
        <v>25</v>
      </c>
      <c r="M15" s="606" t="str">
        <f>Language!$E$96</f>
        <v>-</v>
      </c>
      <c r="N15" s="244">
        <v>20</v>
      </c>
      <c r="O15" s="780" t="str">
        <f>IF(Planning!$O9="","",Planning!$O9)</f>
        <v/>
      </c>
      <c r="Q15" s="385">
        <f ca="1">IF(Calc1!$K$13=0,"",IF(VLOOKUP(Calc1!B7,Calc1!$C$4:$E$12,3,0)=MAX(Q$12:Q14),VLOOKUP(Calc1!B7,Calc1!$C$4:$E$12,3,0),Calc1!B7))</f>
        <v>4</v>
      </c>
      <c r="R15" s="386" t="str">
        <f ca="1">IF(Calc1!$F$14&lt;3,"",IF(Calc1!$K$13=0,Calc1!$Q67,VLOOKUP(Calc1!B7,Calc1!$C$4:$N$12,4,0)))</f>
        <v>Maibach 1822 eV</v>
      </c>
      <c r="S15" s="219">
        <f ca="1">IF(Calc1!$K$13=0,"",VLOOKUP(Calc1!B7,Calc1!$C$4:$N$12,9,0))</f>
        <v>4</v>
      </c>
      <c r="T15" s="200">
        <f ca="1">IF(Calc1!$K$13=0,"",VLOOKUP(Calc1!B7,Calc1!$C$4:$N$12,10,0))</f>
        <v>1</v>
      </c>
      <c r="U15" s="200">
        <f ca="1">IF(Calc1!$K$13=0,"",VLOOKUP(Calc1!B7,Calc1!$C$4:$N$12,11,0))</f>
        <v>1</v>
      </c>
      <c r="V15" s="220">
        <f ca="1">IF(Calc1!$K$13=0,"",VLOOKUP(Calc1!B7,Calc1!$C$4:$N$12,12,0))</f>
        <v>2</v>
      </c>
      <c r="W15" s="221">
        <f t="shared" ca="1" si="1"/>
        <v>3</v>
      </c>
      <c r="X15" s="222" t="str">
        <f>Language!$E$96</f>
        <v>-</v>
      </c>
      <c r="Y15" s="223">
        <f ca="1">IF(Calc1!$K$13=0,"",VLOOKUP(Calc1!B7,Calc1!$C$4:$AS$12,43,0))</f>
        <v>5</v>
      </c>
      <c r="Z15" s="221">
        <f ca="1">IF(Calc1!$K$13=0,"",VLOOKUP(Calc1!B7,Calc1!$C$4:$N$12,5,0))</f>
        <v>174</v>
      </c>
      <c r="AA15" s="222" t="str">
        <f>Language!$E$96</f>
        <v>-</v>
      </c>
      <c r="AB15" s="223">
        <f ca="1">IF(Calc1!$K$13=0,"",VLOOKUP(Calc1!B7,Calc1!$C$4:$N$12,6,0))</f>
        <v>174</v>
      </c>
      <c r="AC15" s="219">
        <f ca="1">IF(Calc1!$K$13=0,"",IF(VLOOKUP(Calc1!B7,Calc1!$C$4:$AR$12,42,0)=Settings!$F$7,"max",VLOOKUP(Calc1!B7,Calc1!$C$4:$AR$12,42,0)))</f>
        <v>0</v>
      </c>
      <c r="AD15" s="224">
        <f ca="1">IF(Calc1!$K$13=0,"",VLOOKUP(Calc1!B7,Calc1!$C$4:$N$12,8,0))</f>
        <v>3</v>
      </c>
      <c r="AE15" s="225" t="str">
        <f ca="1">IFERROR(VLOOKUP($R15&amp;AE$11,Calc1!$Z$64:$AI$207,Settings!$G$17,0),"")</f>
        <v>37-50</v>
      </c>
      <c r="AF15" s="412" t="str">
        <f ca="1">IFERROR(VLOOKUP($R15&amp;AF$11,Calc1!$Z$64:$AI$207,Settings!$G$17,0),"")</f>
        <v>42-50</v>
      </c>
      <c r="AG15" s="200" t="str">
        <f ca="1">IFERROR(VLOOKUP($R15&amp;AG$11,Calc1!$Z$64:$AI$207,Settings!$G$17,0),"")</f>
        <v>45-45</v>
      </c>
      <c r="AH15" s="226"/>
      <c r="AI15" s="200" t="str">
        <f ca="1">IFERROR(VLOOKUP($R15&amp;AI$11,Calc1!$Z$64:$AI$207,Settings!$G$17,0),"")</f>
        <v>50-29</v>
      </c>
      <c r="AJ15" s="227" t="str">
        <f ca="1">IFERROR(VLOOKUP($R15&amp;AJ$11,Calc1!$Z$64:$AI$207,Settings!$G$17,0),"")</f>
        <v/>
      </c>
      <c r="AK15" s="228" t="str">
        <f t="shared" ca="1" si="0"/>
        <v>Maibach 1822 eV</v>
      </c>
      <c r="AN15" s="453" t="s">
        <v>200</v>
      </c>
      <c r="AO15" s="386" t="str">
        <f>IF(Planning!$C13="","",Planning!$C13)</f>
        <v>Maibach 1822 eV</v>
      </c>
      <c r="AP15" s="294"/>
      <c r="AQ15" s="619">
        <f>IF($AO15="",0,COUNTIF(TieBreak!$U$12:$U$17,$AO15))</f>
        <v>0</v>
      </c>
    </row>
    <row r="16" spans="1:43" ht="24" customHeight="1" x14ac:dyDescent="0.2">
      <c r="B16" s="350">
        <f ca="1">Planning!$E10</f>
        <v>5</v>
      </c>
      <c r="C16" s="238">
        <f ca="1">Planning!$F10</f>
        <v>0.39930555555555558</v>
      </c>
      <c r="D16" s="239">
        <f ca="1">Planning!$G10</f>
        <v>2</v>
      </c>
      <c r="E16" s="239" t="str">
        <f ca="1">Planning!$H10</f>
        <v>B</v>
      </c>
      <c r="F16" s="240" t="str">
        <f ca="1">Planning!$L10</f>
        <v>SSV Wildbach</v>
      </c>
      <c r="G16" s="241" t="s">
        <v>4</v>
      </c>
      <c r="H16" s="240" t="str">
        <f ca="1">Planning!$N10</f>
        <v>Manchester City</v>
      </c>
      <c r="I16" s="242">
        <v>25</v>
      </c>
      <c r="J16" s="243" t="str">
        <f>Language!$E$96</f>
        <v>-</v>
      </c>
      <c r="K16" s="603">
        <v>23</v>
      </c>
      <c r="L16" s="605">
        <v>25</v>
      </c>
      <c r="M16" s="606" t="str">
        <f>Language!$E$96</f>
        <v>-</v>
      </c>
      <c r="N16" s="244">
        <v>21</v>
      </c>
      <c r="O16" s="780" t="str">
        <f>IF(Planning!$O10="","",Planning!$O10)</f>
        <v/>
      </c>
      <c r="Q16" s="385">
        <f ca="1">IF(Calc1!$K$13=0,"",IF(VLOOKUP(Calc1!B8,Calc1!$C$4:$E$12,3,0)=MAX(Q$12:Q15),VLOOKUP(Calc1!B8,Calc1!$C$4:$E$12,3,0),Calc1!B8))</f>
        <v>5</v>
      </c>
      <c r="R16" s="386" t="str">
        <f ca="1">IF(Calc1!$F$14&lt;3,"",IF(Calc1!$K$13=0,Calc1!$Q68,VLOOKUP(Calc1!B8,Calc1!$C$4:$N$12,4,0)))</f>
        <v>1. FC Riedwald</v>
      </c>
      <c r="S16" s="219">
        <f ca="1">IF(Calc1!$K$13=0,"",VLOOKUP(Calc1!B8,Calc1!$C$4:$N$12,9,0))</f>
        <v>4</v>
      </c>
      <c r="T16" s="200">
        <f ca="1">IF(Calc1!$K$13=0,"",VLOOKUP(Calc1!B8,Calc1!$C$4:$N$12,10,0))</f>
        <v>0</v>
      </c>
      <c r="U16" s="200">
        <f ca="1">IF(Calc1!$K$13=0,"",VLOOKUP(Calc1!B8,Calc1!$C$4:$N$12,11,0))</f>
        <v>3</v>
      </c>
      <c r="V16" s="220">
        <f ca="1">IF(Calc1!$K$13=0,"",VLOOKUP(Calc1!B8,Calc1!$C$4:$N$12,12,0))</f>
        <v>1</v>
      </c>
      <c r="W16" s="221">
        <f t="shared" ca="1" si="1"/>
        <v>3</v>
      </c>
      <c r="X16" s="222" t="str">
        <f>Language!$E$96</f>
        <v>-</v>
      </c>
      <c r="Y16" s="223">
        <f ca="1">IF(Calc1!$K$13=0,"",VLOOKUP(Calc1!B8,Calc1!$C$4:$AS$12,43,0))</f>
        <v>5</v>
      </c>
      <c r="Z16" s="221">
        <f ca="1">IF(Calc1!$K$13=0,"",VLOOKUP(Calc1!B8,Calc1!$C$4:$N$12,5,0))</f>
        <v>163</v>
      </c>
      <c r="AA16" s="222" t="str">
        <f>Language!$E$96</f>
        <v>-</v>
      </c>
      <c r="AB16" s="223">
        <f ca="1">IF(Calc1!$K$13=0,"",VLOOKUP(Calc1!B8,Calc1!$C$4:$N$12,6,0))</f>
        <v>190</v>
      </c>
      <c r="AC16" s="219">
        <f ca="1">IF(Calc1!$K$13=0,"",IF(VLOOKUP(Calc1!B8,Calc1!$C$4:$AR$12,42,0)=Settings!$F$7,"max",VLOOKUP(Calc1!B8,Calc1!$C$4:$AR$12,42,0)))</f>
        <v>-27</v>
      </c>
      <c r="AD16" s="224">
        <f ca="1">IF(Calc1!$K$13=0,"",VLOOKUP(Calc1!B8,Calc1!$C$4:$N$12,8,0))</f>
        <v>3</v>
      </c>
      <c r="AE16" s="225" t="str">
        <f ca="1">IFERROR(VLOOKUP($R16&amp;AE$11,Calc1!$Z$64:$AI$207,Settings!$G$17,0),"")</f>
        <v>44-48</v>
      </c>
      <c r="AF16" s="412" t="str">
        <f ca="1">IFERROR(VLOOKUP($R16&amp;AF$11,Calc1!$Z$64:$AI$207,Settings!$G$17,0),"")</f>
        <v>42-44</v>
      </c>
      <c r="AG16" s="200" t="str">
        <f ca="1">IFERROR(VLOOKUP($R16&amp;AG$11,Calc1!$Z$64:$AI$207,Settings!$G$17,0),"")</f>
        <v>48-48</v>
      </c>
      <c r="AH16" s="200" t="str">
        <f ca="1">IFERROR(VLOOKUP($R16&amp;AH$11,Calc1!$Z$64:$AI$207,Settings!$G$17,0),"")</f>
        <v>29-50</v>
      </c>
      <c r="AI16" s="226"/>
      <c r="AJ16" s="227" t="str">
        <f ca="1">IFERROR(VLOOKUP($R16&amp;AJ$11,Calc1!$Z$64:$AI$207,Settings!$G$17,0),"")</f>
        <v/>
      </c>
      <c r="AK16" s="228" t="str">
        <f t="shared" ca="1" si="0"/>
        <v>1. FC Riedwald</v>
      </c>
      <c r="AN16" s="453" t="s">
        <v>202</v>
      </c>
      <c r="AO16" s="386" t="str">
        <f>IF(Planning!$C15="","",Planning!$C15)</f>
        <v>VFB Essenheim</v>
      </c>
      <c r="AP16" s="294"/>
      <c r="AQ16" s="619">
        <f>IF($AO16="",0,COUNTIF(TieBreak!$U$12:$U$17,$AO16))</f>
        <v>0</v>
      </c>
    </row>
    <row r="17" spans="2:43" ht="24" customHeight="1" thickBot="1" x14ac:dyDescent="0.25">
      <c r="B17" s="350">
        <f ca="1">Planning!$E11</f>
        <v>6</v>
      </c>
      <c r="C17" s="238">
        <f ca="1">Planning!$F11</f>
        <v>0.39930555555555558</v>
      </c>
      <c r="D17" s="239">
        <f ca="1">Planning!$G11</f>
        <v>3</v>
      </c>
      <c r="E17" s="239" t="str">
        <f ca="1">Planning!$H11</f>
        <v>C</v>
      </c>
      <c r="F17" s="240" t="str">
        <f ca="1">Planning!$L11</f>
        <v>Borussia Dortmund</v>
      </c>
      <c r="G17" s="241" t="s">
        <v>4</v>
      </c>
      <c r="H17" s="240" t="str">
        <f ca="1">Planning!$N11</f>
        <v>FSV Rauen</v>
      </c>
      <c r="I17" s="242">
        <v>25</v>
      </c>
      <c r="J17" s="243" t="str">
        <f>Language!$E$96</f>
        <v>-</v>
      </c>
      <c r="K17" s="603">
        <v>17</v>
      </c>
      <c r="L17" s="605">
        <v>25</v>
      </c>
      <c r="M17" s="606" t="str">
        <f>Language!$E$96</f>
        <v>-</v>
      </c>
      <c r="N17" s="244">
        <v>22</v>
      </c>
      <c r="O17" s="780" t="str">
        <f>IF(Planning!$O11="","",Planning!$O11)</f>
        <v/>
      </c>
      <c r="Q17" s="387">
        <f ca="1">IF(Calc1!$K$13=0,"",IF(VLOOKUP(Calc1!B9,Calc1!$C$4:$E$12,3,0)=MAX(Q$12:Q16),VLOOKUP(Calc1!B9,Calc1!$C$4:$E$12,3,0),Calc1!B9))</f>
        <v>6</v>
      </c>
      <c r="R17" s="388" t="str">
        <f ca="1">IF(Calc1!$F$14&lt;3,"",IF(Calc1!$K$13=0,Calc1!$Q69,VLOOKUP(Calc1!B9,Calc1!$C$4:$N$12,4,0)))</f>
        <v/>
      </c>
      <c r="S17" s="229">
        <f ca="1">IF(Calc1!$K$13=0,"",VLOOKUP(Calc1!B9,Calc1!$C$4:$N$12,9,0))</f>
        <v>0</v>
      </c>
      <c r="T17" s="230">
        <f ca="1">IF(Calc1!$K$13=0,"",VLOOKUP(Calc1!B9,Calc1!$C$4:$N$12,10,0))</f>
        <v>0</v>
      </c>
      <c r="U17" s="230">
        <f ca="1">IF(Calc1!$K$13=0,"",VLOOKUP(Calc1!B9,Calc1!$C$4:$N$12,11,0))</f>
        <v>0</v>
      </c>
      <c r="V17" s="231">
        <f ca="1">IF(Calc1!$K$13=0,"",VLOOKUP(Calc1!B9,Calc1!$C$4:$N$12,12,0))</f>
        <v>0</v>
      </c>
      <c r="W17" s="232">
        <f t="shared" ca="1" si="1"/>
        <v>0</v>
      </c>
      <c r="X17" s="233" t="str">
        <f>Language!$E$96</f>
        <v>-</v>
      </c>
      <c r="Y17" s="234">
        <f ca="1">IF(Calc1!$K$13=0,"",VLOOKUP(Calc1!B9,Calc1!$C$4:$AS$12,43,0))</f>
        <v>0</v>
      </c>
      <c r="Z17" s="232">
        <f ca="1">IF(Calc1!$K$13=0,"",VLOOKUP(Calc1!B9,Calc1!$C$4:$N$12,5,0))</f>
        <v>0</v>
      </c>
      <c r="AA17" s="233" t="str">
        <f>Language!$E$96</f>
        <v>-</v>
      </c>
      <c r="AB17" s="234">
        <f ca="1">IF(Calc1!$K$13=0,"",VLOOKUP(Calc1!B9,Calc1!$C$4:$N$12,6,0))</f>
        <v>0</v>
      </c>
      <c r="AC17" s="229">
        <f ca="1">IF(Calc1!$K$13=0,"",IF(VLOOKUP(Calc1!B9,Calc1!$C$4:$AR$12,42,0)=Settings!$F$7,"max",VLOOKUP(Calc1!B9,Calc1!$C$4:$AR$12,42,0)))</f>
        <v>0</v>
      </c>
      <c r="AD17" s="235">
        <f ca="1">IF(Calc1!$K$13=0,"",VLOOKUP(Calc1!B9,Calc1!$C$4:$N$12,8,0))</f>
        <v>0</v>
      </c>
      <c r="AE17" s="236" t="str">
        <f ca="1">IFERROR(VLOOKUP($R17&amp;AE$11,Calc1!$Z$64:$AI$207,Settings!$G$17,0),"")</f>
        <v/>
      </c>
      <c r="AF17" s="230" t="str">
        <f ca="1">IFERROR(VLOOKUP($R17&amp;AF$11,Calc1!$Z$64:$AI$207,Settings!$G$17,0),"")</f>
        <v/>
      </c>
      <c r="AG17" s="230" t="str">
        <f ca="1">IFERROR(VLOOKUP($R17&amp;AG$11,Calc1!$Z$64:$AI$207,Settings!$G$17,0),"")</f>
        <v/>
      </c>
      <c r="AH17" s="230" t="str">
        <f ca="1">IFERROR(VLOOKUP($R17&amp;AH$11,Calc1!$Z$64:$AI$207,Settings!$G$17,0),"")</f>
        <v/>
      </c>
      <c r="AI17" s="230" t="str">
        <f ca="1">IFERROR(VLOOKUP($R17&amp;AI$11,Calc1!$Z$64:$AI$207,Settings!$G$17,0),"")</f>
        <v/>
      </c>
      <c r="AJ17" s="237"/>
      <c r="AK17" s="320" t="str">
        <f t="shared" ca="1" si="0"/>
        <v/>
      </c>
      <c r="AN17" s="454" t="s">
        <v>204</v>
      </c>
      <c r="AO17" s="388" t="str">
        <f>IF(Planning!$C17="","",Planning!$C17)</f>
        <v/>
      </c>
      <c r="AP17" s="294"/>
      <c r="AQ17" s="620">
        <f>IF($AO17="",0,COUNTIF(TieBreak!$U$12:$U$17,$AO17))</f>
        <v>0</v>
      </c>
    </row>
    <row r="18" spans="2:43" ht="24" customHeight="1" thickTop="1" x14ac:dyDescent="0.2">
      <c r="B18" s="350">
        <f ca="1">Planning!$E12</f>
        <v>7</v>
      </c>
      <c r="C18" s="238">
        <f ca="1">Planning!$F12</f>
        <v>0.4236111111111111</v>
      </c>
      <c r="D18" s="239">
        <f ca="1">Planning!$G12</f>
        <v>1</v>
      </c>
      <c r="E18" s="239" t="str">
        <f ca="1">Planning!$H12</f>
        <v>A</v>
      </c>
      <c r="F18" s="240" t="str">
        <f ca="1">Planning!$L12</f>
        <v>VFB Essenheim</v>
      </c>
      <c r="G18" s="241" t="s">
        <v>4</v>
      </c>
      <c r="H18" s="240" t="str">
        <f ca="1">Planning!$N12</f>
        <v>1. FC Riedwald</v>
      </c>
      <c r="I18" s="242">
        <v>23</v>
      </c>
      <c r="J18" s="243" t="str">
        <f>Language!$E$96</f>
        <v>-</v>
      </c>
      <c r="K18" s="603">
        <v>25</v>
      </c>
      <c r="L18" s="605">
        <v>25</v>
      </c>
      <c r="M18" s="606" t="str">
        <f>Language!$E$96</f>
        <v>-</v>
      </c>
      <c r="N18" s="244">
        <v>23</v>
      </c>
      <c r="O18" s="780" t="str">
        <f>IF(Planning!$O12="","",Planning!$O12)</f>
        <v/>
      </c>
      <c r="Q18" s="319"/>
      <c r="R18" s="294"/>
      <c r="S18" s="295"/>
      <c r="T18" s="295"/>
      <c r="U18" s="295"/>
      <c r="V18" s="295"/>
      <c r="W18" s="295"/>
      <c r="X18" s="295"/>
      <c r="Y18" s="295"/>
      <c r="Z18" s="296"/>
      <c r="AA18" s="295"/>
      <c r="AB18" s="294"/>
      <c r="AC18" s="295"/>
      <c r="AD18" s="297"/>
      <c r="AE18" s="295"/>
      <c r="AF18" s="295"/>
      <c r="AG18" s="295"/>
      <c r="AH18" s="295"/>
      <c r="AI18" s="295"/>
      <c r="AJ18" s="295"/>
      <c r="AK18" s="294"/>
      <c r="AN18" s="319"/>
      <c r="AO18" s="294"/>
      <c r="AP18" s="294"/>
      <c r="AQ18" s="617"/>
    </row>
    <row r="19" spans="2:43" ht="24" customHeight="1" thickBot="1" x14ac:dyDescent="0.25">
      <c r="B19" s="350">
        <f ca="1">Planning!$E13</f>
        <v>8</v>
      </c>
      <c r="C19" s="238">
        <f ca="1">Planning!$F13</f>
        <v>0.4236111111111111</v>
      </c>
      <c r="D19" s="239">
        <f ca="1">Planning!$G13</f>
        <v>2</v>
      </c>
      <c r="E19" s="239" t="str">
        <f ca="1">Planning!$H13</f>
        <v>B</v>
      </c>
      <c r="F19" s="240" t="str">
        <f ca="1">Planning!$L13</f>
        <v>FC Grönlingen</v>
      </c>
      <c r="G19" s="241" t="s">
        <v>4</v>
      </c>
      <c r="H19" s="240" t="str">
        <f ca="1">Planning!$N13</f>
        <v>Mainz 05</v>
      </c>
      <c r="I19" s="242">
        <v>19</v>
      </c>
      <c r="J19" s="243" t="str">
        <f>Language!$E$96</f>
        <v>-</v>
      </c>
      <c r="K19" s="603">
        <v>25</v>
      </c>
      <c r="L19" s="605">
        <v>25</v>
      </c>
      <c r="M19" s="606" t="str">
        <f>Language!$E$96</f>
        <v>-</v>
      </c>
      <c r="N19" s="244">
        <v>17</v>
      </c>
      <c r="O19" s="780" t="str">
        <f>IF(Planning!$O13="","",Planning!$O13)</f>
        <v/>
      </c>
      <c r="AE19" s="303"/>
      <c r="AF19" s="303"/>
      <c r="AG19" s="303"/>
      <c r="AH19" s="303"/>
      <c r="AI19" s="303"/>
      <c r="AJ19" s="303"/>
      <c r="AP19" s="292"/>
      <c r="AQ19" s="617"/>
    </row>
    <row r="20" spans="2:43" ht="24" customHeight="1" thickBot="1" x14ac:dyDescent="0.45">
      <c r="B20" s="350">
        <f ca="1">Planning!$E14</f>
        <v>9</v>
      </c>
      <c r="C20" s="238">
        <f ca="1">Planning!$F14</f>
        <v>0.4236111111111111</v>
      </c>
      <c r="D20" s="239">
        <f ca="1">Planning!$G14</f>
        <v>3</v>
      </c>
      <c r="E20" s="239" t="str">
        <f ca="1">Planning!$H14</f>
        <v>C</v>
      </c>
      <c r="F20" s="240" t="str">
        <f ca="1">Planning!$L14</f>
        <v>1. FC Nürnberg</v>
      </c>
      <c r="G20" s="241" t="s">
        <v>4</v>
      </c>
      <c r="H20" s="240" t="str">
        <f ca="1">Planning!$N14</f>
        <v>Kickers Rodendorf</v>
      </c>
      <c r="I20" s="242">
        <v>16</v>
      </c>
      <c r="J20" s="243" t="str">
        <f>Language!$E$96</f>
        <v>-</v>
      </c>
      <c r="K20" s="603">
        <v>25</v>
      </c>
      <c r="L20" s="605">
        <v>25</v>
      </c>
      <c r="M20" s="606" t="str">
        <f>Language!$E$96</f>
        <v>-</v>
      </c>
      <c r="N20" s="244">
        <v>18</v>
      </c>
      <c r="O20" s="780" t="str">
        <f>IF(Planning!$O14="","",Planning!$O14)</f>
        <v/>
      </c>
      <c r="Q20" s="839" t="str">
        <f>Language!$E$16&amp;" B"</f>
        <v>Group B</v>
      </c>
      <c r="R20" s="839"/>
      <c r="S20" s="201"/>
      <c r="T20" s="201"/>
      <c r="U20" s="201"/>
      <c r="V20" s="201"/>
      <c r="W20" s="201"/>
      <c r="X20" s="201"/>
      <c r="Y20" s="201"/>
      <c r="Z20" s="201"/>
      <c r="AA20" s="201"/>
      <c r="AB20" s="201"/>
      <c r="AC20" s="201"/>
      <c r="AD20" s="201"/>
      <c r="AE20" s="300" t="str">
        <f ca="1">IF(LEN(R22)&gt;Settings!$C$11,LEFT(R22,Settings!$C$11)&amp;".",R22)</f>
        <v>Inter M.</v>
      </c>
      <c r="AF20" s="301" t="str">
        <f ca="1">IF(LEN(R23)&gt;Settings!$C$11,LEFT(R23,Settings!$C$11)&amp;".",R23)</f>
        <v>SSV Wil.</v>
      </c>
      <c r="AG20" s="301" t="str">
        <f ca="1">IF(LEN(R24)&gt;Settings!$C$11,LEFT(R24,Settings!$C$11)&amp;".",R24)</f>
        <v>FC Grön.</v>
      </c>
      <c r="AH20" s="301" t="str">
        <f ca="1">IF(LEN(R25)&gt;Settings!$C$11,LEFT(R25,Settings!$C$11)&amp;".",R25)</f>
        <v>Mainz 0.</v>
      </c>
      <c r="AI20" s="301" t="str">
        <f ca="1">IF(LEN(R26)&gt;Settings!$C$11,LEFT(R26,Settings!$C$11)&amp;".",R26)</f>
        <v>Manches.</v>
      </c>
      <c r="AJ20" s="302" t="str">
        <f ca="1">IF(LEN(R27)&gt;Settings!$C$11,LEFT(R27,Settings!$C$11)&amp;".",R27)</f>
        <v/>
      </c>
      <c r="AK20" s="202"/>
      <c r="AN20" s="839" t="str">
        <f>Language!$E$16&amp;" B"</f>
        <v>Group B</v>
      </c>
      <c r="AO20" s="839"/>
      <c r="AP20" s="613"/>
      <c r="AQ20" s="617"/>
    </row>
    <row r="21" spans="2:43" ht="24" customHeight="1" thickTop="1" thickBot="1" x14ac:dyDescent="0.25">
      <c r="B21" s="350">
        <f ca="1">Planning!$E15</f>
        <v>10</v>
      </c>
      <c r="C21" s="238">
        <f ca="1">Planning!$F15</f>
        <v>0.44791666666666669</v>
      </c>
      <c r="D21" s="239">
        <f ca="1">Planning!$G15</f>
        <v>1</v>
      </c>
      <c r="E21" s="239" t="str">
        <f ca="1">Planning!$H15</f>
        <v>A</v>
      </c>
      <c r="F21" s="240" t="str">
        <f ca="1">Planning!$L15</f>
        <v>FC Barcelona</v>
      </c>
      <c r="G21" s="241" t="s">
        <v>4</v>
      </c>
      <c r="H21" s="240" t="str">
        <f ca="1">Planning!$N15</f>
        <v>Eintracht Frankfurt</v>
      </c>
      <c r="I21" s="242">
        <v>14</v>
      </c>
      <c r="J21" s="243" t="str">
        <f>Language!$E$96</f>
        <v>-</v>
      </c>
      <c r="K21" s="603">
        <v>25</v>
      </c>
      <c r="L21" s="605">
        <v>25</v>
      </c>
      <c r="M21" s="606" t="str">
        <f>Language!$E$96</f>
        <v>-</v>
      </c>
      <c r="N21" s="244">
        <v>19</v>
      </c>
      <c r="O21" s="780" t="str">
        <f>IF(Planning!$O15="","",Planning!$O15)</f>
        <v/>
      </c>
      <c r="Q21" s="845"/>
      <c r="R21" s="846"/>
      <c r="S21" s="203" t="str">
        <f>Language!$E$21</f>
        <v>Pld</v>
      </c>
      <c r="T21" s="204" t="str">
        <f>Language!$E$22</f>
        <v>W</v>
      </c>
      <c r="U21" s="204" t="str">
        <f>Language!$E$23</f>
        <v>D</v>
      </c>
      <c r="V21" s="289" t="str">
        <f>Language!$E$24</f>
        <v>L</v>
      </c>
      <c r="W21" s="850" t="str">
        <f>Language!$E$25</f>
        <v>sets</v>
      </c>
      <c r="X21" s="851"/>
      <c r="Y21" s="852"/>
      <c r="Z21" s="847" t="str">
        <f>Language!$E$80</f>
        <v>balls</v>
      </c>
      <c r="AA21" s="848"/>
      <c r="AB21" s="849"/>
      <c r="AC21" s="204" t="str">
        <f>IF(Settings!$G$7,Language!$E$26,Language!$E$86)</f>
        <v>Diff.</v>
      </c>
      <c r="AD21" s="206" t="str">
        <f>Language!$E$27</f>
        <v>Pts</v>
      </c>
      <c r="AE21" s="207" t="str">
        <f ca="1">R22</f>
        <v>Inter Mailand</v>
      </c>
      <c r="AF21" s="208" t="str">
        <f ca="1">R23</f>
        <v>SSV Wildbach</v>
      </c>
      <c r="AG21" s="208" t="str">
        <f ca="1">R24</f>
        <v>FC Grönlingen</v>
      </c>
      <c r="AH21" s="208" t="str">
        <f ca="1">R25</f>
        <v>Mainz 05</v>
      </c>
      <c r="AI21" s="208" t="str">
        <f ca="1">R26</f>
        <v>Manchester City</v>
      </c>
      <c r="AJ21" s="587" t="str">
        <f ca="1">R27</f>
        <v/>
      </c>
      <c r="AK21" s="202"/>
      <c r="AN21" s="450" t="str">
        <f>Language!$E$9</f>
        <v>No.</v>
      </c>
      <c r="AO21" s="614" t="str">
        <f>Language!$E$10</f>
        <v>Participant or team</v>
      </c>
      <c r="AP21" s="612"/>
      <c r="AQ21" s="616"/>
    </row>
    <row r="22" spans="2:43" ht="24" customHeight="1" x14ac:dyDescent="0.2">
      <c r="B22" s="350">
        <f ca="1">Planning!$E16</f>
        <v>11</v>
      </c>
      <c r="C22" s="238">
        <f ca="1">Planning!$F16</f>
        <v>0.44791666666666669</v>
      </c>
      <c r="D22" s="239">
        <f ca="1">Planning!$G16</f>
        <v>2</v>
      </c>
      <c r="E22" s="239" t="str">
        <f ca="1">Planning!$H16</f>
        <v>B</v>
      </c>
      <c r="F22" s="240" t="str">
        <f ca="1">Planning!$L16</f>
        <v>Inter Mailand</v>
      </c>
      <c r="G22" s="241" t="s">
        <v>4</v>
      </c>
      <c r="H22" s="240" t="str">
        <f ca="1">Planning!$N16</f>
        <v>SSV Wildbach</v>
      </c>
      <c r="I22" s="242">
        <v>22</v>
      </c>
      <c r="J22" s="243" t="str">
        <f>Language!$E$96</f>
        <v>-</v>
      </c>
      <c r="K22" s="603">
        <v>25</v>
      </c>
      <c r="L22" s="605">
        <v>25</v>
      </c>
      <c r="M22" s="606" t="str">
        <f>Language!$E$96</f>
        <v>-</v>
      </c>
      <c r="N22" s="244">
        <v>20</v>
      </c>
      <c r="O22" s="780" t="str">
        <f>IF(Planning!$O16="","",Planning!$O16)</f>
        <v/>
      </c>
      <c r="Q22" s="383">
        <f ca="1">IF(Calc2!$K$13=0,"",1)</f>
        <v>1</v>
      </c>
      <c r="R22" s="384" t="str">
        <f ca="1">IF(Calc1!$F$14&lt;3,"",IF(Calc2!$K$13=0,Calc2!$Q64,VLOOKUP(Calc2!B4,Calc2!$C$4:$N$12,4,0)))</f>
        <v>Inter Mailand</v>
      </c>
      <c r="S22" s="209">
        <f ca="1">IF(Calc2!$K$13=0,"",VLOOKUP(Calc2!B4,Calc2!$C$4:$N$12,9,0))</f>
        <v>4</v>
      </c>
      <c r="T22" s="210">
        <f ca="1">IF(Calc2!$K$13=0,"",VLOOKUP(Calc2!B4,Calc2!$C$4:$N$12,10,0))</f>
        <v>2</v>
      </c>
      <c r="U22" s="210">
        <f ca="1">IF(Calc2!$K$13=0,"",VLOOKUP(Calc2!B4,Calc2!$C$4:$N$12,11,0))</f>
        <v>2</v>
      </c>
      <c r="V22" s="211">
        <f ca="1">IF(Calc2!$K$13=0,"",VLOOKUP(Calc2!B4,Calc2!$C$4:$N$12,12,0))</f>
        <v>0</v>
      </c>
      <c r="W22" s="212">
        <f t="shared" ref="W22:W27" ca="1" si="2">AD22</f>
        <v>6</v>
      </c>
      <c r="X22" s="213" t="str">
        <f>Language!$E$96</f>
        <v>-</v>
      </c>
      <c r="Y22" s="214">
        <f ca="1">IF(Calc2!$K$13=0,"",VLOOKUP(Calc2!B4,Calc2!$C$4:$AS$12,43,0))</f>
        <v>2</v>
      </c>
      <c r="Z22" s="212">
        <f ca="1">IF(Calc2!$K$13=0,"",VLOOKUP(Calc2!B4,Calc2!$C$4:$N$12,5,0))</f>
        <v>192</v>
      </c>
      <c r="AA22" s="213" t="str">
        <f>Language!$E$96</f>
        <v>-</v>
      </c>
      <c r="AB22" s="214">
        <f ca="1">IF(Calc2!$K$13=0,"",VLOOKUP(Calc2!B4,Calc2!$C$4:$N$12,6,0))</f>
        <v>148</v>
      </c>
      <c r="AC22" s="209">
        <f ca="1">IF(Calc2!$K$13=0,"",IF(VLOOKUP(Calc2!B4,Calc2!$C$4:$AR$12,42,0)=Settings!$F$7,"max",VLOOKUP(Calc2!B4,Calc2!$C$4:$AR$12,42,0)))</f>
        <v>44</v>
      </c>
      <c r="AD22" s="215">
        <f ca="1">IF(Calc2!$K$13=0,"",VLOOKUP(Calc2!B4,Calc2!$C$4:$N$12,8,0))</f>
        <v>6</v>
      </c>
      <c r="AE22" s="216"/>
      <c r="AF22" s="210" t="str">
        <f ca="1">IFERROR(VLOOKUP($R22&amp;AF$21,Calc2!$Z$64:$AI$207,Settings!$G$17,0),"")</f>
        <v>47-45</v>
      </c>
      <c r="AG22" s="210" t="str">
        <f ca="1">IFERROR(VLOOKUP($R22&amp;AG$21,Calc2!$Z$64:$AI$207,Settings!$G$17,0),"")</f>
        <v>45-45</v>
      </c>
      <c r="AH22" s="210" t="str">
        <f ca="1">IFERROR(VLOOKUP($R22&amp;AH$21,Calc2!$Z$64:$AI$207,Settings!$G$17,0),"")</f>
        <v>50-34</v>
      </c>
      <c r="AI22" s="210" t="str">
        <f ca="1">IFERROR(VLOOKUP($R22&amp;AI$21,Calc2!$Z$64:$AI$207,Settings!$G$17,0),"")</f>
        <v>50-24</v>
      </c>
      <c r="AJ22" s="217" t="str">
        <f ca="1">IFERROR(VLOOKUP($R22&amp;AJ$21,Calc2!$Z$64:$AI$207,Settings!$G$17,0),"")</f>
        <v/>
      </c>
      <c r="AK22" s="218" t="str">
        <f t="shared" ref="AK22:AK27" ca="1" si="3">R22</f>
        <v>Inter Mailand</v>
      </c>
      <c r="AN22" s="452" t="s">
        <v>197</v>
      </c>
      <c r="AO22" s="615" t="str">
        <f>IF(Planning!$C24="","",Planning!$C24)</f>
        <v>Mainz 05</v>
      </c>
      <c r="AP22" s="294"/>
      <c r="AQ22" s="618">
        <f>IF($AO22="",0,COUNTIF(TieBreak!$U$12:$U$17,$AO22))</f>
        <v>0</v>
      </c>
    </row>
    <row r="23" spans="2:43" ht="24" customHeight="1" x14ac:dyDescent="0.2">
      <c r="B23" s="350">
        <f ca="1">Planning!$E17</f>
        <v>12</v>
      </c>
      <c r="C23" s="238">
        <f ca="1">Planning!$F17</f>
        <v>0.44791666666666669</v>
      </c>
      <c r="D23" s="239">
        <f ca="1">Planning!$G17</f>
        <v>3</v>
      </c>
      <c r="E23" s="239" t="str">
        <f ca="1">Planning!$H17</f>
        <v>C</v>
      </c>
      <c r="F23" s="240" t="str">
        <f ca="1">Planning!$L17</f>
        <v>Real Madrid</v>
      </c>
      <c r="G23" s="241" t="s">
        <v>4</v>
      </c>
      <c r="H23" s="240" t="str">
        <f ca="1">Planning!$N17</f>
        <v>Borussia Dortmund</v>
      </c>
      <c r="I23" s="242">
        <v>19</v>
      </c>
      <c r="J23" s="243" t="str">
        <f>Language!$E$96</f>
        <v>-</v>
      </c>
      <c r="K23" s="603">
        <v>25</v>
      </c>
      <c r="L23" s="605">
        <v>25</v>
      </c>
      <c r="M23" s="606" t="str">
        <f>Language!$E$96</f>
        <v>-</v>
      </c>
      <c r="N23" s="244">
        <v>21</v>
      </c>
      <c r="O23" s="780" t="str">
        <f>IF(Planning!$O17="","",Planning!$O17)</f>
        <v/>
      </c>
      <c r="Q23" s="385">
        <f ca="1">IF(Calc2!$K$13=0,"",IF(VLOOKUP(Calc2!B5,Calc2!$C$4:$E$12,3,0)=MAX(Q$22:Q22),VLOOKUP(Calc2!B5,Calc2!$C$4:$E$12,3,0),Calc2!B5))</f>
        <v>2</v>
      </c>
      <c r="R23" s="386" t="str">
        <f ca="1">IF(Calc1!$F$14&lt;3,"",IF(Calc2!$K$13=0,Calc2!$Q65,VLOOKUP(Calc2!B5,Calc2!$C$4:$N$12,4,0)))</f>
        <v>SSV Wildbach</v>
      </c>
      <c r="S23" s="219">
        <f ca="1">IF(Calc2!$K$13=0,"",VLOOKUP(Calc2!B5,Calc2!$C$4:$N$12,9,0))</f>
        <v>4</v>
      </c>
      <c r="T23" s="200">
        <f ca="1">IF(Calc2!$K$13=0,"",VLOOKUP(Calc2!B5,Calc2!$C$4:$N$12,10,0))</f>
        <v>2</v>
      </c>
      <c r="U23" s="200">
        <f ca="1">IF(Calc2!$K$13=0,"",VLOOKUP(Calc2!B5,Calc2!$C$4:$N$12,11,0))</f>
        <v>2</v>
      </c>
      <c r="V23" s="220">
        <f ca="1">IF(Calc2!$K$13=0,"",VLOOKUP(Calc2!B5,Calc2!$C$4:$N$12,12,0))</f>
        <v>0</v>
      </c>
      <c r="W23" s="221">
        <f t="shared" ca="1" si="2"/>
        <v>6</v>
      </c>
      <c r="X23" s="222" t="str">
        <f>Language!$E$96</f>
        <v>-</v>
      </c>
      <c r="Y23" s="223">
        <f ca="1">IF(Calc2!$K$13=0,"",VLOOKUP(Calc2!B5,Calc2!$C$4:$AS$12,43,0))</f>
        <v>2</v>
      </c>
      <c r="Z23" s="221">
        <f ca="1">IF(Calc2!$K$13=0,"",VLOOKUP(Calc2!B5,Calc2!$C$4:$N$12,5,0))</f>
        <v>187</v>
      </c>
      <c r="AA23" s="222" t="str">
        <f>Language!$E$96</f>
        <v>-</v>
      </c>
      <c r="AB23" s="223">
        <f ca="1">IF(Calc2!$K$13=0,"",VLOOKUP(Calc2!B5,Calc2!$C$4:$N$12,6,0))</f>
        <v>171</v>
      </c>
      <c r="AC23" s="219">
        <f ca="1">IF(Calc2!$K$13=0,"",IF(VLOOKUP(Calc2!B5,Calc2!$C$4:$AR$12,42,0)=Settings!$F$7,"max",VLOOKUP(Calc2!B5,Calc2!$C$4:$AR$12,42,0)))</f>
        <v>16</v>
      </c>
      <c r="AD23" s="224">
        <f ca="1">IF(Calc2!$K$13=0,"",VLOOKUP(Calc2!B5,Calc2!$C$4:$N$12,8,0))</f>
        <v>6</v>
      </c>
      <c r="AE23" s="225" t="str">
        <f ca="1">IFERROR(VLOOKUP($R23&amp;AE$21,Calc2!$Z$64:$AI$207,Settings!$G$17,0),"")</f>
        <v>45-47</v>
      </c>
      <c r="AF23" s="226"/>
      <c r="AG23" s="200" t="str">
        <f ca="1">IFERROR(VLOOKUP($R23&amp;AG$21,Calc2!$Z$64:$AI$207,Settings!$G$17,0),"")</f>
        <v>50-39</v>
      </c>
      <c r="AH23" s="200" t="str">
        <f ca="1">IFERROR(VLOOKUP($R23&amp;AH$21,Calc2!$Z$64:$AI$207,Settings!$G$17,0),"")</f>
        <v>42-41</v>
      </c>
      <c r="AI23" s="200" t="str">
        <f ca="1">IFERROR(VLOOKUP($R23&amp;AI$21,Calc2!$Z$64:$AI$207,Settings!$G$17,0),"")</f>
        <v>50-44</v>
      </c>
      <c r="AJ23" s="227" t="str">
        <f ca="1">IFERROR(VLOOKUP($R23&amp;AJ$21,Calc2!$Z$64:$AI$207,Settings!$G$17,0),"")</f>
        <v/>
      </c>
      <c r="AK23" s="228" t="str">
        <f t="shared" ca="1" si="3"/>
        <v>SSV Wildbach</v>
      </c>
      <c r="AN23" s="453" t="s">
        <v>199</v>
      </c>
      <c r="AO23" s="386" t="str">
        <f>IF(Planning!$C26="","",Planning!$C26)</f>
        <v>Inter Mailand</v>
      </c>
      <c r="AP23" s="294"/>
      <c r="AQ23" s="619">
        <f>IF($AO23="",0,COUNTIF(TieBreak!$U$12:$U$17,$AO23))</f>
        <v>0</v>
      </c>
    </row>
    <row r="24" spans="2:43" ht="24" customHeight="1" x14ac:dyDescent="0.2">
      <c r="B24" s="350">
        <f ca="1">Planning!$E18</f>
        <v>13</v>
      </c>
      <c r="C24" s="238">
        <f ca="1">Planning!$F18</f>
        <v>0.47222222222222221</v>
      </c>
      <c r="D24" s="239">
        <f ca="1">Planning!$G18</f>
        <v>1</v>
      </c>
      <c r="E24" s="239" t="str">
        <f ca="1">Planning!$H18</f>
        <v>A</v>
      </c>
      <c r="F24" s="240" t="str">
        <f ca="1">Planning!$L18</f>
        <v>1. FC Riedwald</v>
      </c>
      <c r="G24" s="241" t="s">
        <v>4</v>
      </c>
      <c r="H24" s="240" t="str">
        <f ca="1">Planning!$N18</f>
        <v>Maibach 1822 eV</v>
      </c>
      <c r="I24" s="242">
        <v>17</v>
      </c>
      <c r="J24" s="243" t="str">
        <f>Language!$E$96</f>
        <v>-</v>
      </c>
      <c r="K24" s="603">
        <v>25</v>
      </c>
      <c r="L24" s="605">
        <v>12</v>
      </c>
      <c r="M24" s="606" t="str">
        <f>Language!$E$96</f>
        <v>-</v>
      </c>
      <c r="N24" s="244">
        <v>25</v>
      </c>
      <c r="O24" s="780" t="str">
        <f>IF(Planning!$O18="","",Planning!$O18)</f>
        <v/>
      </c>
      <c r="Q24" s="385">
        <f ca="1">IF(Calc2!$K$13=0,"",IF(VLOOKUP(Calc2!B6,Calc2!$C$4:$E$12,3,0)=MAX(Q$22:Q23),VLOOKUP(Calc2!B6,Calc2!$C$4:$E$12,3,0),Calc2!B6))</f>
        <v>3</v>
      </c>
      <c r="R24" s="386" t="str">
        <f ca="1">IF(Calc1!$F$14&lt;3,"",IF(Calc2!$K$13=0,Calc2!$Q66,VLOOKUP(Calc2!B6,Calc2!$C$4:$N$12,4,0)))</f>
        <v>FC Grönlingen</v>
      </c>
      <c r="S24" s="219">
        <f ca="1">IF(Calc2!$K$13=0,"",VLOOKUP(Calc2!B6,Calc2!$C$4:$N$12,9,0))</f>
        <v>4</v>
      </c>
      <c r="T24" s="200">
        <f ca="1">IF(Calc2!$K$13=0,"",VLOOKUP(Calc2!B6,Calc2!$C$4:$N$12,10,0))</f>
        <v>0</v>
      </c>
      <c r="U24" s="200">
        <f ca="1">IF(Calc2!$K$13=0,"",VLOOKUP(Calc2!B6,Calc2!$C$4:$N$12,11,0))</f>
        <v>3</v>
      </c>
      <c r="V24" s="220">
        <f ca="1">IF(Calc2!$K$13=0,"",VLOOKUP(Calc2!B6,Calc2!$C$4:$N$12,12,0))</f>
        <v>1</v>
      </c>
      <c r="W24" s="221">
        <f t="shared" ca="1" si="2"/>
        <v>3</v>
      </c>
      <c r="X24" s="222" t="str">
        <f>Language!$E$96</f>
        <v>-</v>
      </c>
      <c r="Y24" s="223">
        <f ca="1">IF(Calc2!$K$13=0,"",VLOOKUP(Calc2!B6,Calc2!$C$4:$AS$12,43,0))</f>
        <v>5</v>
      </c>
      <c r="Z24" s="221">
        <f ca="1">IF(Calc2!$K$13=0,"",VLOOKUP(Calc2!B6,Calc2!$C$4:$N$12,5,0))</f>
        <v>174</v>
      </c>
      <c r="AA24" s="222" t="str">
        <f>Language!$E$96</f>
        <v>-</v>
      </c>
      <c r="AB24" s="223">
        <f ca="1">IF(Calc2!$K$13=0,"",VLOOKUP(Calc2!B6,Calc2!$C$4:$N$12,6,0))</f>
        <v>181</v>
      </c>
      <c r="AC24" s="219">
        <f ca="1">IF(Calc2!$K$13=0,"",IF(VLOOKUP(Calc2!B6,Calc2!$C$4:$AR$12,42,0)=Settings!$F$7,"max",VLOOKUP(Calc2!B6,Calc2!$C$4:$AR$12,42,0)))</f>
        <v>-7</v>
      </c>
      <c r="AD24" s="224">
        <f ca="1">IF(Calc2!$K$13=0,"",VLOOKUP(Calc2!B6,Calc2!$C$4:$N$12,8,0))</f>
        <v>3</v>
      </c>
      <c r="AE24" s="225" t="str">
        <f ca="1">IFERROR(VLOOKUP($R24&amp;AE$21,Calc2!$Z$64:$AI$207,Settings!$G$17,0),"")</f>
        <v>45-45</v>
      </c>
      <c r="AF24" s="412" t="str">
        <f ca="1">IFERROR(VLOOKUP($R24&amp;AF$21,Calc2!$Z$64:$AI$207,Settings!$G$17,0),"")</f>
        <v>39-50</v>
      </c>
      <c r="AG24" s="226"/>
      <c r="AH24" s="200" t="str">
        <f ca="1">IFERROR(VLOOKUP($R24&amp;AH$21,Calc2!$Z$64:$AI$207,Settings!$G$17,0),"")</f>
        <v>44-42</v>
      </c>
      <c r="AI24" s="200" t="str">
        <f ca="1">IFERROR(VLOOKUP($R24&amp;AI$21,Calc2!$Z$64:$AI$207,Settings!$G$17,0),"")</f>
        <v>46-44</v>
      </c>
      <c r="AJ24" s="227" t="str">
        <f ca="1">IFERROR(VLOOKUP($R24&amp;AJ$21,Calc2!$Z$64:$AI$207,Settings!$G$17,0),"")</f>
        <v/>
      </c>
      <c r="AK24" s="228" t="str">
        <f t="shared" ca="1" si="3"/>
        <v>FC Grönlingen</v>
      </c>
      <c r="AN24" s="453" t="s">
        <v>195</v>
      </c>
      <c r="AO24" s="386" t="str">
        <f>IF(Planning!$C28="","",Planning!$C28)</f>
        <v>SSV Wildbach</v>
      </c>
      <c r="AP24" s="294"/>
      <c r="AQ24" s="619">
        <f>IF($AO24="",0,COUNTIF(TieBreak!$U$12:$U$17,$AO24))</f>
        <v>0</v>
      </c>
    </row>
    <row r="25" spans="2:43" ht="24" customHeight="1" x14ac:dyDescent="0.2">
      <c r="B25" s="350">
        <f ca="1">Planning!$E19</f>
        <v>14</v>
      </c>
      <c r="C25" s="238">
        <f ca="1">Planning!$F19</f>
        <v>0.47222222222222221</v>
      </c>
      <c r="D25" s="239">
        <f ca="1">Planning!$G19</f>
        <v>2</v>
      </c>
      <c r="E25" s="239" t="str">
        <f ca="1">Planning!$H19</f>
        <v>B</v>
      </c>
      <c r="F25" s="240" t="str">
        <f ca="1">Planning!$L19</f>
        <v>Mainz 05</v>
      </c>
      <c r="G25" s="241" t="s">
        <v>4</v>
      </c>
      <c r="H25" s="240" t="str">
        <f ca="1">Planning!$N19</f>
        <v>Manchester City</v>
      </c>
      <c r="I25" s="242">
        <v>14</v>
      </c>
      <c r="J25" s="243" t="str">
        <f>Language!$E$96</f>
        <v>-</v>
      </c>
      <c r="K25" s="603">
        <v>25</v>
      </c>
      <c r="L25" s="605">
        <v>25</v>
      </c>
      <c r="M25" s="606" t="str">
        <f>Language!$E$96</f>
        <v>-</v>
      </c>
      <c r="N25" s="244">
        <v>23</v>
      </c>
      <c r="O25" s="780" t="str">
        <f>IF(Planning!$O19="","",Planning!$O19)</f>
        <v/>
      </c>
      <c r="Q25" s="385">
        <f ca="1">IF(Calc2!$K$13=0,"",IF(VLOOKUP(Calc2!B7,Calc2!$C$4:$E$12,3,0)=MAX(Q$22:Q24),VLOOKUP(Calc2!B7,Calc2!$C$4:$E$12,3,0),Calc2!B7))</f>
        <v>4</v>
      </c>
      <c r="R25" s="386" t="str">
        <f ca="1">IF(Calc1!$F$14&lt;3,"",IF(Calc2!$K$13=0,Calc2!$Q67,VLOOKUP(Calc2!B7,Calc2!$C$4:$N$12,4,0)))</f>
        <v>Mainz 05</v>
      </c>
      <c r="S25" s="219">
        <f ca="1">IF(Calc2!$K$13=0,"",VLOOKUP(Calc2!B7,Calc2!$C$4:$N$12,9,0))</f>
        <v>4</v>
      </c>
      <c r="T25" s="200">
        <f ca="1">IF(Calc2!$K$13=0,"",VLOOKUP(Calc2!B7,Calc2!$C$4:$N$12,10,0))</f>
        <v>0</v>
      </c>
      <c r="U25" s="200">
        <f ca="1">IF(Calc2!$K$13=0,"",VLOOKUP(Calc2!B7,Calc2!$C$4:$N$12,11,0))</f>
        <v>3</v>
      </c>
      <c r="V25" s="220">
        <f ca="1">IF(Calc2!$K$13=0,"",VLOOKUP(Calc2!B7,Calc2!$C$4:$N$12,12,0))</f>
        <v>1</v>
      </c>
      <c r="W25" s="221">
        <f t="shared" ca="1" si="2"/>
        <v>3</v>
      </c>
      <c r="X25" s="222" t="str">
        <f>Language!$E$96</f>
        <v>-</v>
      </c>
      <c r="Y25" s="223">
        <f ca="1">IF(Calc2!$K$13=0,"",VLOOKUP(Calc2!B7,Calc2!$C$4:$AS$12,43,0))</f>
        <v>5</v>
      </c>
      <c r="Z25" s="221">
        <f ca="1">IF(Calc2!$K$13=0,"",VLOOKUP(Calc2!B7,Calc2!$C$4:$N$12,5,0))</f>
        <v>156</v>
      </c>
      <c r="AA25" s="222" t="str">
        <f>Language!$E$96</f>
        <v>-</v>
      </c>
      <c r="AB25" s="223">
        <f ca="1">IF(Calc2!$K$13=0,"",VLOOKUP(Calc2!B7,Calc2!$C$4:$N$12,6,0))</f>
        <v>184</v>
      </c>
      <c r="AC25" s="219">
        <f ca="1">IF(Calc2!$K$13=0,"",IF(VLOOKUP(Calc2!B7,Calc2!$C$4:$AR$12,42,0)=Settings!$F$7,"max",VLOOKUP(Calc2!B7,Calc2!$C$4:$AR$12,42,0)))</f>
        <v>-28</v>
      </c>
      <c r="AD25" s="224">
        <f ca="1">IF(Calc2!$K$13=0,"",VLOOKUP(Calc2!B7,Calc2!$C$4:$N$12,8,0))</f>
        <v>3</v>
      </c>
      <c r="AE25" s="225" t="str">
        <f ca="1">IFERROR(VLOOKUP($R25&amp;AE$21,Calc2!$Z$64:$AI$207,Settings!$G$17,0),"")</f>
        <v>34-50</v>
      </c>
      <c r="AF25" s="412" t="str">
        <f ca="1">IFERROR(VLOOKUP($R25&amp;AF$21,Calc2!$Z$64:$AI$207,Settings!$G$17,0),"")</f>
        <v>41-42</v>
      </c>
      <c r="AG25" s="200" t="str">
        <f ca="1">IFERROR(VLOOKUP($R25&amp;AG$21,Calc2!$Z$64:$AI$207,Settings!$G$17,0),"")</f>
        <v>42-44</v>
      </c>
      <c r="AH25" s="226"/>
      <c r="AI25" s="200" t="str">
        <f ca="1">IFERROR(VLOOKUP($R25&amp;AI$21,Calc2!$Z$64:$AI$207,Settings!$G$17,0),"")</f>
        <v>39-48</v>
      </c>
      <c r="AJ25" s="227" t="str">
        <f ca="1">IFERROR(VLOOKUP($R25&amp;AJ$21,Calc2!$Z$64:$AI$207,Settings!$G$17,0),"")</f>
        <v/>
      </c>
      <c r="AK25" s="228" t="str">
        <f t="shared" ca="1" si="3"/>
        <v>Mainz 05</v>
      </c>
      <c r="AN25" s="453" t="s">
        <v>201</v>
      </c>
      <c r="AO25" s="386" t="str">
        <f>IF(Planning!$C30="","",Planning!$C30)</f>
        <v>Manchester City</v>
      </c>
      <c r="AP25" s="294"/>
      <c r="AQ25" s="619">
        <f>IF($AO25="",0,COUNTIF(TieBreak!$U$12:$U$17,$AO25))</f>
        <v>0</v>
      </c>
    </row>
    <row r="26" spans="2:43" ht="24" customHeight="1" x14ac:dyDescent="0.2">
      <c r="B26" s="350">
        <f ca="1">Planning!$E20</f>
        <v>15</v>
      </c>
      <c r="C26" s="238">
        <f ca="1">Planning!$F20</f>
        <v>0.47222222222222221</v>
      </c>
      <c r="D26" s="239">
        <f ca="1">Planning!$G20</f>
        <v>3</v>
      </c>
      <c r="E26" s="239" t="str">
        <f ca="1">Planning!$H20</f>
        <v>C</v>
      </c>
      <c r="F26" s="240" t="str">
        <f ca="1">Planning!$L20</f>
        <v>Kickers Rodendorf</v>
      </c>
      <c r="G26" s="241" t="s">
        <v>4</v>
      </c>
      <c r="H26" s="240" t="str">
        <f ca="1">Planning!$N20</f>
        <v>FSV Rauen</v>
      </c>
      <c r="I26" s="242">
        <v>21</v>
      </c>
      <c r="J26" s="243" t="str">
        <f>Language!$E$96</f>
        <v>-</v>
      </c>
      <c r="K26" s="603">
        <v>25</v>
      </c>
      <c r="L26" s="605">
        <v>25</v>
      </c>
      <c r="M26" s="606" t="str">
        <f>Language!$E$96</f>
        <v>-</v>
      </c>
      <c r="N26" s="244">
        <v>17</v>
      </c>
      <c r="O26" s="780" t="str">
        <f>IF(Planning!$O20="","",Planning!$O20)</f>
        <v/>
      </c>
      <c r="Q26" s="385">
        <f ca="1">IF(Calc2!$K$13=0,"",IF(VLOOKUP(Calc2!B8,Calc2!$C$4:$E$12,3,0)=MAX(Q$22:Q25),VLOOKUP(Calc2!B8,Calc2!$C$4:$E$12,3,0),Calc2!B8))</f>
        <v>5</v>
      </c>
      <c r="R26" s="386" t="str">
        <f ca="1">IF(Calc1!$F$14&lt;3,"",IF(Calc2!$K$13=0,Calc2!$Q68,VLOOKUP(Calc2!B8,Calc2!$C$4:$N$12,4,0)))</f>
        <v>Manchester City</v>
      </c>
      <c r="S26" s="219">
        <f ca="1">IF(Calc2!$K$13=0,"",VLOOKUP(Calc2!B8,Calc2!$C$4:$N$12,9,0))</f>
        <v>4</v>
      </c>
      <c r="T26" s="200">
        <f ca="1">IF(Calc2!$K$13=0,"",VLOOKUP(Calc2!B8,Calc2!$C$4:$N$12,10,0))</f>
        <v>0</v>
      </c>
      <c r="U26" s="200">
        <f ca="1">IF(Calc2!$K$13=0,"",VLOOKUP(Calc2!B8,Calc2!$C$4:$N$12,11,0))</f>
        <v>2</v>
      </c>
      <c r="V26" s="220">
        <f ca="1">IF(Calc2!$K$13=0,"",VLOOKUP(Calc2!B8,Calc2!$C$4:$N$12,12,0))</f>
        <v>2</v>
      </c>
      <c r="W26" s="221">
        <f t="shared" ca="1" si="2"/>
        <v>2</v>
      </c>
      <c r="X26" s="222" t="str">
        <f>Language!$E$96</f>
        <v>-</v>
      </c>
      <c r="Y26" s="223">
        <f ca="1">IF(Calc2!$K$13=0,"",VLOOKUP(Calc2!B8,Calc2!$C$4:$AS$12,43,0))</f>
        <v>6</v>
      </c>
      <c r="Z26" s="221">
        <f ca="1">IF(Calc2!$K$13=0,"",VLOOKUP(Calc2!B8,Calc2!$C$4:$N$12,5,0))</f>
        <v>160</v>
      </c>
      <c r="AA26" s="222" t="str">
        <f>Language!$E$96</f>
        <v>-</v>
      </c>
      <c r="AB26" s="223">
        <f ca="1">IF(Calc2!$K$13=0,"",VLOOKUP(Calc2!B8,Calc2!$C$4:$N$12,6,0))</f>
        <v>185</v>
      </c>
      <c r="AC26" s="219">
        <f ca="1">IF(Calc2!$K$13=0,"",IF(VLOOKUP(Calc2!B8,Calc2!$C$4:$AR$12,42,0)=Settings!$F$7,"max",VLOOKUP(Calc2!B8,Calc2!$C$4:$AR$12,42,0)))</f>
        <v>-25</v>
      </c>
      <c r="AD26" s="224">
        <f ca="1">IF(Calc2!$K$13=0,"",VLOOKUP(Calc2!B8,Calc2!$C$4:$N$12,8,0))</f>
        <v>2</v>
      </c>
      <c r="AE26" s="225" t="str">
        <f ca="1">IFERROR(VLOOKUP($R26&amp;AE$21,Calc2!$Z$64:$AI$207,Settings!$G$17,0),"")</f>
        <v>24-50</v>
      </c>
      <c r="AF26" s="412" t="str">
        <f ca="1">IFERROR(VLOOKUP($R26&amp;AF$21,Calc2!$Z$64:$AI$207,Settings!$G$17,0),"")</f>
        <v>44-50</v>
      </c>
      <c r="AG26" s="200" t="str">
        <f ca="1">IFERROR(VLOOKUP($R26&amp;AG$21,Calc2!$Z$64:$AI$207,Settings!$G$17,0),"")</f>
        <v>44-46</v>
      </c>
      <c r="AH26" s="200" t="str">
        <f ca="1">IFERROR(VLOOKUP($R26&amp;AH$21,Calc2!$Z$64:$AI$207,Settings!$G$17,0),"")</f>
        <v>48-39</v>
      </c>
      <c r="AI26" s="226"/>
      <c r="AJ26" s="227" t="str">
        <f ca="1">IFERROR(VLOOKUP($R26&amp;AJ$21,Calc2!$Z$64:$AI$207,Settings!$G$17,0),"")</f>
        <v/>
      </c>
      <c r="AK26" s="228" t="str">
        <f t="shared" ca="1" si="3"/>
        <v>Manchester City</v>
      </c>
      <c r="AN26" s="453" t="s">
        <v>203</v>
      </c>
      <c r="AO26" s="386" t="str">
        <f>IF(Planning!$C32="","",Planning!$C32)</f>
        <v>FC Grönlingen</v>
      </c>
      <c r="AP26" s="294"/>
      <c r="AQ26" s="619">
        <f>IF($AO26="",0,COUNTIF(TieBreak!$U$12:$U$17,$AO26))</f>
        <v>0</v>
      </c>
    </row>
    <row r="27" spans="2:43" ht="24" customHeight="1" thickBot="1" x14ac:dyDescent="0.25">
      <c r="B27" s="350">
        <f ca="1">Planning!$E21</f>
        <v>16</v>
      </c>
      <c r="C27" s="238">
        <f ca="1">Planning!$F21</f>
        <v>0.49652777777777779</v>
      </c>
      <c r="D27" s="239">
        <f ca="1">Planning!$G21</f>
        <v>1</v>
      </c>
      <c r="E27" s="239" t="str">
        <f ca="1">Planning!$H21</f>
        <v>A</v>
      </c>
      <c r="F27" s="240" t="str">
        <f ca="1">Planning!$L21</f>
        <v>Eintracht Frankfurt</v>
      </c>
      <c r="G27" s="241" t="s">
        <v>4</v>
      </c>
      <c r="H27" s="240" t="str">
        <f ca="1">Planning!$N21</f>
        <v>VFB Essenheim</v>
      </c>
      <c r="I27" s="242">
        <v>20</v>
      </c>
      <c r="J27" s="243" t="str">
        <f>Language!$E$96</f>
        <v>-</v>
      </c>
      <c r="K27" s="603">
        <v>25</v>
      </c>
      <c r="L27" s="605">
        <v>18</v>
      </c>
      <c r="M27" s="606" t="str">
        <f>Language!$E$96</f>
        <v>-</v>
      </c>
      <c r="N27" s="244">
        <v>25</v>
      </c>
      <c r="O27" s="780" t="str">
        <f>IF(Planning!$O21="","",Planning!$O21)</f>
        <v/>
      </c>
      <c r="Q27" s="387">
        <f ca="1">IF(Calc2!$K$13=0,"",IF(VLOOKUP(Calc2!B9,Calc2!$C$4:$E$12,3,0)=MAX(Q$22:Q26),VLOOKUP(Calc2!B9,Calc2!$C$4:$E$12,3,0),Calc2!B9))</f>
        <v>6</v>
      </c>
      <c r="R27" s="388" t="str">
        <f ca="1">IF(Calc1!$F$14&lt;3,"",IF(Calc2!$K$13=0,Calc2!$Q69,VLOOKUP(Calc2!B9,Calc2!$C$4:$N$12,4,0)))</f>
        <v/>
      </c>
      <c r="S27" s="229">
        <f ca="1">IF(Calc2!$K$13=0,"",VLOOKUP(Calc2!B9,Calc2!$C$4:$N$12,9,0))</f>
        <v>0</v>
      </c>
      <c r="T27" s="230">
        <f ca="1">IF(Calc2!$K$13=0,"",VLOOKUP(Calc2!B9,Calc2!$C$4:$N$12,10,0))</f>
        <v>0</v>
      </c>
      <c r="U27" s="230">
        <f ca="1">IF(Calc2!$K$13=0,"",VLOOKUP(Calc2!B9,Calc2!$C$4:$N$12,11,0))</f>
        <v>0</v>
      </c>
      <c r="V27" s="231">
        <f ca="1">IF(Calc2!$K$13=0,"",VLOOKUP(Calc2!B9,Calc2!$C$4:$N$12,12,0))</f>
        <v>0</v>
      </c>
      <c r="W27" s="232">
        <f t="shared" ca="1" si="2"/>
        <v>0</v>
      </c>
      <c r="X27" s="233" t="str">
        <f>Language!$E$96</f>
        <v>-</v>
      </c>
      <c r="Y27" s="234">
        <f ca="1">IF(Calc2!$K$13=0,"",VLOOKUP(Calc2!B9,Calc2!$C$4:$AS$12,43,0))</f>
        <v>0</v>
      </c>
      <c r="Z27" s="232">
        <f ca="1">IF(Calc2!$K$13=0,"",VLOOKUP(Calc2!B9,Calc2!$C$4:$N$12,5,0))</f>
        <v>0</v>
      </c>
      <c r="AA27" s="233" t="str">
        <f>Language!$E$96</f>
        <v>-</v>
      </c>
      <c r="AB27" s="234">
        <f ca="1">IF(Calc2!$K$13=0,"",VLOOKUP(Calc2!B9,Calc2!$C$4:$N$12,6,0))</f>
        <v>0</v>
      </c>
      <c r="AC27" s="229">
        <f ca="1">IF(Calc2!$K$13=0,"",IF(VLOOKUP(Calc2!B9,Calc2!$C$4:$AR$12,42,0)=Settings!$F$7,"max",VLOOKUP(Calc2!B9,Calc2!$C$4:$AR$12,42,0)))</f>
        <v>0</v>
      </c>
      <c r="AD27" s="235">
        <f ca="1">IF(Calc2!$K$13=0,"",VLOOKUP(Calc2!B9,Calc2!$C$4:$N$12,8,0))</f>
        <v>0</v>
      </c>
      <c r="AE27" s="236" t="str">
        <f ca="1">IFERROR(VLOOKUP($R27&amp;AE$21,Calc2!$Z$64:$AI$207,Settings!$G$17,0),"")</f>
        <v/>
      </c>
      <c r="AF27" s="230" t="str">
        <f ca="1">IFERROR(VLOOKUP($R27&amp;AF$21,Calc2!$Z$64:$AI$207,Settings!$G$17,0),"")</f>
        <v/>
      </c>
      <c r="AG27" s="230" t="str">
        <f ca="1">IFERROR(VLOOKUP($R27&amp;AG$21,Calc2!$Z$64:$AI$207,Settings!$G$17,0),"")</f>
        <v/>
      </c>
      <c r="AH27" s="230" t="str">
        <f ca="1">IFERROR(VLOOKUP($R27&amp;AH$21,Calc2!$Z$64:$AI$207,Settings!$G$17,0),"")</f>
        <v/>
      </c>
      <c r="AI27" s="230" t="str">
        <f ca="1">IFERROR(VLOOKUP($R27&amp;AI$21,Calc2!$Z$64:$AI$207,Settings!$G$17,0),"")</f>
        <v/>
      </c>
      <c r="AJ27" s="237"/>
      <c r="AK27" s="320" t="str">
        <f t="shared" ca="1" si="3"/>
        <v/>
      </c>
      <c r="AN27" s="454" t="s">
        <v>205</v>
      </c>
      <c r="AO27" s="388" t="str">
        <f>IF(Planning!$C34="","",Planning!$C34)</f>
        <v/>
      </c>
      <c r="AP27" s="294"/>
      <c r="AQ27" s="620">
        <f>IF($AO27="",0,COUNTIF(TieBreak!$U$12:$U$17,$AO27))</f>
        <v>0</v>
      </c>
    </row>
    <row r="28" spans="2:43" ht="24" customHeight="1" thickTop="1" x14ac:dyDescent="0.2">
      <c r="B28" s="350">
        <f ca="1">Planning!$E22</f>
        <v>17</v>
      </c>
      <c r="C28" s="238">
        <f ca="1">Planning!$F22</f>
        <v>0.49652777777777779</v>
      </c>
      <c r="D28" s="239">
        <f ca="1">Planning!$G22</f>
        <v>2</v>
      </c>
      <c r="E28" s="239" t="str">
        <f ca="1">Planning!$H22</f>
        <v>B</v>
      </c>
      <c r="F28" s="240" t="str">
        <f ca="1">Planning!$L22</f>
        <v>SSV Wildbach</v>
      </c>
      <c r="G28" s="241" t="s">
        <v>4</v>
      </c>
      <c r="H28" s="240" t="str">
        <f ca="1">Planning!$N22</f>
        <v>FC Grönlingen</v>
      </c>
      <c r="I28" s="242">
        <v>25</v>
      </c>
      <c r="J28" s="243" t="str">
        <f>Language!$E$96</f>
        <v>-</v>
      </c>
      <c r="K28" s="603">
        <v>20</v>
      </c>
      <c r="L28" s="605">
        <v>25</v>
      </c>
      <c r="M28" s="606" t="str">
        <f>Language!$E$96</f>
        <v>-</v>
      </c>
      <c r="N28" s="244">
        <v>19</v>
      </c>
      <c r="O28" s="780" t="str">
        <f>IF(Planning!$O22="","",Planning!$O22)</f>
        <v/>
      </c>
      <c r="AP28" s="292"/>
      <c r="AQ28" s="617"/>
    </row>
    <row r="29" spans="2:43" ht="24" customHeight="1" thickBot="1" x14ac:dyDescent="0.25">
      <c r="B29" s="350">
        <f ca="1">Planning!$E23</f>
        <v>18</v>
      </c>
      <c r="C29" s="238">
        <f ca="1">Planning!$F23</f>
        <v>0.49652777777777779</v>
      </c>
      <c r="D29" s="239">
        <f ca="1">Planning!$G23</f>
        <v>3</v>
      </c>
      <c r="E29" s="239" t="str">
        <f ca="1">Planning!$H23</f>
        <v>C</v>
      </c>
      <c r="F29" s="240" t="str">
        <f ca="1">Planning!$L23</f>
        <v>Borussia Dortmund</v>
      </c>
      <c r="G29" s="241" t="s">
        <v>4</v>
      </c>
      <c r="H29" s="240" t="str">
        <f ca="1">Planning!$N23</f>
        <v>1. FC Nürnberg</v>
      </c>
      <c r="I29" s="242">
        <v>25</v>
      </c>
      <c r="J29" s="243" t="str">
        <f>Language!$E$96</f>
        <v>-</v>
      </c>
      <c r="K29" s="603">
        <v>2</v>
      </c>
      <c r="L29" s="605">
        <v>25</v>
      </c>
      <c r="M29" s="606" t="str">
        <f>Language!$E$96</f>
        <v>-</v>
      </c>
      <c r="N29" s="244">
        <v>20</v>
      </c>
      <c r="O29" s="780" t="str">
        <f>IF(Planning!$O23="","",Planning!$O23)</f>
        <v/>
      </c>
      <c r="Q29" s="292"/>
      <c r="R29" s="292"/>
      <c r="S29" s="292"/>
      <c r="T29" s="292"/>
      <c r="U29" s="292"/>
      <c r="V29" s="292"/>
      <c r="W29" s="292"/>
      <c r="X29" s="292"/>
      <c r="Y29" s="292"/>
      <c r="Z29" s="292"/>
      <c r="AA29" s="292"/>
      <c r="AB29" s="292"/>
      <c r="AC29" s="292"/>
      <c r="AD29" s="292"/>
      <c r="AE29" s="292"/>
      <c r="AF29" s="292"/>
      <c r="AG29" s="292"/>
      <c r="AH29" s="292"/>
      <c r="AI29" s="292"/>
      <c r="AJ29" s="292"/>
      <c r="AK29" s="292"/>
      <c r="AP29" s="292"/>
      <c r="AQ29" s="617"/>
    </row>
    <row r="30" spans="2:43" ht="24" customHeight="1" thickBot="1" x14ac:dyDescent="0.45">
      <c r="B30" s="350">
        <f ca="1">Planning!$E24</f>
        <v>19</v>
      </c>
      <c r="C30" s="238">
        <f ca="1">Planning!$F24</f>
        <v>0.52083333333333337</v>
      </c>
      <c r="D30" s="239">
        <f ca="1">Planning!$G24</f>
        <v>1</v>
      </c>
      <c r="E30" s="239" t="str">
        <f ca="1">Planning!$H24</f>
        <v>A</v>
      </c>
      <c r="F30" s="240" t="str">
        <f ca="1">Planning!$L24</f>
        <v>FC Barcelona</v>
      </c>
      <c r="G30" s="241" t="s">
        <v>4</v>
      </c>
      <c r="H30" s="240" t="str">
        <f ca="1">Planning!$N24</f>
        <v>Maibach 1822 eV</v>
      </c>
      <c r="I30" s="242">
        <v>25</v>
      </c>
      <c r="J30" s="243" t="str">
        <f>Language!$E$96</f>
        <v>-</v>
      </c>
      <c r="K30" s="603">
        <v>16</v>
      </c>
      <c r="L30" s="605">
        <v>25</v>
      </c>
      <c r="M30" s="606" t="str">
        <f>Language!$E$96</f>
        <v>-</v>
      </c>
      <c r="N30" s="244">
        <v>21</v>
      </c>
      <c r="O30" s="780" t="str">
        <f>IF(Planning!$O24="","",Planning!$O24)</f>
        <v/>
      </c>
      <c r="Q30" s="839" t="str">
        <f>Language!$E$16&amp;" C"</f>
        <v>Group C</v>
      </c>
      <c r="R30" s="839"/>
      <c r="S30" s="201"/>
      <c r="T30" s="201"/>
      <c r="U30" s="201"/>
      <c r="V30" s="201"/>
      <c r="W30" s="201"/>
      <c r="X30" s="201"/>
      <c r="Y30" s="201"/>
      <c r="Z30" s="201"/>
      <c r="AA30" s="201"/>
      <c r="AB30" s="201"/>
      <c r="AC30" s="201"/>
      <c r="AD30" s="201"/>
      <c r="AE30" s="300" t="str">
        <f ca="1">IF(LEN(R32)&gt;Settings!$C$11,LEFT(R32,Settings!$C$11)&amp;".",R32)</f>
        <v>Borussi.</v>
      </c>
      <c r="AF30" s="301" t="str">
        <f ca="1">IF(LEN(R33)&gt;Settings!$C$11,LEFT(R33,Settings!$C$11)&amp;".",R33)</f>
        <v>1. FC N.</v>
      </c>
      <c r="AG30" s="301" t="str">
        <f ca="1">IF(LEN(R34)&gt;Settings!$C$11,LEFT(R34,Settings!$C$11)&amp;".",R34)</f>
        <v>Real Ma.</v>
      </c>
      <c r="AH30" s="301" t="str">
        <f ca="1">IF(LEN(R35)&gt;Settings!$C$11,LEFT(R35,Settings!$C$11)&amp;".",R35)</f>
        <v>Kickers.</v>
      </c>
      <c r="AI30" s="301" t="str">
        <f ca="1">IF(LEN(R36)&gt;Settings!$C$11,LEFT(R36,Settings!$C$11)&amp;".",R36)</f>
        <v>FSV Rau.</v>
      </c>
      <c r="AJ30" s="302" t="str">
        <f ca="1">IF(LEN(R37)&gt;Settings!$C$11,LEFT(R37,Settings!$C$11)&amp;".",R37)</f>
        <v/>
      </c>
      <c r="AK30" s="202"/>
      <c r="AN30" s="839" t="str">
        <f>Language!$E$16&amp;" C"</f>
        <v>Group C</v>
      </c>
      <c r="AO30" s="839"/>
      <c r="AP30" s="613"/>
      <c r="AQ30" s="617"/>
    </row>
    <row r="31" spans="2:43" ht="24" customHeight="1" thickTop="1" thickBot="1" x14ac:dyDescent="0.25">
      <c r="B31" s="350">
        <f ca="1">Planning!$E25</f>
        <v>20</v>
      </c>
      <c r="C31" s="238">
        <f ca="1">Planning!$F25</f>
        <v>0.52083333333333337</v>
      </c>
      <c r="D31" s="239">
        <f ca="1">Planning!$G25</f>
        <v>2</v>
      </c>
      <c r="E31" s="239" t="str">
        <f ca="1">Planning!$H25</f>
        <v>B</v>
      </c>
      <c r="F31" s="240" t="str">
        <f ca="1">Planning!$L25</f>
        <v>Inter Mailand</v>
      </c>
      <c r="G31" s="241" t="s">
        <v>4</v>
      </c>
      <c r="H31" s="240" t="str">
        <f ca="1">Planning!$N25</f>
        <v>Manchester City</v>
      </c>
      <c r="I31" s="242">
        <v>25</v>
      </c>
      <c r="J31" s="243" t="str">
        <f>Language!$E$96</f>
        <v>-</v>
      </c>
      <c r="K31" s="603">
        <v>2</v>
      </c>
      <c r="L31" s="605">
        <v>25</v>
      </c>
      <c r="M31" s="606" t="str">
        <f>Language!$E$96</f>
        <v>-</v>
      </c>
      <c r="N31" s="244">
        <v>22</v>
      </c>
      <c r="O31" s="780" t="str">
        <f>IF(Planning!$O25="","",Planning!$O25)</f>
        <v/>
      </c>
      <c r="Q31" s="845"/>
      <c r="R31" s="846"/>
      <c r="S31" s="203" t="str">
        <f>Language!$E$21</f>
        <v>Pld</v>
      </c>
      <c r="T31" s="204" t="str">
        <f>Language!$E$22</f>
        <v>W</v>
      </c>
      <c r="U31" s="204" t="str">
        <f>Language!$E$23</f>
        <v>D</v>
      </c>
      <c r="V31" s="411" t="str">
        <f>Language!$E$24</f>
        <v>L</v>
      </c>
      <c r="W31" s="850" t="str">
        <f>Language!$E$25</f>
        <v>sets</v>
      </c>
      <c r="X31" s="851"/>
      <c r="Y31" s="852"/>
      <c r="Z31" s="847" t="str">
        <f>Language!$E$80</f>
        <v>balls</v>
      </c>
      <c r="AA31" s="848"/>
      <c r="AB31" s="849"/>
      <c r="AC31" s="204" t="str">
        <f>IF(Settings!$G$7,Language!$E$26,Language!$E$86)</f>
        <v>Diff.</v>
      </c>
      <c r="AD31" s="206" t="str">
        <f>Language!$E$27</f>
        <v>Pts</v>
      </c>
      <c r="AE31" s="207" t="str">
        <f ca="1">R32</f>
        <v>Borussia Dortmund</v>
      </c>
      <c r="AF31" s="208" t="str">
        <f ca="1">R33</f>
        <v>1. FC Nürnberg</v>
      </c>
      <c r="AG31" s="208" t="str">
        <f ca="1">R34</f>
        <v>Real Madrid</v>
      </c>
      <c r="AH31" s="208" t="str">
        <f ca="1">R35</f>
        <v>Kickers Rodendorf</v>
      </c>
      <c r="AI31" s="208" t="str">
        <f ca="1">R36</f>
        <v>FSV Rauen</v>
      </c>
      <c r="AJ31" s="587" t="str">
        <f ca="1">R37</f>
        <v/>
      </c>
      <c r="AK31" s="202"/>
      <c r="AN31" s="450" t="str">
        <f>Language!$E$9</f>
        <v>No.</v>
      </c>
      <c r="AO31" s="614" t="str">
        <f>Language!$E$10</f>
        <v>Participant or team</v>
      </c>
      <c r="AP31" s="612"/>
      <c r="AQ31" s="616"/>
    </row>
    <row r="32" spans="2:43" ht="24" customHeight="1" x14ac:dyDescent="0.2">
      <c r="B32" s="350">
        <f ca="1">Planning!$E26</f>
        <v>21</v>
      </c>
      <c r="C32" s="238">
        <f ca="1">Planning!$F26</f>
        <v>0.52083333333333337</v>
      </c>
      <c r="D32" s="239">
        <f ca="1">Planning!$G26</f>
        <v>3</v>
      </c>
      <c r="E32" s="239" t="str">
        <f ca="1">Planning!$H26</f>
        <v>C</v>
      </c>
      <c r="F32" s="240" t="str">
        <f ca="1">Planning!$L26</f>
        <v>Real Madrid</v>
      </c>
      <c r="G32" s="241" t="s">
        <v>4</v>
      </c>
      <c r="H32" s="240" t="str">
        <f ca="1">Planning!$N26</f>
        <v>FSV Rauen</v>
      </c>
      <c r="I32" s="242">
        <v>13</v>
      </c>
      <c r="J32" s="243" t="str">
        <f>Language!$E$96</f>
        <v>-</v>
      </c>
      <c r="K32" s="603">
        <v>25</v>
      </c>
      <c r="L32" s="605">
        <v>25</v>
      </c>
      <c r="M32" s="606" t="str">
        <f>Language!$E$96</f>
        <v>-</v>
      </c>
      <c r="N32" s="244">
        <v>11</v>
      </c>
      <c r="O32" s="780" t="str">
        <f>IF(Planning!$O26="","",Planning!$O26)</f>
        <v/>
      </c>
      <c r="Q32" s="383">
        <f ca="1">IF(Calc3!$K$13=0,"",1)</f>
        <v>1</v>
      </c>
      <c r="R32" s="384" t="str">
        <f ca="1">IF(Calc1!$F$14&lt;3,"",IF(Calc3!$K$13=0,Calc3!$Q64,VLOOKUP(Calc3!B4,Calc3!$C$4:$N$12,4,0)))</f>
        <v>Borussia Dortmund</v>
      </c>
      <c r="S32" s="209">
        <f ca="1">IF(Calc3!$K$13=0,"",VLOOKUP(Calc3!B4,Calc3!$C$4:$N$12,9,0))</f>
        <v>4</v>
      </c>
      <c r="T32" s="210">
        <f ca="1">IF(Calc3!$K$13=0,"",VLOOKUP(Calc3!B4,Calc3!$C$4:$N$12,10,0))</f>
        <v>3</v>
      </c>
      <c r="U32" s="210">
        <f ca="1">IF(Calc3!$K$13=0,"",VLOOKUP(Calc3!B4,Calc3!$C$4:$N$12,11,0))</f>
        <v>1</v>
      </c>
      <c r="V32" s="211">
        <f ca="1">IF(Calc3!$K$13=0,"",VLOOKUP(Calc3!B4,Calc3!$C$4:$N$12,12,0))</f>
        <v>0</v>
      </c>
      <c r="W32" s="212">
        <f t="shared" ref="W32:W37" ca="1" si="4">AD32</f>
        <v>7</v>
      </c>
      <c r="X32" s="213" t="str">
        <f>Language!$E$96</f>
        <v>-</v>
      </c>
      <c r="Y32" s="214">
        <f ca="1">IF(Calc3!$K$13=0,"",VLOOKUP(Calc3!B4,Calc3!$C$4:$AS$12,43,0))</f>
        <v>1</v>
      </c>
      <c r="Z32" s="212">
        <f ca="1">IF(Calc3!$K$13=0,"",VLOOKUP(Calc3!B4,Calc3!$C$4:$N$12,5,0))</f>
        <v>196</v>
      </c>
      <c r="AA32" s="213" t="str">
        <f>Language!$E$96</f>
        <v>-</v>
      </c>
      <c r="AB32" s="214">
        <f ca="1">IF(Calc3!$K$13=0,"",VLOOKUP(Calc3!B4,Calc3!$C$4:$N$12,6,0))</f>
        <v>138</v>
      </c>
      <c r="AC32" s="209">
        <f ca="1">IF(Calc3!$K$13=0,"",IF(VLOOKUP(Calc3!B4,Calc3!$C$4:$AR$12,42,0)=Settings!$F$7,"max",VLOOKUP(Calc3!B4,Calc3!$C$4:$AR$12,42,0)))</f>
        <v>58</v>
      </c>
      <c r="AD32" s="215">
        <f ca="1">IF(Calc3!$K$13=0,"",VLOOKUP(Calc3!B4,Calc3!$C$4:$N$12,8,0))</f>
        <v>7</v>
      </c>
      <c r="AE32" s="216"/>
      <c r="AF32" s="210" t="str">
        <f ca="1">IFERROR(VLOOKUP($R32&amp;AF$31,Calc3!$Z$64:$AI$207,Settings!$G$17,0),"")</f>
        <v>50-22</v>
      </c>
      <c r="AG32" s="210" t="str">
        <f ca="1">IFERROR(VLOOKUP($R32&amp;AG$31,Calc3!$Z$64:$AI$207,Settings!$G$17,0),"")</f>
        <v>46-44</v>
      </c>
      <c r="AH32" s="210" t="str">
        <f ca="1">IFERROR(VLOOKUP($R32&amp;AH$31,Calc3!$Z$64:$AI$207,Settings!$G$17,0),"")</f>
        <v>50-33</v>
      </c>
      <c r="AI32" s="210" t="str">
        <f ca="1">IFERROR(VLOOKUP($R32&amp;AI$31,Calc3!$Z$64:$AI$207,Settings!$G$17,0),"")</f>
        <v>50-39</v>
      </c>
      <c r="AJ32" s="217" t="str">
        <f ca="1">IFERROR(VLOOKUP($R32&amp;AJ$31,Calc3!$Z$64:$AI$207,Settings!$G$17,0),"")</f>
        <v/>
      </c>
      <c r="AK32" s="218" t="str">
        <f t="shared" ref="AK32:AK37" ca="1" si="5">R32</f>
        <v>Borussia Dortmund</v>
      </c>
      <c r="AN32" s="452" t="s">
        <v>268</v>
      </c>
      <c r="AO32" s="615" t="str">
        <f>IF(Planning!$C41="","",Planning!$C41)</f>
        <v>Kickers Rodendorf</v>
      </c>
      <c r="AP32" s="294"/>
      <c r="AQ32" s="618">
        <f>IF($AO32="",0,COUNTIF(TieBreak!$U$12:$U$17,$AO32))</f>
        <v>0</v>
      </c>
    </row>
    <row r="33" spans="2:43" ht="24" customHeight="1" x14ac:dyDescent="0.2">
      <c r="B33" s="350">
        <f ca="1">Planning!$E27</f>
        <v>22</v>
      </c>
      <c r="C33" s="238">
        <f ca="1">Planning!$F27</f>
        <v>0.54513888888888884</v>
      </c>
      <c r="D33" s="239">
        <f ca="1">Planning!$G27</f>
        <v>1</v>
      </c>
      <c r="E33" s="239" t="str">
        <f ca="1">Planning!$H27</f>
        <v>A</v>
      </c>
      <c r="F33" s="240" t="str">
        <f ca="1">Planning!$L27</f>
        <v>Eintracht Frankfurt</v>
      </c>
      <c r="G33" s="241" t="s">
        <v>4</v>
      </c>
      <c r="H33" s="240" t="str">
        <f ca="1">Planning!$N27</f>
        <v>1. FC Riedwald</v>
      </c>
      <c r="I33" s="242">
        <v>19</v>
      </c>
      <c r="J33" s="243" t="str">
        <f>Language!$E$96</f>
        <v>-</v>
      </c>
      <c r="K33" s="603">
        <v>25</v>
      </c>
      <c r="L33" s="605">
        <v>25</v>
      </c>
      <c r="M33" s="606" t="str">
        <f>Language!$E$96</f>
        <v>-</v>
      </c>
      <c r="N33" s="244">
        <v>17</v>
      </c>
      <c r="O33" s="780" t="str">
        <f>IF(Planning!$O27="","",Planning!$O27)</f>
        <v/>
      </c>
      <c r="Q33" s="385">
        <f ca="1">IF(Calc3!$K$13=0,"",IF(VLOOKUP(Calc3!B5,Calc3!$C$4:$E$12,3,0)=MAX(Q$32:Q32),VLOOKUP(Calc3!B5,Calc3!$C$4:$E$12,3,0),Calc3!B5))</f>
        <v>2</v>
      </c>
      <c r="R33" s="386" t="str">
        <f ca="1">IF(Calc1!$F$14&lt;3,"",IF(Calc3!$K$13=0,Calc3!$Q65,VLOOKUP(Calc3!B5,Calc3!$C$4:$N$12,4,0)))</f>
        <v>1. FC Nürnberg</v>
      </c>
      <c r="S33" s="219">
        <f ca="1">IF(Calc3!$K$13=0,"",VLOOKUP(Calc3!B5,Calc3!$C$4:$N$12,9,0))</f>
        <v>4</v>
      </c>
      <c r="T33" s="200">
        <f ca="1">IF(Calc3!$K$13=0,"",VLOOKUP(Calc3!B5,Calc3!$C$4:$N$12,10,0))</f>
        <v>1</v>
      </c>
      <c r="U33" s="200">
        <f ca="1">IF(Calc3!$K$13=0,"",VLOOKUP(Calc3!B5,Calc3!$C$4:$N$12,11,0))</f>
        <v>2</v>
      </c>
      <c r="V33" s="220">
        <f ca="1">IF(Calc3!$K$13=0,"",VLOOKUP(Calc3!B5,Calc3!$C$4:$N$12,12,0))</f>
        <v>1</v>
      </c>
      <c r="W33" s="221">
        <f t="shared" ca="1" si="4"/>
        <v>4</v>
      </c>
      <c r="X33" s="222" t="str">
        <f>Language!$E$96</f>
        <v>-</v>
      </c>
      <c r="Y33" s="223">
        <f ca="1">IF(Calc3!$K$13=0,"",VLOOKUP(Calc3!B5,Calc3!$C$4:$AS$12,43,0))</f>
        <v>4</v>
      </c>
      <c r="Z33" s="221">
        <f ca="1">IF(Calc3!$K$13=0,"",VLOOKUP(Calc3!B5,Calc3!$C$4:$N$12,5,0))</f>
        <v>160</v>
      </c>
      <c r="AA33" s="222" t="str">
        <f>Language!$E$96</f>
        <v>-</v>
      </c>
      <c r="AB33" s="223">
        <f ca="1">IF(Calc3!$K$13=0,"",VLOOKUP(Calc3!B5,Calc3!$C$4:$N$12,6,0))</f>
        <v>175</v>
      </c>
      <c r="AC33" s="219">
        <f ca="1">IF(Calc3!$K$13=0,"",IF(VLOOKUP(Calc3!B5,Calc3!$C$4:$AR$12,42,0)=Settings!$F$7,"max",VLOOKUP(Calc3!B5,Calc3!$C$4:$AR$12,42,0)))</f>
        <v>-15</v>
      </c>
      <c r="AD33" s="224">
        <f ca="1">IF(Calc3!$K$13=0,"",VLOOKUP(Calc3!B5,Calc3!$C$4:$N$12,8,0))</f>
        <v>4</v>
      </c>
      <c r="AE33" s="225" t="str">
        <f ca="1">IFERROR(VLOOKUP($R33&amp;AE$31,Calc3!$Z$64:$AI$207,Settings!$G$17,0),"")</f>
        <v>22-50</v>
      </c>
      <c r="AF33" s="226"/>
      <c r="AG33" s="200" t="str">
        <f ca="1">IFERROR(VLOOKUP($R33&amp;AG$31,Calc3!$Z$64:$AI$207,Settings!$G$17,0),"")</f>
        <v>50-40</v>
      </c>
      <c r="AH33" s="200" t="str">
        <f ca="1">IFERROR(VLOOKUP($R33&amp;AH$31,Calc3!$Z$64:$AI$207,Settings!$G$17,0),"")</f>
        <v>41-43</v>
      </c>
      <c r="AI33" s="200" t="str">
        <f ca="1">IFERROR(VLOOKUP($R33&amp;AI$31,Calc3!$Z$64:$AI$207,Settings!$G$17,0),"")</f>
        <v>47-42</v>
      </c>
      <c r="AJ33" s="227" t="str">
        <f ca="1">IFERROR(VLOOKUP($R33&amp;AJ$31,Calc3!$Z$64:$AI$207,Settings!$G$17,0),"")</f>
        <v/>
      </c>
      <c r="AK33" s="228" t="str">
        <f t="shared" ca="1" si="5"/>
        <v>1. FC Nürnberg</v>
      </c>
      <c r="AN33" s="453" t="s">
        <v>267</v>
      </c>
      <c r="AO33" s="386" t="str">
        <f>IF(Planning!$C43="","",Planning!$C43)</f>
        <v>Real Madrid</v>
      </c>
      <c r="AP33" s="294"/>
      <c r="AQ33" s="619">
        <f>IF($AO33="",0,COUNTIF(TieBreak!$U$12:$U$17,$AO33))</f>
        <v>0</v>
      </c>
    </row>
    <row r="34" spans="2:43" ht="24" customHeight="1" x14ac:dyDescent="0.2">
      <c r="B34" s="350">
        <f ca="1">Planning!$E28</f>
        <v>23</v>
      </c>
      <c r="C34" s="238">
        <f ca="1">Planning!$F28</f>
        <v>0.54513888888888884</v>
      </c>
      <c r="D34" s="239">
        <f ca="1">Planning!$G28</f>
        <v>2</v>
      </c>
      <c r="E34" s="239" t="str">
        <f ca="1">Planning!$H28</f>
        <v>B</v>
      </c>
      <c r="F34" s="240" t="str">
        <f ca="1">Planning!$L28</f>
        <v>SSV Wildbach</v>
      </c>
      <c r="G34" s="241" t="s">
        <v>4</v>
      </c>
      <c r="H34" s="240" t="str">
        <f ca="1">Planning!$N28</f>
        <v>Mainz 05</v>
      </c>
      <c r="I34" s="242">
        <v>17</v>
      </c>
      <c r="J34" s="243" t="str">
        <f>Language!$E$96</f>
        <v>-</v>
      </c>
      <c r="K34" s="603">
        <v>25</v>
      </c>
      <c r="L34" s="605">
        <v>25</v>
      </c>
      <c r="M34" s="606" t="str">
        <f>Language!$E$96</f>
        <v>-</v>
      </c>
      <c r="N34" s="244">
        <v>16</v>
      </c>
      <c r="O34" s="780" t="str">
        <f>IF(Planning!$O28="","",Planning!$O28)</f>
        <v/>
      </c>
      <c r="Q34" s="385">
        <f ca="1">IF(Calc3!$K$13=0,"",IF(VLOOKUP(Calc3!B6,Calc3!$C$4:$E$12,3,0)=MAX(Q$32:Q33),VLOOKUP(Calc3!B6,Calc3!$C$4:$E$12,3,0),Calc3!B6))</f>
        <v>3</v>
      </c>
      <c r="R34" s="386" t="str">
        <f ca="1">IF(Calc1!$F$14&lt;3,"",IF(Calc3!$K$13=0,Calc3!$Q66,VLOOKUP(Calc3!B6,Calc3!$C$4:$N$12,4,0)))</f>
        <v>Real Madrid</v>
      </c>
      <c r="S34" s="219">
        <f ca="1">IF(Calc3!$K$13=0,"",VLOOKUP(Calc3!B6,Calc3!$C$4:$N$12,9,0))</f>
        <v>4</v>
      </c>
      <c r="T34" s="200">
        <f ca="1">IF(Calc3!$K$13=0,"",VLOOKUP(Calc3!B6,Calc3!$C$4:$N$12,10,0))</f>
        <v>0</v>
      </c>
      <c r="U34" s="200">
        <f ca="1">IF(Calc3!$K$13=0,"",VLOOKUP(Calc3!B6,Calc3!$C$4:$N$12,11,0))</f>
        <v>3</v>
      </c>
      <c r="V34" s="220">
        <f ca="1">IF(Calc3!$K$13=0,"",VLOOKUP(Calc3!B6,Calc3!$C$4:$N$12,12,0))</f>
        <v>1</v>
      </c>
      <c r="W34" s="221">
        <f t="shared" ca="1" si="4"/>
        <v>3</v>
      </c>
      <c r="X34" s="222" t="str">
        <f>Language!$E$96</f>
        <v>-</v>
      </c>
      <c r="Y34" s="223">
        <f ca="1">IF(Calc3!$K$13=0,"",VLOOKUP(Calc3!B6,Calc3!$C$4:$AS$12,43,0))</f>
        <v>5</v>
      </c>
      <c r="Z34" s="221">
        <f ca="1">IF(Calc3!$K$13=0,"",VLOOKUP(Calc3!B6,Calc3!$C$4:$N$12,5,0))</f>
        <v>165</v>
      </c>
      <c r="AA34" s="222" t="str">
        <f>Language!$E$96</f>
        <v>-</v>
      </c>
      <c r="AB34" s="223">
        <f ca="1">IF(Calc3!$K$13=0,"",VLOOKUP(Calc3!B6,Calc3!$C$4:$N$12,6,0))</f>
        <v>171</v>
      </c>
      <c r="AC34" s="219">
        <f ca="1">IF(Calc3!$K$13=0,"",IF(VLOOKUP(Calc3!B6,Calc3!$C$4:$AR$12,42,0)=Settings!$F$7,"max",VLOOKUP(Calc3!B6,Calc3!$C$4:$AR$12,42,0)))</f>
        <v>-6</v>
      </c>
      <c r="AD34" s="224">
        <f ca="1">IF(Calc3!$K$13=0,"",VLOOKUP(Calc3!B6,Calc3!$C$4:$N$12,8,0))</f>
        <v>3</v>
      </c>
      <c r="AE34" s="225" t="str">
        <f ca="1">IFERROR(VLOOKUP($R34&amp;AE$31,Calc3!$Z$64:$AI$207,Settings!$G$17,0),"")</f>
        <v>44-46</v>
      </c>
      <c r="AF34" s="412" t="str">
        <f ca="1">IFERROR(VLOOKUP($R34&amp;AF$31,Calc3!$Z$64:$AI$207,Settings!$G$17,0),"")</f>
        <v>40-50</v>
      </c>
      <c r="AG34" s="226"/>
      <c r="AH34" s="200" t="str">
        <f ca="1">IFERROR(VLOOKUP($R34&amp;AH$31,Calc3!$Z$64:$AI$207,Settings!$G$17,0),"")</f>
        <v>43-39</v>
      </c>
      <c r="AI34" s="200" t="str">
        <f ca="1">IFERROR(VLOOKUP($R34&amp;AI$31,Calc3!$Z$64:$AI$207,Settings!$G$17,0),"")</f>
        <v>38-36</v>
      </c>
      <c r="AJ34" s="227" t="str">
        <f ca="1">IFERROR(VLOOKUP($R34&amp;AJ$31,Calc3!$Z$64:$AI$207,Settings!$G$17,0),"")</f>
        <v/>
      </c>
      <c r="AK34" s="228" t="str">
        <f t="shared" ca="1" si="5"/>
        <v>Real Madrid</v>
      </c>
      <c r="AN34" s="453" t="s">
        <v>266</v>
      </c>
      <c r="AO34" s="386" t="str">
        <f>IF(Planning!$C45="","",Planning!$C45)</f>
        <v>Borussia Dortmund</v>
      </c>
      <c r="AP34" s="294"/>
      <c r="AQ34" s="619">
        <f>IF($AO34="",0,COUNTIF(TieBreak!$U$12:$U$17,$AO34))</f>
        <v>0</v>
      </c>
    </row>
    <row r="35" spans="2:43" ht="24" customHeight="1" x14ac:dyDescent="0.2">
      <c r="B35" s="350">
        <f ca="1">Planning!$E29</f>
        <v>24</v>
      </c>
      <c r="C35" s="238">
        <f ca="1">Planning!$F29</f>
        <v>0.54513888888888884</v>
      </c>
      <c r="D35" s="239">
        <f ca="1">Planning!$G29</f>
        <v>3</v>
      </c>
      <c r="E35" s="239" t="str">
        <f ca="1">Planning!$H29</f>
        <v>C</v>
      </c>
      <c r="F35" s="240" t="str">
        <f ca="1">Planning!$L29</f>
        <v>Borussia Dortmund</v>
      </c>
      <c r="G35" s="241" t="s">
        <v>4</v>
      </c>
      <c r="H35" s="240" t="str">
        <f ca="1">Planning!$N29</f>
        <v>Kickers Rodendorf</v>
      </c>
      <c r="I35" s="242">
        <v>25</v>
      </c>
      <c r="J35" s="243" t="str">
        <f>Language!$E$96</f>
        <v>-</v>
      </c>
      <c r="K35" s="603">
        <v>14</v>
      </c>
      <c r="L35" s="605">
        <v>25</v>
      </c>
      <c r="M35" s="606" t="str">
        <f>Language!$E$96</f>
        <v>-</v>
      </c>
      <c r="N35" s="244">
        <v>19</v>
      </c>
      <c r="O35" s="780" t="str">
        <f>IF(Planning!$O29="","",Planning!$O29)</f>
        <v/>
      </c>
      <c r="Q35" s="385">
        <f ca="1">IF(Calc3!$K$13=0,"",IF(VLOOKUP(Calc3!B7,Calc3!$C$4:$E$12,3,0)=MAX(Q$32:Q34),VLOOKUP(Calc3!B7,Calc3!$C$4:$E$12,3,0),Calc3!B7))</f>
        <v>4</v>
      </c>
      <c r="R35" s="386" t="str">
        <f ca="1">IF(Calc1!$F$14&lt;3,"",IF(Calc3!$K$13=0,Calc3!$Q67,VLOOKUP(Calc3!B7,Calc3!$C$4:$N$12,4,0)))</f>
        <v>Kickers Rodendorf</v>
      </c>
      <c r="S35" s="219">
        <f ca="1">IF(Calc3!$K$13=0,"",VLOOKUP(Calc3!B7,Calc3!$C$4:$N$12,9,0))</f>
        <v>4</v>
      </c>
      <c r="T35" s="200">
        <f ca="1">IF(Calc3!$K$13=0,"",VLOOKUP(Calc3!B7,Calc3!$C$4:$N$12,10,0))</f>
        <v>0</v>
      </c>
      <c r="U35" s="200">
        <f ca="1">IF(Calc3!$K$13=0,"",VLOOKUP(Calc3!B7,Calc3!$C$4:$N$12,11,0))</f>
        <v>3</v>
      </c>
      <c r="V35" s="220">
        <f ca="1">IF(Calc3!$K$13=0,"",VLOOKUP(Calc3!B7,Calc3!$C$4:$N$12,12,0))</f>
        <v>1</v>
      </c>
      <c r="W35" s="221">
        <f t="shared" ca="1" si="4"/>
        <v>3</v>
      </c>
      <c r="X35" s="222" t="str">
        <f>Language!$E$96</f>
        <v>-</v>
      </c>
      <c r="Y35" s="223">
        <f ca="1">IF(Calc3!$K$13=0,"",VLOOKUP(Calc3!B7,Calc3!$C$4:$AS$12,43,0))</f>
        <v>5</v>
      </c>
      <c r="Z35" s="221">
        <f ca="1">IF(Calc3!$K$13=0,"",VLOOKUP(Calc3!B7,Calc3!$C$4:$N$12,5,0))</f>
        <v>161</v>
      </c>
      <c r="AA35" s="222" t="str">
        <f>Language!$E$96</f>
        <v>-</v>
      </c>
      <c r="AB35" s="223">
        <f ca="1">IF(Calc3!$K$13=0,"",VLOOKUP(Calc3!B7,Calc3!$C$4:$N$12,6,0))</f>
        <v>176</v>
      </c>
      <c r="AC35" s="219">
        <f ca="1">IF(Calc3!$K$13=0,"",IF(VLOOKUP(Calc3!B7,Calc3!$C$4:$AR$12,42,0)=Settings!$F$7,"max",VLOOKUP(Calc3!B7,Calc3!$C$4:$AR$12,42,0)))</f>
        <v>-15</v>
      </c>
      <c r="AD35" s="224">
        <f ca="1">IF(Calc3!$K$13=0,"",VLOOKUP(Calc3!B7,Calc3!$C$4:$N$12,8,0))</f>
        <v>3</v>
      </c>
      <c r="AE35" s="225" t="str">
        <f ca="1">IFERROR(VLOOKUP($R35&amp;AE$31,Calc3!$Z$64:$AI$207,Settings!$G$17,0),"")</f>
        <v>33-50</v>
      </c>
      <c r="AF35" s="412" t="str">
        <f ca="1">IFERROR(VLOOKUP($R35&amp;AF$31,Calc3!$Z$64:$AI$207,Settings!$G$17,0),"")</f>
        <v>43-41</v>
      </c>
      <c r="AG35" s="200" t="str">
        <f ca="1">IFERROR(VLOOKUP($R35&amp;AG$31,Calc3!$Z$64:$AI$207,Settings!$G$17,0),"")</f>
        <v>39-43</v>
      </c>
      <c r="AH35" s="226"/>
      <c r="AI35" s="200" t="str">
        <f ca="1">IFERROR(VLOOKUP($R35&amp;AI$31,Calc3!$Z$64:$AI$207,Settings!$G$17,0),"")</f>
        <v>46-42</v>
      </c>
      <c r="AJ35" s="227" t="str">
        <f ca="1">IFERROR(VLOOKUP($R35&amp;AJ$31,Calc3!$Z$64:$AI$207,Settings!$G$17,0),"")</f>
        <v/>
      </c>
      <c r="AK35" s="228" t="str">
        <f t="shared" ca="1" si="5"/>
        <v>Kickers Rodendorf</v>
      </c>
      <c r="AN35" s="453" t="s">
        <v>269</v>
      </c>
      <c r="AO35" s="386" t="str">
        <f>IF(Planning!$C47="","",Planning!$C47)</f>
        <v>FSV Rauen</v>
      </c>
      <c r="AP35" s="294"/>
      <c r="AQ35" s="619">
        <f>IF($AO35="",0,COUNTIF(TieBreak!$U$12:$U$17,$AO35))</f>
        <v>0</v>
      </c>
    </row>
    <row r="36" spans="2:43" ht="24" customHeight="1" x14ac:dyDescent="0.2">
      <c r="B36" s="350">
        <f ca="1">Planning!$E30</f>
        <v>25</v>
      </c>
      <c r="C36" s="238">
        <f ca="1">Planning!$F30</f>
        <v>0.56944444444444442</v>
      </c>
      <c r="D36" s="239">
        <f ca="1">Planning!$G30</f>
        <v>1</v>
      </c>
      <c r="E36" s="239" t="str">
        <f ca="1">Planning!$H30</f>
        <v>A</v>
      </c>
      <c r="F36" s="240" t="str">
        <f ca="1">Planning!$L30</f>
        <v>Maibach 1822 eV</v>
      </c>
      <c r="G36" s="241" t="s">
        <v>4</v>
      </c>
      <c r="H36" s="240" t="str">
        <f ca="1">Planning!$N30</f>
        <v>VFB Essenheim</v>
      </c>
      <c r="I36" s="242">
        <v>20</v>
      </c>
      <c r="J36" s="243" t="str">
        <f>Language!$E$96</f>
        <v>-</v>
      </c>
      <c r="K36" s="603">
        <v>25</v>
      </c>
      <c r="L36" s="605">
        <v>25</v>
      </c>
      <c r="M36" s="606" t="str">
        <f>Language!$E$96</f>
        <v>-</v>
      </c>
      <c r="N36" s="244">
        <v>20</v>
      </c>
      <c r="O36" s="780" t="str">
        <f>IF(Planning!$O30="","",Planning!$O30)</f>
        <v/>
      </c>
      <c r="Q36" s="385">
        <f ca="1">IF(Calc3!$K$13=0,"",IF(VLOOKUP(Calc3!B8,Calc3!$C$4:$E$12,3,0)=MAX(Q$32:Q35),VLOOKUP(Calc3!B8,Calc3!$C$4:$E$12,3,0),Calc3!B8))</f>
        <v>5</v>
      </c>
      <c r="R36" s="386" t="str">
        <f ca="1">IF(Calc1!$F$14&lt;3,"",IF(Calc3!$K$13=0,Calc3!$Q68,VLOOKUP(Calc3!B8,Calc3!$C$4:$N$12,4,0)))</f>
        <v>FSV Rauen</v>
      </c>
      <c r="S36" s="219">
        <f ca="1">IF(Calc3!$K$13=0,"",VLOOKUP(Calc3!B8,Calc3!$C$4:$N$12,9,0))</f>
        <v>4</v>
      </c>
      <c r="T36" s="200">
        <f ca="1">IF(Calc3!$K$13=0,"",VLOOKUP(Calc3!B8,Calc3!$C$4:$N$12,10,0))</f>
        <v>0</v>
      </c>
      <c r="U36" s="200">
        <f ca="1">IF(Calc3!$K$13=0,"",VLOOKUP(Calc3!B8,Calc3!$C$4:$N$12,11,0))</f>
        <v>3</v>
      </c>
      <c r="V36" s="220">
        <f ca="1">IF(Calc3!$K$13=0,"",VLOOKUP(Calc3!B8,Calc3!$C$4:$N$12,12,0))</f>
        <v>1</v>
      </c>
      <c r="W36" s="221">
        <f t="shared" ca="1" si="4"/>
        <v>3</v>
      </c>
      <c r="X36" s="222" t="str">
        <f>Language!$E$96</f>
        <v>-</v>
      </c>
      <c r="Y36" s="223">
        <f ca="1">IF(Calc3!$K$13=0,"",VLOOKUP(Calc3!B8,Calc3!$C$4:$AS$12,43,0))</f>
        <v>5</v>
      </c>
      <c r="Z36" s="221">
        <f ca="1">IF(Calc3!$K$13=0,"",VLOOKUP(Calc3!B8,Calc3!$C$4:$N$12,5,0))</f>
        <v>159</v>
      </c>
      <c r="AA36" s="222" t="str">
        <f>Language!$E$96</f>
        <v>-</v>
      </c>
      <c r="AB36" s="223">
        <f ca="1">IF(Calc3!$K$13=0,"",VLOOKUP(Calc3!B8,Calc3!$C$4:$N$12,6,0))</f>
        <v>181</v>
      </c>
      <c r="AC36" s="219">
        <f ca="1">IF(Calc3!$K$13=0,"",IF(VLOOKUP(Calc3!B8,Calc3!$C$4:$AR$12,42,0)=Settings!$F$7,"max",VLOOKUP(Calc3!B8,Calc3!$C$4:$AR$12,42,0)))</f>
        <v>-22</v>
      </c>
      <c r="AD36" s="224">
        <f ca="1">IF(Calc3!$K$13=0,"",VLOOKUP(Calc3!B8,Calc3!$C$4:$N$12,8,0))</f>
        <v>3</v>
      </c>
      <c r="AE36" s="225" t="str">
        <f ca="1">IFERROR(VLOOKUP($R36&amp;AE$31,Calc3!$Z$64:$AI$207,Settings!$G$17,0),"")</f>
        <v>39-50</v>
      </c>
      <c r="AF36" s="412" t="str">
        <f ca="1">IFERROR(VLOOKUP($R36&amp;AF$31,Calc3!$Z$64:$AI$207,Settings!$G$17,0),"")</f>
        <v>42-47</v>
      </c>
      <c r="AG36" s="200" t="str">
        <f ca="1">IFERROR(VLOOKUP($R36&amp;AG$31,Calc3!$Z$64:$AI$207,Settings!$G$17,0),"")</f>
        <v>36-38</v>
      </c>
      <c r="AH36" s="200" t="str">
        <f ca="1">IFERROR(VLOOKUP($R36&amp;AH$31,Calc3!$Z$64:$AI$207,Settings!$G$17,0),"")</f>
        <v>42-46</v>
      </c>
      <c r="AI36" s="226"/>
      <c r="AJ36" s="227" t="str">
        <f ca="1">IFERROR(VLOOKUP($R36&amp;AJ$31,Calc3!$Z$64:$AI$207,Settings!$G$17,0),"")</f>
        <v/>
      </c>
      <c r="AK36" s="228" t="str">
        <f t="shared" ca="1" si="5"/>
        <v>FSV Rauen</v>
      </c>
      <c r="AN36" s="453" t="s">
        <v>270</v>
      </c>
      <c r="AO36" s="386" t="str">
        <f>IF(Planning!$C49="","",Planning!$C49)</f>
        <v>1. FC Nürnberg</v>
      </c>
      <c r="AP36" s="294"/>
      <c r="AQ36" s="619">
        <f>IF($AO36="",0,COUNTIF(TieBreak!$U$12:$U$17,$AO36))</f>
        <v>0</v>
      </c>
    </row>
    <row r="37" spans="2:43" ht="24" customHeight="1" thickBot="1" x14ac:dyDescent="0.25">
      <c r="B37" s="350">
        <f ca="1">Planning!$E31</f>
        <v>26</v>
      </c>
      <c r="C37" s="238">
        <f ca="1">Planning!$F31</f>
        <v>0.56944444444444442</v>
      </c>
      <c r="D37" s="239">
        <f ca="1">Planning!$G31</f>
        <v>2</v>
      </c>
      <c r="E37" s="239" t="str">
        <f ca="1">Planning!$H31</f>
        <v>B</v>
      </c>
      <c r="F37" s="240" t="str">
        <f ca="1">Planning!$L31</f>
        <v>Manchester City</v>
      </c>
      <c r="G37" s="241" t="s">
        <v>4</v>
      </c>
      <c r="H37" s="240" t="str">
        <f ca="1">Planning!$N31</f>
        <v>FC Grönlingen</v>
      </c>
      <c r="I37" s="242">
        <v>19</v>
      </c>
      <c r="J37" s="243" t="str">
        <f>Language!$E$96</f>
        <v>-</v>
      </c>
      <c r="K37" s="603">
        <v>25</v>
      </c>
      <c r="L37" s="605">
        <v>25</v>
      </c>
      <c r="M37" s="606" t="str">
        <f>Language!$E$96</f>
        <v>-</v>
      </c>
      <c r="N37" s="244">
        <v>21</v>
      </c>
      <c r="O37" s="780" t="str">
        <f>IF(Planning!$O31="","",Planning!$O31)</f>
        <v/>
      </c>
      <c r="Q37" s="387">
        <f ca="1">IF(Calc3!$K$13=0,"",IF(VLOOKUP(Calc3!B9,Calc3!$C$4:$E$12,3,0)=MAX(Q$32:Q36),VLOOKUP(Calc3!B9,Calc3!$C$4:$E$12,3,0),Calc3!B9))</f>
        <v>6</v>
      </c>
      <c r="R37" s="388" t="str">
        <f ca="1">IF(Calc1!$F$14&lt;3,"",IF(Calc3!$K$13=0,Calc3!$Q69,VLOOKUP(Calc3!B9,Calc3!$C$4:$N$12,4,0)))</f>
        <v/>
      </c>
      <c r="S37" s="229">
        <f ca="1">IF(Calc3!$K$13=0,"",VLOOKUP(Calc3!B9,Calc3!$C$4:$N$12,9,0))</f>
        <v>0</v>
      </c>
      <c r="T37" s="230">
        <f ca="1">IF(Calc3!$K$13=0,"",VLOOKUP(Calc3!B9,Calc3!$C$4:$N$12,10,0))</f>
        <v>0</v>
      </c>
      <c r="U37" s="230">
        <f ca="1">IF(Calc3!$K$13=0,"",VLOOKUP(Calc3!B9,Calc3!$C$4:$N$12,11,0))</f>
        <v>0</v>
      </c>
      <c r="V37" s="231">
        <f ca="1">IF(Calc3!$K$13=0,"",VLOOKUP(Calc3!B9,Calc3!$C$4:$N$12,12,0))</f>
        <v>0</v>
      </c>
      <c r="W37" s="232">
        <f t="shared" ca="1" si="4"/>
        <v>0</v>
      </c>
      <c r="X37" s="233" t="str">
        <f>Language!$E$96</f>
        <v>-</v>
      </c>
      <c r="Y37" s="234">
        <f ca="1">IF(Calc3!$K$13=0,"",VLOOKUP(Calc3!B9,Calc3!$C$4:$AS$12,43,0))</f>
        <v>0</v>
      </c>
      <c r="Z37" s="232">
        <f ca="1">IF(Calc3!$K$13=0,"",VLOOKUP(Calc3!B9,Calc3!$C$4:$N$12,5,0))</f>
        <v>0</v>
      </c>
      <c r="AA37" s="233" t="str">
        <f>Language!$E$96</f>
        <v>-</v>
      </c>
      <c r="AB37" s="234">
        <f ca="1">IF(Calc3!$K$13=0,"",VLOOKUP(Calc3!B9,Calc3!$C$4:$N$12,6,0))</f>
        <v>0</v>
      </c>
      <c r="AC37" s="229">
        <f ca="1">IF(Calc3!$K$13=0,"",IF(VLOOKUP(Calc3!B9,Calc3!$C$4:$AR$12,42,0)=Settings!$F$7,"max",VLOOKUP(Calc3!B9,Calc3!$C$4:$AR$12,42,0)))</f>
        <v>0</v>
      </c>
      <c r="AD37" s="235">
        <f ca="1">IF(Calc3!$K$13=0,"",VLOOKUP(Calc3!B9,Calc3!$C$4:$N$12,8,0))</f>
        <v>0</v>
      </c>
      <c r="AE37" s="236" t="str">
        <f ca="1">IFERROR(VLOOKUP($R37&amp;AE$31,Calc3!$Z$64:$AI$207,Settings!$G$17,0),"")</f>
        <v/>
      </c>
      <c r="AF37" s="230" t="str">
        <f ca="1">IFERROR(VLOOKUP($R37&amp;AF$31,Calc3!$Z$64:$AI$207,Settings!$G$17,0),"")</f>
        <v/>
      </c>
      <c r="AG37" s="230" t="str">
        <f ca="1">IFERROR(VLOOKUP($R37&amp;AG$31,Calc3!$Z$64:$AI$207,Settings!$G$17,0),"")</f>
        <v/>
      </c>
      <c r="AH37" s="230" t="str">
        <f ca="1">IFERROR(VLOOKUP($R37&amp;AH$31,Calc3!$Z$64:$AI$207,Settings!$G$17,0),"")</f>
        <v/>
      </c>
      <c r="AI37" s="230" t="str">
        <f ca="1">IFERROR(VLOOKUP($R37&amp;AI$31,Calc3!$Z$64:$AI$207,Settings!$G$17,0),"")</f>
        <v/>
      </c>
      <c r="AJ37" s="237"/>
      <c r="AK37" s="320" t="str">
        <f t="shared" ca="1" si="5"/>
        <v/>
      </c>
      <c r="AN37" s="454" t="s">
        <v>271</v>
      </c>
      <c r="AO37" s="388" t="str">
        <f>IF(Planning!$C51="","",Planning!$C51)</f>
        <v/>
      </c>
      <c r="AP37" s="294"/>
      <c r="AQ37" s="620">
        <f>IF($AO37="",0,COUNTIF(TieBreak!$U$12:$U$17,$AO37))</f>
        <v>0</v>
      </c>
    </row>
    <row r="38" spans="2:43" ht="24" customHeight="1" thickTop="1" x14ac:dyDescent="0.2">
      <c r="B38" s="350">
        <f ca="1">Planning!$E32</f>
        <v>27</v>
      </c>
      <c r="C38" s="238">
        <f ca="1">Planning!$F32</f>
        <v>0.56944444444444442</v>
      </c>
      <c r="D38" s="239">
        <f ca="1">Planning!$G32</f>
        <v>3</v>
      </c>
      <c r="E38" s="239" t="str">
        <f ca="1">Planning!$H32</f>
        <v>C</v>
      </c>
      <c r="F38" s="240" t="str">
        <f ca="1">Planning!$L32</f>
        <v>FSV Rauen</v>
      </c>
      <c r="G38" s="241" t="s">
        <v>4</v>
      </c>
      <c r="H38" s="240" t="str">
        <f ca="1">Planning!$N32</f>
        <v>1. FC Nürnberg</v>
      </c>
      <c r="I38" s="242">
        <v>17</v>
      </c>
      <c r="J38" s="243" t="str">
        <f>Language!$E$96</f>
        <v>-</v>
      </c>
      <c r="K38" s="603">
        <v>25</v>
      </c>
      <c r="L38" s="605">
        <v>25</v>
      </c>
      <c r="M38" s="606" t="str">
        <f>Language!$E$96</f>
        <v>-</v>
      </c>
      <c r="N38" s="244">
        <v>22</v>
      </c>
      <c r="O38" s="780" t="str">
        <f>IF(Planning!$O32="","",Planning!$O32)</f>
        <v/>
      </c>
      <c r="Q38" s="293"/>
      <c r="R38" s="294"/>
      <c r="S38" s="295"/>
      <c r="T38" s="295"/>
      <c r="U38" s="295"/>
      <c r="V38" s="295"/>
      <c r="W38" s="295"/>
      <c r="X38" s="295"/>
      <c r="Y38" s="295"/>
      <c r="Z38" s="296"/>
      <c r="AA38" s="295"/>
      <c r="AB38" s="294"/>
      <c r="AC38" s="295"/>
      <c r="AD38" s="297"/>
      <c r="AE38" s="295"/>
      <c r="AF38" s="295"/>
      <c r="AG38" s="295"/>
      <c r="AH38" s="295"/>
      <c r="AI38" s="295"/>
      <c r="AJ38" s="295"/>
      <c r="AK38" s="294"/>
    </row>
    <row r="39" spans="2:43" ht="24" customHeight="1" x14ac:dyDescent="0.2">
      <c r="B39" s="350">
        <f ca="1">Planning!$E33</f>
        <v>28</v>
      </c>
      <c r="C39" s="238">
        <f ca="1">Planning!$F33</f>
        <v>0.59375</v>
      </c>
      <c r="D39" s="239">
        <f ca="1">Planning!$G33</f>
        <v>1</v>
      </c>
      <c r="E39" s="239" t="str">
        <f ca="1">Planning!$H33</f>
        <v>A</v>
      </c>
      <c r="F39" s="240" t="str">
        <f ca="1">Planning!$L33</f>
        <v>1. FC Riedwald</v>
      </c>
      <c r="G39" s="241" t="s">
        <v>4</v>
      </c>
      <c r="H39" s="240" t="str">
        <f ca="1">Planning!$N33</f>
        <v>FC Barcelona</v>
      </c>
      <c r="I39" s="242">
        <v>19</v>
      </c>
      <c r="J39" s="243" t="str">
        <f>Language!$E$96</f>
        <v>-</v>
      </c>
      <c r="K39" s="603">
        <v>25</v>
      </c>
      <c r="L39" s="605">
        <v>25</v>
      </c>
      <c r="M39" s="606" t="str">
        <f>Language!$E$96</f>
        <v>-</v>
      </c>
      <c r="N39" s="244">
        <v>23</v>
      </c>
      <c r="O39" s="780" t="str">
        <f>IF(Planning!$O33="","",Planning!$O33)</f>
        <v/>
      </c>
      <c r="Q39" s="293"/>
      <c r="R39" s="294"/>
      <c r="S39" s="295"/>
      <c r="T39" s="295"/>
      <c r="U39" s="295"/>
      <c r="V39" s="295"/>
      <c r="W39" s="295"/>
      <c r="X39" s="295"/>
      <c r="Y39" s="295"/>
      <c r="Z39" s="296"/>
      <c r="AA39" s="295"/>
      <c r="AB39" s="294"/>
      <c r="AC39" s="295"/>
      <c r="AD39" s="297"/>
      <c r="AE39" s="295"/>
      <c r="AF39" s="295"/>
      <c r="AG39" s="295"/>
      <c r="AH39" s="295"/>
      <c r="AI39" s="295"/>
      <c r="AJ39" s="295"/>
      <c r="AK39" s="294"/>
    </row>
    <row r="40" spans="2:43" ht="24" customHeight="1" x14ac:dyDescent="0.2">
      <c r="B40" s="350">
        <f ca="1">Planning!$E34</f>
        <v>29</v>
      </c>
      <c r="C40" s="238">
        <f ca="1">Planning!$F34</f>
        <v>0.59375</v>
      </c>
      <c r="D40" s="239">
        <f ca="1">Planning!$G34</f>
        <v>2</v>
      </c>
      <c r="E40" s="239" t="str">
        <f ca="1">Planning!$H34</f>
        <v>B</v>
      </c>
      <c r="F40" s="240" t="str">
        <f ca="1">Planning!$L34</f>
        <v>Mainz 05</v>
      </c>
      <c r="G40" s="241" t="s">
        <v>4</v>
      </c>
      <c r="H40" s="240" t="str">
        <f ca="1">Planning!$N34</f>
        <v>Inter Mailand</v>
      </c>
      <c r="I40" s="242">
        <v>17</v>
      </c>
      <c r="J40" s="243" t="str">
        <f>Language!$E$96</f>
        <v>-</v>
      </c>
      <c r="K40" s="603">
        <v>25</v>
      </c>
      <c r="L40" s="605">
        <v>17</v>
      </c>
      <c r="M40" s="606" t="str">
        <f>Language!$E$96</f>
        <v>-</v>
      </c>
      <c r="N40" s="244">
        <v>25</v>
      </c>
      <c r="O40" s="780" t="str">
        <f>IF(Planning!$O34="","",Planning!$O34)</f>
        <v/>
      </c>
      <c r="Q40" s="843" t="str">
        <f>Language!$E$40</f>
        <v>End of preliminary round:</v>
      </c>
      <c r="R40" s="843"/>
      <c r="S40" s="843"/>
      <c r="T40" s="843"/>
      <c r="U40" s="843"/>
      <c r="V40" s="843"/>
      <c r="W40" s="843"/>
      <c r="X40" s="843"/>
      <c r="Y40" s="843"/>
      <c r="Z40" s="843"/>
      <c r="AA40" s="843"/>
      <c r="AB40" s="843"/>
      <c r="AC40" s="843"/>
      <c r="AD40" s="844">
        <f ca="1">Planning!$S$13</f>
        <v>0.61458333333333337</v>
      </c>
      <c r="AE40" s="844"/>
      <c r="AF40" s="844"/>
      <c r="AG40" s="844"/>
      <c r="AH40" s="844"/>
      <c r="AI40" s="844"/>
      <c r="AJ40" s="844"/>
      <c r="AK40" s="844"/>
    </row>
    <row r="41" spans="2:43" ht="24" customHeight="1" x14ac:dyDescent="0.2">
      <c r="B41" s="350">
        <f ca="1">Planning!$E35</f>
        <v>30</v>
      </c>
      <c r="C41" s="238">
        <f ca="1">Planning!$F35</f>
        <v>0.59375</v>
      </c>
      <c r="D41" s="239">
        <f ca="1">Planning!$G35</f>
        <v>3</v>
      </c>
      <c r="E41" s="239" t="str">
        <f ca="1">Planning!$H35</f>
        <v>C</v>
      </c>
      <c r="F41" s="240" t="str">
        <f ca="1">Planning!$L35</f>
        <v>Kickers Rodendorf</v>
      </c>
      <c r="G41" s="241" t="s">
        <v>4</v>
      </c>
      <c r="H41" s="240" t="str">
        <f ca="1">Planning!$N35</f>
        <v>Real Madrid</v>
      </c>
      <c r="I41" s="242">
        <v>14</v>
      </c>
      <c r="J41" s="243" t="str">
        <f>Language!$E$96</f>
        <v>-</v>
      </c>
      <c r="K41" s="603">
        <v>25</v>
      </c>
      <c r="L41" s="605">
        <v>25</v>
      </c>
      <c r="M41" s="606" t="str">
        <f>Language!$E$96</f>
        <v>-</v>
      </c>
      <c r="N41" s="244">
        <v>18</v>
      </c>
      <c r="O41" s="780" t="str">
        <f>IF(Planning!$O35="","",Planning!$O35)</f>
        <v/>
      </c>
      <c r="Q41" s="293"/>
      <c r="R41" s="294"/>
      <c r="S41" s="295"/>
      <c r="T41" s="295"/>
      <c r="U41" s="295"/>
      <c r="V41" s="295"/>
      <c r="W41" s="295"/>
      <c r="X41" s="295"/>
      <c r="Y41" s="295"/>
      <c r="Z41" s="296"/>
      <c r="AA41" s="295"/>
      <c r="AB41" s="294"/>
      <c r="AC41" s="295"/>
      <c r="AD41" s="297"/>
      <c r="AE41" s="295"/>
      <c r="AF41" s="295"/>
      <c r="AG41" s="295"/>
      <c r="AH41" s="295"/>
      <c r="AI41" s="295"/>
      <c r="AJ41" s="295"/>
      <c r="AK41" s="294"/>
    </row>
    <row r="42" spans="2:43" ht="24" customHeight="1" x14ac:dyDescent="0.2">
      <c r="B42" s="350" t="str">
        <f>Planning!$E36</f>
        <v/>
      </c>
      <c r="C42" s="238" t="str">
        <f>Planning!$F36</f>
        <v/>
      </c>
      <c r="D42" s="239" t="str">
        <f>Planning!$G36</f>
        <v/>
      </c>
      <c r="E42" s="239" t="str">
        <f ca="1">Planning!$H36</f>
        <v/>
      </c>
      <c r="F42" s="240" t="str">
        <f ca="1">Planning!$L36</f>
        <v/>
      </c>
      <c r="G42" s="241" t="s">
        <v>4</v>
      </c>
      <c r="H42" s="240" t="str">
        <f ca="1">Planning!$N36</f>
        <v/>
      </c>
      <c r="I42" s="242"/>
      <c r="J42" s="243" t="str">
        <f>Language!$E$96</f>
        <v>-</v>
      </c>
      <c r="K42" s="603"/>
      <c r="L42" s="605"/>
      <c r="M42" s="606" t="str">
        <f>Language!$E$96</f>
        <v>-</v>
      </c>
      <c r="N42" s="244"/>
      <c r="O42" s="780" t="str">
        <f>IF(Planning!$O36="","",Planning!$O36)</f>
        <v/>
      </c>
      <c r="Q42" s="293"/>
      <c r="R42" s="294"/>
      <c r="S42" s="295"/>
      <c r="T42" s="295"/>
      <c r="U42" s="295"/>
      <c r="V42" s="295"/>
      <c r="W42" s="295"/>
      <c r="X42" s="295"/>
      <c r="Y42" s="295"/>
      <c r="Z42" s="296"/>
      <c r="AA42" s="295"/>
      <c r="AB42" s="294"/>
      <c r="AC42" s="295"/>
      <c r="AD42" s="297"/>
      <c r="AE42" s="295"/>
      <c r="AF42" s="295"/>
      <c r="AG42" s="295"/>
      <c r="AH42" s="295"/>
      <c r="AI42" s="295"/>
      <c r="AJ42" s="295"/>
      <c r="AK42" s="294"/>
    </row>
    <row r="43" spans="2:43" ht="24" customHeight="1" x14ac:dyDescent="0.2">
      <c r="B43" s="350" t="str">
        <f>Planning!$E37</f>
        <v/>
      </c>
      <c r="C43" s="238" t="str">
        <f>Planning!$F37</f>
        <v/>
      </c>
      <c r="D43" s="239" t="str">
        <f>Planning!$G37</f>
        <v/>
      </c>
      <c r="E43" s="239" t="str">
        <f ca="1">Planning!$H37</f>
        <v/>
      </c>
      <c r="F43" s="240" t="str">
        <f ca="1">Planning!$L37</f>
        <v/>
      </c>
      <c r="G43" s="241" t="s">
        <v>4</v>
      </c>
      <c r="H43" s="240" t="str">
        <f ca="1">Planning!$N37</f>
        <v/>
      </c>
      <c r="I43" s="242"/>
      <c r="J43" s="243" t="str">
        <f>Language!$E$96</f>
        <v>-</v>
      </c>
      <c r="K43" s="603"/>
      <c r="L43" s="605"/>
      <c r="M43" s="606" t="str">
        <f>Language!$E$96</f>
        <v>-</v>
      </c>
      <c r="N43" s="244"/>
      <c r="O43" s="780" t="str">
        <f>IF(Planning!$O37="","",Planning!$O37)</f>
        <v/>
      </c>
    </row>
    <row r="44" spans="2:43" ht="24" customHeight="1" x14ac:dyDescent="0.2">
      <c r="B44" s="350" t="str">
        <f>Planning!$E38</f>
        <v/>
      </c>
      <c r="C44" s="238" t="str">
        <f>Planning!$F38</f>
        <v/>
      </c>
      <c r="D44" s="239" t="str">
        <f>Planning!$G38</f>
        <v/>
      </c>
      <c r="E44" s="239" t="str">
        <f ca="1">Planning!$H38</f>
        <v/>
      </c>
      <c r="F44" s="240" t="str">
        <f ca="1">Planning!$L38</f>
        <v/>
      </c>
      <c r="G44" s="241" t="s">
        <v>4</v>
      </c>
      <c r="H44" s="240" t="str">
        <f ca="1">Planning!$N38</f>
        <v/>
      </c>
      <c r="I44" s="242"/>
      <c r="J44" s="243" t="str">
        <f>Language!$E$96</f>
        <v>-</v>
      </c>
      <c r="K44" s="603"/>
      <c r="L44" s="605"/>
      <c r="M44" s="606" t="str">
        <f>Language!$E$96</f>
        <v>-</v>
      </c>
      <c r="N44" s="244"/>
      <c r="O44" s="780" t="str">
        <f>IF(Planning!$O38="","",Planning!$O38)</f>
        <v/>
      </c>
    </row>
    <row r="45" spans="2:43" ht="24" customHeight="1" x14ac:dyDescent="0.2">
      <c r="B45" s="350" t="str">
        <f>Planning!$E39</f>
        <v/>
      </c>
      <c r="C45" s="238" t="str">
        <f>Planning!$F39</f>
        <v/>
      </c>
      <c r="D45" s="239" t="str">
        <f>Planning!$G39</f>
        <v/>
      </c>
      <c r="E45" s="239" t="str">
        <f ca="1">Planning!$H39</f>
        <v/>
      </c>
      <c r="F45" s="240" t="str">
        <f ca="1">Planning!$L39</f>
        <v/>
      </c>
      <c r="G45" s="241" t="s">
        <v>4</v>
      </c>
      <c r="H45" s="240" t="str">
        <f ca="1">Planning!$N39</f>
        <v/>
      </c>
      <c r="I45" s="242"/>
      <c r="J45" s="243" t="str">
        <f>Language!$E$96</f>
        <v>-</v>
      </c>
      <c r="K45" s="603"/>
      <c r="L45" s="605"/>
      <c r="M45" s="606" t="str">
        <f>Language!$E$96</f>
        <v>-</v>
      </c>
      <c r="N45" s="244"/>
      <c r="O45" s="780" t="str">
        <f>IF(Planning!$O39="","",Planning!$O39)</f>
        <v/>
      </c>
    </row>
    <row r="46" spans="2:43" ht="24" customHeight="1" x14ac:dyDescent="0.2">
      <c r="B46" s="350" t="str">
        <f>Planning!$E40</f>
        <v/>
      </c>
      <c r="C46" s="238" t="str">
        <f>Planning!$F40</f>
        <v/>
      </c>
      <c r="D46" s="239" t="str">
        <f>Planning!$G40</f>
        <v/>
      </c>
      <c r="E46" s="239" t="str">
        <f ca="1">Planning!$H40</f>
        <v/>
      </c>
      <c r="F46" s="240" t="str">
        <f ca="1">Planning!$L40</f>
        <v/>
      </c>
      <c r="G46" s="241" t="s">
        <v>4</v>
      </c>
      <c r="H46" s="240" t="str">
        <f ca="1">Planning!$N40</f>
        <v/>
      </c>
      <c r="I46" s="242"/>
      <c r="J46" s="243" t="str">
        <f>Language!$E$96</f>
        <v>-</v>
      </c>
      <c r="K46" s="603"/>
      <c r="L46" s="605"/>
      <c r="M46" s="606" t="str">
        <f>Language!$E$96</f>
        <v>-</v>
      </c>
      <c r="N46" s="244"/>
      <c r="O46" s="780" t="str">
        <f>IF(Planning!$O40="","",Planning!$O40)</f>
        <v/>
      </c>
    </row>
    <row r="47" spans="2:43" ht="24" customHeight="1" x14ac:dyDescent="0.2">
      <c r="B47" s="350" t="str">
        <f>Planning!$E41</f>
        <v/>
      </c>
      <c r="C47" s="238" t="str">
        <f>Planning!$F41</f>
        <v/>
      </c>
      <c r="D47" s="239" t="str">
        <f>Planning!$G41</f>
        <v/>
      </c>
      <c r="E47" s="239" t="str">
        <f ca="1">Planning!$H41</f>
        <v/>
      </c>
      <c r="F47" s="240" t="str">
        <f ca="1">Planning!$L41</f>
        <v/>
      </c>
      <c r="G47" s="241" t="s">
        <v>4</v>
      </c>
      <c r="H47" s="240" t="str">
        <f ca="1">Planning!$N41</f>
        <v/>
      </c>
      <c r="I47" s="242"/>
      <c r="J47" s="243" t="str">
        <f>Language!$E$96</f>
        <v>-</v>
      </c>
      <c r="K47" s="603"/>
      <c r="L47" s="605"/>
      <c r="M47" s="606" t="str">
        <f>Language!$E$96</f>
        <v>-</v>
      </c>
      <c r="N47" s="244"/>
      <c r="O47" s="780" t="str">
        <f>IF(Planning!$O41="","",Planning!$O41)</f>
        <v/>
      </c>
    </row>
    <row r="48" spans="2:43" ht="24" customHeight="1" x14ac:dyDescent="0.2">
      <c r="B48" s="350" t="str">
        <f>Planning!$E42</f>
        <v/>
      </c>
      <c r="C48" s="238" t="str">
        <f>Planning!$F42</f>
        <v/>
      </c>
      <c r="D48" s="239" t="str">
        <f>Planning!$G42</f>
        <v/>
      </c>
      <c r="E48" s="239" t="str">
        <f ca="1">Planning!$H42</f>
        <v/>
      </c>
      <c r="F48" s="240" t="str">
        <f ca="1">Planning!$L42</f>
        <v/>
      </c>
      <c r="G48" s="241" t="s">
        <v>4</v>
      </c>
      <c r="H48" s="240" t="str">
        <f ca="1">Planning!$N42</f>
        <v/>
      </c>
      <c r="I48" s="242"/>
      <c r="J48" s="243" t="str">
        <f>Language!$E$96</f>
        <v>-</v>
      </c>
      <c r="K48" s="603"/>
      <c r="L48" s="605"/>
      <c r="M48" s="606" t="str">
        <f>Language!$E$96</f>
        <v>-</v>
      </c>
      <c r="N48" s="244"/>
      <c r="O48" s="780" t="str">
        <f>IF(Planning!$O42="","",Planning!$O42)</f>
        <v/>
      </c>
    </row>
    <row r="49" spans="2:15" ht="24" customHeight="1" x14ac:dyDescent="0.2">
      <c r="B49" s="350" t="str">
        <f>Planning!$E43</f>
        <v/>
      </c>
      <c r="C49" s="238" t="str">
        <f>Planning!$F43</f>
        <v/>
      </c>
      <c r="D49" s="239" t="str">
        <f>Planning!$G43</f>
        <v/>
      </c>
      <c r="E49" s="239" t="str">
        <f ca="1">Planning!$H43</f>
        <v/>
      </c>
      <c r="F49" s="240" t="str">
        <f ca="1">Planning!$L43</f>
        <v/>
      </c>
      <c r="G49" s="241" t="s">
        <v>4</v>
      </c>
      <c r="H49" s="240" t="str">
        <f ca="1">Planning!$N43</f>
        <v/>
      </c>
      <c r="I49" s="242"/>
      <c r="J49" s="243" t="str">
        <f>Language!$E$96</f>
        <v>-</v>
      </c>
      <c r="K49" s="603"/>
      <c r="L49" s="605"/>
      <c r="M49" s="606" t="str">
        <f>Language!$E$96</f>
        <v>-</v>
      </c>
      <c r="N49" s="244"/>
      <c r="O49" s="780" t="str">
        <f>IF(Planning!$O43="","",Planning!$O43)</f>
        <v/>
      </c>
    </row>
    <row r="50" spans="2:15" ht="24" customHeight="1" x14ac:dyDescent="0.2">
      <c r="B50" s="350" t="str">
        <f>Planning!$E44</f>
        <v/>
      </c>
      <c r="C50" s="238" t="str">
        <f>Planning!$F44</f>
        <v/>
      </c>
      <c r="D50" s="239" t="str">
        <f>Planning!$G44</f>
        <v/>
      </c>
      <c r="E50" s="239" t="str">
        <f ca="1">Planning!$H44</f>
        <v/>
      </c>
      <c r="F50" s="240" t="str">
        <f ca="1">Planning!$L44</f>
        <v/>
      </c>
      <c r="G50" s="241" t="s">
        <v>4</v>
      </c>
      <c r="H50" s="240" t="str">
        <f ca="1">Planning!$N44</f>
        <v/>
      </c>
      <c r="I50" s="242"/>
      <c r="J50" s="243" t="str">
        <f>Language!$E$96</f>
        <v>-</v>
      </c>
      <c r="K50" s="603"/>
      <c r="L50" s="605"/>
      <c r="M50" s="606" t="str">
        <f>Language!$E$96</f>
        <v>-</v>
      </c>
      <c r="N50" s="244"/>
      <c r="O50" s="780" t="str">
        <f>IF(Planning!$O44="","",Planning!$O44)</f>
        <v/>
      </c>
    </row>
    <row r="51" spans="2:15" ht="24" customHeight="1" x14ac:dyDescent="0.2">
      <c r="B51" s="350" t="str">
        <f>Planning!$E45</f>
        <v/>
      </c>
      <c r="C51" s="238" t="str">
        <f>Planning!$F45</f>
        <v/>
      </c>
      <c r="D51" s="239" t="str">
        <f>Planning!$G45</f>
        <v/>
      </c>
      <c r="E51" s="239" t="str">
        <f ca="1">Planning!$H45</f>
        <v/>
      </c>
      <c r="F51" s="240" t="str">
        <f ca="1">Planning!$L45</f>
        <v/>
      </c>
      <c r="G51" s="241" t="s">
        <v>4</v>
      </c>
      <c r="H51" s="240" t="str">
        <f ca="1">Planning!$N45</f>
        <v/>
      </c>
      <c r="I51" s="242"/>
      <c r="J51" s="243" t="str">
        <f>Language!$E$96</f>
        <v>-</v>
      </c>
      <c r="K51" s="603"/>
      <c r="L51" s="605"/>
      <c r="M51" s="606" t="str">
        <f>Language!$E$96</f>
        <v>-</v>
      </c>
      <c r="N51" s="244"/>
      <c r="O51" s="780" t="str">
        <f>IF(Planning!$O45="","",Planning!$O45)</f>
        <v/>
      </c>
    </row>
    <row r="52" spans="2:15" ht="24" customHeight="1" x14ac:dyDescent="0.2">
      <c r="B52" s="350" t="str">
        <f>Planning!$E46</f>
        <v/>
      </c>
      <c r="C52" s="238" t="str">
        <f>Planning!$F46</f>
        <v/>
      </c>
      <c r="D52" s="239" t="str">
        <f>Planning!$G46</f>
        <v/>
      </c>
      <c r="E52" s="239" t="str">
        <f ca="1">Planning!$H46</f>
        <v/>
      </c>
      <c r="F52" s="240" t="str">
        <f ca="1">Planning!$L46</f>
        <v/>
      </c>
      <c r="G52" s="241" t="s">
        <v>4</v>
      </c>
      <c r="H52" s="240" t="str">
        <f ca="1">Planning!$N46</f>
        <v/>
      </c>
      <c r="I52" s="242"/>
      <c r="J52" s="243" t="str">
        <f>Language!$E$96</f>
        <v>-</v>
      </c>
      <c r="K52" s="603"/>
      <c r="L52" s="605"/>
      <c r="M52" s="606" t="str">
        <f>Language!$E$96</f>
        <v>-</v>
      </c>
      <c r="N52" s="244"/>
      <c r="O52" s="780" t="str">
        <f>IF(Planning!$O46="","",Planning!$O46)</f>
        <v/>
      </c>
    </row>
    <row r="53" spans="2:15" ht="24" customHeight="1" x14ac:dyDescent="0.2">
      <c r="B53" s="350" t="str">
        <f>Planning!$E47</f>
        <v/>
      </c>
      <c r="C53" s="238" t="str">
        <f>Planning!$F47</f>
        <v/>
      </c>
      <c r="D53" s="239" t="str">
        <f>Planning!$G47</f>
        <v/>
      </c>
      <c r="E53" s="239" t="str">
        <f ca="1">Planning!$H47</f>
        <v/>
      </c>
      <c r="F53" s="240" t="str">
        <f ca="1">Planning!$L47</f>
        <v/>
      </c>
      <c r="G53" s="241" t="s">
        <v>4</v>
      </c>
      <c r="H53" s="240" t="str">
        <f ca="1">Planning!$N47</f>
        <v/>
      </c>
      <c r="I53" s="242"/>
      <c r="J53" s="243" t="str">
        <f>Language!$E$96</f>
        <v>-</v>
      </c>
      <c r="K53" s="603"/>
      <c r="L53" s="605"/>
      <c r="M53" s="606" t="str">
        <f>Language!$E$96</f>
        <v>-</v>
      </c>
      <c r="N53" s="244"/>
      <c r="O53" s="780" t="str">
        <f>IF(Planning!$O47="","",Planning!$O47)</f>
        <v/>
      </c>
    </row>
    <row r="54" spans="2:15" ht="24" customHeight="1" x14ac:dyDescent="0.2">
      <c r="B54" s="350" t="str">
        <f>Planning!$E48</f>
        <v/>
      </c>
      <c r="C54" s="238" t="str">
        <f>Planning!$F48</f>
        <v/>
      </c>
      <c r="D54" s="239" t="str">
        <f>Planning!$G48</f>
        <v/>
      </c>
      <c r="E54" s="239" t="str">
        <f ca="1">Planning!$H48</f>
        <v/>
      </c>
      <c r="F54" s="240" t="str">
        <f ca="1">Planning!$L48</f>
        <v/>
      </c>
      <c r="G54" s="241" t="s">
        <v>4</v>
      </c>
      <c r="H54" s="240" t="str">
        <f ca="1">Planning!$N48</f>
        <v/>
      </c>
      <c r="I54" s="242"/>
      <c r="J54" s="243" t="str">
        <f>Language!$E$96</f>
        <v>-</v>
      </c>
      <c r="K54" s="603"/>
      <c r="L54" s="605"/>
      <c r="M54" s="606" t="str">
        <f>Language!$E$96</f>
        <v>-</v>
      </c>
      <c r="N54" s="244"/>
      <c r="O54" s="780" t="str">
        <f>IF(Planning!$O48="","",Planning!$O48)</f>
        <v/>
      </c>
    </row>
    <row r="55" spans="2:15" ht="24" customHeight="1" x14ac:dyDescent="0.2">
      <c r="B55" s="350" t="str">
        <f>Planning!$E49</f>
        <v/>
      </c>
      <c r="C55" s="238" t="str">
        <f>Planning!$F49</f>
        <v/>
      </c>
      <c r="D55" s="239" t="str">
        <f>Planning!$G49</f>
        <v/>
      </c>
      <c r="E55" s="239" t="str">
        <f ca="1">Planning!$H49</f>
        <v/>
      </c>
      <c r="F55" s="240" t="str">
        <f ca="1">Planning!$L49</f>
        <v/>
      </c>
      <c r="G55" s="241" t="s">
        <v>4</v>
      </c>
      <c r="H55" s="240" t="str">
        <f ca="1">Planning!$N49</f>
        <v/>
      </c>
      <c r="I55" s="242"/>
      <c r="J55" s="243" t="str">
        <f>Language!$E$96</f>
        <v>-</v>
      </c>
      <c r="K55" s="603"/>
      <c r="L55" s="605"/>
      <c r="M55" s="606" t="str">
        <f>Language!$E$96</f>
        <v>-</v>
      </c>
      <c r="N55" s="244"/>
      <c r="O55" s="780" t="str">
        <f>IF(Planning!$O49="","",Planning!$O49)</f>
        <v/>
      </c>
    </row>
    <row r="56" spans="2:15" ht="24" customHeight="1" thickBot="1" x14ac:dyDescent="0.25">
      <c r="B56" s="351" t="str">
        <f>Planning!$E50</f>
        <v/>
      </c>
      <c r="C56" s="245" t="str">
        <f>Planning!$F50</f>
        <v/>
      </c>
      <c r="D56" s="246" t="str">
        <f>Planning!$G50</f>
        <v/>
      </c>
      <c r="E56" s="246" t="str">
        <f ca="1">Planning!$H50</f>
        <v/>
      </c>
      <c r="F56" s="247" t="str">
        <f ca="1">Planning!$L50</f>
        <v/>
      </c>
      <c r="G56" s="248" t="s">
        <v>4</v>
      </c>
      <c r="H56" s="247" t="str">
        <f ca="1">Planning!$N50</f>
        <v/>
      </c>
      <c r="I56" s="249"/>
      <c r="J56" s="250" t="str">
        <f>Language!$E$96</f>
        <v>-</v>
      </c>
      <c r="K56" s="604"/>
      <c r="L56" s="607"/>
      <c r="M56" s="608" t="str">
        <f>Language!$E$96</f>
        <v>-</v>
      </c>
      <c r="N56" s="251"/>
      <c r="O56" s="781" t="str">
        <f>IF(Planning!$O50="","",Planning!$O50)</f>
        <v/>
      </c>
    </row>
    <row r="57" spans="2:15" ht="13.5" thickTop="1" x14ac:dyDescent="0.2"/>
    <row r="58" spans="2:15" x14ac:dyDescent="0.2"/>
    <row r="59" spans="2:15" x14ac:dyDescent="0.2"/>
    <row r="60" spans="2:15" x14ac:dyDescent="0.2"/>
  </sheetData>
  <sheetProtection sheet="1" selectLockedCells="1"/>
  <mergeCells count="27">
    <mergeCell ref="AI2:AJ2"/>
    <mergeCell ref="G2:AC2"/>
    <mergeCell ref="Q1:R1"/>
    <mergeCell ref="F11:H11"/>
    <mergeCell ref="I11:K11"/>
    <mergeCell ref="Z11:AB11"/>
    <mergeCell ref="Q11:R11"/>
    <mergeCell ref="Q10:R10"/>
    <mergeCell ref="W11:Y11"/>
    <mergeCell ref="G3:AC3"/>
    <mergeCell ref="G4:AC4"/>
    <mergeCell ref="G5:AC5"/>
    <mergeCell ref="K7:V8"/>
    <mergeCell ref="AN10:AO10"/>
    <mergeCell ref="L11:N11"/>
    <mergeCell ref="Q40:AC40"/>
    <mergeCell ref="AD40:AK40"/>
    <mergeCell ref="Q30:R30"/>
    <mergeCell ref="Q31:R31"/>
    <mergeCell ref="Z31:AB31"/>
    <mergeCell ref="W31:Y31"/>
    <mergeCell ref="Q21:R21"/>
    <mergeCell ref="Z21:AB21"/>
    <mergeCell ref="Q20:R20"/>
    <mergeCell ref="AN30:AO30"/>
    <mergeCell ref="W21:Y21"/>
    <mergeCell ref="AN20:AO20"/>
  </mergeCells>
  <conditionalFormatting sqref="B12:N56">
    <cfRule type="expression" dxfId="31" priority="5">
      <formula>OR($F12="",$H12="")</formula>
    </cfRule>
  </conditionalFormatting>
  <conditionalFormatting sqref="Q12:AK17 Q22:AK27 Q32:AK37">
    <cfRule type="expression" dxfId="30" priority="3">
      <formula>$R12=""</formula>
    </cfRule>
  </conditionalFormatting>
  <conditionalFormatting sqref="Q12:AD17 AK12:AK17 AK22:AK27 AK32:AK37 Q22:AD27 Q32:AD37">
    <cfRule type="expression" dxfId="29" priority="2">
      <formula>OR(AND($Q12=$Q11,$R11&lt;&gt;""),AND($Q12=$Q13,$R13&lt;&gt;""))</formula>
    </cfRule>
  </conditionalFormatting>
  <conditionalFormatting sqref="I12:N56">
    <cfRule type="expression" dxfId="28" priority="1">
      <formula>OR(AND($I12&lt;&gt;"",$I12=$K12),AND($L12&lt;&gt;"",$L12=$N12))</formula>
    </cfRule>
  </conditionalFormatting>
  <dataValidations count="3">
    <dataValidation type="whole" allowBlank="1" showErrorMessage="1" errorTitle="Error" error="Maximal 999 !" sqref="I12:I56 K12:N56" xr:uid="{D9E07FCF-67B7-4BAF-9BC8-AE233331B860}">
      <formula1>0</formula1>
      <formula2>999</formula2>
    </dataValidation>
    <dataValidation type="whole" allowBlank="1" showInputMessage="1" showErrorMessage="1" sqref="AQ12:AQ17 AQ22:AQ27 AQ32:AQ37" xr:uid="{AF41E46A-2E6A-4E59-96DA-A9C6D39B9547}">
      <formula1>-99</formula1>
      <formula2>99</formula2>
    </dataValidation>
    <dataValidation allowBlank="1" showErrorMessage="1" errorTitle="Error" error="Maximal 999 !" sqref="O12:O56" xr:uid="{DF83BA41-083F-4D97-BFBB-88B38B80A9B2}"/>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93E0-2311-4C59-A951-B9B4697F91C7}">
  <dimension ref="A1:AE49"/>
  <sheetViews>
    <sheetView showGridLines="0" showRowColHeaders="0" zoomScaleNormal="100" workbookViewId="0">
      <selection activeCell="D12" sqref="D12"/>
    </sheetView>
  </sheetViews>
  <sheetFormatPr baseColWidth="10" defaultColWidth="0" defaultRowHeight="0" customHeight="1" zeroHeight="1" x14ac:dyDescent="0.2"/>
  <cols>
    <col min="1" max="1" width="6.85546875" style="621" customWidth="1"/>
    <col min="2" max="2" width="6.7109375" style="621" customWidth="1"/>
    <col min="3" max="3" width="9.28515625" style="621" customWidth="1"/>
    <col min="4" max="4" width="10.42578125" style="621" customWidth="1"/>
    <col min="5" max="5" width="6.42578125" style="621" customWidth="1"/>
    <col min="6" max="6" width="8.7109375" style="621" customWidth="1"/>
    <col min="7" max="7" width="2" style="621" customWidth="1"/>
    <col min="8" max="8" width="8.7109375" style="621" customWidth="1"/>
    <col min="9" max="9" width="24.7109375" style="621" customWidth="1"/>
    <col min="10" max="10" width="2.85546875" style="621" customWidth="1"/>
    <col min="11" max="11" width="24.7109375" style="621" customWidth="1"/>
    <col min="12" max="12" width="4.7109375" style="621" customWidth="1"/>
    <col min="13" max="13" width="2.42578125" style="621" customWidth="1"/>
    <col min="14" max="15" width="4.7109375" style="621" customWidth="1"/>
    <col min="16" max="16" width="2.7109375" style="622" customWidth="1"/>
    <col min="17" max="18" width="4.7109375" style="621" customWidth="1"/>
    <col min="19" max="19" width="2.7109375" style="621" customWidth="1"/>
    <col min="20" max="20" width="4.7109375" style="621" customWidth="1"/>
    <col min="21" max="21" width="24.7109375" style="621" customWidth="1"/>
    <col min="22" max="22" width="9.140625" style="621" customWidth="1"/>
    <col min="23" max="23" width="8.42578125" style="621" hidden="1" customWidth="1"/>
    <col min="24" max="24" width="6.140625" style="621" hidden="1" customWidth="1"/>
    <col min="25" max="25" width="5.85546875" style="621" hidden="1" customWidth="1"/>
    <col min="26" max="26" width="6.140625" style="621" hidden="1" customWidth="1"/>
    <col min="27" max="27" width="6.42578125" style="621" hidden="1" customWidth="1"/>
    <col min="28" max="28" width="3.28515625" style="621" hidden="1" customWidth="1"/>
    <col min="29" max="30" width="14.140625" style="621" hidden="1" customWidth="1"/>
    <col min="31" max="31" width="11.85546875" style="621" hidden="1" customWidth="1"/>
    <col min="32" max="16384" width="24.7109375" style="621" hidden="1"/>
  </cols>
  <sheetData>
    <row r="1" spans="2:31" ht="13.5" thickBot="1" x14ac:dyDescent="0.25"/>
    <row r="2" spans="2:31" ht="36" customHeight="1" thickTop="1" x14ac:dyDescent="0.2">
      <c r="F2" s="881" t="str">
        <f>PreliminaryRound!$G$2</f>
        <v>International tournament U10 on Apr. 17th, 2025</v>
      </c>
      <c r="G2" s="882"/>
      <c r="H2" s="882"/>
      <c r="I2" s="882"/>
      <c r="J2" s="882"/>
      <c r="K2" s="882"/>
      <c r="L2" s="882"/>
      <c r="M2" s="882"/>
      <c r="N2" s="882"/>
      <c r="O2" s="882"/>
      <c r="P2" s="882"/>
      <c r="Q2" s="882"/>
      <c r="R2" s="882"/>
      <c r="S2" s="882"/>
      <c r="T2" s="882"/>
      <c r="U2" s="883"/>
    </row>
    <row r="3" spans="2:31" ht="30" customHeight="1" x14ac:dyDescent="0.2">
      <c r="F3" s="884" t="str">
        <f>PreliminaryRound!$G$3</f>
        <v>Organizer:  1. FC Riedwald</v>
      </c>
      <c r="G3" s="885"/>
      <c r="H3" s="885"/>
      <c r="I3" s="885"/>
      <c r="J3" s="885"/>
      <c r="K3" s="885"/>
      <c r="L3" s="885"/>
      <c r="M3" s="885"/>
      <c r="N3" s="885"/>
      <c r="O3" s="885"/>
      <c r="P3" s="885"/>
      <c r="Q3" s="885"/>
      <c r="R3" s="885"/>
      <c r="S3" s="885"/>
      <c r="T3" s="885"/>
      <c r="U3" s="886"/>
    </row>
    <row r="4" spans="2:31" ht="30" customHeight="1" x14ac:dyDescent="0.2">
      <c r="F4" s="887" t="str">
        <f>PreliminaryRound!$G$4</f>
        <v>Sports hall Wiesengrund, Wendiger Str. 51, 65432 Riedwald</v>
      </c>
      <c r="G4" s="888"/>
      <c r="H4" s="888"/>
      <c r="I4" s="888"/>
      <c r="J4" s="888"/>
      <c r="K4" s="888"/>
      <c r="L4" s="888"/>
      <c r="M4" s="888"/>
      <c r="N4" s="888"/>
      <c r="O4" s="888"/>
      <c r="P4" s="888"/>
      <c r="Q4" s="888"/>
      <c r="R4" s="888"/>
      <c r="S4" s="888"/>
      <c r="T4" s="888"/>
      <c r="U4" s="889"/>
    </row>
    <row r="5" spans="2:31" ht="30" customHeight="1" thickBot="1" x14ac:dyDescent="0.25">
      <c r="F5" s="890" t="str">
        <f>PreliminaryRound!$G$5</f>
        <v>Start:  9:00 a.m.</v>
      </c>
      <c r="G5" s="891"/>
      <c r="H5" s="891"/>
      <c r="I5" s="891"/>
      <c r="J5" s="891"/>
      <c r="K5" s="891"/>
      <c r="L5" s="891"/>
      <c r="M5" s="891"/>
      <c r="N5" s="891"/>
      <c r="O5" s="891"/>
      <c r="P5" s="891"/>
      <c r="Q5" s="891"/>
      <c r="R5" s="891"/>
      <c r="S5" s="891"/>
      <c r="T5" s="891"/>
      <c r="U5" s="892"/>
    </row>
    <row r="6" spans="2:31" ht="40.5" customHeight="1" thickTop="1" x14ac:dyDescent="0.2"/>
    <row r="7" spans="2:31" ht="30" customHeight="1" x14ac:dyDescent="0.2">
      <c r="H7" s="893" t="str">
        <f>Language!$E$6</f>
        <v>Tie break prel. round</v>
      </c>
      <c r="I7" s="893"/>
      <c r="J7" s="893"/>
      <c r="K7" s="893"/>
      <c r="L7" s="893"/>
      <c r="M7" s="893"/>
      <c r="N7" s="893"/>
      <c r="O7" s="893"/>
      <c r="P7" s="893"/>
      <c r="Q7" s="893"/>
      <c r="R7" s="893"/>
      <c r="S7" s="893"/>
      <c r="T7" s="893"/>
    </row>
    <row r="8" spans="2:31" ht="30" customHeight="1" x14ac:dyDescent="0.2">
      <c r="H8" s="893"/>
      <c r="I8" s="893"/>
      <c r="J8" s="893"/>
      <c r="K8" s="893"/>
      <c r="L8" s="893"/>
      <c r="M8" s="893"/>
      <c r="N8" s="893"/>
      <c r="O8" s="893"/>
      <c r="P8" s="893"/>
      <c r="Q8" s="893"/>
      <c r="R8" s="893"/>
      <c r="S8" s="893"/>
      <c r="T8" s="893"/>
    </row>
    <row r="9" spans="2:31" ht="15.95" customHeight="1" x14ac:dyDescent="0.2"/>
    <row r="10" spans="2:31" ht="24" customHeight="1" thickBot="1" x14ac:dyDescent="0.3">
      <c r="C10" s="880"/>
      <c r="D10" s="880"/>
      <c r="E10" s="623"/>
      <c r="F10" s="894" t="str">
        <f>Language!$E$121</f>
        <v>e.g.  A2 - A4</v>
      </c>
      <c r="G10" s="894"/>
      <c r="H10" s="894"/>
      <c r="I10" s="623"/>
      <c r="J10" s="623"/>
      <c r="K10" s="623"/>
      <c r="L10" s="624"/>
      <c r="M10" s="624"/>
      <c r="N10" s="624"/>
      <c r="O10" s="625"/>
      <c r="P10" s="626"/>
      <c r="Q10" s="627"/>
      <c r="R10" s="627"/>
      <c r="S10" s="627"/>
      <c r="T10" s="627"/>
      <c r="U10" s="628"/>
    </row>
    <row r="11" spans="2:31" ht="24" customHeight="1" thickTop="1" x14ac:dyDescent="0.2">
      <c r="C11" s="629" t="str">
        <f>Language!$E$33</f>
        <v>Game no.</v>
      </c>
      <c r="D11" s="630" t="str">
        <f>Language!$E$39</f>
        <v>Start:</v>
      </c>
      <c r="E11" s="630" t="str">
        <f>Language!$E$48</f>
        <v>Field</v>
      </c>
      <c r="F11" s="873" t="str">
        <f>Language!$E$120</f>
        <v>Team IDs</v>
      </c>
      <c r="G11" s="874"/>
      <c r="H11" s="875"/>
      <c r="I11" s="873" t="str">
        <f>Language!$E$14</f>
        <v>Match pairing</v>
      </c>
      <c r="J11" s="874"/>
      <c r="K11" s="875"/>
      <c r="L11" s="876" t="str">
        <f>Language!$E$78</f>
        <v>1st set</v>
      </c>
      <c r="M11" s="877"/>
      <c r="N11" s="878"/>
      <c r="O11" s="876" t="str">
        <f>Language!$E$79</f>
        <v>2nd set</v>
      </c>
      <c r="P11" s="877"/>
      <c r="Q11" s="878"/>
      <c r="R11" s="876" t="str">
        <f>Language!$E$81</f>
        <v>3rd set</v>
      </c>
      <c r="S11" s="877"/>
      <c r="T11" s="879"/>
      <c r="U11" s="631" t="str">
        <f>Language!$E$82</f>
        <v>Winner</v>
      </c>
      <c r="W11" s="632" t="str">
        <f>Language!$E$81&amp;"?"</f>
        <v>3rd set?</v>
      </c>
      <c r="AC11" s="632" t="s">
        <v>392</v>
      </c>
      <c r="AD11" s="632" t="s">
        <v>393</v>
      </c>
      <c r="AE11" s="632" t="s">
        <v>394</v>
      </c>
    </row>
    <row r="12" spans="2:31" ht="24" customHeight="1" x14ac:dyDescent="0.2">
      <c r="B12" s="633"/>
      <c r="C12" s="634" t="s">
        <v>6</v>
      </c>
      <c r="D12" s="635"/>
      <c r="E12" s="636"/>
      <c r="F12" s="637"/>
      <c r="G12" s="638" t="s">
        <v>4</v>
      </c>
      <c r="H12" s="639"/>
      <c r="I12" s="640" t="str">
        <f>IF($F12="","",IFERROR(VLOOKUP($F12,Planning!$B$7:$C$69,2,0),""))</f>
        <v/>
      </c>
      <c r="J12" s="641" t="s">
        <v>4</v>
      </c>
      <c r="K12" s="642" t="str">
        <f>IF($H12="","",IFERROR(VLOOKUP($H12,Planning!$B$7:$C$69,2,0),""))</f>
        <v/>
      </c>
      <c r="L12" s="643"/>
      <c r="M12" s="644" t="str">
        <f>Language!$E$96</f>
        <v>-</v>
      </c>
      <c r="N12" s="645"/>
      <c r="O12" s="643"/>
      <c r="P12" s="644" t="str">
        <f>Language!$E$96</f>
        <v>-</v>
      </c>
      <c r="Q12" s="645"/>
      <c r="R12" s="646"/>
      <c r="S12" s="644" t="str">
        <f>Language!$E$96</f>
        <v>-</v>
      </c>
      <c r="T12" s="647"/>
      <c r="U12" s="648" t="str">
        <f>IF(OR($AC12,AND($AD12,OR($O12&lt;&gt;"",$Q12&lt;&gt;""))),"",IF($X12+$Z12&gt;$Y12+$AA12,$I12,IF($X12+$Z12&lt;$Y12+$AA12,$K12,"")))</f>
        <v/>
      </c>
      <c r="V12" s="649"/>
      <c r="W12" s="650" t="b">
        <f t="shared" ref="W12:W16" si="0">AND(NOT(OR($AC12,$AD12)),$X12=1,$Y12=1)</f>
        <v>0</v>
      </c>
      <c r="X12" s="650">
        <f t="shared" ref="X12:X16" si="1">IF($AC12,0,($L12&gt;$N12)+IF($AD12,0,$O12&gt;$Q12))</f>
        <v>0</v>
      </c>
      <c r="Y12" s="650">
        <f t="shared" ref="Y12:Y16" si="2">IF($AC12,0,($L12&lt;$N12)+IF($AD12,0,$O12&lt;$Q12))</f>
        <v>0</v>
      </c>
      <c r="Z12" s="650">
        <f t="shared" ref="Z12:Z16" si="3">($O12&lt;&gt;"")*($Q12&lt;&gt;"")*($R12&lt;&gt;"")*($T12&lt;&gt;"")*(X12=1)*(Y12=1)*($R12&gt;$T12)</f>
        <v>0</v>
      </c>
      <c r="AA12" s="650">
        <f t="shared" ref="AA12:AA16" si="4">($O12&lt;&gt;"")*($Q12&lt;&gt;"")*($R12&lt;&gt;"")*($T12&lt;&gt;"")*(X12=1)*(Y12=1)*($R12&lt;$T12)</f>
        <v>0</v>
      </c>
      <c r="AB12" s="651"/>
      <c r="AC12" s="650" t="b">
        <f t="shared" ref="AC12:AC16" si="5">OR($I12="",$K12="",$L12="",$N12="",AND($L12&lt;&gt;"",$L12=$N12))</f>
        <v>1</v>
      </c>
      <c r="AD12" s="650" t="b">
        <f t="shared" ref="AD12:AD16" si="6">OR(AC12,$O12="",$Q12="",AND($O12&lt;&gt;"",$O12=$Q12))</f>
        <v>1</v>
      </c>
      <c r="AE12" s="650" t="b">
        <f t="shared" ref="AE12:AE16" si="7">OR($R12="",$T12="",$R12=$T12)</f>
        <v>1</v>
      </c>
    </row>
    <row r="13" spans="2:31" ht="24" customHeight="1" x14ac:dyDescent="0.2">
      <c r="B13" s="633"/>
      <c r="C13" s="652" t="s">
        <v>7</v>
      </c>
      <c r="D13" s="653"/>
      <c r="E13" s="653"/>
      <c r="F13" s="637"/>
      <c r="G13" s="638" t="s">
        <v>4</v>
      </c>
      <c r="H13" s="639"/>
      <c r="I13" s="654" t="str">
        <f>IF($F13="","",IFERROR(VLOOKUP($F13,Planning!$B$7:$C$69,2,0),""))</f>
        <v/>
      </c>
      <c r="J13" s="655" t="s">
        <v>4</v>
      </c>
      <c r="K13" s="656" t="str">
        <f>IF($H13="","",IFERROR(VLOOKUP($H13,Planning!$B$7:$C$69,2,0),""))</f>
        <v/>
      </c>
      <c r="L13" s="637"/>
      <c r="M13" s="657" t="str">
        <f>Language!$E$96</f>
        <v>-</v>
      </c>
      <c r="N13" s="639"/>
      <c r="O13" s="637"/>
      <c r="P13" s="657" t="str">
        <f>Language!$E$96</f>
        <v>-</v>
      </c>
      <c r="Q13" s="639"/>
      <c r="R13" s="637"/>
      <c r="S13" s="657" t="str">
        <f>Language!$E$96</f>
        <v>-</v>
      </c>
      <c r="T13" s="658"/>
      <c r="U13" s="659" t="str">
        <f t="shared" ref="U13:U17" si="8">IF(OR($AC13,AND($AD13,OR($O13&lt;&gt;"",$Q13&lt;&gt;""))),"",IF($X13+$Z13&gt;$Y13+$AA13,$I13,IF($X13+$Z13&lt;$Y13+$AA13,$K13,"")))</f>
        <v/>
      </c>
      <c r="V13" s="649"/>
      <c r="W13" s="650" t="b">
        <f t="shared" si="0"/>
        <v>0</v>
      </c>
      <c r="X13" s="650">
        <f t="shared" si="1"/>
        <v>0</v>
      </c>
      <c r="Y13" s="650">
        <f t="shared" si="2"/>
        <v>0</v>
      </c>
      <c r="Z13" s="650">
        <f t="shared" si="3"/>
        <v>0</v>
      </c>
      <c r="AA13" s="650">
        <f t="shared" si="4"/>
        <v>0</v>
      </c>
      <c r="AB13" s="651"/>
      <c r="AC13" s="650" t="b">
        <f t="shared" si="5"/>
        <v>1</v>
      </c>
      <c r="AD13" s="650" t="b">
        <f t="shared" si="6"/>
        <v>1</v>
      </c>
      <c r="AE13" s="650" t="b">
        <f t="shared" si="7"/>
        <v>1</v>
      </c>
    </row>
    <row r="14" spans="2:31" ht="24" customHeight="1" x14ac:dyDescent="0.2">
      <c r="B14" s="633"/>
      <c r="C14" s="652" t="s">
        <v>8</v>
      </c>
      <c r="D14" s="653"/>
      <c r="E14" s="653"/>
      <c r="F14" s="637"/>
      <c r="G14" s="638" t="s">
        <v>4</v>
      </c>
      <c r="H14" s="639"/>
      <c r="I14" s="654" t="str">
        <f>IF($F14="","",IFERROR(VLOOKUP($F14,Planning!$B$7:$C$69,2,0),""))</f>
        <v/>
      </c>
      <c r="J14" s="655" t="s">
        <v>4</v>
      </c>
      <c r="K14" s="656" t="str">
        <f>IF($H14="","",IFERROR(VLOOKUP($H14,Planning!$B$7:$C$69,2,0),""))</f>
        <v/>
      </c>
      <c r="L14" s="637"/>
      <c r="M14" s="657" t="str">
        <f>Language!$E$96</f>
        <v>-</v>
      </c>
      <c r="N14" s="639"/>
      <c r="O14" s="637"/>
      <c r="P14" s="657" t="str">
        <f>Language!$E$96</f>
        <v>-</v>
      </c>
      <c r="Q14" s="639"/>
      <c r="R14" s="637"/>
      <c r="S14" s="657" t="str">
        <f>Language!$E$96</f>
        <v>-</v>
      </c>
      <c r="T14" s="658"/>
      <c r="U14" s="659" t="str">
        <f t="shared" si="8"/>
        <v/>
      </c>
      <c r="V14" s="649"/>
      <c r="W14" s="650" t="b">
        <f t="shared" si="0"/>
        <v>0</v>
      </c>
      <c r="X14" s="650">
        <f t="shared" si="1"/>
        <v>0</v>
      </c>
      <c r="Y14" s="650">
        <f t="shared" si="2"/>
        <v>0</v>
      </c>
      <c r="Z14" s="650">
        <f t="shared" si="3"/>
        <v>0</v>
      </c>
      <c r="AA14" s="650">
        <f t="shared" si="4"/>
        <v>0</v>
      </c>
      <c r="AB14" s="651"/>
      <c r="AC14" s="650" t="b">
        <f t="shared" si="5"/>
        <v>1</v>
      </c>
      <c r="AD14" s="650" t="b">
        <f t="shared" si="6"/>
        <v>1</v>
      </c>
      <c r="AE14" s="650" t="b">
        <f t="shared" si="7"/>
        <v>1</v>
      </c>
    </row>
    <row r="15" spans="2:31" ht="24" customHeight="1" x14ac:dyDescent="0.2">
      <c r="B15" s="633"/>
      <c r="C15" s="652" t="s">
        <v>9</v>
      </c>
      <c r="D15" s="653"/>
      <c r="E15" s="653"/>
      <c r="F15" s="637"/>
      <c r="G15" s="638" t="s">
        <v>4</v>
      </c>
      <c r="H15" s="639"/>
      <c r="I15" s="654" t="str">
        <f>IF($F15="","",IFERROR(VLOOKUP($F15,Planning!$B$7:$C$69,2,0),""))</f>
        <v/>
      </c>
      <c r="J15" s="655" t="s">
        <v>4</v>
      </c>
      <c r="K15" s="656" t="str">
        <f>IF($H15="","",IFERROR(VLOOKUP($H15,Planning!$B$7:$C$69,2,0),""))</f>
        <v/>
      </c>
      <c r="L15" s="637"/>
      <c r="M15" s="657" t="str">
        <f>Language!$E$96</f>
        <v>-</v>
      </c>
      <c r="N15" s="639"/>
      <c r="O15" s="637"/>
      <c r="P15" s="657" t="str">
        <f>Language!$E$96</f>
        <v>-</v>
      </c>
      <c r="Q15" s="639"/>
      <c r="R15" s="637"/>
      <c r="S15" s="657" t="str">
        <f>Language!$E$96</f>
        <v>-</v>
      </c>
      <c r="T15" s="658"/>
      <c r="U15" s="659" t="str">
        <f t="shared" si="8"/>
        <v/>
      </c>
      <c r="V15" s="649"/>
      <c r="W15" s="650" t="b">
        <f t="shared" si="0"/>
        <v>0</v>
      </c>
      <c r="X15" s="650">
        <f t="shared" si="1"/>
        <v>0</v>
      </c>
      <c r="Y15" s="650">
        <f t="shared" si="2"/>
        <v>0</v>
      </c>
      <c r="Z15" s="650">
        <f t="shared" si="3"/>
        <v>0</v>
      </c>
      <c r="AA15" s="650">
        <f t="shared" si="4"/>
        <v>0</v>
      </c>
      <c r="AB15" s="651"/>
      <c r="AC15" s="650" t="b">
        <f t="shared" si="5"/>
        <v>1</v>
      </c>
      <c r="AD15" s="650" t="b">
        <f t="shared" si="6"/>
        <v>1</v>
      </c>
      <c r="AE15" s="650" t="b">
        <f t="shared" si="7"/>
        <v>1</v>
      </c>
    </row>
    <row r="16" spans="2:31" ht="24" customHeight="1" x14ac:dyDescent="0.2">
      <c r="B16" s="633"/>
      <c r="C16" s="652" t="s">
        <v>10</v>
      </c>
      <c r="D16" s="653"/>
      <c r="E16" s="653"/>
      <c r="F16" s="637"/>
      <c r="G16" s="638" t="s">
        <v>4</v>
      </c>
      <c r="H16" s="639"/>
      <c r="I16" s="654" t="str">
        <f>IF($F16="","",IFERROR(VLOOKUP($F16,Planning!$B$7:$C$69,2,0),""))</f>
        <v/>
      </c>
      <c r="J16" s="655" t="s">
        <v>4</v>
      </c>
      <c r="K16" s="656" t="str">
        <f>IF($H16="","",IFERROR(VLOOKUP($H16,Planning!$B$7:$C$69,2,0),""))</f>
        <v/>
      </c>
      <c r="L16" s="637"/>
      <c r="M16" s="657" t="str">
        <f>Language!$E$96</f>
        <v>-</v>
      </c>
      <c r="N16" s="639"/>
      <c r="O16" s="637"/>
      <c r="P16" s="657" t="str">
        <f>Language!$E$96</f>
        <v>-</v>
      </c>
      <c r="Q16" s="639"/>
      <c r="R16" s="637"/>
      <c r="S16" s="657" t="str">
        <f>Language!$E$96</f>
        <v>-</v>
      </c>
      <c r="T16" s="658"/>
      <c r="U16" s="659" t="str">
        <f t="shared" si="8"/>
        <v/>
      </c>
      <c r="V16" s="649"/>
      <c r="W16" s="650" t="b">
        <f t="shared" si="0"/>
        <v>0</v>
      </c>
      <c r="X16" s="650">
        <f t="shared" si="1"/>
        <v>0</v>
      </c>
      <c r="Y16" s="650">
        <f t="shared" si="2"/>
        <v>0</v>
      </c>
      <c r="Z16" s="650">
        <f t="shared" si="3"/>
        <v>0</v>
      </c>
      <c r="AA16" s="650">
        <f t="shared" si="4"/>
        <v>0</v>
      </c>
      <c r="AB16" s="651"/>
      <c r="AC16" s="650" t="b">
        <f t="shared" si="5"/>
        <v>1</v>
      </c>
      <c r="AD16" s="650" t="b">
        <f t="shared" si="6"/>
        <v>1</v>
      </c>
      <c r="AE16" s="650" t="b">
        <f t="shared" si="7"/>
        <v>1</v>
      </c>
    </row>
    <row r="17" spans="2:31" ht="24" customHeight="1" thickBot="1" x14ac:dyDescent="0.25">
      <c r="B17" s="633"/>
      <c r="C17" s="660" t="s">
        <v>11</v>
      </c>
      <c r="D17" s="661"/>
      <c r="E17" s="661"/>
      <c r="F17" s="662"/>
      <c r="G17" s="663" t="s">
        <v>4</v>
      </c>
      <c r="H17" s="664"/>
      <c r="I17" s="665" t="str">
        <f>IF($F17="","",IFERROR(VLOOKUP($F17,Planning!$B$7:$C$69,2,0),""))</f>
        <v/>
      </c>
      <c r="J17" s="666" t="s">
        <v>4</v>
      </c>
      <c r="K17" s="667" t="str">
        <f>IF($H17="","",IFERROR(VLOOKUP($H17,Planning!$B$7:$C$69,2,0),""))</f>
        <v/>
      </c>
      <c r="L17" s="662"/>
      <c r="M17" s="668" t="str">
        <f>Language!$E$96</f>
        <v>-</v>
      </c>
      <c r="N17" s="664"/>
      <c r="O17" s="662"/>
      <c r="P17" s="668" t="str">
        <f>Language!$E$96</f>
        <v>-</v>
      </c>
      <c r="Q17" s="664"/>
      <c r="R17" s="662"/>
      <c r="S17" s="668" t="str">
        <f>Language!$E$96</f>
        <v>-</v>
      </c>
      <c r="T17" s="669"/>
      <c r="U17" s="670" t="str">
        <f t="shared" si="8"/>
        <v/>
      </c>
      <c r="V17" s="649"/>
      <c r="W17" s="650" t="b">
        <f>AND(NOT(OR($AC17,$AD17)),$X17=1,$Y17=1)</f>
        <v>0</v>
      </c>
      <c r="X17" s="650">
        <f>IF($AC17,0,($L17&gt;$N17)+IF($AD17,0,$O17&gt;$Q17))</f>
        <v>0</v>
      </c>
      <c r="Y17" s="650">
        <f>IF($AC17,0,($L17&lt;$N17)+IF($AD17,0,$O17&lt;$Q17))</f>
        <v>0</v>
      </c>
      <c r="Z17" s="650">
        <f>($O17&lt;&gt;"")*($Q17&lt;&gt;"")*($R17&lt;&gt;"")*($T17&lt;&gt;"")*(X17=1)*(Y17=1)*($R17&gt;$T17)</f>
        <v>0</v>
      </c>
      <c r="AA17" s="650">
        <f>($O17&lt;&gt;"")*($Q17&lt;&gt;"")*($R17&lt;&gt;"")*($T17&lt;&gt;"")*(X17=1)*(Y17=1)*($R17&lt;$T17)</f>
        <v>0</v>
      </c>
      <c r="AB17" s="651"/>
      <c r="AC17" s="650" t="b">
        <f>OR($I17="",$K17="",$L17="",$N17="",AND($L17&lt;&gt;"",$L17=$N17))</f>
        <v>1</v>
      </c>
      <c r="AD17" s="650" t="b">
        <f>OR(AC17,$O17="",$Q17="",AND($O17&lt;&gt;"",$O17=$Q17))</f>
        <v>1</v>
      </c>
      <c r="AE17" s="650" t="b">
        <f>OR($R17="",$T17="",$R17=$T17)</f>
        <v>1</v>
      </c>
    </row>
    <row r="18" spans="2:31" ht="36" customHeight="1" thickTop="1" x14ac:dyDescent="0.25">
      <c r="B18" s="671"/>
      <c r="C18" s="672"/>
      <c r="D18" s="673"/>
      <c r="E18" s="674"/>
      <c r="F18" s="675"/>
      <c r="G18" s="676"/>
      <c r="H18" s="677"/>
      <c r="I18" s="678" t="s">
        <v>250</v>
      </c>
      <c r="J18" s="679"/>
      <c r="K18" s="678" t="s">
        <v>250</v>
      </c>
      <c r="L18" s="680"/>
      <c r="M18" s="681"/>
      <c r="N18" s="682"/>
      <c r="O18" s="683"/>
      <c r="P18" s="683"/>
      <c r="Q18" s="683"/>
      <c r="R18" s="683"/>
      <c r="S18" s="683"/>
      <c r="T18" s="683"/>
      <c r="U18" s="649"/>
      <c r="V18" s="649"/>
    </row>
    <row r="19" spans="2:31" ht="24" customHeight="1" x14ac:dyDescent="0.2"/>
    <row r="20" spans="2:31" ht="24" customHeight="1" x14ac:dyDescent="0.2">
      <c r="H20" s="893" t="str">
        <f>Language!$E$83</f>
        <v>Tie break final round 1</v>
      </c>
      <c r="I20" s="893"/>
      <c r="J20" s="893"/>
      <c r="K20" s="893"/>
      <c r="L20" s="893"/>
      <c r="M20" s="893"/>
      <c r="N20" s="893"/>
      <c r="O20" s="893"/>
      <c r="P20" s="893"/>
      <c r="Q20" s="893"/>
      <c r="R20" s="893"/>
      <c r="S20" s="893"/>
      <c r="T20" s="893"/>
    </row>
    <row r="21" spans="2:31" ht="24" customHeight="1" x14ac:dyDescent="0.2">
      <c r="H21" s="893"/>
      <c r="I21" s="893"/>
      <c r="J21" s="893"/>
      <c r="K21" s="893"/>
      <c r="L21" s="893"/>
      <c r="M21" s="893"/>
      <c r="N21" s="893"/>
      <c r="O21" s="893"/>
      <c r="P21" s="893"/>
      <c r="Q21" s="893"/>
      <c r="R21" s="893"/>
      <c r="S21" s="893"/>
      <c r="T21" s="893"/>
    </row>
    <row r="22" spans="2:31" ht="11.25" customHeight="1" x14ac:dyDescent="0.2"/>
    <row r="23" spans="2:31" ht="24" customHeight="1" thickBot="1" x14ac:dyDescent="0.3">
      <c r="C23" s="880"/>
      <c r="D23" s="880"/>
      <c r="E23" s="623"/>
      <c r="F23" s="623"/>
      <c r="G23" s="623"/>
      <c r="H23" s="623"/>
      <c r="I23" s="623"/>
      <c r="J23" s="623"/>
      <c r="K23" s="623"/>
      <c r="L23" s="624"/>
      <c r="M23" s="624"/>
      <c r="N23" s="624"/>
      <c r="O23" s="625"/>
      <c r="P23" s="626"/>
      <c r="Q23" s="627"/>
      <c r="R23" s="627"/>
      <c r="S23" s="627"/>
      <c r="T23" s="627"/>
      <c r="U23" s="628"/>
    </row>
    <row r="24" spans="2:31" ht="24" customHeight="1" thickTop="1" x14ac:dyDescent="0.2">
      <c r="C24" s="629" t="str">
        <f>Language!$E$33</f>
        <v>Game no.</v>
      </c>
      <c r="D24" s="698" t="str">
        <f>Language!$E$39</f>
        <v>Start:</v>
      </c>
      <c r="E24" s="698" t="str">
        <f>Language!$E$48</f>
        <v>Field</v>
      </c>
      <c r="F24" s="873" t="str">
        <f>Language!$E$120</f>
        <v>Team IDs</v>
      </c>
      <c r="G24" s="874"/>
      <c r="H24" s="875"/>
      <c r="I24" s="873" t="str">
        <f>Language!$E$14</f>
        <v>Match pairing</v>
      </c>
      <c r="J24" s="874"/>
      <c r="K24" s="875"/>
      <c r="L24" s="876" t="str">
        <f>Language!$E$78</f>
        <v>1st set</v>
      </c>
      <c r="M24" s="877"/>
      <c r="N24" s="878"/>
      <c r="O24" s="876" t="str">
        <f>Language!$E$79</f>
        <v>2nd set</v>
      </c>
      <c r="P24" s="877"/>
      <c r="Q24" s="878"/>
      <c r="R24" s="876" t="str">
        <f>Language!$E$81</f>
        <v>3rd set</v>
      </c>
      <c r="S24" s="877"/>
      <c r="T24" s="879"/>
      <c r="U24" s="631" t="str">
        <f>Language!$E$82</f>
        <v>Winner</v>
      </c>
      <c r="W24" s="632" t="str">
        <f>Language!$E$81&amp;"?"</f>
        <v>3rd set?</v>
      </c>
      <c r="AC24" s="632" t="s">
        <v>392</v>
      </c>
      <c r="AD24" s="632" t="s">
        <v>393</v>
      </c>
      <c r="AE24" s="632" t="s">
        <v>394</v>
      </c>
    </row>
    <row r="25" spans="2:31" ht="24" customHeight="1" x14ac:dyDescent="0.2">
      <c r="C25" s="634" t="s">
        <v>6</v>
      </c>
      <c r="D25" s="635"/>
      <c r="E25" s="636"/>
      <c r="F25" s="637"/>
      <c r="G25" s="638" t="s">
        <v>4</v>
      </c>
      <c r="H25" s="639"/>
      <c r="I25" s="640" t="str">
        <f>IF($F25="","",IFERROR(VLOOKUP($F25,Planning!$B$7:$C$69,2,0),""))</f>
        <v/>
      </c>
      <c r="J25" s="641" t="s">
        <v>4</v>
      </c>
      <c r="K25" s="642" t="str">
        <f>IF($H25="","",IFERROR(VLOOKUP($H25,Planning!$B$7:$C$69,2,0),""))</f>
        <v/>
      </c>
      <c r="L25" s="643"/>
      <c r="M25" s="644" t="str">
        <f>Language!$E$96</f>
        <v>-</v>
      </c>
      <c r="N25" s="645"/>
      <c r="O25" s="643"/>
      <c r="P25" s="644" t="str">
        <f>Language!$E$96</f>
        <v>-</v>
      </c>
      <c r="Q25" s="645"/>
      <c r="R25" s="646"/>
      <c r="S25" s="644" t="str">
        <f>Language!$E$96</f>
        <v>-</v>
      </c>
      <c r="T25" s="647"/>
      <c r="U25" s="648" t="str">
        <f>IF(OR($AC25,AND($AD25,OR($O25&lt;&gt;"",$Q25&lt;&gt;""))),"",IF($X25+$Z25&gt;$Y25+$AA25,$I25,IF($X25+$Z25&lt;$Y25+$AA25,$K25,"")))</f>
        <v/>
      </c>
      <c r="V25" s="649"/>
      <c r="W25" s="650" t="b">
        <f t="shared" ref="W25:W29" si="9">AND(NOT(OR($AC25,$AD25)),$X25=1,$Y25=1)</f>
        <v>0</v>
      </c>
      <c r="X25" s="650">
        <f t="shared" ref="X25:X29" si="10">IF($AC25,0,($L25&gt;$N25)+IF($AD25,0,$O25&gt;$Q25))</f>
        <v>0</v>
      </c>
      <c r="Y25" s="650">
        <f t="shared" ref="Y25:Y29" si="11">IF($AC25,0,($L25&lt;$N25)+IF($AD25,0,$O25&lt;$Q25))</f>
        <v>0</v>
      </c>
      <c r="Z25" s="650">
        <f t="shared" ref="Z25:Z29" si="12">($O25&lt;&gt;"")*($Q25&lt;&gt;"")*($R25&lt;&gt;"")*($T25&lt;&gt;"")*(X25=1)*(Y25=1)*($R25&gt;$T25)</f>
        <v>0</v>
      </c>
      <c r="AA25" s="650">
        <f t="shared" ref="AA25:AA29" si="13">($O25&lt;&gt;"")*($Q25&lt;&gt;"")*($R25&lt;&gt;"")*($T25&lt;&gt;"")*(X25=1)*(Y25=1)*($R25&lt;$T25)</f>
        <v>0</v>
      </c>
      <c r="AB25" s="651"/>
      <c r="AC25" s="650" t="b">
        <f t="shared" ref="AC25:AC29" si="14">OR($I25="",$K25="",$L25="",$N25="",AND($L25&lt;&gt;"",$L25=$N25))</f>
        <v>1</v>
      </c>
      <c r="AD25" s="650" t="b">
        <f t="shared" ref="AD25:AD29" si="15">OR(AC25,$O25="",$Q25="",AND($O25&lt;&gt;"",$O25=$Q25))</f>
        <v>1</v>
      </c>
      <c r="AE25" s="650" t="b">
        <f t="shared" ref="AE25:AE29" si="16">OR($R25="",$T25="",$R25=$T25)</f>
        <v>1</v>
      </c>
    </row>
    <row r="26" spans="2:31" ht="24" customHeight="1" x14ac:dyDescent="0.2">
      <c r="C26" s="652" t="s">
        <v>7</v>
      </c>
      <c r="D26" s="653"/>
      <c r="E26" s="653"/>
      <c r="F26" s="637"/>
      <c r="G26" s="638" t="s">
        <v>4</v>
      </c>
      <c r="H26" s="639"/>
      <c r="I26" s="654" t="str">
        <f>IF($F26="","",IFERROR(VLOOKUP($F26,Planning!$B$7:$C$69,2,0),""))</f>
        <v/>
      </c>
      <c r="J26" s="655" t="s">
        <v>4</v>
      </c>
      <c r="K26" s="656" t="str">
        <f>IF($H26="","",IFERROR(VLOOKUP($H26,Planning!$B$7:$C$69,2,0),""))</f>
        <v/>
      </c>
      <c r="L26" s="637"/>
      <c r="M26" s="657" t="str">
        <f>Language!$E$96</f>
        <v>-</v>
      </c>
      <c r="N26" s="639"/>
      <c r="O26" s="637"/>
      <c r="P26" s="657" t="str">
        <f>Language!$E$96</f>
        <v>-</v>
      </c>
      <c r="Q26" s="639"/>
      <c r="R26" s="637"/>
      <c r="S26" s="657" t="str">
        <f>Language!$E$96</f>
        <v>-</v>
      </c>
      <c r="T26" s="658"/>
      <c r="U26" s="659" t="str">
        <f t="shared" ref="U26:U30" si="17">IF(OR($AC26,AND($AD26,OR($O26&lt;&gt;"",$Q26&lt;&gt;""))),"",IF($X26+$Z26&gt;$Y26+$AA26,$I26,IF($X26+$Z26&lt;$Y26+$AA26,$K26,"")))</f>
        <v/>
      </c>
      <c r="V26" s="649"/>
      <c r="W26" s="650" t="b">
        <f t="shared" si="9"/>
        <v>0</v>
      </c>
      <c r="X26" s="650">
        <f t="shared" si="10"/>
        <v>0</v>
      </c>
      <c r="Y26" s="650">
        <f t="shared" si="11"/>
        <v>0</v>
      </c>
      <c r="Z26" s="650">
        <f t="shared" si="12"/>
        <v>0</v>
      </c>
      <c r="AA26" s="650">
        <f t="shared" si="13"/>
        <v>0</v>
      </c>
      <c r="AB26" s="651"/>
      <c r="AC26" s="650" t="b">
        <f t="shared" si="14"/>
        <v>1</v>
      </c>
      <c r="AD26" s="650" t="b">
        <f t="shared" si="15"/>
        <v>1</v>
      </c>
      <c r="AE26" s="650" t="b">
        <f t="shared" si="16"/>
        <v>1</v>
      </c>
    </row>
    <row r="27" spans="2:31" ht="24" customHeight="1" x14ac:dyDescent="0.2">
      <c r="C27" s="652" t="s">
        <v>8</v>
      </c>
      <c r="D27" s="653"/>
      <c r="E27" s="653"/>
      <c r="F27" s="637"/>
      <c r="G27" s="638" t="s">
        <v>4</v>
      </c>
      <c r="H27" s="639"/>
      <c r="I27" s="654" t="str">
        <f>IF($F27="","",IFERROR(VLOOKUP($F27,Planning!$B$7:$C$69,2,0),""))</f>
        <v/>
      </c>
      <c r="J27" s="655" t="s">
        <v>4</v>
      </c>
      <c r="K27" s="656" t="str">
        <f>IF($H27="","",IFERROR(VLOOKUP($H27,Planning!$B$7:$C$69,2,0),""))</f>
        <v/>
      </c>
      <c r="L27" s="637"/>
      <c r="M27" s="657" t="str">
        <f>Language!$E$96</f>
        <v>-</v>
      </c>
      <c r="N27" s="639"/>
      <c r="O27" s="637"/>
      <c r="P27" s="657" t="str">
        <f>Language!$E$96</f>
        <v>-</v>
      </c>
      <c r="Q27" s="639"/>
      <c r="R27" s="637"/>
      <c r="S27" s="657" t="str">
        <f>Language!$E$96</f>
        <v>-</v>
      </c>
      <c r="T27" s="658"/>
      <c r="U27" s="659" t="str">
        <f t="shared" si="17"/>
        <v/>
      </c>
      <c r="V27" s="649"/>
      <c r="W27" s="650" t="b">
        <f t="shared" si="9"/>
        <v>0</v>
      </c>
      <c r="X27" s="650">
        <f t="shared" si="10"/>
        <v>0</v>
      </c>
      <c r="Y27" s="650">
        <f t="shared" si="11"/>
        <v>0</v>
      </c>
      <c r="Z27" s="650">
        <f t="shared" si="12"/>
        <v>0</v>
      </c>
      <c r="AA27" s="650">
        <f t="shared" si="13"/>
        <v>0</v>
      </c>
      <c r="AB27" s="651"/>
      <c r="AC27" s="650" t="b">
        <f t="shared" si="14"/>
        <v>1</v>
      </c>
      <c r="AD27" s="650" t="b">
        <f t="shared" si="15"/>
        <v>1</v>
      </c>
      <c r="AE27" s="650" t="b">
        <f t="shared" si="16"/>
        <v>1</v>
      </c>
    </row>
    <row r="28" spans="2:31" ht="24" customHeight="1" x14ac:dyDescent="0.2">
      <c r="C28" s="652" t="s">
        <v>9</v>
      </c>
      <c r="D28" s="653"/>
      <c r="E28" s="653"/>
      <c r="F28" s="637"/>
      <c r="G28" s="638" t="s">
        <v>4</v>
      </c>
      <c r="H28" s="639"/>
      <c r="I28" s="654" t="str">
        <f>IF($F28="","",IFERROR(VLOOKUP($F28,Planning!$B$7:$C$69,2,0),""))</f>
        <v/>
      </c>
      <c r="J28" s="655" t="s">
        <v>4</v>
      </c>
      <c r="K28" s="656" t="str">
        <f>IF($H28="","",IFERROR(VLOOKUP($H28,Planning!$B$7:$C$69,2,0),""))</f>
        <v/>
      </c>
      <c r="L28" s="637"/>
      <c r="M28" s="657" t="str">
        <f>Language!$E$96</f>
        <v>-</v>
      </c>
      <c r="N28" s="639"/>
      <c r="O28" s="637"/>
      <c r="P28" s="657" t="str">
        <f>Language!$E$96</f>
        <v>-</v>
      </c>
      <c r="Q28" s="639"/>
      <c r="R28" s="637"/>
      <c r="S28" s="657" t="str">
        <f>Language!$E$96</f>
        <v>-</v>
      </c>
      <c r="T28" s="658"/>
      <c r="U28" s="659" t="str">
        <f t="shared" si="17"/>
        <v/>
      </c>
      <c r="V28" s="649"/>
      <c r="W28" s="650" t="b">
        <f t="shared" si="9"/>
        <v>0</v>
      </c>
      <c r="X28" s="650">
        <f t="shared" si="10"/>
        <v>0</v>
      </c>
      <c r="Y28" s="650">
        <f t="shared" si="11"/>
        <v>0</v>
      </c>
      <c r="Z28" s="650">
        <f t="shared" si="12"/>
        <v>0</v>
      </c>
      <c r="AA28" s="650">
        <f t="shared" si="13"/>
        <v>0</v>
      </c>
      <c r="AB28" s="651"/>
      <c r="AC28" s="650" t="b">
        <f t="shared" si="14"/>
        <v>1</v>
      </c>
      <c r="AD28" s="650" t="b">
        <f t="shared" si="15"/>
        <v>1</v>
      </c>
      <c r="AE28" s="650" t="b">
        <f t="shared" si="16"/>
        <v>1</v>
      </c>
    </row>
    <row r="29" spans="2:31" ht="24" customHeight="1" x14ac:dyDescent="0.2">
      <c r="C29" s="652" t="s">
        <v>10</v>
      </c>
      <c r="D29" s="653"/>
      <c r="E29" s="653"/>
      <c r="F29" s="637"/>
      <c r="G29" s="638" t="s">
        <v>4</v>
      </c>
      <c r="H29" s="639"/>
      <c r="I29" s="654" t="str">
        <f>IF($F29="","",IFERROR(VLOOKUP($F29,Planning!$B$7:$C$69,2,0),""))</f>
        <v/>
      </c>
      <c r="J29" s="655" t="s">
        <v>4</v>
      </c>
      <c r="K29" s="656" t="str">
        <f>IF($H29="","",IFERROR(VLOOKUP($H29,Planning!$B$7:$C$69,2,0),""))</f>
        <v/>
      </c>
      <c r="L29" s="637"/>
      <c r="M29" s="657" t="str">
        <f>Language!$E$96</f>
        <v>-</v>
      </c>
      <c r="N29" s="639"/>
      <c r="O29" s="637"/>
      <c r="P29" s="657" t="str">
        <f>Language!$E$96</f>
        <v>-</v>
      </c>
      <c r="Q29" s="639"/>
      <c r="R29" s="637"/>
      <c r="S29" s="657" t="str">
        <f>Language!$E$96</f>
        <v>-</v>
      </c>
      <c r="T29" s="658"/>
      <c r="U29" s="659" t="str">
        <f t="shared" si="17"/>
        <v/>
      </c>
      <c r="V29" s="649"/>
      <c r="W29" s="650" t="b">
        <f t="shared" si="9"/>
        <v>0</v>
      </c>
      <c r="X29" s="650">
        <f t="shared" si="10"/>
        <v>0</v>
      </c>
      <c r="Y29" s="650">
        <f t="shared" si="11"/>
        <v>0</v>
      </c>
      <c r="Z29" s="650">
        <f t="shared" si="12"/>
        <v>0</v>
      </c>
      <c r="AA29" s="650">
        <f t="shared" si="13"/>
        <v>0</v>
      </c>
      <c r="AB29" s="651"/>
      <c r="AC29" s="650" t="b">
        <f t="shared" si="14"/>
        <v>1</v>
      </c>
      <c r="AD29" s="650" t="b">
        <f t="shared" si="15"/>
        <v>1</v>
      </c>
      <c r="AE29" s="650" t="b">
        <f t="shared" si="16"/>
        <v>1</v>
      </c>
    </row>
    <row r="30" spans="2:31" ht="24" customHeight="1" thickBot="1" x14ac:dyDescent="0.25">
      <c r="C30" s="660" t="s">
        <v>11</v>
      </c>
      <c r="D30" s="661"/>
      <c r="E30" s="661"/>
      <c r="F30" s="662"/>
      <c r="G30" s="663" t="s">
        <v>4</v>
      </c>
      <c r="H30" s="664"/>
      <c r="I30" s="665" t="str">
        <f>IF($F30="","",IFERROR(VLOOKUP($F30,Planning!$B$7:$C$69,2,0),""))</f>
        <v/>
      </c>
      <c r="J30" s="666" t="s">
        <v>4</v>
      </c>
      <c r="K30" s="667" t="str">
        <f>IF($H30="","",IFERROR(VLOOKUP($H30,Planning!$B$7:$C$69,2,0),""))</f>
        <v/>
      </c>
      <c r="L30" s="662"/>
      <c r="M30" s="668" t="str">
        <f>Language!$E$96</f>
        <v>-</v>
      </c>
      <c r="N30" s="664"/>
      <c r="O30" s="662"/>
      <c r="P30" s="668" t="str">
        <f>Language!$E$96</f>
        <v>-</v>
      </c>
      <c r="Q30" s="664"/>
      <c r="R30" s="662"/>
      <c r="S30" s="668" t="str">
        <f>Language!$E$96</f>
        <v>-</v>
      </c>
      <c r="T30" s="669"/>
      <c r="U30" s="670" t="str">
        <f t="shared" si="17"/>
        <v/>
      </c>
      <c r="V30" s="649"/>
      <c r="W30" s="650" t="b">
        <f>AND(NOT(OR($AC30,$AD30)),$X30=1,$Y30=1)</f>
        <v>0</v>
      </c>
      <c r="X30" s="650">
        <f>IF($AC30,0,($L30&gt;$N30)+IF($AD30,0,$O30&gt;$Q30))</f>
        <v>0</v>
      </c>
      <c r="Y30" s="650">
        <f>IF($AC30,0,($L30&lt;$N30)+IF($AD30,0,$O30&lt;$Q30))</f>
        <v>0</v>
      </c>
      <c r="Z30" s="650">
        <f>($O30&lt;&gt;"")*($Q30&lt;&gt;"")*($R30&lt;&gt;"")*($T30&lt;&gt;"")*(X30=1)*(Y30=1)*($R30&gt;$T30)</f>
        <v>0</v>
      </c>
      <c r="AA30" s="650">
        <f>($O30&lt;&gt;"")*($Q30&lt;&gt;"")*($R30&lt;&gt;"")*($T30&lt;&gt;"")*(X30=1)*(Y30=1)*($R30&lt;$T30)</f>
        <v>0</v>
      </c>
      <c r="AB30" s="651"/>
      <c r="AC30" s="650" t="b">
        <f>OR($I30="",$K30="",$L30="",$N30="",AND($L30&lt;&gt;"",$L30=$N30))</f>
        <v>1</v>
      </c>
      <c r="AD30" s="650" t="b">
        <f>OR(AC30,$O30="",$Q30="",AND($O30&lt;&gt;"",$O30=$Q30))</f>
        <v>1</v>
      </c>
      <c r="AE30" s="650" t="b">
        <f>OR($R30="",$T30="",$R30=$T30)</f>
        <v>1</v>
      </c>
    </row>
    <row r="31" spans="2:31" ht="39.75" customHeight="1" thickTop="1" x14ac:dyDescent="0.2"/>
    <row r="32" spans="2:31" ht="24" customHeight="1" x14ac:dyDescent="0.2"/>
    <row r="33" spans="3:31" ht="24" customHeight="1" x14ac:dyDescent="0.2">
      <c r="H33" s="893" t="str">
        <f>Language!$E$84</f>
        <v>Tie break final round 4</v>
      </c>
      <c r="I33" s="893"/>
      <c r="J33" s="893"/>
      <c r="K33" s="893"/>
      <c r="L33" s="893"/>
      <c r="M33" s="893"/>
      <c r="N33" s="893"/>
      <c r="O33" s="893"/>
      <c r="P33" s="893"/>
      <c r="Q33" s="893"/>
      <c r="R33" s="893"/>
      <c r="S33" s="893"/>
      <c r="T33" s="893"/>
    </row>
    <row r="34" spans="3:31" ht="24" customHeight="1" x14ac:dyDescent="0.2">
      <c r="H34" s="893"/>
      <c r="I34" s="893"/>
      <c r="J34" s="893"/>
      <c r="K34" s="893"/>
      <c r="L34" s="893"/>
      <c r="M34" s="893"/>
      <c r="N34" s="893"/>
      <c r="O34" s="893"/>
      <c r="P34" s="893"/>
      <c r="Q34" s="893"/>
      <c r="R34" s="893"/>
      <c r="S34" s="893"/>
      <c r="T34" s="893"/>
    </row>
    <row r="35" spans="3:31" ht="12" customHeight="1" x14ac:dyDescent="0.2"/>
    <row r="36" spans="3:31" ht="24" customHeight="1" thickBot="1" x14ac:dyDescent="0.3">
      <c r="C36" s="880"/>
      <c r="D36" s="880"/>
      <c r="E36" s="623"/>
      <c r="F36" s="623"/>
      <c r="G36" s="623"/>
      <c r="H36" s="623"/>
      <c r="I36" s="623"/>
      <c r="J36" s="623"/>
      <c r="K36" s="623"/>
      <c r="L36" s="624"/>
      <c r="M36" s="624"/>
      <c r="N36" s="624"/>
      <c r="O36" s="625"/>
      <c r="P36" s="626"/>
      <c r="Q36" s="627"/>
      <c r="R36" s="627"/>
      <c r="S36" s="627"/>
      <c r="T36" s="627"/>
      <c r="U36" s="628"/>
    </row>
    <row r="37" spans="3:31" ht="24" customHeight="1" thickTop="1" x14ac:dyDescent="0.2">
      <c r="C37" s="629" t="str">
        <f>Language!$E$33</f>
        <v>Game no.</v>
      </c>
      <c r="D37" s="698" t="str">
        <f>Language!$E$39</f>
        <v>Start:</v>
      </c>
      <c r="E37" s="698" t="str">
        <f>Language!$E$48</f>
        <v>Field</v>
      </c>
      <c r="F37" s="873" t="str">
        <f>Language!$E$120</f>
        <v>Team IDs</v>
      </c>
      <c r="G37" s="874"/>
      <c r="H37" s="875"/>
      <c r="I37" s="873" t="str">
        <f>Language!$E$14</f>
        <v>Match pairing</v>
      </c>
      <c r="J37" s="874"/>
      <c r="K37" s="875"/>
      <c r="L37" s="876" t="str">
        <f>Language!$E$78</f>
        <v>1st set</v>
      </c>
      <c r="M37" s="877"/>
      <c r="N37" s="878"/>
      <c r="O37" s="876" t="str">
        <f>Language!$E$79</f>
        <v>2nd set</v>
      </c>
      <c r="P37" s="877"/>
      <c r="Q37" s="878"/>
      <c r="R37" s="876" t="str">
        <f>Language!$E$81</f>
        <v>3rd set</v>
      </c>
      <c r="S37" s="877"/>
      <c r="T37" s="879"/>
      <c r="U37" s="631" t="str">
        <f>Language!$E$82</f>
        <v>Winner</v>
      </c>
      <c r="W37" s="632" t="str">
        <f>Language!$E$81&amp;"?"</f>
        <v>3rd set?</v>
      </c>
      <c r="AC37" s="632" t="s">
        <v>392</v>
      </c>
      <c r="AD37" s="632" t="s">
        <v>393</v>
      </c>
      <c r="AE37" s="632" t="s">
        <v>394</v>
      </c>
    </row>
    <row r="38" spans="3:31" ht="24" customHeight="1" x14ac:dyDescent="0.2">
      <c r="C38" s="634" t="s">
        <v>6</v>
      </c>
      <c r="D38" s="635"/>
      <c r="E38" s="636"/>
      <c r="F38" s="637"/>
      <c r="G38" s="638" t="s">
        <v>4</v>
      </c>
      <c r="H38" s="639"/>
      <c r="I38" s="640" t="str">
        <f>IF($F38="","",IFERROR(VLOOKUP($F38,Planning!$B$7:$C$69,2,0),""))</f>
        <v/>
      </c>
      <c r="J38" s="641" t="s">
        <v>4</v>
      </c>
      <c r="K38" s="642" t="str">
        <f>IF($H38="","",IFERROR(VLOOKUP($H38,Planning!$B$7:$C$69,2,0),""))</f>
        <v/>
      </c>
      <c r="L38" s="643"/>
      <c r="M38" s="644" t="str">
        <f>Language!$E$96</f>
        <v>-</v>
      </c>
      <c r="N38" s="645"/>
      <c r="O38" s="643"/>
      <c r="P38" s="644" t="str">
        <f>Language!$E$96</f>
        <v>-</v>
      </c>
      <c r="Q38" s="645"/>
      <c r="R38" s="646"/>
      <c r="S38" s="644" t="str">
        <f>Language!$E$96</f>
        <v>-</v>
      </c>
      <c r="T38" s="647"/>
      <c r="U38" s="648" t="str">
        <f>IF(OR($AC38,AND($AD38,OR($O38&lt;&gt;"",$Q38&lt;&gt;""))),"",IF($X38+$Z38&gt;$Y38+$AA38,$I38,IF($X38+$Z38&lt;$Y38+$AA38,$K38,"")))</f>
        <v/>
      </c>
      <c r="V38" s="649"/>
      <c r="W38" s="650" t="b">
        <f t="shared" ref="W38:W42" si="18">AND(NOT(OR($AC38,$AD38)),$X38=1,$Y38=1)</f>
        <v>0</v>
      </c>
      <c r="X38" s="650">
        <f t="shared" ref="X38:X42" si="19">IF($AC38,0,($L38&gt;$N38)+IF($AD38,0,$O38&gt;$Q38))</f>
        <v>0</v>
      </c>
      <c r="Y38" s="650">
        <f t="shared" ref="Y38:Y42" si="20">IF($AC38,0,($L38&lt;$N38)+IF($AD38,0,$O38&lt;$Q38))</f>
        <v>0</v>
      </c>
      <c r="Z38" s="650">
        <f t="shared" ref="Z38:Z42" si="21">($O38&lt;&gt;"")*($Q38&lt;&gt;"")*($R38&lt;&gt;"")*($T38&lt;&gt;"")*(X38=1)*(Y38=1)*($R38&gt;$T38)</f>
        <v>0</v>
      </c>
      <c r="AA38" s="650">
        <f t="shared" ref="AA38:AA42" si="22">($O38&lt;&gt;"")*($Q38&lt;&gt;"")*($R38&lt;&gt;"")*($T38&lt;&gt;"")*(X38=1)*(Y38=1)*($R38&lt;$T38)</f>
        <v>0</v>
      </c>
      <c r="AB38" s="651"/>
      <c r="AC38" s="650" t="b">
        <f t="shared" ref="AC38:AC42" si="23">OR($I38="",$K38="",$L38="",$N38="",AND($L38&lt;&gt;"",$L38=$N38))</f>
        <v>1</v>
      </c>
      <c r="AD38" s="650" t="b">
        <f t="shared" ref="AD38:AD42" si="24">OR(AC38,$O38="",$Q38="",AND($O38&lt;&gt;"",$O38=$Q38))</f>
        <v>1</v>
      </c>
      <c r="AE38" s="650" t="b">
        <f t="shared" ref="AE38:AE42" si="25">OR($R38="",$T38="",$R38=$T38)</f>
        <v>1</v>
      </c>
    </row>
    <row r="39" spans="3:31" ht="24" customHeight="1" x14ac:dyDescent="0.2">
      <c r="C39" s="652" t="s">
        <v>7</v>
      </c>
      <c r="D39" s="653"/>
      <c r="E39" s="653"/>
      <c r="F39" s="637"/>
      <c r="G39" s="638" t="s">
        <v>4</v>
      </c>
      <c r="H39" s="639"/>
      <c r="I39" s="654" t="str">
        <f>IF($F39="","",IFERROR(VLOOKUP($F39,Planning!$B$7:$C$69,2,0),""))</f>
        <v/>
      </c>
      <c r="J39" s="655" t="s">
        <v>4</v>
      </c>
      <c r="K39" s="656" t="str">
        <f>IF($H39="","",IFERROR(VLOOKUP($H39,Planning!$B$7:$C$69,2,0),""))</f>
        <v/>
      </c>
      <c r="L39" s="637"/>
      <c r="M39" s="657" t="str">
        <f>Language!$E$96</f>
        <v>-</v>
      </c>
      <c r="N39" s="639"/>
      <c r="O39" s="637"/>
      <c r="P39" s="657" t="str">
        <f>Language!$E$96</f>
        <v>-</v>
      </c>
      <c r="Q39" s="639"/>
      <c r="R39" s="637"/>
      <c r="S39" s="657" t="str">
        <f>Language!$E$96</f>
        <v>-</v>
      </c>
      <c r="T39" s="658"/>
      <c r="U39" s="659" t="str">
        <f t="shared" ref="U39:U43" si="26">IF(OR($AC39,AND($AD39,OR($O39&lt;&gt;"",$Q39&lt;&gt;""))),"",IF($X39+$Z39&gt;$Y39+$AA39,$I39,IF($X39+$Z39&lt;$Y39+$AA39,$K39,"")))</f>
        <v/>
      </c>
      <c r="V39" s="649"/>
      <c r="W39" s="650" t="b">
        <f t="shared" si="18"/>
        <v>0</v>
      </c>
      <c r="X39" s="650">
        <f t="shared" si="19"/>
        <v>0</v>
      </c>
      <c r="Y39" s="650">
        <f t="shared" si="20"/>
        <v>0</v>
      </c>
      <c r="Z39" s="650">
        <f t="shared" si="21"/>
        <v>0</v>
      </c>
      <c r="AA39" s="650">
        <f t="shared" si="22"/>
        <v>0</v>
      </c>
      <c r="AB39" s="651"/>
      <c r="AC39" s="650" t="b">
        <f t="shared" si="23"/>
        <v>1</v>
      </c>
      <c r="AD39" s="650" t="b">
        <f t="shared" si="24"/>
        <v>1</v>
      </c>
      <c r="AE39" s="650" t="b">
        <f t="shared" si="25"/>
        <v>1</v>
      </c>
    </row>
    <row r="40" spans="3:31" ht="24" customHeight="1" x14ac:dyDescent="0.2">
      <c r="C40" s="652" t="s">
        <v>8</v>
      </c>
      <c r="D40" s="653"/>
      <c r="E40" s="653"/>
      <c r="F40" s="637"/>
      <c r="G40" s="638" t="s">
        <v>4</v>
      </c>
      <c r="H40" s="639"/>
      <c r="I40" s="654" t="str">
        <f>IF($F40="","",IFERROR(VLOOKUP($F40,Planning!$B$7:$C$69,2,0),""))</f>
        <v/>
      </c>
      <c r="J40" s="655" t="s">
        <v>4</v>
      </c>
      <c r="K40" s="656" t="str">
        <f>IF($H40="","",IFERROR(VLOOKUP($H40,Planning!$B$7:$C$69,2,0),""))</f>
        <v/>
      </c>
      <c r="L40" s="637"/>
      <c r="M40" s="657" t="str">
        <f>Language!$E$96</f>
        <v>-</v>
      </c>
      <c r="N40" s="639"/>
      <c r="O40" s="637"/>
      <c r="P40" s="657" t="str">
        <f>Language!$E$96</f>
        <v>-</v>
      </c>
      <c r="Q40" s="639"/>
      <c r="R40" s="637"/>
      <c r="S40" s="657" t="str">
        <f>Language!$E$96</f>
        <v>-</v>
      </c>
      <c r="T40" s="658"/>
      <c r="U40" s="659" t="str">
        <f t="shared" si="26"/>
        <v/>
      </c>
      <c r="V40" s="649"/>
      <c r="W40" s="650" t="b">
        <f t="shared" si="18"/>
        <v>0</v>
      </c>
      <c r="X40" s="650">
        <f t="shared" si="19"/>
        <v>0</v>
      </c>
      <c r="Y40" s="650">
        <f t="shared" si="20"/>
        <v>0</v>
      </c>
      <c r="Z40" s="650">
        <f t="shared" si="21"/>
        <v>0</v>
      </c>
      <c r="AA40" s="650">
        <f t="shared" si="22"/>
        <v>0</v>
      </c>
      <c r="AB40" s="651"/>
      <c r="AC40" s="650" t="b">
        <f t="shared" si="23"/>
        <v>1</v>
      </c>
      <c r="AD40" s="650" t="b">
        <f t="shared" si="24"/>
        <v>1</v>
      </c>
      <c r="AE40" s="650" t="b">
        <f t="shared" si="25"/>
        <v>1</v>
      </c>
    </row>
    <row r="41" spans="3:31" ht="24" customHeight="1" x14ac:dyDescent="0.2">
      <c r="C41" s="652" t="s">
        <v>9</v>
      </c>
      <c r="D41" s="653"/>
      <c r="E41" s="653"/>
      <c r="F41" s="637"/>
      <c r="G41" s="638" t="s">
        <v>4</v>
      </c>
      <c r="H41" s="639"/>
      <c r="I41" s="654" t="str">
        <f>IF($F41="","",IFERROR(VLOOKUP($F41,Planning!$B$7:$C$69,2,0),""))</f>
        <v/>
      </c>
      <c r="J41" s="655" t="s">
        <v>4</v>
      </c>
      <c r="K41" s="656" t="str">
        <f>IF($H41="","",IFERROR(VLOOKUP($H41,Planning!$B$7:$C$69,2,0),""))</f>
        <v/>
      </c>
      <c r="L41" s="637"/>
      <c r="M41" s="657" t="str">
        <f>Language!$E$96</f>
        <v>-</v>
      </c>
      <c r="N41" s="639"/>
      <c r="O41" s="637"/>
      <c r="P41" s="657" t="str">
        <f>Language!$E$96</f>
        <v>-</v>
      </c>
      <c r="Q41" s="639"/>
      <c r="R41" s="637"/>
      <c r="S41" s="657" t="str">
        <f>Language!$E$96</f>
        <v>-</v>
      </c>
      <c r="T41" s="658"/>
      <c r="U41" s="659" t="str">
        <f t="shared" si="26"/>
        <v/>
      </c>
      <c r="V41" s="649"/>
      <c r="W41" s="650" t="b">
        <f t="shared" si="18"/>
        <v>0</v>
      </c>
      <c r="X41" s="650">
        <f t="shared" si="19"/>
        <v>0</v>
      </c>
      <c r="Y41" s="650">
        <f t="shared" si="20"/>
        <v>0</v>
      </c>
      <c r="Z41" s="650">
        <f t="shared" si="21"/>
        <v>0</v>
      </c>
      <c r="AA41" s="650">
        <f t="shared" si="22"/>
        <v>0</v>
      </c>
      <c r="AB41" s="651"/>
      <c r="AC41" s="650" t="b">
        <f t="shared" si="23"/>
        <v>1</v>
      </c>
      <c r="AD41" s="650" t="b">
        <f t="shared" si="24"/>
        <v>1</v>
      </c>
      <c r="AE41" s="650" t="b">
        <f t="shared" si="25"/>
        <v>1</v>
      </c>
    </row>
    <row r="42" spans="3:31" ht="24" customHeight="1" x14ac:dyDescent="0.2">
      <c r="C42" s="652" t="s">
        <v>10</v>
      </c>
      <c r="D42" s="653"/>
      <c r="E42" s="653"/>
      <c r="F42" s="637"/>
      <c r="G42" s="638" t="s">
        <v>4</v>
      </c>
      <c r="H42" s="639"/>
      <c r="I42" s="654" t="str">
        <f>IF($F42="","",IFERROR(VLOOKUP($F42,Planning!$B$7:$C$69,2,0),""))</f>
        <v/>
      </c>
      <c r="J42" s="655" t="s">
        <v>4</v>
      </c>
      <c r="K42" s="656" t="str">
        <f>IF($H42="","",IFERROR(VLOOKUP($H42,Planning!$B$7:$C$69,2,0),""))</f>
        <v/>
      </c>
      <c r="L42" s="637"/>
      <c r="M42" s="657" t="str">
        <f>Language!$E$96</f>
        <v>-</v>
      </c>
      <c r="N42" s="639"/>
      <c r="O42" s="637"/>
      <c r="P42" s="657" t="str">
        <f>Language!$E$96</f>
        <v>-</v>
      </c>
      <c r="Q42" s="639"/>
      <c r="R42" s="637"/>
      <c r="S42" s="657" t="str">
        <f>Language!$E$96</f>
        <v>-</v>
      </c>
      <c r="T42" s="658"/>
      <c r="U42" s="659" t="str">
        <f t="shared" si="26"/>
        <v/>
      </c>
      <c r="V42" s="649"/>
      <c r="W42" s="650" t="b">
        <f t="shared" si="18"/>
        <v>0</v>
      </c>
      <c r="X42" s="650">
        <f t="shared" si="19"/>
        <v>0</v>
      </c>
      <c r="Y42" s="650">
        <f t="shared" si="20"/>
        <v>0</v>
      </c>
      <c r="Z42" s="650">
        <f t="shared" si="21"/>
        <v>0</v>
      </c>
      <c r="AA42" s="650">
        <f t="shared" si="22"/>
        <v>0</v>
      </c>
      <c r="AB42" s="651"/>
      <c r="AC42" s="650" t="b">
        <f t="shared" si="23"/>
        <v>1</v>
      </c>
      <c r="AD42" s="650" t="b">
        <f t="shared" si="24"/>
        <v>1</v>
      </c>
      <c r="AE42" s="650" t="b">
        <f t="shared" si="25"/>
        <v>1</v>
      </c>
    </row>
    <row r="43" spans="3:31" ht="24" customHeight="1" thickBot="1" x14ac:dyDescent="0.25">
      <c r="C43" s="660" t="s">
        <v>11</v>
      </c>
      <c r="D43" s="661"/>
      <c r="E43" s="661"/>
      <c r="F43" s="662"/>
      <c r="G43" s="663" t="s">
        <v>4</v>
      </c>
      <c r="H43" s="664"/>
      <c r="I43" s="665" t="str">
        <f>IF($F43="","",IFERROR(VLOOKUP($F43,Planning!$B$7:$C$69,2,0),""))</f>
        <v/>
      </c>
      <c r="J43" s="666" t="s">
        <v>4</v>
      </c>
      <c r="K43" s="667" t="str">
        <f>IF($H43="","",IFERROR(VLOOKUP($H43,Planning!$B$7:$C$69,2,0),""))</f>
        <v/>
      </c>
      <c r="L43" s="662"/>
      <c r="M43" s="668" t="str">
        <f>Language!$E$96</f>
        <v>-</v>
      </c>
      <c r="N43" s="664"/>
      <c r="O43" s="662"/>
      <c r="P43" s="668" t="str">
        <f>Language!$E$96</f>
        <v>-</v>
      </c>
      <c r="Q43" s="664"/>
      <c r="R43" s="662"/>
      <c r="S43" s="668" t="str">
        <f>Language!$E$96</f>
        <v>-</v>
      </c>
      <c r="T43" s="669"/>
      <c r="U43" s="670" t="str">
        <f t="shared" si="26"/>
        <v/>
      </c>
      <c r="V43" s="649"/>
      <c r="W43" s="650" t="b">
        <f>AND(NOT(OR($AC43,$AD43)),$X43=1,$Y43=1)</f>
        <v>0</v>
      </c>
      <c r="X43" s="650">
        <f>IF($AC43,0,($L43&gt;$N43)+IF($AD43,0,$O43&gt;$Q43))</f>
        <v>0</v>
      </c>
      <c r="Y43" s="650">
        <f>IF($AC43,0,($L43&lt;$N43)+IF($AD43,0,$O43&lt;$Q43))</f>
        <v>0</v>
      </c>
      <c r="Z43" s="650">
        <f>($O43&lt;&gt;"")*($Q43&lt;&gt;"")*($R43&lt;&gt;"")*($T43&lt;&gt;"")*(X43=1)*(Y43=1)*($R43&gt;$T43)</f>
        <v>0</v>
      </c>
      <c r="AA43" s="650">
        <f>($O43&lt;&gt;"")*($Q43&lt;&gt;"")*($R43&lt;&gt;"")*($T43&lt;&gt;"")*(X43=1)*(Y43=1)*($R43&lt;$T43)</f>
        <v>0</v>
      </c>
      <c r="AB43" s="651"/>
      <c r="AC43" s="650" t="b">
        <f>OR($I43="",$K43="",$L43="",$N43="",AND($L43&lt;&gt;"",$L43=$N43))</f>
        <v>1</v>
      </c>
      <c r="AD43" s="650" t="b">
        <f>OR(AC43,$O43="",$Q43="",AND($O43&lt;&gt;"",$O43=$Q43))</f>
        <v>1</v>
      </c>
      <c r="AE43" s="650" t="b">
        <f>OR($R43="",$T43="",$R43=$T43)</f>
        <v>1</v>
      </c>
    </row>
    <row r="44" spans="3:31" ht="12.75" customHeight="1" thickTop="1" x14ac:dyDescent="0.2"/>
    <row r="45" spans="3:31" ht="12.75" customHeight="1" x14ac:dyDescent="0.2"/>
    <row r="46" spans="3:31" ht="12.75" customHeight="1" x14ac:dyDescent="0.2"/>
    <row r="47" spans="3:31" ht="12.75" customHeight="1" x14ac:dyDescent="0.2"/>
    <row r="48" spans="3:31" ht="12.75" customHeight="1" x14ac:dyDescent="0.2"/>
    <row r="49" ht="12.75" customHeight="1" x14ac:dyDescent="0.2"/>
  </sheetData>
  <sheetProtection sheet="1" selectLockedCells="1"/>
  <mergeCells count="26">
    <mergeCell ref="H33:T34"/>
    <mergeCell ref="C36:D36"/>
    <mergeCell ref="F37:H37"/>
    <mergeCell ref="I37:K37"/>
    <mergeCell ref="L37:N37"/>
    <mergeCell ref="O37:Q37"/>
    <mergeCell ref="R37:T37"/>
    <mergeCell ref="H20:T21"/>
    <mergeCell ref="C23:D23"/>
    <mergeCell ref="F24:H24"/>
    <mergeCell ref="I24:K24"/>
    <mergeCell ref="L24:N24"/>
    <mergeCell ref="O24:Q24"/>
    <mergeCell ref="R24:T24"/>
    <mergeCell ref="C10:D10"/>
    <mergeCell ref="F2:U2"/>
    <mergeCell ref="F3:U3"/>
    <mergeCell ref="F4:U4"/>
    <mergeCell ref="F5:U5"/>
    <mergeCell ref="H7:T8"/>
    <mergeCell ref="F10:H10"/>
    <mergeCell ref="F11:H11"/>
    <mergeCell ref="I11:K11"/>
    <mergeCell ref="L11:N11"/>
    <mergeCell ref="O11:Q11"/>
    <mergeCell ref="R11:T11"/>
  </mergeCells>
  <conditionalFormatting sqref="R12:T17">
    <cfRule type="expression" dxfId="27" priority="3">
      <formula>NOT($W12)</formula>
    </cfRule>
  </conditionalFormatting>
  <conditionalFormatting sqref="R25:T30">
    <cfRule type="expression" dxfId="26" priority="2">
      <formula>NOT($W25)</formula>
    </cfRule>
  </conditionalFormatting>
  <conditionalFormatting sqref="R38:T43">
    <cfRule type="expression" dxfId="25" priority="1">
      <formula>NOT($W38)</formula>
    </cfRule>
  </conditionalFormatting>
  <dataValidations count="1">
    <dataValidation allowBlank="1" showInputMessage="1" showErrorMessage="1" errorTitle="Unzulässige Teilnehmernummer" error="Es müssen Zahlen von 1 bis 9 eingetragen werden!" sqref="F12:F18 H12:H18 F25:F30 H25:H30 F38:F43 H38:H43" xr:uid="{B982D9B6-D8EF-4DBB-AE17-29AA5CD74E45}"/>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K88"/>
  <sheetViews>
    <sheetView showGridLines="0" showRowColHeaders="0" zoomScaleNormal="100" workbookViewId="0">
      <selection activeCell="L12" sqref="L12"/>
    </sheetView>
  </sheetViews>
  <sheetFormatPr baseColWidth="10" defaultColWidth="0" defaultRowHeight="12.75" zeroHeight="1" x14ac:dyDescent="0.2"/>
  <cols>
    <col min="1" max="1" width="1" style="47" customWidth="1"/>
    <col min="2" max="2" width="0.85546875" style="47" customWidth="1"/>
    <col min="3" max="3" width="6.5703125" style="47" customWidth="1"/>
    <col min="4" max="4" width="10.42578125" style="47" customWidth="1"/>
    <col min="5" max="5" width="7" style="47" customWidth="1"/>
    <col min="6" max="6" width="5.7109375" style="47" customWidth="1"/>
    <col min="7" max="7" width="2.7109375" style="47" customWidth="1"/>
    <col min="8" max="8" width="6.42578125" style="47" customWidth="1"/>
    <col min="9" max="9" width="24.7109375" style="47" customWidth="1"/>
    <col min="10" max="10" width="2.85546875" style="47" customWidth="1"/>
    <col min="11" max="11" width="24.7109375" style="47" customWidth="1"/>
    <col min="12" max="12" width="4.7109375" style="47" customWidth="1"/>
    <col min="13" max="13" width="2.42578125" style="47" customWidth="1"/>
    <col min="14" max="15" width="4.7109375" style="47" customWidth="1"/>
    <col min="16" max="16" width="2.28515625" style="47" customWidth="1"/>
    <col min="17" max="17" width="4.7109375" style="47" customWidth="1"/>
    <col min="18" max="18" width="15.7109375" style="47" customWidth="1"/>
    <col min="19" max="19" width="8.140625" style="47" customWidth="1"/>
    <col min="20" max="20" width="2.5703125" style="47" customWidth="1"/>
    <col min="21" max="21" width="5.140625" style="47" customWidth="1"/>
    <col min="22" max="22" width="30.7109375" style="47" customWidth="1"/>
    <col min="23" max="26" width="6.7109375" style="47" customWidth="1"/>
    <col min="27" max="27" width="5.7109375" style="47" customWidth="1"/>
    <col min="28" max="28" width="2.140625" style="47" customWidth="1"/>
    <col min="29" max="29" width="5.7109375" style="47" customWidth="1"/>
    <col min="30" max="31" width="6.7109375" style="47" customWidth="1"/>
    <col min="32" max="32" width="2" style="47" customWidth="1"/>
    <col min="33" max="33" width="6.7109375" style="47" customWidth="1"/>
    <col min="34" max="34" width="28.7109375" style="47" customWidth="1"/>
    <col min="35" max="35" width="3" style="47" customWidth="1"/>
    <col min="36" max="36" width="12.28515625" style="47" hidden="1" customWidth="1"/>
    <col min="37" max="37" width="5.5703125" style="47" hidden="1" customWidth="1"/>
    <col min="38" max="16384" width="11.42578125" style="47" hidden="1"/>
  </cols>
  <sheetData>
    <row r="1" spans="3:37" ht="13.5" thickBot="1" x14ac:dyDescent="0.25"/>
    <row r="2" spans="3:37" ht="36" customHeight="1" thickTop="1" x14ac:dyDescent="0.2">
      <c r="G2" s="936" t="str">
        <f>PreliminaryRound!$G$2</f>
        <v>International tournament U10 on Apr. 17th, 2025</v>
      </c>
      <c r="H2" s="937"/>
      <c r="I2" s="937"/>
      <c r="J2" s="937"/>
      <c r="K2" s="937"/>
      <c r="L2" s="937"/>
      <c r="M2" s="937"/>
      <c r="N2" s="937"/>
      <c r="O2" s="937"/>
      <c r="P2" s="937"/>
      <c r="Q2" s="937"/>
      <c r="R2" s="937"/>
      <c r="S2" s="937"/>
      <c r="T2" s="937"/>
      <c r="U2" s="937"/>
      <c r="V2" s="937"/>
      <c r="W2" s="937"/>
      <c r="X2" s="937"/>
      <c r="Y2" s="937"/>
      <c r="Z2" s="937"/>
      <c r="AA2" s="937"/>
      <c r="AB2" s="938"/>
    </row>
    <row r="3" spans="3:37" ht="30" customHeight="1" x14ac:dyDescent="0.2">
      <c r="G3" s="939" t="str">
        <f>PreliminaryRound!$G$3</f>
        <v>Organizer:  1. FC Riedwald</v>
      </c>
      <c r="H3" s="940"/>
      <c r="I3" s="940"/>
      <c r="J3" s="940"/>
      <c r="K3" s="940"/>
      <c r="L3" s="940"/>
      <c r="M3" s="940"/>
      <c r="N3" s="940"/>
      <c r="O3" s="940"/>
      <c r="P3" s="940"/>
      <c r="Q3" s="940"/>
      <c r="R3" s="940"/>
      <c r="S3" s="940"/>
      <c r="T3" s="940"/>
      <c r="U3" s="940"/>
      <c r="V3" s="940"/>
      <c r="W3" s="940"/>
      <c r="X3" s="940"/>
      <c r="Y3" s="940"/>
      <c r="Z3" s="940"/>
      <c r="AA3" s="940"/>
      <c r="AB3" s="941"/>
    </row>
    <row r="4" spans="3:37" ht="30" customHeight="1" x14ac:dyDescent="0.2">
      <c r="G4" s="942" t="str">
        <f>PreliminaryRound!$G$4</f>
        <v>Sports hall Wiesengrund, Wendiger Str. 51, 65432 Riedwald</v>
      </c>
      <c r="H4" s="943"/>
      <c r="I4" s="943"/>
      <c r="J4" s="943"/>
      <c r="K4" s="943"/>
      <c r="L4" s="943"/>
      <c r="M4" s="943"/>
      <c r="N4" s="943"/>
      <c r="O4" s="943"/>
      <c r="P4" s="943"/>
      <c r="Q4" s="943"/>
      <c r="R4" s="943"/>
      <c r="S4" s="943"/>
      <c r="T4" s="943"/>
      <c r="U4" s="943"/>
      <c r="V4" s="943"/>
      <c r="W4" s="943"/>
      <c r="X4" s="943"/>
      <c r="Y4" s="943"/>
      <c r="Z4" s="943"/>
      <c r="AA4" s="943"/>
      <c r="AB4" s="944"/>
    </row>
    <row r="5" spans="3:37" ht="30" customHeight="1" thickBot="1" x14ac:dyDescent="0.25">
      <c r="G5" s="945" t="str">
        <f>PreliminaryRound!$G$5</f>
        <v>Start:  9:00 a.m.</v>
      </c>
      <c r="H5" s="946"/>
      <c r="I5" s="946"/>
      <c r="J5" s="946"/>
      <c r="K5" s="946"/>
      <c r="L5" s="946"/>
      <c r="M5" s="946"/>
      <c r="N5" s="946"/>
      <c r="O5" s="946"/>
      <c r="P5" s="946"/>
      <c r="Q5" s="946"/>
      <c r="R5" s="946"/>
      <c r="S5" s="946"/>
      <c r="T5" s="946"/>
      <c r="U5" s="946"/>
      <c r="V5" s="946"/>
      <c r="W5" s="946"/>
      <c r="X5" s="946"/>
      <c r="Y5" s="946"/>
      <c r="Z5" s="946"/>
      <c r="AA5" s="946"/>
      <c r="AB5" s="947"/>
    </row>
    <row r="6" spans="3:37" ht="18" customHeight="1" thickTop="1" thickBot="1" x14ac:dyDescent="0.25"/>
    <row r="7" spans="3:37" ht="30" customHeight="1" thickTop="1" x14ac:dyDescent="0.2">
      <c r="K7" s="930" t="str">
        <f>Language!$E$19</f>
        <v>Final round</v>
      </c>
      <c r="L7" s="931"/>
      <c r="M7" s="931"/>
      <c r="N7" s="931"/>
      <c r="O7" s="931"/>
      <c r="P7" s="931"/>
      <c r="Q7" s="931"/>
      <c r="R7" s="931"/>
      <c r="S7" s="931"/>
      <c r="T7" s="931"/>
      <c r="U7" s="931"/>
      <c r="V7" s="932"/>
      <c r="AG7" s="609"/>
      <c r="AH7" s="609"/>
      <c r="AI7" s="609"/>
      <c r="AJ7" s="609"/>
      <c r="AK7" s="468"/>
    </row>
    <row r="8" spans="3:37" ht="30" customHeight="1" thickBot="1" x14ac:dyDescent="0.25">
      <c r="K8" s="933"/>
      <c r="L8" s="934"/>
      <c r="M8" s="934"/>
      <c r="N8" s="934"/>
      <c r="O8" s="934"/>
      <c r="P8" s="934"/>
      <c r="Q8" s="934"/>
      <c r="R8" s="934"/>
      <c r="S8" s="934"/>
      <c r="T8" s="934"/>
      <c r="U8" s="934"/>
      <c r="V8" s="935"/>
      <c r="AG8" s="609"/>
      <c r="AH8" s="609"/>
      <c r="AI8" s="609"/>
      <c r="AJ8" s="609"/>
    </row>
    <row r="9" spans="3:37" ht="15.95" customHeight="1" thickTop="1" x14ac:dyDescent="0.2"/>
    <row r="10" spans="3:37" ht="24" customHeight="1" thickBot="1" x14ac:dyDescent="0.45">
      <c r="C10" s="814" t="str">
        <f>Language!$E$32</f>
        <v>Schedule</v>
      </c>
      <c r="D10" s="814"/>
      <c r="E10" s="328"/>
      <c r="F10" s="328"/>
      <c r="G10" s="328"/>
      <c r="H10" s="328"/>
      <c r="I10" s="328"/>
      <c r="J10" s="328"/>
      <c r="K10" s="328"/>
      <c r="L10" s="420"/>
      <c r="M10" s="420"/>
      <c r="N10" s="420"/>
      <c r="O10" s="420"/>
      <c r="P10" s="420"/>
      <c r="Q10" s="420"/>
      <c r="R10" s="420"/>
      <c r="S10" s="925" t="str">
        <f>Language!$E$20</f>
        <v>Addit. Pause (min)</v>
      </c>
      <c r="U10" s="898" t="str">
        <f>Language!$E$16&amp;" E1"</f>
        <v>Group E1</v>
      </c>
      <c r="V10" s="898"/>
      <c r="W10" s="898"/>
      <c r="X10" s="898"/>
      <c r="Y10" s="898"/>
      <c r="Z10" s="898"/>
      <c r="AA10" s="201"/>
      <c r="AB10" s="201"/>
      <c r="AC10" s="201"/>
      <c r="AD10" s="201"/>
      <c r="AE10" s="201"/>
      <c r="AG10" s="897" t="str">
        <f>Language!$E$16&amp;" E1"&amp;Language!$E$65</f>
        <v>Group E1  (First-placed)</v>
      </c>
      <c r="AH10" s="897"/>
      <c r="AI10" s="723"/>
      <c r="AJ10" s="724" t="str">
        <f>Language!$E$49</f>
        <v>Tie break</v>
      </c>
    </row>
    <row r="11" spans="3:37" ht="24" customHeight="1" thickTop="1" thickBot="1" x14ac:dyDescent="0.25">
      <c r="C11" s="422" t="str">
        <f>Language!$E$9</f>
        <v>No.</v>
      </c>
      <c r="D11" s="423" t="str">
        <f>Language!$E$39</f>
        <v>Start:</v>
      </c>
      <c r="E11" s="423" t="str">
        <f>Language!$E$48</f>
        <v>Field</v>
      </c>
      <c r="F11" s="927" t="str">
        <f>Language!$E$34</f>
        <v>Pairings</v>
      </c>
      <c r="G11" s="928"/>
      <c r="H11" s="929"/>
      <c r="I11" s="927" t="str">
        <f>Language!$E$14</f>
        <v>Match pairing</v>
      </c>
      <c r="J11" s="928"/>
      <c r="K11" s="929"/>
      <c r="L11" s="895" t="str">
        <f>Language!$E$78</f>
        <v>1st set</v>
      </c>
      <c r="M11" s="895"/>
      <c r="N11" s="895"/>
      <c r="O11" s="895" t="str">
        <f>Language!$E$79</f>
        <v>2nd set</v>
      </c>
      <c r="P11" s="895"/>
      <c r="Q11" s="896"/>
      <c r="R11" s="773" t="str">
        <f>Language!$E$125</f>
        <v>Referee</v>
      </c>
      <c r="S11" s="926"/>
      <c r="U11" s="845"/>
      <c r="V11" s="846"/>
      <c r="W11" s="203" t="str">
        <f>Language!$E$21</f>
        <v>Pld</v>
      </c>
      <c r="X11" s="204" t="str">
        <f>Language!$E$22</f>
        <v>W</v>
      </c>
      <c r="Y11" s="204" t="str">
        <f>Language!$E$23</f>
        <v>D</v>
      </c>
      <c r="Z11" s="419" t="str">
        <f>Language!$E$24</f>
        <v>L</v>
      </c>
      <c r="AA11" s="847" t="str">
        <f>Language!$E$80</f>
        <v>balls</v>
      </c>
      <c r="AB11" s="848"/>
      <c r="AC11" s="849"/>
      <c r="AD11" s="204" t="str">
        <f>IF(Settings!$G$7,Language!$E$26,Language!$E$86)</f>
        <v>Diff.</v>
      </c>
      <c r="AE11" s="206" t="str">
        <f>Language!$E$27</f>
        <v>Pts</v>
      </c>
      <c r="AG11" s="456"/>
      <c r="AH11" s="505" t="str">
        <f>Language!$E$10</f>
        <v>Participant or team</v>
      </c>
      <c r="AI11" s="458"/>
      <c r="AJ11" s="725"/>
    </row>
    <row r="12" spans="3:37" ht="24" customHeight="1" x14ac:dyDescent="0.25">
      <c r="C12" s="502">
        <f t="array" aca="1" ref="C12" ca="1">46-SUM(((Planning!$L$6:$L$50="")+(Planning!$N$6:$N$50="")&gt;0)*1)</f>
        <v>31</v>
      </c>
      <c r="D12" s="186">
        <f ca="1">IF(Planning!$V$15,"",Planning!$S$13+(Planning!$S$9+Planning!$Q$50)/1440)</f>
        <v>0.61805555555555558</v>
      </c>
      <c r="E12" s="176" t="str">
        <f>IF(Planning!$V$15,"","1")</f>
        <v>1</v>
      </c>
      <c r="F12" s="424" t="s">
        <v>288</v>
      </c>
      <c r="G12" s="425" t="s">
        <v>4</v>
      </c>
      <c r="H12" s="426" t="s">
        <v>289</v>
      </c>
      <c r="I12" s="460" t="str">
        <f t="shared" ref="I12:I29" ca="1" si="0">IF($F12="","",IF(VLOOKUP($F12,$AG$12:$AH$49,2,0)="","",VLOOKUP($F12,$AG$12:$AH$49,2,0)))</f>
        <v/>
      </c>
      <c r="J12" s="461" t="s">
        <v>4</v>
      </c>
      <c r="K12" s="462" t="str">
        <f t="shared" ref="K12:K29" ca="1" si="1">IF($H12="","",IF(VLOOKUP($H12,$AG$12:$AH$49,2,0)="","",VLOOKUP($H12,$AG$12:$AH$49,2,0)))</f>
        <v/>
      </c>
      <c r="L12" s="433"/>
      <c r="M12" s="380" t="str">
        <f>Language!$E$96</f>
        <v>-</v>
      </c>
      <c r="N12" s="730"/>
      <c r="O12" s="731"/>
      <c r="P12" s="700" t="str">
        <f>Language!$E$96</f>
        <v>-</v>
      </c>
      <c r="Q12" s="434"/>
      <c r="R12" s="792"/>
      <c r="S12" s="734"/>
      <c r="U12" s="383">
        <f ca="1">IF(CalcE11!$K$13=0,"",1)</f>
        <v>1</v>
      </c>
      <c r="V12" s="440" t="str">
        <f ca="1">IF(Calc1!$F$14&lt;3,"",IF(CalcE11!$K$13=0,CalcE11!$Q$64,VLOOKUP(CalcE11!$B$4,CalcE11!$C$4:$N$12,4,0)))</f>
        <v>FC Barcelona</v>
      </c>
      <c r="W12" s="443">
        <f ca="1">IF(CalcE11!$K$13=0,"",VLOOKUP(CalcE11!$B$4,CalcE11!$C$4:$N$12,9,0))</f>
        <v>2</v>
      </c>
      <c r="X12" s="210">
        <f ca="1">IF(CalcE11!$K$13=0,"",VLOOKUP(CalcE11!$B$4,CalcE11!$C$4:$N$12,10,0))</f>
        <v>1</v>
      </c>
      <c r="Y12" s="210">
        <f ca="1">IF(CalcE11!$K$13=0,"",VLOOKUP(CalcE11!$B$4,CalcE11!$C$4:$N$12,11,0))</f>
        <v>1</v>
      </c>
      <c r="Z12" s="210">
        <f ca="1">IF(CalcE11!$K$13=0,"",VLOOKUP(CalcE11!$B$4,CalcE11!$C$4:$N$12,12,0))</f>
        <v>0</v>
      </c>
      <c r="AA12" s="212">
        <f ca="1">IF(CalcE11!$K$13=0,"",VLOOKUP(CalcE11!$B$4,CalcE11!$C$4:$N$12,5,0))</f>
        <v>96</v>
      </c>
      <c r="AB12" s="213" t="str">
        <f>Language!$E$96</f>
        <v>-</v>
      </c>
      <c r="AC12" s="214">
        <f ca="1">IF(CalcE11!$K$13=0,"",VLOOKUP(CalcE11!$B$4,CalcE11!$C$4:$N$12,6,0))</f>
        <v>89</v>
      </c>
      <c r="AD12" s="210">
        <f ca="1">IF(CalcE11!$K$13=0,"",IF(VLOOKUP(CalcE11!B4,CalcE11!$C$4:$AR$12,42,0)=Settings!$F$7,"max",VLOOKUP(CalcE11!B4,CalcE11!$C$4:$AR$12,42,0)))</f>
        <v>7</v>
      </c>
      <c r="AE12" s="215">
        <f ca="1">IF(CalcE11!$K$13=0,"",VLOOKUP(CalcE11!$B$4,CalcE11!$C$4:$N$12,8,0))</f>
        <v>3</v>
      </c>
      <c r="AG12" s="695" t="s">
        <v>273</v>
      </c>
      <c r="AH12" s="506" t="str">
        <f ca="1">IF(PreliminaryRound!$R12="","",PreliminaryRound!$R12)</f>
        <v>FC Barcelona</v>
      </c>
      <c r="AI12" s="466"/>
      <c r="AJ12" s="618">
        <f ca="1">IF($AH12="",0,COUNTIF(TieBreak!$U$25:$U$30,$AH12))</f>
        <v>0</v>
      </c>
    </row>
    <row r="13" spans="3:37" ht="24" customHeight="1" x14ac:dyDescent="0.25">
      <c r="C13" s="496">
        <f t="array" aca="1" ref="C13" ca="1">ROW(47:47)-SUM(((Planning!$L$6:$L$50="")+(Planning!$N$6:$N$50="")&gt;0)*1)-SUM((($I$12:$I12="")+($K$12:$K12="")&gt;0)*1)</f>
        <v>31</v>
      </c>
      <c r="D13" s="175">
        <f t="array" aca="1" ref="D13" ca="1">IF(Planning!$V$15,"",$D$12+QUOTIENT(($C13-$C$12),Planning!$V$11)*(Planning!$S$7+Planning!$S$9)/1440+SUM($S$12:$S12)/1440)</f>
        <v>0.61805555555555558</v>
      </c>
      <c r="E13" s="177">
        <f ca="1">IF(Planning!$V$15,"",MOD($C13-$C$12,Planning!$V$11)+1)</f>
        <v>1</v>
      </c>
      <c r="F13" s="427" t="s">
        <v>285</v>
      </c>
      <c r="G13" s="428" t="s">
        <v>4</v>
      </c>
      <c r="H13" s="429" t="s">
        <v>286</v>
      </c>
      <c r="I13" s="460" t="str">
        <f t="shared" ca="1" si="0"/>
        <v>1. FC Riedwald</v>
      </c>
      <c r="J13" s="461" t="s">
        <v>4</v>
      </c>
      <c r="K13" s="462" t="str">
        <f t="shared" ca="1" si="1"/>
        <v>Manchester City</v>
      </c>
      <c r="L13" s="435">
        <v>19</v>
      </c>
      <c r="M13" s="436" t="str">
        <f>Language!$E$96</f>
        <v>-</v>
      </c>
      <c r="N13" s="732">
        <v>25</v>
      </c>
      <c r="O13" s="435">
        <v>20</v>
      </c>
      <c r="P13" s="701" t="str">
        <f>Language!$E$96</f>
        <v>-</v>
      </c>
      <c r="Q13" s="437">
        <v>25</v>
      </c>
      <c r="R13" s="778"/>
      <c r="S13" s="735"/>
      <c r="U13" s="385">
        <f ca="1">IF(CalcE11!$K$13=0,"",IF(VLOOKUP(CalcE11!$B$5,CalcE11!$C$4:$E$12,3,0)=MAX($U12:$U12),VLOOKUP(CalcE11!$B$5,CalcE11!$C$4:$E$12,3,0),CalcE11!$B$5))</f>
        <v>2</v>
      </c>
      <c r="V13" s="441" t="str">
        <f ca="1">IF(Calc1!$F$14&lt;3,"",IF(CalcE11!$K$13=0,CalcE11!$Q$65,VLOOKUP(CalcE11!$B$5,CalcE11!$C$4:$N$12,4,0)))</f>
        <v>Inter Mailand</v>
      </c>
      <c r="W13" s="225">
        <f ca="1">IF(CalcE11!$K$13=0,"",VLOOKUP(CalcE11!$B$5,CalcE11!$C$4:$N$12,9,0))</f>
        <v>2</v>
      </c>
      <c r="X13" s="200">
        <f ca="1">IF(CalcE11!$K$13=0,"",VLOOKUP(CalcE11!$B$5,CalcE11!$C$4:$N$12,10,0))</f>
        <v>1</v>
      </c>
      <c r="Y13" s="200">
        <f ca="1">IF(CalcE11!$K$13=0,"",VLOOKUP(CalcE11!$B$5,CalcE11!$C$4:$N$12,11,0))</f>
        <v>0</v>
      </c>
      <c r="Z13" s="200">
        <f ca="1">IF(CalcE11!$K$13=0,"",VLOOKUP(CalcE11!$B$5,CalcE11!$C$4:$N$12,12,0))</f>
        <v>1</v>
      </c>
      <c r="AA13" s="221">
        <f ca="1">IF(CalcE11!$K$13=0,"",VLOOKUP(CalcE11!$B$5,CalcE11!$C$4:$N$12,5,0))</f>
        <v>95</v>
      </c>
      <c r="AB13" s="222" t="str">
        <f>Language!$E$96</f>
        <v>-</v>
      </c>
      <c r="AC13" s="223">
        <f ca="1">IF(CalcE11!$K$13=0,"",VLOOKUP(CalcE11!$B$5,CalcE11!$C$4:$N$12,6,0))</f>
        <v>72</v>
      </c>
      <c r="AD13" s="200">
        <f ca="1">IF(CalcE11!$K$13=0,"",IF(VLOOKUP(CalcE11!B5,CalcE11!$C$4:$AR$12,42,0)=Settings!$F$7,"max",VLOOKUP(CalcE11!B5,CalcE11!$C$4:$AR$12,42,0)))</f>
        <v>23</v>
      </c>
      <c r="AE13" s="224">
        <f ca="1">IF(CalcE11!$K$13=0,"",VLOOKUP(CalcE11!$B$5,CalcE11!$C$4:$N$12,8,0))</f>
        <v>2</v>
      </c>
      <c r="AG13" s="455" t="s">
        <v>274</v>
      </c>
      <c r="AH13" s="507" t="str">
        <f ca="1">IF(PreliminaryRound!$R22="","",PreliminaryRound!$R22)</f>
        <v>Inter Mailand</v>
      </c>
      <c r="AI13" s="466"/>
      <c r="AJ13" s="619">
        <f ca="1">IF($AH13="",0,COUNTIF(TieBreak!$U$25:$U$30,$AH13))</f>
        <v>0</v>
      </c>
    </row>
    <row r="14" spans="3:37" ht="24" customHeight="1" thickBot="1" x14ac:dyDescent="0.3">
      <c r="C14" s="496">
        <f t="array" aca="1" ref="C14" ca="1">ROW(48:48)-SUM(((Planning!$L$6:$L$50="")+(Planning!$N$6:$N$50="")&gt;0)*1)-SUM((($I$12:$I13="")+($K$12:$K13="")&gt;0)*1)</f>
        <v>32</v>
      </c>
      <c r="D14" s="175">
        <f t="array" aca="1" ref="D14" ca="1">IF(Planning!$V$15,"",$D$12+QUOTIENT(($C14-$C$12),Planning!$V$11)*(Planning!$S$7+Planning!$S$9)/1440+SUM($S$12:$S13)/1440)</f>
        <v>0.61805555555555558</v>
      </c>
      <c r="E14" s="177">
        <f ca="1">IF(Planning!$V$15,"",MOD($C14-$C$12,Planning!$V$11)+1)</f>
        <v>2</v>
      </c>
      <c r="F14" s="427" t="s">
        <v>282</v>
      </c>
      <c r="G14" s="428" t="s">
        <v>4</v>
      </c>
      <c r="H14" s="429" t="s">
        <v>283</v>
      </c>
      <c r="I14" s="460" t="str">
        <f t="shared" ca="1" si="0"/>
        <v>Maibach 1822 eV</v>
      </c>
      <c r="J14" s="461" t="s">
        <v>4</v>
      </c>
      <c r="K14" s="462" t="str">
        <f t="shared" ca="1" si="1"/>
        <v>Mainz 05</v>
      </c>
      <c r="L14" s="435">
        <v>25</v>
      </c>
      <c r="M14" s="436" t="str">
        <f>Language!$E$96</f>
        <v>-</v>
      </c>
      <c r="N14" s="732">
        <v>21</v>
      </c>
      <c r="O14" s="435">
        <v>25</v>
      </c>
      <c r="P14" s="701" t="str">
        <f>Language!$E$96</f>
        <v>-</v>
      </c>
      <c r="Q14" s="437">
        <v>19</v>
      </c>
      <c r="R14" s="778"/>
      <c r="S14" s="735"/>
      <c r="U14" s="387">
        <f ca="1">IF(CalcE11!$K$13=0,"",IF(VLOOKUP(CalcE11!$B$6,CalcE11!$C$4:$E$12,3,0)=MAX($U12:$U13),VLOOKUP(CalcE11!$B$6,CalcE11!$C$4:$E$12,3,0),CalcE11!$B$6))</f>
        <v>3</v>
      </c>
      <c r="V14" s="442" t="str">
        <f ca="1">IF(Calc1!$F$14&lt;3,"",IF(CalcE11!$K$13=0,CalcE11!$Q$66,VLOOKUP(CalcE11!$B$6,CalcE11!$C$4:$N$12,4,0)))</f>
        <v>Borussia Dortmund</v>
      </c>
      <c r="W14" s="236">
        <f ca="1">IF(CalcE11!$K$13=0,"",VLOOKUP(CalcE11!$B$6,CalcE11!$C$4:$N$12,9,0))</f>
        <v>2</v>
      </c>
      <c r="X14" s="230">
        <f ca="1">IF(CalcE11!$K$13=0,"",VLOOKUP(CalcE11!$B$6,CalcE11!$C$4:$N$12,10,0))</f>
        <v>0</v>
      </c>
      <c r="Y14" s="230">
        <f ca="1">IF(CalcE11!$K$13=0,"",VLOOKUP(CalcE11!$B$6,CalcE11!$C$4:$N$12,11,0))</f>
        <v>1</v>
      </c>
      <c r="Z14" s="230">
        <f ca="1">IF(CalcE11!$K$13=0,"",VLOOKUP(CalcE11!$B$6,CalcE11!$C$4:$N$12,12,0))</f>
        <v>1</v>
      </c>
      <c r="AA14" s="232">
        <f ca="1">IF(CalcE11!$K$13=0,"",VLOOKUP(CalcE11!$B$6,CalcE11!$C$4:$N$12,5,0))</f>
        <v>66</v>
      </c>
      <c r="AB14" s="233" t="str">
        <f>Language!$E$96</f>
        <v>-</v>
      </c>
      <c r="AC14" s="234">
        <f ca="1">IF(CalcE11!$K$13=0,"",VLOOKUP(CalcE11!$B$6,CalcE11!$C$4:$N$12,6,0))</f>
        <v>96</v>
      </c>
      <c r="AD14" s="230">
        <f ca="1">IF(CalcE11!$K$13=0,"",IF(VLOOKUP(CalcE11!B6,CalcE11!$C$4:$AR$12,42,0)=Settings!$F$7,"max",VLOOKUP(CalcE11!B6,CalcE11!$C$4:$AR$12,42,0)))</f>
        <v>-30</v>
      </c>
      <c r="AE14" s="235">
        <f ca="1">IF(CalcE11!$K$13=0,"",VLOOKUP(CalcE11!$B$6,CalcE11!$C$4:$N$12,8,0))</f>
        <v>1</v>
      </c>
      <c r="AG14" s="415" t="s">
        <v>275</v>
      </c>
      <c r="AH14" s="508" t="str">
        <f ca="1">IF(PreliminaryRound!$R32="","",PreliminaryRound!$R32)</f>
        <v>Borussia Dortmund</v>
      </c>
      <c r="AI14" s="466"/>
      <c r="AJ14" s="620">
        <f ca="1">IF($AH14="",0,COUNTIF(TieBreak!$U$25:$U$30,$AH14))</f>
        <v>0</v>
      </c>
    </row>
    <row r="15" spans="3:37" ht="24" customHeight="1" thickTop="1" x14ac:dyDescent="0.25">
      <c r="C15" s="496">
        <f t="array" aca="1" ref="C15" ca="1">ROW(49:49)-SUM(((Planning!$L$6:$L$50="")+(Planning!$N$6:$N$50="")&gt;0)*1)-SUM((($I$12:$I14="")+($K$12:$K14="")&gt;0)*1)</f>
        <v>33</v>
      </c>
      <c r="D15" s="175">
        <f t="array" aca="1" ref="D15" ca="1">IF(Planning!$V$15,"",$D$12+QUOTIENT(($C15-$C$12),Planning!$V$11)*(Planning!$S$7+Planning!$S$9)/1440+SUM($S$12:$S14)/1440)</f>
        <v>0.61805555555555558</v>
      </c>
      <c r="E15" s="177">
        <f ca="1">IF(Planning!$V$15,"",MOD($C15-$C$12,Planning!$V$11)+1)</f>
        <v>3</v>
      </c>
      <c r="F15" s="427" t="s">
        <v>279</v>
      </c>
      <c r="G15" s="428" t="s">
        <v>4</v>
      </c>
      <c r="H15" s="429" t="s">
        <v>280</v>
      </c>
      <c r="I15" s="460" t="str">
        <f t="shared" ca="1" si="0"/>
        <v>VFB Essenheim</v>
      </c>
      <c r="J15" s="461" t="s">
        <v>4</v>
      </c>
      <c r="K15" s="462" t="str">
        <f t="shared" ca="1" si="1"/>
        <v>FC Grönlingen</v>
      </c>
      <c r="L15" s="435">
        <v>25</v>
      </c>
      <c r="M15" s="436" t="str">
        <f>Language!$E$96</f>
        <v>-</v>
      </c>
      <c r="N15" s="732">
        <v>22</v>
      </c>
      <c r="O15" s="435">
        <v>25</v>
      </c>
      <c r="P15" s="701" t="str">
        <f>Language!$E$96</f>
        <v>-</v>
      </c>
      <c r="Q15" s="437">
        <v>20</v>
      </c>
      <c r="R15" s="778"/>
      <c r="S15" s="735"/>
      <c r="U15" s="319"/>
      <c r="V15" s="294"/>
      <c r="W15" s="295"/>
      <c r="X15" s="295"/>
      <c r="Y15" s="295"/>
      <c r="Z15" s="295"/>
      <c r="AA15" s="296"/>
      <c r="AB15" s="421"/>
      <c r="AC15" s="294"/>
      <c r="AD15" s="295"/>
      <c r="AE15" s="297"/>
      <c r="AG15" s="417"/>
      <c r="AH15" s="457"/>
      <c r="AI15" s="457"/>
      <c r="AJ15" s="329"/>
    </row>
    <row r="16" spans="3:37" ht="24" customHeight="1" x14ac:dyDescent="0.25">
      <c r="C16" s="496">
        <f t="array" aca="1" ref="C16" ca="1">ROW(50:50)-SUM(((Planning!$L$6:$L$50="")+(Planning!$N$6:$N$50="")&gt;0)*1)-SUM((($I$12:$I15="")+($K$12:$K15="")&gt;0)*1)</f>
        <v>34</v>
      </c>
      <c r="D16" s="175">
        <f t="array" aca="1" ref="D16" ca="1">IF(Planning!$V$15,"",$D$12+QUOTIENT(($C16-$C$12),Planning!$V$11)*(Planning!$S$7+Planning!$S$9)/1440+SUM($S$12:$S15)/1440)</f>
        <v>0.64236111111111116</v>
      </c>
      <c r="E16" s="177">
        <f ca="1">IF(Planning!$V$15,"",MOD($C16-$C$12,Planning!$V$11)+1)</f>
        <v>1</v>
      </c>
      <c r="F16" s="427" t="s">
        <v>276</v>
      </c>
      <c r="G16" s="428" t="s">
        <v>4</v>
      </c>
      <c r="H16" s="429" t="s">
        <v>277</v>
      </c>
      <c r="I16" s="460" t="str">
        <f t="shared" ca="1" si="0"/>
        <v>Eintracht Frankfurt</v>
      </c>
      <c r="J16" s="461" t="s">
        <v>4</v>
      </c>
      <c r="K16" s="462" t="str">
        <f t="shared" ca="1" si="1"/>
        <v>SSV Wildbach</v>
      </c>
      <c r="L16" s="435">
        <v>25</v>
      </c>
      <c r="M16" s="436" t="str">
        <f>Language!$E$96</f>
        <v>-</v>
      </c>
      <c r="N16" s="732">
        <v>23</v>
      </c>
      <c r="O16" s="435">
        <v>25</v>
      </c>
      <c r="P16" s="701" t="str">
        <f>Language!$E$96</f>
        <v>-</v>
      </c>
      <c r="Q16" s="437">
        <v>21</v>
      </c>
      <c r="R16" s="778"/>
      <c r="S16" s="735"/>
      <c r="U16" s="319"/>
      <c r="V16" s="294"/>
      <c r="W16" s="295"/>
      <c r="X16" s="295"/>
      <c r="Y16" s="295"/>
      <c r="Z16" s="295"/>
      <c r="AA16" s="296"/>
      <c r="AB16" s="421"/>
      <c r="AC16" s="294"/>
      <c r="AD16" s="295"/>
      <c r="AE16" s="297"/>
      <c r="AG16" s="417"/>
      <c r="AH16" s="457"/>
      <c r="AI16" s="457"/>
      <c r="AJ16" s="329"/>
    </row>
    <row r="17" spans="3:36" ht="24" customHeight="1" thickBot="1" x14ac:dyDescent="0.45">
      <c r="C17" s="496">
        <f t="array" aca="1" ref="C17" ca="1">ROW(51:51)-SUM(((Planning!$L$6:$L$50="")+(Planning!$N$6:$N$50="")&gt;0)*1)-SUM((($I$12:$I16="")+($K$12:$K16="")&gt;0)*1)</f>
        <v>35</v>
      </c>
      <c r="D17" s="175">
        <f t="array" aca="1" ref="D17" ca="1">IF(Planning!$V$15,"",$D$12+QUOTIENT(($C17-$C$12),Planning!$V$11)*(Planning!$S$7+Planning!$S$9)/1440+SUM($S$12:$S16)/1440)</f>
        <v>0.64236111111111116</v>
      </c>
      <c r="E17" s="177">
        <f ca="1">IF(Planning!$V$15,"",MOD($C17-$C$12,Planning!$V$11)+1)</f>
        <v>2</v>
      </c>
      <c r="F17" s="427" t="s">
        <v>273</v>
      </c>
      <c r="G17" s="428" t="s">
        <v>4</v>
      </c>
      <c r="H17" s="429" t="s">
        <v>274</v>
      </c>
      <c r="I17" s="460" t="str">
        <f t="shared" ca="1" si="0"/>
        <v>FC Barcelona</v>
      </c>
      <c r="J17" s="461" t="s">
        <v>4</v>
      </c>
      <c r="K17" s="462" t="str">
        <f t="shared" ca="1" si="1"/>
        <v>Inter Mailand</v>
      </c>
      <c r="L17" s="435">
        <v>25</v>
      </c>
      <c r="M17" s="436" t="str">
        <f>Language!$E$96</f>
        <v>-</v>
      </c>
      <c r="N17" s="732">
        <v>23</v>
      </c>
      <c r="O17" s="435">
        <v>25</v>
      </c>
      <c r="P17" s="701" t="str">
        <f>Language!$E$96</f>
        <v>-</v>
      </c>
      <c r="Q17" s="437">
        <v>22</v>
      </c>
      <c r="R17" s="778"/>
      <c r="S17" s="735"/>
      <c r="U17" s="898" t="str">
        <f>Language!$E$16&amp;" E2"</f>
        <v>Group E2</v>
      </c>
      <c r="V17" s="898"/>
      <c r="W17" s="201"/>
      <c r="X17" s="201"/>
      <c r="Y17" s="201"/>
      <c r="Z17" s="201"/>
      <c r="AA17" s="201"/>
      <c r="AB17" s="201"/>
      <c r="AC17" s="201"/>
      <c r="AD17" s="201"/>
      <c r="AE17" s="201"/>
      <c r="AG17" s="897" t="str">
        <f>Language!$E$16&amp;" E2"&amp;Language!$E$66</f>
        <v>Group E2  (Second-placed)</v>
      </c>
      <c r="AH17" s="897"/>
      <c r="AI17" s="723"/>
      <c r="AJ17" s="724"/>
    </row>
    <row r="18" spans="3:36" ht="24" customHeight="1" thickTop="1" thickBot="1" x14ac:dyDescent="0.3">
      <c r="C18" s="496">
        <f t="array" aca="1" ref="C18" ca="1">ROW(52:52)-SUM(((Planning!$L$6:$L$50="")+(Planning!$N$6:$N$50="")&gt;0)*1)-SUM((($I$12:$I17="")+($K$12:$K17="")&gt;0)*1)</f>
        <v>36</v>
      </c>
      <c r="D18" s="175">
        <f t="array" aca="1" ref="D18" ca="1">IF(Planning!$V$15,"",$D$12+QUOTIENT(($C18-$C$12),Planning!$V$11)*(Planning!$S$7+Planning!$S$9)/1440+SUM($S$12:$S17)/1440)</f>
        <v>0.64236111111111116</v>
      </c>
      <c r="E18" s="177">
        <f ca="1">IF(Planning!$V$15,"",MOD($C18-$C$12,Planning!$V$11)+1)</f>
        <v>3</v>
      </c>
      <c r="F18" s="427" t="s">
        <v>290</v>
      </c>
      <c r="G18" s="428" t="s">
        <v>4</v>
      </c>
      <c r="H18" s="429" t="s">
        <v>288</v>
      </c>
      <c r="I18" s="460" t="str">
        <f t="shared" ca="1" si="0"/>
        <v/>
      </c>
      <c r="J18" s="461" t="s">
        <v>4</v>
      </c>
      <c r="K18" s="462" t="str">
        <f t="shared" ca="1" si="1"/>
        <v/>
      </c>
      <c r="L18" s="435"/>
      <c r="M18" s="436" t="str">
        <f>Language!$E$96</f>
        <v>-</v>
      </c>
      <c r="N18" s="732"/>
      <c r="O18" s="435"/>
      <c r="P18" s="701" t="str">
        <f>Language!$E$96</f>
        <v>-</v>
      </c>
      <c r="Q18" s="437"/>
      <c r="R18" s="778"/>
      <c r="S18" s="735"/>
      <c r="U18" s="845"/>
      <c r="V18" s="846"/>
      <c r="W18" s="203" t="str">
        <f>Language!$E$21</f>
        <v>Pld</v>
      </c>
      <c r="X18" s="204" t="str">
        <f>Language!$E$22</f>
        <v>W</v>
      </c>
      <c r="Y18" s="204" t="str">
        <f>Language!$E$23</f>
        <v>D</v>
      </c>
      <c r="Z18" s="419" t="str">
        <f>Language!$E$24</f>
        <v>L</v>
      </c>
      <c r="AA18" s="847" t="str">
        <f>Language!$E$80</f>
        <v>balls</v>
      </c>
      <c r="AB18" s="848"/>
      <c r="AC18" s="849"/>
      <c r="AD18" s="204" t="str">
        <f>IF(Settings!$G$7,Language!$E$26,Language!$E$86)</f>
        <v>Diff.</v>
      </c>
      <c r="AE18" s="206" t="str">
        <f>Language!$E$27</f>
        <v>Pts</v>
      </c>
      <c r="AG18" s="456"/>
      <c r="AH18" s="505" t="str">
        <f>Language!$E$10</f>
        <v>Participant or team</v>
      </c>
      <c r="AI18" s="458"/>
      <c r="AJ18" s="725"/>
    </row>
    <row r="19" spans="3:36" ht="24" customHeight="1" x14ac:dyDescent="0.25">
      <c r="C19" s="496">
        <f t="array" aca="1" ref="C19" ca="1">ROW(53:53)-SUM(((Planning!$L$6:$L$50="")+(Planning!$N$6:$N$50="")&gt;0)*1)-SUM((($I$12:$I18="")+($K$12:$K18="")&gt;0)*1)</f>
        <v>36</v>
      </c>
      <c r="D19" s="175">
        <f t="array" aca="1" ref="D19" ca="1">IF(Planning!$V$15,"",$D$12+QUOTIENT(($C19-$C$12),Planning!$V$11)*(Planning!$S$7+Planning!$S$9)/1440+SUM($S$12:$S18)/1440)</f>
        <v>0.64236111111111116</v>
      </c>
      <c r="E19" s="177">
        <f ca="1">IF(Planning!$V$15,"",MOD($C19-$C$12,Planning!$V$11)+1)</f>
        <v>3</v>
      </c>
      <c r="F19" s="427" t="s">
        <v>287</v>
      </c>
      <c r="G19" s="428" t="s">
        <v>4</v>
      </c>
      <c r="H19" s="429" t="s">
        <v>285</v>
      </c>
      <c r="I19" s="460" t="str">
        <f t="shared" ca="1" si="0"/>
        <v>FSV Rauen</v>
      </c>
      <c r="J19" s="461" t="s">
        <v>4</v>
      </c>
      <c r="K19" s="462" t="str">
        <f t="shared" ca="1" si="1"/>
        <v>1. FC Riedwald</v>
      </c>
      <c r="L19" s="435">
        <v>19</v>
      </c>
      <c r="M19" s="436" t="str">
        <f>Language!$E$96</f>
        <v>-</v>
      </c>
      <c r="N19" s="732">
        <v>25</v>
      </c>
      <c r="O19" s="435">
        <v>25</v>
      </c>
      <c r="P19" s="701" t="str">
        <f>Language!$E$96</f>
        <v>-</v>
      </c>
      <c r="Q19" s="437">
        <v>17</v>
      </c>
      <c r="R19" s="778"/>
      <c r="S19" s="735"/>
      <c r="U19" s="383">
        <f ca="1">IF(CalcE12!$K$13=0,"",1)</f>
        <v>1</v>
      </c>
      <c r="V19" s="440" t="str">
        <f ca="1">IF(Calc1!$F$14&lt;3,"",IF(AND(CalcE12!$K$13=0,AH22&lt;&gt;1),CalcE12!$Q$64,VLOOKUP(CalcE12!$B$4,CalcE12!$C$4:$N$12,4,0)))</f>
        <v>Eintracht Frankfurt</v>
      </c>
      <c r="W19" s="443">
        <f ca="1">IF(CalcE12!$K$13=0,"",VLOOKUP(CalcE12!$B$4,CalcE12!$C$4:$N$12,9,0))</f>
        <v>2</v>
      </c>
      <c r="X19" s="210">
        <f ca="1">IF(CalcE12!$K$13=0,"",VLOOKUP(CalcE12!$B$4,CalcE12!$C$4:$N$12,10,0))</f>
        <v>1</v>
      </c>
      <c r="Y19" s="210">
        <f ca="1">IF(CalcE12!$K$13=0,"",VLOOKUP(CalcE12!$B$4,CalcE12!$C$4:$N$12,11,0))</f>
        <v>1</v>
      </c>
      <c r="Z19" s="210">
        <f ca="1">IF(CalcE12!$K$13=0,"",VLOOKUP(CalcE12!$B$4,CalcE12!$C$4:$N$12,12,0))</f>
        <v>0</v>
      </c>
      <c r="AA19" s="212">
        <f ca="1">IF(CalcE12!$K$13=0,"",VLOOKUP(CalcE12!$B$4,CalcE12!$C$4:$N$12,5,0))</f>
        <v>95</v>
      </c>
      <c r="AB19" s="213" t="str">
        <f>Language!$E$96</f>
        <v>-</v>
      </c>
      <c r="AC19" s="214">
        <f ca="1">IF(CalcE12!$K$13=0,"",VLOOKUP(CalcE12!$B$4,CalcE12!$C$4:$N$12,6,0))</f>
        <v>91</v>
      </c>
      <c r="AD19" s="210">
        <f ca="1">IF(CalcE12!$K$13=0,"",IF(VLOOKUP(CalcE12!B4,CalcE12!$C$4:$AR$12,42,0)=Settings!$F$7,"max",VLOOKUP(CalcE12!B4,CalcE12!$C$4:$AR$12,42,0)))</f>
        <v>4</v>
      </c>
      <c r="AE19" s="215">
        <f ca="1">IF(CalcE12!$K$13=0,"",VLOOKUP(CalcE12!$B$4,CalcE12!$C$4:$N$12,8,0))</f>
        <v>3</v>
      </c>
      <c r="AG19" s="695" t="s">
        <v>276</v>
      </c>
      <c r="AH19" s="506" t="str">
        <f ca="1">IF(PreliminaryRound!$R13="","",PreliminaryRound!$R13)</f>
        <v>Eintracht Frankfurt</v>
      </c>
      <c r="AI19" s="466"/>
      <c r="AJ19" s="618">
        <f ca="1">IF($AH19="",0,COUNTIF(TieBreak!$U$25:$U$30,$AH19))</f>
        <v>0</v>
      </c>
    </row>
    <row r="20" spans="3:36" ht="24" customHeight="1" x14ac:dyDescent="0.25">
      <c r="C20" s="496">
        <f t="array" aca="1" ref="C20" ca="1">ROW(54:54)-SUM(((Planning!$L$6:$L$50="")+(Planning!$N$6:$N$50="")&gt;0)*1)-SUM((($I$12:$I19="")+($K$12:$K19="")&gt;0)*1)</f>
        <v>37</v>
      </c>
      <c r="D20" s="175">
        <f t="array" aca="1" ref="D20" ca="1">IF(Planning!$V$15,"",$D$12+QUOTIENT(($C20-$C$12),Planning!$V$11)*(Planning!$S$7+Planning!$S$9)/1440+SUM($S$12:$S19)/1440)</f>
        <v>0.66666666666666674</v>
      </c>
      <c r="E20" s="177">
        <f ca="1">IF(Planning!$V$15,"",MOD($C20-$C$12,Planning!$V$11)+1)</f>
        <v>1</v>
      </c>
      <c r="F20" s="427" t="s">
        <v>284</v>
      </c>
      <c r="G20" s="428" t="s">
        <v>4</v>
      </c>
      <c r="H20" s="429" t="s">
        <v>282</v>
      </c>
      <c r="I20" s="460" t="str">
        <f t="shared" ca="1" si="0"/>
        <v>Kickers Rodendorf</v>
      </c>
      <c r="J20" s="461" t="s">
        <v>4</v>
      </c>
      <c r="K20" s="462" t="str">
        <f t="shared" ca="1" si="1"/>
        <v>Maibach 1822 eV</v>
      </c>
      <c r="L20" s="435">
        <v>16</v>
      </c>
      <c r="M20" s="436" t="str">
        <f>Language!$E$96</f>
        <v>-</v>
      </c>
      <c r="N20" s="732">
        <v>25</v>
      </c>
      <c r="O20" s="435">
        <v>25</v>
      </c>
      <c r="P20" s="701" t="str">
        <f>Language!$E$96</f>
        <v>-</v>
      </c>
      <c r="Q20" s="437">
        <v>18</v>
      </c>
      <c r="R20" s="778"/>
      <c r="S20" s="735"/>
      <c r="U20" s="385">
        <f ca="1">IF(CalcE12!$K$13=0,"",IF(VLOOKUP(CalcE12!$B$5,CalcE12!$C$4:$E$12,3,0)=MAX($U19:$U19),VLOOKUP(CalcE12!$B$5,CalcE12!$C$4:$E$12,3,0),CalcE12!$B$5))</f>
        <v>2</v>
      </c>
      <c r="V20" s="441" t="str">
        <f ca="1">IF(OR(Calc1!$F$14&lt;3,AH22=1),"",IF(CalcE12!$K$13=0,CalcE12!$Q$65,VLOOKUP(CalcE12!$B$5,CalcE12!$C$4:$N$12,4,0)))</f>
        <v>SSV Wildbach</v>
      </c>
      <c r="W20" s="225">
        <f ca="1">IF(CalcE12!$K$13=0,"",VLOOKUP(CalcE12!$B$5,CalcE12!$C$4:$N$12,9,0))</f>
        <v>2</v>
      </c>
      <c r="X20" s="200">
        <f ca="1">IF(CalcE12!$K$13=0,"",VLOOKUP(CalcE12!$B$5,CalcE12!$C$4:$N$12,10,0))</f>
        <v>1</v>
      </c>
      <c r="Y20" s="200">
        <f ca="1">IF(CalcE12!$K$13=0,"",VLOOKUP(CalcE12!$B$5,CalcE12!$C$4:$N$12,11,0))</f>
        <v>0</v>
      </c>
      <c r="Z20" s="200">
        <f ca="1">IF(CalcE12!$K$13=0,"",VLOOKUP(CalcE12!$B$5,CalcE12!$C$4:$N$12,12,0))</f>
        <v>1</v>
      </c>
      <c r="AA20" s="221">
        <f ca="1">IF(CalcE12!$K$13=0,"",VLOOKUP(CalcE12!$B$5,CalcE12!$C$4:$N$12,5,0))</f>
        <v>94</v>
      </c>
      <c r="AB20" s="222" t="str">
        <f>Language!$E$96</f>
        <v>-</v>
      </c>
      <c r="AC20" s="223">
        <f ca="1">IF(CalcE12!$K$13=0,"",VLOOKUP(CalcE12!$B$5,CalcE12!$C$4:$N$12,6,0))</f>
        <v>89</v>
      </c>
      <c r="AD20" s="200">
        <f ca="1">IF(CalcE12!$K$13=0,"",IF(VLOOKUP(CalcE12!B5,CalcE12!$C$4:$AR$12,42,0)=Settings!$F$7,"max",VLOOKUP(CalcE12!B5,CalcE12!$C$4:$AR$12,42,0)))</f>
        <v>5</v>
      </c>
      <c r="AE20" s="224">
        <f ca="1">IF(CalcE12!$K$13=0,"",VLOOKUP(CalcE12!$B$5,CalcE12!$C$4:$N$12,8,0))</f>
        <v>2</v>
      </c>
      <c r="AG20" s="455" t="s">
        <v>277</v>
      </c>
      <c r="AH20" s="507" t="str">
        <f ca="1">IF(PreliminaryRound!$R23="","",PreliminaryRound!$R23)</f>
        <v>SSV Wildbach</v>
      </c>
      <c r="AI20" s="466"/>
      <c r="AJ20" s="619">
        <f ca="1">IF($AH20="",0,COUNTIF(TieBreak!$U$25:$U$30,$AH20))</f>
        <v>0</v>
      </c>
    </row>
    <row r="21" spans="3:36" ht="24" customHeight="1" thickBot="1" x14ac:dyDescent="0.3">
      <c r="C21" s="496">
        <f t="array" aca="1" ref="C21" ca="1">ROW(55:55)-SUM(((Planning!$L$6:$L$50="")+(Planning!$N$6:$N$50="")&gt;0)*1)-SUM((($I$12:$I20="")+($K$12:$K20="")&gt;0)*1)</f>
        <v>38</v>
      </c>
      <c r="D21" s="175">
        <f t="array" aca="1" ref="D21" ca="1">IF(Planning!$V$15,"",$D$12+QUOTIENT(($C21-$C$12),Planning!$V$11)*(Planning!$S$7+Planning!$S$9)/1440+SUM($S$12:$S20)/1440)</f>
        <v>0.66666666666666674</v>
      </c>
      <c r="E21" s="177">
        <f ca="1">IF(Planning!$V$15,"",MOD($C21-$C$12,Planning!$V$11)+1)</f>
        <v>2</v>
      </c>
      <c r="F21" s="427" t="s">
        <v>281</v>
      </c>
      <c r="G21" s="428" t="s">
        <v>4</v>
      </c>
      <c r="H21" s="429" t="s">
        <v>279</v>
      </c>
      <c r="I21" s="460" t="str">
        <f t="shared" ca="1" si="0"/>
        <v>Real Madrid</v>
      </c>
      <c r="J21" s="461" t="s">
        <v>4</v>
      </c>
      <c r="K21" s="462" t="str">
        <f t="shared" ca="1" si="1"/>
        <v>VFB Essenheim</v>
      </c>
      <c r="L21" s="435">
        <v>14</v>
      </c>
      <c r="M21" s="436" t="str">
        <f>Language!$E$96</f>
        <v>-</v>
      </c>
      <c r="N21" s="732">
        <v>25</v>
      </c>
      <c r="O21" s="435">
        <v>25</v>
      </c>
      <c r="P21" s="701" t="str">
        <f>Language!$E$96</f>
        <v>-</v>
      </c>
      <c r="Q21" s="437">
        <v>19</v>
      </c>
      <c r="R21" s="778"/>
      <c r="S21" s="735"/>
      <c r="U21" s="387">
        <f ca="1">IF(CalcE12!$K$13=0,"",IF(VLOOKUP(CalcE12!$B$6,CalcE12!$C$4:$E$12,3,0)=MAX($U19:$U20),VLOOKUP(CalcE12!$B$6,CalcE12!$C$4:$E$12,3,0),CalcE12!$B$6))</f>
        <v>3</v>
      </c>
      <c r="V21" s="442" t="str">
        <f ca="1">IF(OR(Calc1!$F$14&lt;3,AH22=1),"",IF(CalcE12!$K$13=0,CalcE12!$Q$66,VLOOKUP(CalcE12!$B$6,CalcE12!$C$4:$N$12,4,0)))</f>
        <v>1. FC Nürnberg</v>
      </c>
      <c r="W21" s="236">
        <f ca="1">IF(CalcE12!$K$13=0,"",VLOOKUP(CalcE12!$B$6,CalcE12!$C$4:$N$12,9,0))</f>
        <v>2</v>
      </c>
      <c r="X21" s="230">
        <f ca="1">IF(CalcE12!$K$13=0,"",VLOOKUP(CalcE12!$B$6,CalcE12!$C$4:$N$12,10,0))</f>
        <v>0</v>
      </c>
      <c r="Y21" s="230">
        <f ca="1">IF(CalcE12!$K$13=0,"",VLOOKUP(CalcE12!$B$6,CalcE12!$C$4:$N$12,11,0))</f>
        <v>1</v>
      </c>
      <c r="Z21" s="230">
        <f ca="1">IF(CalcE12!$K$13=0,"",VLOOKUP(CalcE12!$B$6,CalcE12!$C$4:$N$12,12,0))</f>
        <v>1</v>
      </c>
      <c r="AA21" s="232">
        <f ca="1">IF(CalcE12!$K$13=0,"",VLOOKUP(CalcE12!$B$6,CalcE12!$C$4:$N$12,5,0))</f>
        <v>86</v>
      </c>
      <c r="AB21" s="233" t="str">
        <f>Language!$E$96</f>
        <v>-</v>
      </c>
      <c r="AC21" s="234">
        <f ca="1">IF(CalcE12!$K$13=0,"",VLOOKUP(CalcE12!$B$6,CalcE12!$C$4:$N$12,6,0))</f>
        <v>95</v>
      </c>
      <c r="AD21" s="230">
        <f ca="1">IF(CalcE12!$K$13=0,"",IF(VLOOKUP(CalcE12!B6,CalcE12!$C$4:$AR$12,42,0)=Settings!$F$7,"max",VLOOKUP(CalcE12!B6,CalcE12!$C$4:$AR$12,42,0)))</f>
        <v>-9</v>
      </c>
      <c r="AE21" s="235">
        <f ca="1">IF(CalcE12!$K$13=0,"",VLOOKUP(CalcE12!$B$6,CalcE12!$C$4:$N$12,8,0))</f>
        <v>1</v>
      </c>
      <c r="AG21" s="415" t="s">
        <v>278</v>
      </c>
      <c r="AH21" s="508" t="str">
        <f ca="1">IF(PreliminaryRound!$R33="","",PreliminaryRound!$R33)</f>
        <v>1. FC Nürnberg</v>
      </c>
      <c r="AI21" s="466"/>
      <c r="AJ21" s="620">
        <f ca="1">IF($AH21="",0,COUNTIF(TieBreak!$U$25:$U$30,$AH21))</f>
        <v>0</v>
      </c>
    </row>
    <row r="22" spans="3:36" ht="24" customHeight="1" thickTop="1" x14ac:dyDescent="0.25">
      <c r="C22" s="496">
        <f t="array" aca="1" ref="C22" ca="1">ROW(56:56)-SUM(((Planning!$L$6:$L$50="")+(Planning!$N$6:$N$50="")&gt;0)*1)-SUM((($I$12:$I21="")+($K$12:$K21="")&gt;0)*1)</f>
        <v>39</v>
      </c>
      <c r="D22" s="175">
        <f t="array" aca="1" ref="D22" ca="1">IF(Planning!$V$15,"",$D$12+QUOTIENT(($C22-$C$12),Planning!$V$11)*(Planning!$S$7+Planning!$S$9)/1440+SUM($S$12:$S21)/1440)</f>
        <v>0.66666666666666674</v>
      </c>
      <c r="E22" s="177">
        <f ca="1">IF(Planning!$V$15,"",MOD($C22-$C$12,Planning!$V$11)+1)</f>
        <v>3</v>
      </c>
      <c r="F22" s="427" t="s">
        <v>278</v>
      </c>
      <c r="G22" s="428" t="s">
        <v>4</v>
      </c>
      <c r="H22" s="429" t="s">
        <v>276</v>
      </c>
      <c r="I22" s="460" t="str">
        <f t="shared" ca="1" si="0"/>
        <v>1. FC Nürnberg</v>
      </c>
      <c r="J22" s="461" t="s">
        <v>4</v>
      </c>
      <c r="K22" s="462" t="str">
        <f t="shared" ca="1" si="1"/>
        <v>Eintracht Frankfurt</v>
      </c>
      <c r="L22" s="435">
        <v>22</v>
      </c>
      <c r="M22" s="436" t="str">
        <f>Language!$E$96</f>
        <v>-</v>
      </c>
      <c r="N22" s="732">
        <v>25</v>
      </c>
      <c r="O22" s="435">
        <v>25</v>
      </c>
      <c r="P22" s="701" t="str">
        <f>Language!$E$96</f>
        <v>-</v>
      </c>
      <c r="Q22" s="437">
        <v>20</v>
      </c>
      <c r="R22" s="778"/>
      <c r="S22" s="735"/>
      <c r="W22" s="413"/>
      <c r="AG22" s="418"/>
      <c r="AH22" s="68">
        <f t="array" aca="1" ref="AH22" ca="1">SUM((AH19:AH21&lt;&gt;"")*1)</f>
        <v>3</v>
      </c>
      <c r="AI22" s="68"/>
      <c r="AJ22" s="329"/>
    </row>
    <row r="23" spans="3:36" ht="24" customHeight="1" x14ac:dyDescent="0.25">
      <c r="C23" s="496">
        <f t="array" aca="1" ref="C23" ca="1">ROW(57:57)-SUM(((Planning!$L$6:$L$50="")+(Planning!$N$6:$N$50="")&gt;0)*1)-SUM((($I$12:$I22="")+($K$12:$K22="")&gt;0)*1)</f>
        <v>40</v>
      </c>
      <c r="D23" s="175">
        <f t="array" aca="1" ref="D23" ca="1">IF(Planning!$V$15,"",$D$12+QUOTIENT(($C23-$C$12),Planning!$V$11)*(Planning!$S$7+Planning!$S$9)/1440+SUM($S$12:$S22)/1440)</f>
        <v>0.69097222222222221</v>
      </c>
      <c r="E23" s="177">
        <f ca="1">IF(Planning!$V$15,"",MOD($C23-$C$12,Planning!$V$11)+1)</f>
        <v>1</v>
      </c>
      <c r="F23" s="427" t="s">
        <v>275</v>
      </c>
      <c r="G23" s="428" t="s">
        <v>4</v>
      </c>
      <c r="H23" s="429" t="s">
        <v>273</v>
      </c>
      <c r="I23" s="460" t="str">
        <f t="shared" ca="1" si="0"/>
        <v>Borussia Dortmund</v>
      </c>
      <c r="J23" s="461" t="s">
        <v>4</v>
      </c>
      <c r="K23" s="462" t="str">
        <f t="shared" ca="1" si="1"/>
        <v>FC Barcelona</v>
      </c>
      <c r="L23" s="435">
        <v>19</v>
      </c>
      <c r="M23" s="436" t="str">
        <f>Language!$E$96</f>
        <v>-</v>
      </c>
      <c r="N23" s="732">
        <v>25</v>
      </c>
      <c r="O23" s="435">
        <v>25</v>
      </c>
      <c r="P23" s="701" t="str">
        <f>Language!$E$96</f>
        <v>-</v>
      </c>
      <c r="Q23" s="437">
        <v>21</v>
      </c>
      <c r="R23" s="778"/>
      <c r="S23" s="735"/>
      <c r="W23" s="413"/>
      <c r="AG23" s="418"/>
      <c r="AH23" s="458"/>
      <c r="AI23" s="458"/>
      <c r="AJ23" s="329"/>
    </row>
    <row r="24" spans="3:36" ht="24" customHeight="1" thickBot="1" x14ac:dyDescent="0.45">
      <c r="C24" s="496">
        <f t="array" aca="1" ref="C24" ca="1">ROW(58:58)-SUM(((Planning!$L$6:$L$50="")+(Planning!$N$6:$N$50="")&gt;0)*1)-SUM((($I$12:$I23="")+($K$12:$K23="")&gt;0)*1)</f>
        <v>41</v>
      </c>
      <c r="D24" s="175">
        <f t="array" aca="1" ref="D24" ca="1">IF(Planning!$V$15,"",$D$12+QUOTIENT(($C24-$C$12),Planning!$V$11)*(Planning!$S$7+Planning!$S$9)/1440+SUM($S$12:$S23)/1440)</f>
        <v>0.69097222222222221</v>
      </c>
      <c r="E24" s="177">
        <f ca="1">IF(Planning!$V$15,"",MOD($C24-$C$12,Planning!$V$11)+1)</f>
        <v>2</v>
      </c>
      <c r="F24" s="427" t="s">
        <v>289</v>
      </c>
      <c r="G24" s="428" t="s">
        <v>4</v>
      </c>
      <c r="H24" s="429" t="s">
        <v>290</v>
      </c>
      <c r="I24" s="460" t="str">
        <f t="shared" ca="1" si="0"/>
        <v/>
      </c>
      <c r="J24" s="461" t="s">
        <v>4</v>
      </c>
      <c r="K24" s="462" t="str">
        <f t="shared" ca="1" si="1"/>
        <v/>
      </c>
      <c r="L24" s="435"/>
      <c r="M24" s="436" t="str">
        <f>Language!$E$96</f>
        <v>-</v>
      </c>
      <c r="N24" s="732"/>
      <c r="O24" s="435"/>
      <c r="P24" s="701" t="str">
        <f>Language!$E$96</f>
        <v>-</v>
      </c>
      <c r="Q24" s="437"/>
      <c r="R24" s="778"/>
      <c r="S24" s="735"/>
      <c r="U24" s="898" t="str">
        <f>Language!$E$16&amp;" E3"</f>
        <v>Group E3</v>
      </c>
      <c r="V24" s="898"/>
      <c r="W24" s="201"/>
      <c r="X24" s="201"/>
      <c r="Y24" s="201"/>
      <c r="Z24" s="201"/>
      <c r="AA24" s="201"/>
      <c r="AB24" s="201"/>
      <c r="AC24" s="201"/>
      <c r="AD24" s="201"/>
      <c r="AE24" s="201"/>
      <c r="AG24" s="897" t="str">
        <f>Language!$E$16&amp;" E3"&amp;Language!$E$67</f>
        <v>Group E3  (Third-placed)</v>
      </c>
      <c r="AH24" s="897"/>
      <c r="AI24" s="723"/>
      <c r="AJ24" s="724"/>
    </row>
    <row r="25" spans="3:36" ht="24" customHeight="1" thickTop="1" thickBot="1" x14ac:dyDescent="0.3">
      <c r="C25" s="496">
        <f t="array" aca="1" ref="C25" ca="1">ROW(59:59)-SUM(((Planning!$L$6:$L$50="")+(Planning!$N$6:$N$50="")&gt;0)*1)-SUM((($I$12:$I24="")+($K$12:$K24="")&gt;0)*1)</f>
        <v>41</v>
      </c>
      <c r="D25" s="175">
        <f t="array" aca="1" ref="D25" ca="1">IF(Planning!$V$15,"",$D$12+QUOTIENT(($C25-$C$12),Planning!$V$11)*(Planning!$S$7+Planning!$S$9)/1440+SUM($S$12:$S24)/1440)</f>
        <v>0.69097222222222221</v>
      </c>
      <c r="E25" s="177">
        <f ca="1">IF(Planning!$V$15,"",MOD($C25-$C$12,Planning!$V$11)+1)</f>
        <v>2</v>
      </c>
      <c r="F25" s="427" t="s">
        <v>286</v>
      </c>
      <c r="G25" s="428" t="s">
        <v>4</v>
      </c>
      <c r="H25" s="429" t="s">
        <v>287</v>
      </c>
      <c r="I25" s="460" t="str">
        <f t="shared" ca="1" si="0"/>
        <v>Manchester City</v>
      </c>
      <c r="J25" s="461" t="s">
        <v>4</v>
      </c>
      <c r="K25" s="462" t="str">
        <f t="shared" ca="1" si="1"/>
        <v>FSV Rauen</v>
      </c>
      <c r="L25" s="435">
        <v>14</v>
      </c>
      <c r="M25" s="436" t="str">
        <f>Language!$E$96</f>
        <v>-</v>
      </c>
      <c r="N25" s="732">
        <v>25</v>
      </c>
      <c r="O25" s="435">
        <v>25</v>
      </c>
      <c r="P25" s="701" t="str">
        <f>Language!$E$96</f>
        <v>-</v>
      </c>
      <c r="Q25" s="437">
        <v>23</v>
      </c>
      <c r="R25" s="778"/>
      <c r="S25" s="735"/>
      <c r="U25" s="845"/>
      <c r="V25" s="846"/>
      <c r="W25" s="203" t="str">
        <f>Language!$E$21</f>
        <v>Pld</v>
      </c>
      <c r="X25" s="204" t="str">
        <f>Language!$E$22</f>
        <v>W</v>
      </c>
      <c r="Y25" s="204" t="str">
        <f>Language!$E$23</f>
        <v>D</v>
      </c>
      <c r="Z25" s="419" t="str">
        <f>Language!$E$24</f>
        <v>L</v>
      </c>
      <c r="AA25" s="847" t="str">
        <f>Language!$E$80</f>
        <v>balls</v>
      </c>
      <c r="AB25" s="848"/>
      <c r="AC25" s="849"/>
      <c r="AD25" s="204" t="str">
        <f>IF(Settings!$G$7,Language!$E$26,Language!$E$86)</f>
        <v>Diff.</v>
      </c>
      <c r="AE25" s="206" t="str">
        <f>Language!$E$27</f>
        <v>Pts</v>
      </c>
      <c r="AG25" s="456"/>
      <c r="AH25" s="505" t="str">
        <f>Language!$E$10</f>
        <v>Participant or team</v>
      </c>
      <c r="AI25" s="458"/>
      <c r="AJ25" s="725"/>
    </row>
    <row r="26" spans="3:36" ht="24" customHeight="1" x14ac:dyDescent="0.25">
      <c r="C26" s="496">
        <f t="array" aca="1" ref="C26" ca="1">ROW(60:60)-SUM(((Planning!$L$6:$L$50="")+(Planning!$N$6:$N$50="")&gt;0)*1)-SUM((($I$12:$I25="")+($K$12:$K25="")&gt;0)*1)</f>
        <v>42</v>
      </c>
      <c r="D26" s="175">
        <f t="array" aca="1" ref="D26" ca="1">IF(Planning!$V$15,"",$D$12+QUOTIENT(($C26-$C$12),Planning!$V$11)*(Planning!$S$7+Planning!$S$9)/1440+SUM($S$12:$S25)/1440)</f>
        <v>0.69097222222222221</v>
      </c>
      <c r="E26" s="177">
        <f ca="1">IF(Planning!$V$15,"",MOD($C26-$C$12,Planning!$V$11)+1)</f>
        <v>3</v>
      </c>
      <c r="F26" s="427" t="s">
        <v>283</v>
      </c>
      <c r="G26" s="428" t="s">
        <v>4</v>
      </c>
      <c r="H26" s="429" t="s">
        <v>284</v>
      </c>
      <c r="I26" s="460" t="str">
        <f t="shared" ca="1" si="0"/>
        <v>Mainz 05</v>
      </c>
      <c r="J26" s="461" t="s">
        <v>4</v>
      </c>
      <c r="K26" s="462" t="str">
        <f t="shared" ca="1" si="1"/>
        <v>Kickers Rodendorf</v>
      </c>
      <c r="L26" s="435">
        <v>21</v>
      </c>
      <c r="M26" s="436" t="str">
        <f>Language!$E$96</f>
        <v>-</v>
      </c>
      <c r="N26" s="732">
        <v>25</v>
      </c>
      <c r="O26" s="435">
        <v>25</v>
      </c>
      <c r="P26" s="701" t="str">
        <f>Language!$E$96</f>
        <v>-</v>
      </c>
      <c r="Q26" s="437">
        <v>17</v>
      </c>
      <c r="R26" s="778"/>
      <c r="S26" s="735"/>
      <c r="U26" s="383">
        <f ca="1">IF(CalcE13!$K$13=0,"",1)</f>
        <v>1</v>
      </c>
      <c r="V26" s="440" t="str">
        <f ca="1">IF(Calc1!$F$14&lt;3,"",IF(AND(CalcE13!$K$13=0,AH29&lt;&gt;1),CalcE13!$Q$64,VLOOKUP(CalcE13!$B$4,CalcE13!$C$4:$N$12,4,0)))</f>
        <v>VFB Essenheim</v>
      </c>
      <c r="W26" s="443">
        <f ca="1">IF(CalcE13!$K$13=0,"",VLOOKUP(CalcE13!$B$4,CalcE13!$C$4:$N$12,9,0))</f>
        <v>2</v>
      </c>
      <c r="X26" s="210">
        <f ca="1">IF(CalcE13!$K$13=0,"",VLOOKUP(CalcE13!$B$4,CalcE13!$C$4:$N$12,10,0))</f>
        <v>1</v>
      </c>
      <c r="Y26" s="210">
        <f ca="1">IF(CalcE13!$K$13=0,"",VLOOKUP(CalcE13!$B$4,CalcE13!$C$4:$N$12,11,0))</f>
        <v>1</v>
      </c>
      <c r="Z26" s="210">
        <f ca="1">IF(CalcE13!$K$13=0,"",VLOOKUP(CalcE13!$B$4,CalcE13!$C$4:$N$12,12,0))</f>
        <v>0</v>
      </c>
      <c r="AA26" s="212">
        <f ca="1">IF(CalcE13!$K$13=0,"",VLOOKUP(CalcE13!$B$4,CalcE13!$C$4:$N$12,5,0))</f>
        <v>94</v>
      </c>
      <c r="AB26" s="213" t="str">
        <f>Language!$E$96</f>
        <v>-</v>
      </c>
      <c r="AC26" s="214">
        <f ca="1">IF(CalcE13!$K$13=0,"",VLOOKUP(CalcE13!$B$4,CalcE13!$C$4:$N$12,6,0))</f>
        <v>81</v>
      </c>
      <c r="AD26" s="210">
        <f ca="1">IF(CalcE13!$K$13=0,"",IF(VLOOKUP(CalcE13!B4,CalcE13!$C$4:$AR$12,42,0)=Settings!$F$7,"max",VLOOKUP(CalcE13!B4,CalcE13!$C$4:$AR$12,42,0)))</f>
        <v>13</v>
      </c>
      <c r="AE26" s="215">
        <f ca="1">IF(CalcE13!$K$13=0,"",VLOOKUP(CalcE13!$B$4,CalcE13!$C$4:$N$12,8,0))</f>
        <v>3</v>
      </c>
      <c r="AG26" s="695" t="s">
        <v>279</v>
      </c>
      <c r="AH26" s="506" t="str">
        <f ca="1">IF(PreliminaryRound!$R14="","",PreliminaryRound!$R14)</f>
        <v>VFB Essenheim</v>
      </c>
      <c r="AI26" s="466"/>
      <c r="AJ26" s="618">
        <f ca="1">IF($AH26="",0,COUNTIF(TieBreak!$U$25:$U$30,$AH26))</f>
        <v>0</v>
      </c>
    </row>
    <row r="27" spans="3:36" ht="24" customHeight="1" x14ac:dyDescent="0.25">
      <c r="C27" s="496">
        <f t="array" aca="1" ref="C27" ca="1">ROW(61:61)-SUM(((Planning!$L$6:$L$50="")+(Planning!$N$6:$N$50="")&gt;0)*1)-SUM((($I$12:$I26="")+($K$12:$K26="")&gt;0)*1)</f>
        <v>43</v>
      </c>
      <c r="D27" s="175">
        <f t="array" aca="1" ref="D27" ca="1">IF(Planning!$V$15,"",$D$12+QUOTIENT(($C27-$C$12),Planning!$V$11)*(Planning!$S$7+Planning!$S$9)/1440+SUM($S$12:$S26)/1440)</f>
        <v>0.71527777777777779</v>
      </c>
      <c r="E27" s="177">
        <f ca="1">IF(Planning!$V$15,"",MOD($C27-$C$12,Planning!$V$11)+1)</f>
        <v>1</v>
      </c>
      <c r="F27" s="427" t="s">
        <v>280</v>
      </c>
      <c r="G27" s="428" t="s">
        <v>4</v>
      </c>
      <c r="H27" s="429" t="s">
        <v>281</v>
      </c>
      <c r="I27" s="460" t="str">
        <f t="shared" ca="1" si="0"/>
        <v>FC Grönlingen</v>
      </c>
      <c r="J27" s="461" t="s">
        <v>4</v>
      </c>
      <c r="K27" s="462" t="str">
        <f t="shared" ca="1" si="1"/>
        <v>Real Madrid</v>
      </c>
      <c r="L27" s="435">
        <v>20</v>
      </c>
      <c r="M27" s="436" t="str">
        <f>Language!$E$96</f>
        <v>-</v>
      </c>
      <c r="N27" s="732">
        <v>25</v>
      </c>
      <c r="O27" s="435">
        <v>18</v>
      </c>
      <c r="P27" s="701" t="str">
        <f>Language!$E$96</f>
        <v>-</v>
      </c>
      <c r="Q27" s="437">
        <v>25</v>
      </c>
      <c r="R27" s="778"/>
      <c r="S27" s="735"/>
      <c r="U27" s="385">
        <f ca="1">IF(CalcE13!$K$13=0,"",IF(VLOOKUP(CalcE13!$B$5,CalcE13!$C$4:$E$12,3,0)=MAX($U26:$U26),VLOOKUP(CalcE13!$B$5,CalcE13!$C$4:$E$12,3,0),CalcE13!$B$5))</f>
        <v>2</v>
      </c>
      <c r="V27" s="441" t="str">
        <f ca="1">IF(OR(Calc1!$F$14&lt;3,AH29=1),"",IF(CalcE13!$K$13=0,CalcE13!$Q$65,VLOOKUP(CalcE13!$B$5,CalcE13!$C$4:$N$12,4,0)))</f>
        <v>Real Madrid</v>
      </c>
      <c r="W27" s="225">
        <f ca="1">IF(CalcE13!$K$13=0,"",VLOOKUP(CalcE13!$B$5,CalcE13!$C$4:$N$12,9,0))</f>
        <v>2</v>
      </c>
      <c r="X27" s="200">
        <f ca="1">IF(CalcE13!$K$13=0,"",VLOOKUP(CalcE13!$B$5,CalcE13!$C$4:$N$12,10,0))</f>
        <v>1</v>
      </c>
      <c r="Y27" s="200">
        <f ca="1">IF(CalcE13!$K$13=0,"",VLOOKUP(CalcE13!$B$5,CalcE13!$C$4:$N$12,11,0))</f>
        <v>1</v>
      </c>
      <c r="Z27" s="200">
        <f ca="1">IF(CalcE13!$K$13=0,"",VLOOKUP(CalcE13!$B$5,CalcE13!$C$4:$N$12,12,0))</f>
        <v>0</v>
      </c>
      <c r="AA27" s="221">
        <f ca="1">IF(CalcE13!$K$13=0,"",VLOOKUP(CalcE13!$B$5,CalcE13!$C$4:$N$12,5,0))</f>
        <v>89</v>
      </c>
      <c r="AB27" s="222" t="str">
        <f>Language!$E$96</f>
        <v>-</v>
      </c>
      <c r="AC27" s="223">
        <f ca="1">IF(CalcE13!$K$13=0,"",VLOOKUP(CalcE13!$B$5,CalcE13!$C$4:$N$12,6,0))</f>
        <v>82</v>
      </c>
      <c r="AD27" s="200">
        <f ca="1">IF(CalcE13!$K$13=0,"",IF(VLOOKUP(CalcE13!B5,CalcE13!$C$4:$AR$12,42,0)=Settings!$F$7,"max",VLOOKUP(CalcE13!B5,CalcE13!$C$4:$AR$12,42,0)))</f>
        <v>7</v>
      </c>
      <c r="AE27" s="224">
        <f ca="1">IF(CalcE13!$K$13=0,"",VLOOKUP(CalcE13!$B$5,CalcE13!$C$4:$N$12,8,0))</f>
        <v>3</v>
      </c>
      <c r="AG27" s="455" t="s">
        <v>280</v>
      </c>
      <c r="AH27" s="507" t="str">
        <f ca="1">IF(PreliminaryRound!$R24="","",PreliminaryRound!$R24)</f>
        <v>FC Grönlingen</v>
      </c>
      <c r="AI27" s="466"/>
      <c r="AJ27" s="619">
        <f ca="1">IF($AH27="",0,COUNTIF(TieBreak!$U$25:$U$30,$AH27))</f>
        <v>0</v>
      </c>
    </row>
    <row r="28" spans="3:36" ht="24" customHeight="1" thickBot="1" x14ac:dyDescent="0.3">
      <c r="C28" s="496">
        <f t="array" aca="1" ref="C28" ca="1">ROW(62:62)-SUM(((Planning!$L$6:$L$50="")+(Planning!$N$6:$N$50="")&gt;0)*1)-SUM((($I$12:$I27="")+($K$12:$K27="")&gt;0)*1)</f>
        <v>44</v>
      </c>
      <c r="D28" s="175">
        <f t="array" aca="1" ref="D28" ca="1">IF(Planning!$V$15,"",$D$12+QUOTIENT(($C28-$C$12),Planning!$V$11)*(Planning!$S$7+Planning!$S$9)/1440+SUM($S$12:$S27)/1440)</f>
        <v>0.71527777777777779</v>
      </c>
      <c r="E28" s="177">
        <f ca="1">IF(Planning!$V$15,"",MOD($C28-$C$12,Planning!$V$11)+1)</f>
        <v>2</v>
      </c>
      <c r="F28" s="427" t="s">
        <v>277</v>
      </c>
      <c r="G28" s="428" t="s">
        <v>4</v>
      </c>
      <c r="H28" s="429" t="s">
        <v>278</v>
      </c>
      <c r="I28" s="460" t="str">
        <f t="shared" ca="1" si="0"/>
        <v>SSV Wildbach</v>
      </c>
      <c r="J28" s="461" t="s">
        <v>4</v>
      </c>
      <c r="K28" s="462" t="str">
        <f t="shared" ca="1" si="1"/>
        <v>1. FC Nürnberg</v>
      </c>
      <c r="L28" s="435">
        <v>25</v>
      </c>
      <c r="M28" s="436" t="str">
        <f>Language!$E$96</f>
        <v>-</v>
      </c>
      <c r="N28" s="732">
        <v>20</v>
      </c>
      <c r="O28" s="435">
        <v>25</v>
      </c>
      <c r="P28" s="701" t="str">
        <f>Language!$E$96</f>
        <v>-</v>
      </c>
      <c r="Q28" s="437">
        <v>19</v>
      </c>
      <c r="R28" s="778"/>
      <c r="S28" s="735"/>
      <c r="U28" s="387">
        <f ca="1">IF(CalcE13!$K$13=0,"",IF(VLOOKUP(CalcE13!$B$6,CalcE13!$C$4:$E$12,3,0)=MAX($U26:$U27),VLOOKUP(CalcE13!$B$6,CalcE13!$C$4:$E$12,3,0),CalcE13!$B$6))</f>
        <v>3</v>
      </c>
      <c r="V28" s="442" t="str">
        <f ca="1">IF(OR(Calc1!$F$14&lt;3,AH29=1),"",IF(CalcE13!$K$13=0,CalcE13!$Q$66,VLOOKUP(CalcE13!$B$6,CalcE13!$C$4:$N$12,4,0)))</f>
        <v>FC Grönlingen</v>
      </c>
      <c r="W28" s="236">
        <f ca="1">IF(CalcE13!$K$13=0,"",VLOOKUP(CalcE13!$B$6,CalcE13!$C$4:$N$12,9,0))</f>
        <v>2</v>
      </c>
      <c r="X28" s="230">
        <f ca="1">IF(CalcE13!$K$13=0,"",VLOOKUP(CalcE13!$B$6,CalcE13!$C$4:$N$12,10,0))</f>
        <v>0</v>
      </c>
      <c r="Y28" s="230">
        <f ca="1">IF(CalcE13!$K$13=0,"",VLOOKUP(CalcE13!$B$6,CalcE13!$C$4:$N$12,11,0))</f>
        <v>0</v>
      </c>
      <c r="Z28" s="230">
        <f ca="1">IF(CalcE13!$K$13=0,"",VLOOKUP(CalcE13!$B$6,CalcE13!$C$4:$N$12,12,0))</f>
        <v>2</v>
      </c>
      <c r="AA28" s="232">
        <f ca="1">IF(CalcE13!$K$13=0,"",VLOOKUP(CalcE13!$B$6,CalcE13!$C$4:$N$12,5,0))</f>
        <v>80</v>
      </c>
      <c r="AB28" s="233" t="str">
        <f>Language!$E$96</f>
        <v>-</v>
      </c>
      <c r="AC28" s="234">
        <f ca="1">IF(CalcE13!$K$13=0,"",VLOOKUP(CalcE13!$B$6,CalcE13!$C$4:$N$12,6,0))</f>
        <v>100</v>
      </c>
      <c r="AD28" s="230">
        <f ca="1">IF(CalcE13!$K$13=0,"",IF(VLOOKUP(CalcE13!B6,CalcE13!$C$4:$AR$12,42,0)=Settings!$F$7,"max",VLOOKUP(CalcE13!B6,CalcE13!$C$4:$AR$12,42,0)))</f>
        <v>-20</v>
      </c>
      <c r="AE28" s="235">
        <f ca="1">IF(CalcE13!$K$13=0,"",VLOOKUP(CalcE13!$B$6,CalcE13!$C$4:$N$12,8,0))</f>
        <v>0</v>
      </c>
      <c r="AG28" s="415" t="s">
        <v>281</v>
      </c>
      <c r="AH28" s="508" t="str">
        <f ca="1">IF(PreliminaryRound!$R34="","",PreliminaryRound!$R34)</f>
        <v>Real Madrid</v>
      </c>
      <c r="AI28" s="466"/>
      <c r="AJ28" s="620">
        <f ca="1">IF($AH28="",0,COUNTIF(TieBreak!$U$25:$U$30,$AH28))</f>
        <v>0</v>
      </c>
    </row>
    <row r="29" spans="3:36" ht="24" customHeight="1" thickTop="1" thickBot="1" x14ac:dyDescent="0.3">
      <c r="C29" s="496">
        <f t="array" aca="1" ref="C29" ca="1">ROW(63:63)-SUM(((Planning!$L$6:$L$50="")+(Planning!$N$6:$N$50="")&gt;0)*1)-SUM((($I$12:$I28="")+($K$12:$K28="")&gt;0)*1)</f>
        <v>45</v>
      </c>
      <c r="D29" s="175">
        <f t="array" aca="1" ref="D29" ca="1">IF(Planning!$V$15,"",$D$12+QUOTIENT(($C29-$C$12),Planning!$V$11)*(Planning!$S$7+Planning!$S$9)/1440+SUM($S$12:$S28)/1440)</f>
        <v>0.71527777777777779</v>
      </c>
      <c r="E29" s="177">
        <f ca="1">IF(Planning!$V$15,"",MOD($C29-$C$12,Planning!$V$11)+1)</f>
        <v>3</v>
      </c>
      <c r="F29" s="430" t="s">
        <v>274</v>
      </c>
      <c r="G29" s="431" t="s">
        <v>4</v>
      </c>
      <c r="H29" s="432" t="s">
        <v>275</v>
      </c>
      <c r="I29" s="463" t="str">
        <f t="shared" ca="1" si="0"/>
        <v>Inter Mailand</v>
      </c>
      <c r="J29" s="464" t="s">
        <v>4</v>
      </c>
      <c r="K29" s="465" t="str">
        <f t="shared" ca="1" si="1"/>
        <v>Borussia Dortmund</v>
      </c>
      <c r="L29" s="438">
        <v>25</v>
      </c>
      <c r="M29" s="374" t="str">
        <f>Language!$E$96</f>
        <v>-</v>
      </c>
      <c r="N29" s="733">
        <v>2</v>
      </c>
      <c r="O29" s="438">
        <v>25</v>
      </c>
      <c r="P29" s="702" t="str">
        <f>Language!$E$96</f>
        <v>-</v>
      </c>
      <c r="Q29" s="439">
        <v>20</v>
      </c>
      <c r="R29" s="375"/>
      <c r="S29" s="790"/>
      <c r="W29" s="413"/>
      <c r="AG29" s="417"/>
      <c r="AH29" s="68">
        <f t="array" aca="1" ref="AH29" ca="1">SUM((AH26:AH28&lt;&gt;"")*1)</f>
        <v>3</v>
      </c>
      <c r="AI29" s="68"/>
      <c r="AJ29" s="329"/>
    </row>
    <row r="30" spans="3:36" ht="24" customHeight="1" thickTop="1" x14ac:dyDescent="0.2">
      <c r="C30" s="521"/>
      <c r="D30" s="521"/>
      <c r="E30" s="521"/>
      <c r="F30" s="521"/>
      <c r="G30" s="521"/>
      <c r="H30" s="521"/>
      <c r="I30" s="521"/>
      <c r="J30" s="521"/>
      <c r="K30" s="521"/>
      <c r="L30" s="521"/>
      <c r="M30" s="521"/>
      <c r="N30" s="521"/>
      <c r="O30" s="699"/>
      <c r="P30" s="699"/>
      <c r="Q30" s="699"/>
      <c r="R30" s="699"/>
      <c r="S30" s="520"/>
      <c r="W30" s="413"/>
      <c r="AG30" s="416"/>
      <c r="AH30" s="459"/>
      <c r="AI30" s="459"/>
      <c r="AJ30" s="329"/>
    </row>
    <row r="31" spans="3:36" ht="24" customHeight="1" thickBot="1" x14ac:dyDescent="0.45">
      <c r="C31" s="903" t="str">
        <f>Language!$E$29</f>
        <v>End of Tournament:</v>
      </c>
      <c r="D31" s="903"/>
      <c r="E31" s="903"/>
      <c r="F31" s="903"/>
      <c r="G31" s="903"/>
      <c r="H31" s="903"/>
      <c r="I31" s="903"/>
      <c r="J31" s="904">
        <f ca="1">IF(Planning!$S$13="","",$D$29+Planning!$S$7/1440)</f>
        <v>0.73611111111111116</v>
      </c>
      <c r="K31" s="904"/>
      <c r="L31" s="904"/>
      <c r="M31" s="904"/>
      <c r="N31" s="904"/>
      <c r="O31" s="904"/>
      <c r="P31" s="904"/>
      <c r="Q31" s="904"/>
      <c r="R31" s="904"/>
      <c r="S31" s="904"/>
      <c r="U31" s="898" t="str">
        <f>Language!$E$16&amp;" E4"</f>
        <v>Group E4</v>
      </c>
      <c r="V31" s="898"/>
      <c r="W31" s="201"/>
      <c r="X31" s="201"/>
      <c r="Y31" s="201"/>
      <c r="Z31" s="201"/>
      <c r="AA31" s="201"/>
      <c r="AB31" s="201"/>
      <c r="AC31" s="201"/>
      <c r="AD31" s="201"/>
      <c r="AE31" s="201"/>
      <c r="AG31" s="897" t="str">
        <f>Language!$E$16&amp;" E4"&amp;Language!$E$68</f>
        <v>Group E4  (Fourth-placed)</v>
      </c>
      <c r="AH31" s="897"/>
      <c r="AI31" s="723"/>
      <c r="AJ31" s="724"/>
    </row>
    <row r="32" spans="3:36" ht="24" customHeight="1" thickTop="1" thickBot="1" x14ac:dyDescent="0.25">
      <c r="L32" s="504"/>
      <c r="M32" s="504"/>
      <c r="U32" s="845"/>
      <c r="V32" s="846"/>
      <c r="W32" s="203" t="str">
        <f>Language!$E$21</f>
        <v>Pld</v>
      </c>
      <c r="X32" s="204" t="str">
        <f>Language!$E$22</f>
        <v>W</v>
      </c>
      <c r="Y32" s="204" t="str">
        <f>Language!$E$23</f>
        <v>D</v>
      </c>
      <c r="Z32" s="419" t="str">
        <f>Language!$E$24</f>
        <v>L</v>
      </c>
      <c r="AA32" s="847" t="str">
        <f>Language!$E$80</f>
        <v>balls</v>
      </c>
      <c r="AB32" s="848"/>
      <c r="AC32" s="849"/>
      <c r="AD32" s="204" t="str">
        <f>IF(Settings!$G$7,Language!$E$26,Language!$E$86)</f>
        <v>Diff.</v>
      </c>
      <c r="AE32" s="206" t="str">
        <f>Language!$E$27</f>
        <v>Pts</v>
      </c>
      <c r="AG32" s="456"/>
      <c r="AH32" s="505" t="str">
        <f>Language!$E$10</f>
        <v>Participant or team</v>
      </c>
      <c r="AI32" s="458"/>
      <c r="AJ32" s="725"/>
    </row>
    <row r="33" spans="6:36" ht="24" customHeight="1" thickBot="1" x14ac:dyDescent="0.25">
      <c r="F33" s="909" t="str">
        <f>Language!$E$104</f>
        <v>Rank</v>
      </c>
      <c r="G33" s="910"/>
      <c r="H33" s="910"/>
      <c r="I33" s="917" t="str">
        <f>Language!$E$10</f>
        <v>Participant or team</v>
      </c>
      <c r="J33" s="917"/>
      <c r="K33" s="918"/>
      <c r="L33" s="504"/>
      <c r="M33" s="504"/>
      <c r="U33" s="383">
        <f ca="1">IF(CalcE14!$K$13=0,"",1)</f>
        <v>1</v>
      </c>
      <c r="V33" s="440" t="str">
        <f ca="1">IF(Calc1!$F$14&lt;3,"",IF(AND(CalcE14!$K$13=0,AH36&lt;&gt;1),CalcE14!$Q$64,VLOOKUP(CalcE14!$B$4,CalcE14!$C$4:$N$12,4,0)))</f>
        <v>Maibach 1822 eV</v>
      </c>
      <c r="W33" s="443">
        <f ca="1">IF(CalcE14!$K$13=0,"",VLOOKUP(CalcE14!$B$4,CalcE14!$C$4:$N$12,9,0))</f>
        <v>2</v>
      </c>
      <c r="X33" s="210">
        <f ca="1">IF(CalcE14!$K$13=0,"",VLOOKUP(CalcE14!$B$4,CalcE14!$C$4:$N$12,10,0))</f>
        <v>1</v>
      </c>
      <c r="Y33" s="210">
        <f ca="1">IF(CalcE14!$K$13=0,"",VLOOKUP(CalcE14!$B$4,CalcE14!$C$4:$N$12,11,0))</f>
        <v>1</v>
      </c>
      <c r="Z33" s="210">
        <f ca="1">IF(CalcE14!$K$13=0,"",VLOOKUP(CalcE14!$B$4,CalcE14!$C$4:$N$12,12,0))</f>
        <v>0</v>
      </c>
      <c r="AA33" s="212">
        <f ca="1">IF(CalcE14!$K$13=0,"",VLOOKUP(CalcE14!$B$4,CalcE14!$C$4:$N$12,5,0))</f>
        <v>93</v>
      </c>
      <c r="AB33" s="213" t="str">
        <f>Language!$E$96</f>
        <v>-</v>
      </c>
      <c r="AC33" s="214">
        <f ca="1">IF(CalcE14!$K$13=0,"",VLOOKUP(CalcE14!$B$4,CalcE14!$C$4:$N$12,6,0))</f>
        <v>81</v>
      </c>
      <c r="AD33" s="210">
        <f ca="1">IF(CalcE14!$K$13=0,"",IF(VLOOKUP(CalcE14!B4,CalcE14!$C$4:$AR$12,42,0)=Settings!$F$7,"max",VLOOKUP(CalcE14!B4,CalcE14!$C$4:$AR$12,42,0)))</f>
        <v>12</v>
      </c>
      <c r="AE33" s="215">
        <f ca="1">IF(CalcE14!$K$13=0,"",VLOOKUP(CalcE14!$B$4,CalcE14!$C$4:$N$12,8,0))</f>
        <v>3</v>
      </c>
      <c r="AG33" s="695" t="s">
        <v>282</v>
      </c>
      <c r="AH33" s="506" t="str">
        <f ca="1">IF(PreliminaryRound!$R15="","",PreliminaryRound!$R15)</f>
        <v>Maibach 1822 eV</v>
      </c>
      <c r="AI33" s="466"/>
      <c r="AJ33" s="618">
        <f ca="1">IF($AH33="",0,COUNTIF(TieBreak!$U$25:$U$30,$AH33))</f>
        <v>0</v>
      </c>
    </row>
    <row r="34" spans="6:36" ht="24" customHeight="1" thickTop="1" x14ac:dyDescent="0.2">
      <c r="F34" s="911">
        <v>1</v>
      </c>
      <c r="G34" s="912"/>
      <c r="H34" s="912"/>
      <c r="I34" s="919" t="str">
        <f ca="1">IF(CalcE11!$K$13=0,"",$V$12)</f>
        <v>FC Barcelona</v>
      </c>
      <c r="J34" s="919"/>
      <c r="K34" s="920"/>
      <c r="L34" s="504"/>
      <c r="M34" s="504"/>
      <c r="U34" s="385">
        <f ca="1">IF(CalcE14!$K$13=0,"",IF(VLOOKUP(CalcE14!$B$5,CalcE14!$C$4:$E$12,3,0)=MAX($U33:$U33),VLOOKUP(CalcE14!$B$5,CalcE14!$C$4:$E$12,3,0),CalcE14!$B$5))</f>
        <v>2</v>
      </c>
      <c r="V34" s="441" t="str">
        <f ca="1">IF(OR(Calc1!$F$14&lt;3,AH36=1),"",IF(CalcE14!$K$13=0,CalcE14!$Q$65,VLOOKUP(CalcE14!$B$5,CalcE14!$C$4:$N$12,4,0)))</f>
        <v>Kickers Rodendorf</v>
      </c>
      <c r="W34" s="225">
        <f ca="1">IF(CalcE14!$K$13=0,"",VLOOKUP(CalcE14!$B$5,CalcE14!$C$4:$N$12,9,0))</f>
        <v>2</v>
      </c>
      <c r="X34" s="200">
        <f ca="1">IF(CalcE14!$K$13=0,"",VLOOKUP(CalcE14!$B$5,CalcE14!$C$4:$N$12,10,0))</f>
        <v>0</v>
      </c>
      <c r="Y34" s="200">
        <f ca="1">IF(CalcE14!$K$13=0,"",VLOOKUP(CalcE14!$B$5,CalcE14!$C$4:$N$12,11,0))</f>
        <v>2</v>
      </c>
      <c r="Z34" s="200">
        <f ca="1">IF(CalcE14!$K$13=0,"",VLOOKUP(CalcE14!$B$5,CalcE14!$C$4:$N$12,12,0))</f>
        <v>0</v>
      </c>
      <c r="AA34" s="221">
        <f ca="1">IF(CalcE14!$K$13=0,"",VLOOKUP(CalcE14!$B$5,CalcE14!$C$4:$N$12,5,0))</f>
        <v>83</v>
      </c>
      <c r="AB34" s="222" t="str">
        <f>Language!$E$96</f>
        <v>-</v>
      </c>
      <c r="AC34" s="223">
        <f ca="1">IF(CalcE14!$K$13=0,"",VLOOKUP(CalcE14!$B$5,CalcE14!$C$4:$N$12,6,0))</f>
        <v>89</v>
      </c>
      <c r="AD34" s="200">
        <f ca="1">IF(CalcE14!$K$13=0,"",IF(VLOOKUP(CalcE14!B5,CalcE14!$C$4:$AR$12,42,0)=Settings!$F$7,"max",VLOOKUP(CalcE14!B5,CalcE14!$C$4:$AR$12,42,0)))</f>
        <v>-6</v>
      </c>
      <c r="AE34" s="224">
        <f ca="1">IF(CalcE14!$K$13=0,"",VLOOKUP(CalcE14!$B$5,CalcE14!$C$4:$N$12,8,0))</f>
        <v>2</v>
      </c>
      <c r="AG34" s="455" t="s">
        <v>283</v>
      </c>
      <c r="AH34" s="507" t="str">
        <f ca="1">IF(PreliminaryRound!$R25="","",PreliminaryRound!$R25)</f>
        <v>Mainz 05</v>
      </c>
      <c r="AI34" s="466"/>
      <c r="AJ34" s="619">
        <f ca="1">IF($AH34="",0,COUNTIF(TieBreak!$U$25:$U$30,$AH34))</f>
        <v>0</v>
      </c>
    </row>
    <row r="35" spans="6:36" ht="24" customHeight="1" thickBot="1" x14ac:dyDescent="0.25">
      <c r="F35" s="913">
        <v>2</v>
      </c>
      <c r="G35" s="914"/>
      <c r="H35" s="914"/>
      <c r="I35" s="921" t="str">
        <f ca="1">IF(CalcE11!$K$13=0,"",$V$13)</f>
        <v>Inter Mailand</v>
      </c>
      <c r="J35" s="921"/>
      <c r="K35" s="922"/>
      <c r="L35" s="504"/>
      <c r="M35" s="504"/>
      <c r="U35" s="387">
        <f ca="1">IF(CalcE14!$K$13=0,"",IF(VLOOKUP(CalcE14!$B$6,CalcE14!$C$4:$E$12,3,0)=MAX($U33:$U34),VLOOKUP(CalcE14!$B$6,CalcE14!$C$4:$E$12,3,0),CalcE14!$B$6))</f>
        <v>3</v>
      </c>
      <c r="V35" s="442" t="str">
        <f ca="1">IF(OR(Calc1!$F$14&lt;3,AH36=1),"",IF(CalcE14!$K$13=0,CalcE14!$Q$66,VLOOKUP(CalcE14!$B$6,CalcE14!$C$4:$N$12,4,0)))</f>
        <v>Mainz 05</v>
      </c>
      <c r="W35" s="236">
        <f ca="1">IF(CalcE14!$K$13=0,"",VLOOKUP(CalcE14!$B$6,CalcE14!$C$4:$N$12,9,0))</f>
        <v>2</v>
      </c>
      <c r="X35" s="230">
        <f ca="1">IF(CalcE14!$K$13=0,"",VLOOKUP(CalcE14!$B$6,CalcE14!$C$4:$N$12,10,0))</f>
        <v>0</v>
      </c>
      <c r="Y35" s="230">
        <f ca="1">IF(CalcE14!$K$13=0,"",VLOOKUP(CalcE14!$B$6,CalcE14!$C$4:$N$12,11,0))</f>
        <v>1</v>
      </c>
      <c r="Z35" s="230">
        <f ca="1">IF(CalcE14!$K$13=0,"",VLOOKUP(CalcE14!$B$6,CalcE14!$C$4:$N$12,12,0))</f>
        <v>1</v>
      </c>
      <c r="AA35" s="232">
        <f ca="1">IF(CalcE14!$K$13=0,"",VLOOKUP(CalcE14!$B$6,CalcE14!$C$4:$N$12,5,0))</f>
        <v>86</v>
      </c>
      <c r="AB35" s="233" t="str">
        <f>Language!$E$96</f>
        <v>-</v>
      </c>
      <c r="AC35" s="234">
        <f ca="1">IF(CalcE14!$K$13=0,"",VLOOKUP(CalcE14!$B$6,CalcE14!$C$4:$N$12,6,0))</f>
        <v>92</v>
      </c>
      <c r="AD35" s="230">
        <f ca="1">IF(CalcE14!$K$13=0,"",IF(VLOOKUP(CalcE14!B6,CalcE14!$C$4:$AR$12,42,0)=Settings!$F$7,"max",VLOOKUP(CalcE14!B6,CalcE14!$C$4:$AR$12,42,0)))</f>
        <v>-6</v>
      </c>
      <c r="AE35" s="235">
        <f ca="1">IF(CalcE14!$K$13=0,"",VLOOKUP(CalcE14!$B$6,CalcE14!$C$4:$N$12,8,0))</f>
        <v>1</v>
      </c>
      <c r="AG35" s="415" t="s">
        <v>284</v>
      </c>
      <c r="AH35" s="508" t="str">
        <f ca="1">IF(PreliminaryRound!$R35="","",PreliminaryRound!$R35)</f>
        <v>Kickers Rodendorf</v>
      </c>
      <c r="AI35" s="466"/>
      <c r="AJ35" s="620">
        <f ca="1">IF($AH35="",0,COUNTIF(TieBreak!$U$25:$U$30,$AH35))</f>
        <v>0</v>
      </c>
    </row>
    <row r="36" spans="6:36" ht="24" customHeight="1" thickTop="1" x14ac:dyDescent="0.2">
      <c r="F36" s="915">
        <v>3</v>
      </c>
      <c r="G36" s="916"/>
      <c r="H36" s="916"/>
      <c r="I36" s="923" t="str">
        <f ca="1">IF(CalcE11!$K$13=0,"",$V$14)</f>
        <v>Borussia Dortmund</v>
      </c>
      <c r="J36" s="923"/>
      <c r="K36" s="924"/>
      <c r="L36" s="504"/>
      <c r="M36" s="504"/>
      <c r="W36" s="413"/>
      <c r="AG36" s="417"/>
      <c r="AH36" s="68">
        <f t="array" aca="1" ref="AH36" ca="1">SUM((AH33:AH35&lt;&gt;"")*1)</f>
        <v>3</v>
      </c>
      <c r="AI36" s="68"/>
      <c r="AJ36" s="329"/>
    </row>
    <row r="37" spans="6:36" ht="24" customHeight="1" x14ac:dyDescent="0.2">
      <c r="F37" s="899">
        <v>4</v>
      </c>
      <c r="G37" s="900"/>
      <c r="H37" s="900"/>
      <c r="I37" s="905" t="str">
        <f ca="1">IF(AND(CalcE12!$K$13=0,CalcE12!$F$13&lt;&gt;1),"",$V$19)</f>
        <v>Eintracht Frankfurt</v>
      </c>
      <c r="J37" s="905"/>
      <c r="K37" s="906"/>
      <c r="L37" s="504"/>
      <c r="M37" s="504"/>
      <c r="W37" s="413"/>
      <c r="AG37" s="417"/>
      <c r="AH37" s="457"/>
      <c r="AI37" s="457"/>
      <c r="AJ37" s="329"/>
    </row>
    <row r="38" spans="6:36" ht="24" customHeight="1" thickBot="1" x14ac:dyDescent="0.45">
      <c r="F38" s="899">
        <v>5</v>
      </c>
      <c r="G38" s="900"/>
      <c r="H38" s="900"/>
      <c r="I38" s="905" t="str">
        <f ca="1">IF(CalcE12!$K$13=0,"",$V$20)</f>
        <v>SSV Wildbach</v>
      </c>
      <c r="J38" s="905"/>
      <c r="K38" s="906"/>
      <c r="L38" s="504"/>
      <c r="M38" s="504"/>
      <c r="U38" s="898" t="str">
        <f>Language!$E$16&amp;" E5"</f>
        <v>Group E5</v>
      </c>
      <c r="V38" s="898"/>
      <c r="W38" s="201"/>
      <c r="X38" s="201"/>
      <c r="Y38" s="201"/>
      <c r="Z38" s="201"/>
      <c r="AA38" s="201"/>
      <c r="AB38" s="201"/>
      <c r="AC38" s="201"/>
      <c r="AD38" s="201"/>
      <c r="AE38" s="201"/>
      <c r="AG38" s="897" t="str">
        <f>Language!$E$16&amp;" E5"&amp;Language!$E$69</f>
        <v>Group E5  (Fifth-placed)</v>
      </c>
      <c r="AH38" s="897"/>
      <c r="AI38" s="723"/>
      <c r="AJ38" s="724"/>
    </row>
    <row r="39" spans="6:36" ht="24" customHeight="1" thickTop="1" thickBot="1" x14ac:dyDescent="0.25">
      <c r="F39" s="899">
        <v>6</v>
      </c>
      <c r="G39" s="900"/>
      <c r="H39" s="900"/>
      <c r="I39" s="905" t="str">
        <f ca="1">IF(CalcE12!$K$13=0,"",$V$21)</f>
        <v>1. FC Nürnberg</v>
      </c>
      <c r="J39" s="905"/>
      <c r="K39" s="906"/>
      <c r="L39" s="504"/>
      <c r="M39" s="504"/>
      <c r="U39" s="845"/>
      <c r="V39" s="846"/>
      <c r="W39" s="203" t="str">
        <f>Language!$E$21</f>
        <v>Pld</v>
      </c>
      <c r="X39" s="204" t="str">
        <f>Language!$E$22</f>
        <v>W</v>
      </c>
      <c r="Y39" s="204" t="str">
        <f>Language!$E$23</f>
        <v>D</v>
      </c>
      <c r="Z39" s="419" t="str">
        <f>Language!$E$24</f>
        <v>L</v>
      </c>
      <c r="AA39" s="847" t="str">
        <f>Language!$E$80</f>
        <v>balls</v>
      </c>
      <c r="AB39" s="848"/>
      <c r="AC39" s="849"/>
      <c r="AD39" s="204" t="str">
        <f>IF(Settings!$G$7,Language!$E$26,Language!$E$86)</f>
        <v>Diff.</v>
      </c>
      <c r="AE39" s="206" t="str">
        <f>Language!$E$27</f>
        <v>Pts</v>
      </c>
      <c r="AG39" s="456"/>
      <c r="AH39" s="505" t="str">
        <f>Language!$E$10</f>
        <v>Participant or team</v>
      </c>
      <c r="AI39" s="458"/>
      <c r="AJ39" s="725"/>
    </row>
    <row r="40" spans="6:36" ht="24" customHeight="1" x14ac:dyDescent="0.2">
      <c r="F40" s="899">
        <v>7</v>
      </c>
      <c r="G40" s="900"/>
      <c r="H40" s="900"/>
      <c r="I40" s="905" t="str">
        <f ca="1">IF(AND(CalcE13!$K$13=0,CalcE13!$F$13&lt;&gt;1),"",$V$26)</f>
        <v>VFB Essenheim</v>
      </c>
      <c r="J40" s="905"/>
      <c r="K40" s="906"/>
      <c r="L40" s="504"/>
      <c r="M40" s="504"/>
      <c r="U40" s="383">
        <f ca="1">IF(CalcE15!$K$13=0,"",1)</f>
        <v>1</v>
      </c>
      <c r="V40" s="440" t="str">
        <f ca="1">IF(Calc1!$F$14&lt;3,"",IF(AND(CalcE15!$K$13=0,AH43&lt;&gt;1),CalcE15!$Q$64,VLOOKUP(CalcE15!$B$4,CalcE15!$C$4:$N$12,4,0)))</f>
        <v>Manchester City</v>
      </c>
      <c r="W40" s="443">
        <f ca="1">IF(CalcE15!$K$13=0,"",VLOOKUP(CalcE15!$B$4,CalcE15!$C$4:$N$12,9,0))</f>
        <v>2</v>
      </c>
      <c r="X40" s="210">
        <f ca="1">IF(CalcE15!$K$13=0,"",VLOOKUP(CalcE15!$B$4,CalcE15!$C$4:$N$12,10,0))</f>
        <v>1</v>
      </c>
      <c r="Y40" s="210">
        <f ca="1">IF(CalcE15!$K$13=0,"",VLOOKUP(CalcE15!$B$4,CalcE15!$C$4:$N$12,11,0))</f>
        <v>1</v>
      </c>
      <c r="Z40" s="210">
        <f ca="1">IF(CalcE15!$K$13=0,"",VLOOKUP(CalcE15!$B$4,CalcE15!$C$4:$N$12,12,0))</f>
        <v>0</v>
      </c>
      <c r="AA40" s="212">
        <f ca="1">IF(CalcE15!$K$13=0,"",VLOOKUP(CalcE15!$B$4,CalcE15!$C$4:$N$12,5,0))</f>
        <v>89</v>
      </c>
      <c r="AB40" s="213" t="str">
        <f>Language!$E$96</f>
        <v>-</v>
      </c>
      <c r="AC40" s="214">
        <f ca="1">IF(CalcE15!$K$13=0,"",VLOOKUP(CalcE15!$B$4,CalcE15!$C$4:$N$12,6,0))</f>
        <v>87</v>
      </c>
      <c r="AD40" s="210">
        <f ca="1">IF(CalcE15!$K$13=0,"",IF(VLOOKUP(CalcE15!B4,CalcE15!$C$4:$AR$12,42,0)=Settings!$F$7,"max",VLOOKUP(CalcE15!B4,CalcE15!$C$4:$AR$12,42,0)))</f>
        <v>2</v>
      </c>
      <c r="AE40" s="215">
        <f ca="1">IF(CalcE15!$K$13=0,"",VLOOKUP(CalcE15!$B$4,CalcE15!$C$4:$N$12,8,0))</f>
        <v>3</v>
      </c>
      <c r="AG40" s="695" t="s">
        <v>285</v>
      </c>
      <c r="AH40" s="506" t="str">
        <f ca="1">IF(PreliminaryRound!$R16="","",PreliminaryRound!$R16)</f>
        <v>1. FC Riedwald</v>
      </c>
      <c r="AI40" s="466"/>
      <c r="AJ40" s="618">
        <f ca="1">IF($AH40="",0,COUNTIF(TieBreak!$U$25:$U$30,$AH40))</f>
        <v>0</v>
      </c>
    </row>
    <row r="41" spans="6:36" ht="24" customHeight="1" x14ac:dyDescent="0.2">
      <c r="F41" s="899">
        <v>8</v>
      </c>
      <c r="G41" s="900"/>
      <c r="H41" s="900"/>
      <c r="I41" s="905" t="str">
        <f ca="1">IF(CalcE13!$K$13=0,"",$V$27)</f>
        <v>Real Madrid</v>
      </c>
      <c r="J41" s="905"/>
      <c r="K41" s="906"/>
      <c r="L41" s="504"/>
      <c r="M41" s="504"/>
      <c r="U41" s="385">
        <f ca="1">IF(CalcE15!$K$13=0,"",IF(VLOOKUP(CalcE15!$B$5,CalcE15!$C$4:$E$12,3,0)=MAX($U40:$U40),VLOOKUP(CalcE15!$B$5,CalcE15!$C$4:$E$12,3,0),CalcE15!$B$5))</f>
        <v>2</v>
      </c>
      <c r="V41" s="441" t="str">
        <f ca="1">IF(OR(Calc1!$F$14&lt;3,AH43=1),"",IF(CalcE15!$K$13=0,CalcE15!$Q$65,VLOOKUP(CalcE15!$B$5,CalcE15!$C$4:$N$12,4,0)))</f>
        <v>FSV Rauen</v>
      </c>
      <c r="W41" s="225">
        <f ca="1">IF(CalcE15!$K$13=0,"",VLOOKUP(CalcE15!$B$5,CalcE15!$C$4:$N$12,9,0))</f>
        <v>2</v>
      </c>
      <c r="X41" s="200">
        <f ca="1">IF(CalcE15!$K$13=0,"",VLOOKUP(CalcE15!$B$5,CalcE15!$C$4:$N$12,10,0))</f>
        <v>0</v>
      </c>
      <c r="Y41" s="200">
        <f ca="1">IF(CalcE15!$K$13=0,"",VLOOKUP(CalcE15!$B$5,CalcE15!$C$4:$N$12,11,0))</f>
        <v>2</v>
      </c>
      <c r="Z41" s="200">
        <f ca="1">IF(CalcE15!$K$13=0,"",VLOOKUP(CalcE15!$B$5,CalcE15!$C$4:$N$12,12,0))</f>
        <v>0</v>
      </c>
      <c r="AA41" s="221">
        <f ca="1">IF(CalcE15!$K$13=0,"",VLOOKUP(CalcE15!$B$5,CalcE15!$C$4:$N$12,5,0))</f>
        <v>92</v>
      </c>
      <c r="AB41" s="222" t="str">
        <f>Language!$E$96</f>
        <v>-</v>
      </c>
      <c r="AC41" s="223">
        <f ca="1">IF(CalcE15!$K$13=0,"",VLOOKUP(CalcE15!$B$5,CalcE15!$C$4:$N$12,6,0))</f>
        <v>81</v>
      </c>
      <c r="AD41" s="200">
        <f ca="1">IF(CalcE15!$K$13=0,"",IF(VLOOKUP(CalcE15!B5,CalcE15!$C$4:$AR$12,42,0)=Settings!$F$7,"max",VLOOKUP(CalcE15!B5,CalcE15!$C$4:$AR$12,42,0)))</f>
        <v>11</v>
      </c>
      <c r="AE41" s="224">
        <f ca="1">IF(CalcE15!$K$13=0,"",VLOOKUP(CalcE15!$B$5,CalcE15!$C$4:$N$12,8,0))</f>
        <v>2</v>
      </c>
      <c r="AG41" s="455" t="s">
        <v>286</v>
      </c>
      <c r="AH41" s="507" t="str">
        <f ca="1">IF(PreliminaryRound!$R26="","",PreliminaryRound!$R26)</f>
        <v>Manchester City</v>
      </c>
      <c r="AI41" s="466"/>
      <c r="AJ41" s="619">
        <f ca="1">IF($AH41="",0,COUNTIF(TieBreak!$U$25:$U$30,$AH41))</f>
        <v>0</v>
      </c>
    </row>
    <row r="42" spans="6:36" ht="24" customHeight="1" thickBot="1" x14ac:dyDescent="0.25">
      <c r="F42" s="899">
        <v>9</v>
      </c>
      <c r="G42" s="900"/>
      <c r="H42" s="900"/>
      <c r="I42" s="905" t="str">
        <f ca="1">IF(CalcE13!$K$13=0,"",$V$28)</f>
        <v>FC Grönlingen</v>
      </c>
      <c r="J42" s="905"/>
      <c r="K42" s="906"/>
      <c r="L42" s="504"/>
      <c r="M42" s="504"/>
      <c r="U42" s="387">
        <f ca="1">IF(CalcE15!$K$13=0,"",IF(VLOOKUP(CalcE15!$B$6,CalcE15!$C$4:$E$12,3,0)=MAX($U40:$U41),VLOOKUP(CalcE15!$B$6,CalcE15!$C$4:$E$12,3,0),CalcE15!$B$6))</f>
        <v>3</v>
      </c>
      <c r="V42" s="442" t="str">
        <f ca="1">IF(OR(Calc1!$F$14&lt;3,AH43=1),"",IF(CalcE15!$K$13=0,CalcE15!$Q$66,VLOOKUP(CalcE15!$B$6,CalcE15!$C$4:$N$12,4,0)))</f>
        <v>1. FC Riedwald</v>
      </c>
      <c r="W42" s="236">
        <f ca="1">IF(CalcE15!$K$13=0,"",VLOOKUP(CalcE15!$B$6,CalcE15!$C$4:$N$12,9,0))</f>
        <v>2</v>
      </c>
      <c r="X42" s="230">
        <f ca="1">IF(CalcE15!$K$13=0,"",VLOOKUP(CalcE15!$B$6,CalcE15!$C$4:$N$12,10,0))</f>
        <v>0</v>
      </c>
      <c r="Y42" s="230">
        <f ca="1">IF(CalcE15!$K$13=0,"",VLOOKUP(CalcE15!$B$6,CalcE15!$C$4:$N$12,11,0))</f>
        <v>1</v>
      </c>
      <c r="Z42" s="230">
        <f ca="1">IF(CalcE15!$K$13=0,"",VLOOKUP(CalcE15!$B$6,CalcE15!$C$4:$N$12,12,0))</f>
        <v>1</v>
      </c>
      <c r="AA42" s="232">
        <f ca="1">IF(CalcE15!$K$13=0,"",VLOOKUP(CalcE15!$B$6,CalcE15!$C$4:$N$12,5,0))</f>
        <v>81</v>
      </c>
      <c r="AB42" s="233" t="str">
        <f>Language!$E$96</f>
        <v>-</v>
      </c>
      <c r="AC42" s="234">
        <f ca="1">IF(CalcE15!$K$13=0,"",VLOOKUP(CalcE15!$B$6,CalcE15!$C$4:$N$12,6,0))</f>
        <v>94</v>
      </c>
      <c r="AD42" s="230">
        <f ca="1">IF(CalcE15!$K$13=0,"",IF(VLOOKUP(CalcE15!B6,CalcE15!$C$4:$AR$12,42,0)=Settings!$F$7,"max",VLOOKUP(CalcE15!B6,CalcE15!$C$4:$AR$12,42,0)))</f>
        <v>-13</v>
      </c>
      <c r="AE42" s="235">
        <f ca="1">IF(CalcE15!$K$13=0,"",VLOOKUP(CalcE15!$B$6,CalcE15!$C$4:$N$12,8,0))</f>
        <v>1</v>
      </c>
      <c r="AG42" s="415" t="s">
        <v>287</v>
      </c>
      <c r="AH42" s="508" t="str">
        <f ca="1">IF(PreliminaryRound!$R36="","",PreliminaryRound!$R36)</f>
        <v>FSV Rauen</v>
      </c>
      <c r="AI42" s="466"/>
      <c r="AJ42" s="620">
        <f ca="1">IF($AH42="",0,COUNTIF(TieBreak!$U$25:$U$30,$AH42))</f>
        <v>0</v>
      </c>
    </row>
    <row r="43" spans="6:36" ht="24" customHeight="1" thickTop="1" x14ac:dyDescent="0.2">
      <c r="F43" s="899">
        <v>10</v>
      </c>
      <c r="G43" s="900"/>
      <c r="H43" s="900"/>
      <c r="I43" s="905" t="str">
        <f ca="1">IF(AND(CalcE14!$K$13=0,CalcE14!$F$13&lt;&gt;1),"",$V$33)</f>
        <v>Maibach 1822 eV</v>
      </c>
      <c r="J43" s="905"/>
      <c r="K43" s="906"/>
      <c r="L43" s="504"/>
      <c r="M43" s="504"/>
      <c r="W43" s="413"/>
      <c r="AG43" s="416"/>
      <c r="AH43" s="68">
        <f t="array" aca="1" ref="AH43" ca="1">SUM((AH40:AH42&lt;&gt;"")*1)</f>
        <v>3</v>
      </c>
      <c r="AI43" s="68"/>
      <c r="AJ43" s="329"/>
    </row>
    <row r="44" spans="6:36" ht="24" customHeight="1" x14ac:dyDescent="0.2">
      <c r="F44" s="899">
        <v>11</v>
      </c>
      <c r="G44" s="900"/>
      <c r="H44" s="900"/>
      <c r="I44" s="905" t="str">
        <f ca="1">IF(CalcE14!$K$13=0,"",$V$34)</f>
        <v>Kickers Rodendorf</v>
      </c>
      <c r="J44" s="905"/>
      <c r="K44" s="906"/>
      <c r="L44" s="504"/>
      <c r="M44" s="504"/>
      <c r="W44" s="413"/>
      <c r="AG44" s="418"/>
      <c r="AH44" s="458"/>
      <c r="AI44" s="458"/>
      <c r="AJ44" s="329"/>
    </row>
    <row r="45" spans="6:36" ht="24" customHeight="1" thickBot="1" x14ac:dyDescent="0.45">
      <c r="F45" s="899">
        <v>12</v>
      </c>
      <c r="G45" s="900"/>
      <c r="H45" s="900"/>
      <c r="I45" s="905" t="str">
        <f ca="1">IF(CalcE14!$K$13=0,"",$V$35)</f>
        <v>Mainz 05</v>
      </c>
      <c r="J45" s="905"/>
      <c r="K45" s="906"/>
      <c r="L45" s="504"/>
      <c r="M45" s="504"/>
      <c r="U45" s="898" t="str">
        <f>Language!$E$16&amp;" E6"</f>
        <v>Group E6</v>
      </c>
      <c r="V45" s="898"/>
      <c r="W45" s="201"/>
      <c r="X45" s="201"/>
      <c r="Y45" s="201"/>
      <c r="Z45" s="201"/>
      <c r="AA45" s="201"/>
      <c r="AB45" s="201"/>
      <c r="AC45" s="201"/>
      <c r="AD45" s="201"/>
      <c r="AE45" s="201"/>
      <c r="AG45" s="897" t="str">
        <f>Language!$E$16&amp;" E6"&amp;Language!$E$70</f>
        <v>Group E6  (Sixth-placed)</v>
      </c>
      <c r="AH45" s="897"/>
      <c r="AI45" s="723"/>
      <c r="AJ45" s="724"/>
    </row>
    <row r="46" spans="6:36" ht="24" customHeight="1" thickTop="1" thickBot="1" x14ac:dyDescent="0.25">
      <c r="F46" s="899">
        <v>13</v>
      </c>
      <c r="G46" s="900"/>
      <c r="H46" s="900"/>
      <c r="I46" s="905" t="str">
        <f ca="1">IF(AND(CalcE15!$K$13=0,CalcE15!$F$13&lt;&gt;1),"",$V$40)</f>
        <v>Manchester City</v>
      </c>
      <c r="J46" s="905"/>
      <c r="K46" s="906"/>
      <c r="L46" s="504"/>
      <c r="M46" s="504"/>
      <c r="U46" s="845"/>
      <c r="V46" s="846"/>
      <c r="W46" s="203" t="str">
        <f>Language!$E$21</f>
        <v>Pld</v>
      </c>
      <c r="X46" s="204" t="str">
        <f>Language!$E$22</f>
        <v>W</v>
      </c>
      <c r="Y46" s="204" t="str">
        <f>Language!$E$23</f>
        <v>D</v>
      </c>
      <c r="Z46" s="419" t="str">
        <f>Language!$E$24</f>
        <v>L</v>
      </c>
      <c r="AA46" s="847" t="str">
        <f>Language!$E$80</f>
        <v>balls</v>
      </c>
      <c r="AB46" s="848"/>
      <c r="AC46" s="849"/>
      <c r="AD46" s="204" t="str">
        <f>IF(Settings!$G$7,Language!$E$26,Language!$E$86)</f>
        <v>Diff.</v>
      </c>
      <c r="AE46" s="206" t="str">
        <f>Language!$E$27</f>
        <v>Pts</v>
      </c>
      <c r="AG46" s="456"/>
      <c r="AH46" s="505" t="str">
        <f>Language!$E$10</f>
        <v>Participant or team</v>
      </c>
      <c r="AI46" s="458"/>
      <c r="AJ46" s="725"/>
    </row>
    <row r="47" spans="6:36" ht="24" customHeight="1" x14ac:dyDescent="0.2">
      <c r="F47" s="899">
        <v>14</v>
      </c>
      <c r="G47" s="900"/>
      <c r="H47" s="900"/>
      <c r="I47" s="905" t="str">
        <f ca="1">IF(CalcE15!$K$13=0,"",$V$41)</f>
        <v>FSV Rauen</v>
      </c>
      <c r="J47" s="905"/>
      <c r="K47" s="906"/>
      <c r="L47" s="504"/>
      <c r="M47" s="504"/>
      <c r="U47" s="383" t="str">
        <f ca="1">IF(CalcE16!$K$13=0,"",1)</f>
        <v/>
      </c>
      <c r="V47" s="440" t="str">
        <f ca="1">IF(Calc1!$F$14&lt;3,"",IF(AND(CalcE16!$K$13=0,AH50&lt;&gt;1),CalcE16!$Q$64,VLOOKUP(CalcE16!$B$4,CalcE16!$C$4:$N$12,4,0)))</f>
        <v/>
      </c>
      <c r="W47" s="443" t="str">
        <f ca="1">IF(CalcE16!$K$13=0,"",VLOOKUP(CalcE16!$B$4,CalcE16!$C$4:$N$12,9,0))</f>
        <v/>
      </c>
      <c r="X47" s="210" t="str">
        <f ca="1">IF(CalcE16!$K$13=0,"",VLOOKUP(CalcE16!$B$4,CalcE16!$C$4:$N$12,10,0))</f>
        <v/>
      </c>
      <c r="Y47" s="210" t="str">
        <f ca="1">IF(CalcE16!$K$13=0,"",VLOOKUP(CalcE16!$B$4,CalcE16!$C$4:$N$12,11,0))</f>
        <v/>
      </c>
      <c r="Z47" s="210" t="str">
        <f ca="1">IF(CalcE16!$K$13=0,"",VLOOKUP(CalcE16!$B$4,CalcE16!$C$4:$N$12,12,0))</f>
        <v/>
      </c>
      <c r="AA47" s="212" t="str">
        <f ca="1">IF(CalcE16!$K$13=0,"",VLOOKUP(CalcE16!$B$4,CalcE16!$C$4:$N$12,5,0))</f>
        <v/>
      </c>
      <c r="AB47" s="213" t="str">
        <f>Language!$E$96</f>
        <v>-</v>
      </c>
      <c r="AC47" s="214" t="str">
        <f ca="1">IF(CalcE16!$K$13=0,"",VLOOKUP(CalcE16!$B$4,CalcE16!$C$4:$N$12,6,0))</f>
        <v/>
      </c>
      <c r="AD47" s="210" t="str">
        <f ca="1">IF(CalcE16!$K$13=0,"",IF(VLOOKUP(CalcE16!B4,CalcE16!$C$4:$AR$12,42,0)=Settings!$F$7,"max",VLOOKUP(CalcE16!B4,CalcE16!$C$4:$AR$12,42,0)))</f>
        <v/>
      </c>
      <c r="AE47" s="215" t="str">
        <f ca="1">IF(CalcE16!$K$13=0,"",VLOOKUP(CalcE16!$B$4,CalcE16!$C$4:$N$12,8,0))</f>
        <v/>
      </c>
      <c r="AG47" s="695" t="s">
        <v>288</v>
      </c>
      <c r="AH47" s="506" t="str">
        <f ca="1">IF(PreliminaryRound!$R17="","",PreliminaryRound!$R17)</f>
        <v/>
      </c>
      <c r="AI47" s="466"/>
      <c r="AJ47" s="618">
        <f ca="1">IF($AH47="",0,COUNTIF(TieBreak!$U$25:$U$30,$AH47))</f>
        <v>0</v>
      </c>
    </row>
    <row r="48" spans="6:36" ht="24" customHeight="1" x14ac:dyDescent="0.2">
      <c r="F48" s="899">
        <v>15</v>
      </c>
      <c r="G48" s="900"/>
      <c r="H48" s="900"/>
      <c r="I48" s="905" t="str">
        <f ca="1">IF(CalcE15!$K$13=0,"",$V$42)</f>
        <v>1. FC Riedwald</v>
      </c>
      <c r="J48" s="905"/>
      <c r="K48" s="906"/>
      <c r="L48" s="504"/>
      <c r="M48" s="504"/>
      <c r="U48" s="385" t="str">
        <f ca="1">IF(CalcE16!$K$13=0,"",IF(VLOOKUP(CalcE16!$B$5,CalcE16!$C$4:$E$12,3,0)=MAX($U47:$U47),VLOOKUP(CalcE16!$B$5,CalcE16!$C$4:$E$12,3,0),CalcE16!$B$5))</f>
        <v/>
      </c>
      <c r="V48" s="441" t="str">
        <f ca="1">IF(OR(Calc1!$F$14&lt;3,AH50=1),"",IF(CalcE16!$K$13=0,CalcE16!$Q$65,VLOOKUP(CalcE16!$B$5,CalcE16!$C$4:$N$12,4,0)))</f>
        <v/>
      </c>
      <c r="W48" s="225" t="str">
        <f ca="1">IF(CalcE16!$K$13=0,"",VLOOKUP(CalcE16!$B$5,CalcE16!$C$4:$N$12,9,0))</f>
        <v/>
      </c>
      <c r="X48" s="200" t="str">
        <f ca="1">IF(CalcE16!$K$13=0,"",VLOOKUP(CalcE16!$B$5,CalcE16!$C$4:$N$12,10,0))</f>
        <v/>
      </c>
      <c r="Y48" s="200" t="str">
        <f ca="1">IF(CalcE16!$K$13=0,"",VLOOKUP(CalcE16!$B$5,CalcE16!$C$4:$N$12,11,0))</f>
        <v/>
      </c>
      <c r="Z48" s="200" t="str">
        <f ca="1">IF(CalcE16!$K$13=0,"",VLOOKUP(CalcE16!$B$5,CalcE16!$C$4:$N$12,12,0))</f>
        <v/>
      </c>
      <c r="AA48" s="221" t="str">
        <f ca="1">IF(CalcE16!$K$13=0,"",VLOOKUP(CalcE16!$B$5,CalcE16!$C$4:$N$12,5,0))</f>
        <v/>
      </c>
      <c r="AB48" s="222" t="str">
        <f>Language!$E$96</f>
        <v>-</v>
      </c>
      <c r="AC48" s="223" t="str">
        <f ca="1">IF(CalcE16!$K$13=0,"",VLOOKUP(CalcE16!$B$5,CalcE16!$C$4:$N$12,6,0))</f>
        <v/>
      </c>
      <c r="AD48" s="200" t="str">
        <f ca="1">IF(CalcE16!$K$13=0,"",IF(VLOOKUP(CalcE16!B5,CalcE16!$C$4:$AR$12,42,0)=Settings!$F$7,"max",VLOOKUP(CalcE16!B5,CalcE16!$C$4:$AR$12,42,0)))</f>
        <v/>
      </c>
      <c r="AE48" s="224" t="str">
        <f ca="1">IF(CalcE16!$K$13=0,"",VLOOKUP(CalcE16!$B$5,CalcE16!$C$4:$N$12,8,0))</f>
        <v/>
      </c>
      <c r="AG48" s="455" t="s">
        <v>289</v>
      </c>
      <c r="AH48" s="507" t="str">
        <f ca="1">IF(PreliminaryRound!$R27="","",PreliminaryRound!$R27)</f>
        <v/>
      </c>
      <c r="AI48" s="466"/>
      <c r="AJ48" s="619">
        <f ca="1">IF($AH48="",0,COUNTIF(TieBreak!$U$25:$U$30,$AH48))</f>
        <v>0</v>
      </c>
    </row>
    <row r="49" spans="6:36" ht="24" customHeight="1" thickBot="1" x14ac:dyDescent="0.25">
      <c r="F49" s="899">
        <v>16</v>
      </c>
      <c r="G49" s="900"/>
      <c r="H49" s="900"/>
      <c r="I49" s="905" t="str">
        <f ca="1">IF(AND(CalcE16!$K$13=0,CalcE16!$F$13&lt;&gt;1),"",$V$47)</f>
        <v/>
      </c>
      <c r="J49" s="905"/>
      <c r="K49" s="906"/>
      <c r="L49" s="504"/>
      <c r="M49" s="504"/>
      <c r="U49" s="387" t="str">
        <f ca="1">IF(CalcE16!$K$13=0,"",IF(VLOOKUP(CalcE16!$B$6,CalcE16!$C$4:$E$12,3,0)=MAX($U47:$U48),VLOOKUP(CalcE16!$B$6,CalcE16!$C$4:$E$12,3,0),CalcE16!$B$6))</f>
        <v/>
      </c>
      <c r="V49" s="442" t="str">
        <f ca="1">IF(OR(Calc1!$F$14&lt;3,AH50=1),"",IF(CalcE16!$K$13=0,CalcE16!$Q$66,VLOOKUP(CalcE16!$B$6,CalcE16!$C$4:$N$12,4,0)))</f>
        <v/>
      </c>
      <c r="W49" s="236" t="str">
        <f ca="1">IF(CalcE16!$K$13=0,"",VLOOKUP(CalcE16!$B$6,CalcE16!$C$4:$N$12,9,0))</f>
        <v/>
      </c>
      <c r="X49" s="230" t="str">
        <f ca="1">IF(CalcE16!$K$13=0,"",VLOOKUP(CalcE16!$B$6,CalcE16!$C$4:$N$12,10,0))</f>
        <v/>
      </c>
      <c r="Y49" s="230" t="str">
        <f ca="1">IF(CalcE16!$K$13=0,"",VLOOKUP(CalcE16!$B$6,CalcE16!$C$4:$N$12,11,0))</f>
        <v/>
      </c>
      <c r="Z49" s="230" t="str">
        <f ca="1">IF(CalcE16!$K$13=0,"",VLOOKUP(CalcE16!$B$6,CalcE16!$C$4:$N$12,12,0))</f>
        <v/>
      </c>
      <c r="AA49" s="232" t="str">
        <f ca="1">IF(CalcE16!$K$13=0,"",VLOOKUP(CalcE16!$B$6,CalcE16!$C$4:$N$12,5,0))</f>
        <v/>
      </c>
      <c r="AB49" s="233" t="str">
        <f>Language!$E$96</f>
        <v>-</v>
      </c>
      <c r="AC49" s="234" t="str">
        <f ca="1">IF(CalcE16!$K$13=0,"",VLOOKUP(CalcE16!$B$6,CalcE16!$C$4:$N$12,6,0))</f>
        <v/>
      </c>
      <c r="AD49" s="230" t="str">
        <f ca="1">IF(CalcE16!$K$13=0,"",IF(VLOOKUP(CalcE16!B6,CalcE16!$C$4:$AR$12,42,0)=Settings!$F$7,"max",VLOOKUP(CalcE16!B6,CalcE16!$C$4:$AR$12,42,0)))</f>
        <v/>
      </c>
      <c r="AE49" s="235" t="str">
        <f ca="1">IF(CalcE16!$K$13=0,"",VLOOKUP(CalcE16!$B$6,CalcE16!$C$4:$N$12,8,0))</f>
        <v/>
      </c>
      <c r="AG49" s="415" t="s">
        <v>290</v>
      </c>
      <c r="AH49" s="508" t="str">
        <f ca="1">IF(PreliminaryRound!$R37="","",PreliminaryRound!$R37)</f>
        <v/>
      </c>
      <c r="AI49" s="466"/>
      <c r="AJ49" s="620">
        <f ca="1">IF($AH49="",0,COUNTIF(TieBreak!$U$25:$U$30,$AH49))</f>
        <v>0</v>
      </c>
    </row>
    <row r="50" spans="6:36" ht="24" customHeight="1" thickTop="1" x14ac:dyDescent="0.2">
      <c r="F50" s="899">
        <v>17</v>
      </c>
      <c r="G50" s="900"/>
      <c r="H50" s="900"/>
      <c r="I50" s="905" t="str">
        <f ca="1">IF(CalcE16!$K$13=0,"",$V$48)</f>
        <v/>
      </c>
      <c r="J50" s="905"/>
      <c r="K50" s="906"/>
      <c r="W50" s="413"/>
      <c r="AH50" s="68">
        <f t="array" aca="1" ref="AH50" ca="1">SUM((AH47:AH49&lt;&gt;"")*1)</f>
        <v>0</v>
      </c>
      <c r="AI50" s="68"/>
    </row>
    <row r="51" spans="6:36" ht="24" customHeight="1" thickBot="1" x14ac:dyDescent="0.25">
      <c r="F51" s="901">
        <v>18</v>
      </c>
      <c r="G51" s="902"/>
      <c r="H51" s="902"/>
      <c r="I51" s="907" t="str">
        <f ca="1">IF(CalcE16!$K$13=0,"",$V$49)</f>
        <v/>
      </c>
      <c r="J51" s="907"/>
      <c r="K51" s="908"/>
      <c r="W51" s="413"/>
    </row>
    <row r="52" spans="6:36" ht="24" customHeight="1" thickTop="1" x14ac:dyDescent="0.2">
      <c r="W52" s="413"/>
    </row>
    <row r="53" spans="6:36" ht="24" customHeight="1" x14ac:dyDescent="0.2">
      <c r="W53" s="413"/>
    </row>
    <row r="54" spans="6:36" ht="24" customHeight="1" x14ac:dyDescent="0.2">
      <c r="W54" s="413"/>
    </row>
    <row r="55" spans="6:36" ht="15.95" hidden="1" customHeight="1" x14ac:dyDescent="0.2">
      <c r="W55" s="413"/>
    </row>
    <row r="56" spans="6:36" ht="15.95" hidden="1" customHeight="1" x14ac:dyDescent="0.2">
      <c r="W56" s="413"/>
    </row>
    <row r="57" spans="6:36" ht="15.95" hidden="1" customHeight="1" x14ac:dyDescent="0.2">
      <c r="W57" s="413"/>
    </row>
    <row r="58" spans="6:36" ht="15.95" hidden="1" customHeight="1" x14ac:dyDescent="0.2">
      <c r="W58" s="413"/>
    </row>
    <row r="59" spans="6:36" ht="15.95" hidden="1" customHeight="1" x14ac:dyDescent="0.2">
      <c r="W59" s="413"/>
    </row>
    <row r="60" spans="6:36" ht="15.95" hidden="1" customHeight="1" x14ac:dyDescent="0.2">
      <c r="W60" s="413"/>
    </row>
    <row r="61" spans="6:36" ht="15.95" hidden="1" customHeight="1" x14ac:dyDescent="0.2">
      <c r="W61" s="413"/>
    </row>
    <row r="62" spans="6:36" ht="15.95" hidden="1" customHeight="1" x14ac:dyDescent="0.2">
      <c r="W62" s="413"/>
    </row>
    <row r="63" spans="6:36" ht="15.95" hidden="1" customHeight="1" x14ac:dyDescent="0.2">
      <c r="W63" s="413"/>
    </row>
    <row r="64" spans="6:36" ht="15.95" hidden="1" customHeight="1" x14ac:dyDescent="0.2">
      <c r="W64" s="413"/>
    </row>
    <row r="65" spans="7:23" ht="15.95" hidden="1" customHeight="1" x14ac:dyDescent="0.2">
      <c r="W65" s="413"/>
    </row>
    <row r="66" spans="7:23" ht="15.95" hidden="1" customHeight="1" x14ac:dyDescent="0.2">
      <c r="W66" s="413"/>
    </row>
    <row r="67" spans="7:23" ht="15.95" hidden="1" customHeight="1" x14ac:dyDescent="0.2">
      <c r="W67" s="413"/>
    </row>
    <row r="68" spans="7:23" ht="15.95" hidden="1" customHeight="1" x14ac:dyDescent="0.2">
      <c r="W68" s="413"/>
    </row>
    <row r="69" spans="7:23" ht="15.95" hidden="1" customHeight="1" x14ac:dyDescent="0.2">
      <c r="W69" s="413"/>
    </row>
    <row r="70" spans="7:23" ht="15.95" hidden="1" customHeight="1" x14ac:dyDescent="0.2">
      <c r="W70" s="413"/>
    </row>
    <row r="71" spans="7:23" ht="15.95" hidden="1" customHeight="1" x14ac:dyDescent="0.2">
      <c r="W71" s="413"/>
    </row>
    <row r="72" spans="7:23" ht="15.95" hidden="1" customHeight="1" x14ac:dyDescent="0.2">
      <c r="W72" s="413"/>
    </row>
    <row r="73" spans="7:23" ht="15.95" hidden="1" customHeight="1" x14ac:dyDescent="0.2">
      <c r="W73" s="413"/>
    </row>
    <row r="74" spans="7:23" ht="15.95" hidden="1" customHeight="1" x14ac:dyDescent="0.2">
      <c r="W74" s="413"/>
    </row>
    <row r="75" spans="7:23" ht="22.5" hidden="1" customHeight="1" x14ac:dyDescent="0.2"/>
    <row r="76" spans="7:23" ht="24" hidden="1" customHeight="1" x14ac:dyDescent="0.2">
      <c r="G76" s="356">
        <v>1</v>
      </c>
    </row>
    <row r="77" spans="7:23" ht="24" hidden="1" customHeight="1" x14ac:dyDescent="0.2">
      <c r="G77" s="356">
        <v>2</v>
      </c>
    </row>
    <row r="78" spans="7:23" ht="24" hidden="1" customHeight="1" x14ac:dyDescent="0.2">
      <c r="G78" s="356">
        <v>3</v>
      </c>
    </row>
    <row r="79" spans="7:23" ht="24" hidden="1" customHeight="1" x14ac:dyDescent="0.2">
      <c r="G79" s="356">
        <v>4</v>
      </c>
    </row>
    <row r="80" spans="7:23" ht="24" hidden="1" customHeight="1" x14ac:dyDescent="0.2">
      <c r="G80" s="356">
        <v>5</v>
      </c>
    </row>
    <row r="81" spans="7:7" ht="24" hidden="1" customHeight="1" x14ac:dyDescent="0.2">
      <c r="G81" s="356">
        <v>6</v>
      </c>
    </row>
    <row r="82" spans="7:7" ht="24" hidden="1" customHeight="1" x14ac:dyDescent="0.2">
      <c r="G82" s="356">
        <v>7</v>
      </c>
    </row>
    <row r="83" spans="7:7" ht="24" hidden="1" customHeight="1" x14ac:dyDescent="0.2">
      <c r="G83" s="356">
        <v>8</v>
      </c>
    </row>
    <row r="84" spans="7:7" ht="24" hidden="1" customHeight="1" x14ac:dyDescent="0.2">
      <c r="G84" s="356">
        <v>9</v>
      </c>
    </row>
    <row r="85" spans="7:7" ht="24" hidden="1" customHeight="1" x14ac:dyDescent="0.2">
      <c r="G85" s="356">
        <v>10</v>
      </c>
    </row>
    <row r="86" spans="7:7" ht="24" hidden="1" customHeight="1" x14ac:dyDescent="0.2">
      <c r="G86" s="356">
        <v>11</v>
      </c>
    </row>
    <row r="87" spans="7:7" ht="24" hidden="1" customHeight="1" x14ac:dyDescent="0.2">
      <c r="G87" s="356">
        <v>12</v>
      </c>
    </row>
    <row r="88" spans="7:7" hidden="1" x14ac:dyDescent="0.2"/>
  </sheetData>
  <sheetProtection sheet="1" selectLockedCells="1"/>
  <mergeCells count="75">
    <mergeCell ref="K7:V8"/>
    <mergeCell ref="G2:AB2"/>
    <mergeCell ref="G3:AB3"/>
    <mergeCell ref="G4:AB4"/>
    <mergeCell ref="G5:AB5"/>
    <mergeCell ref="C10:D10"/>
    <mergeCell ref="AA39:AC39"/>
    <mergeCell ref="U45:V45"/>
    <mergeCell ref="U46:V46"/>
    <mergeCell ref="AA46:AC46"/>
    <mergeCell ref="AA32:AC32"/>
    <mergeCell ref="S10:S11"/>
    <mergeCell ref="F11:H11"/>
    <mergeCell ref="I11:K11"/>
    <mergeCell ref="U18:V18"/>
    <mergeCell ref="AA18:AC18"/>
    <mergeCell ref="U24:V24"/>
    <mergeCell ref="U25:V25"/>
    <mergeCell ref="AA25:AC25"/>
    <mergeCell ref="U11:V11"/>
    <mergeCell ref="L11:N11"/>
    <mergeCell ref="I45:K45"/>
    <mergeCell ref="I46:K46"/>
    <mergeCell ref="I47:K47"/>
    <mergeCell ref="U17:V17"/>
    <mergeCell ref="U31:V31"/>
    <mergeCell ref="U32:V32"/>
    <mergeCell ref="U38:V38"/>
    <mergeCell ref="U39:V39"/>
    <mergeCell ref="F44:H44"/>
    <mergeCell ref="I33:K33"/>
    <mergeCell ref="I34:K34"/>
    <mergeCell ref="I35:K35"/>
    <mergeCell ref="I36:K36"/>
    <mergeCell ref="I37:K37"/>
    <mergeCell ref="I38:K38"/>
    <mergeCell ref="I39:K39"/>
    <mergeCell ref="I40:K40"/>
    <mergeCell ref="I41:K41"/>
    <mergeCell ref="I42:K42"/>
    <mergeCell ref="I43:K43"/>
    <mergeCell ref="I44:K44"/>
    <mergeCell ref="F39:H39"/>
    <mergeCell ref="F40:H40"/>
    <mergeCell ref="F41:H41"/>
    <mergeCell ref="F42:H42"/>
    <mergeCell ref="F43:H43"/>
    <mergeCell ref="F34:H34"/>
    <mergeCell ref="F35:H35"/>
    <mergeCell ref="F36:H36"/>
    <mergeCell ref="F37:H37"/>
    <mergeCell ref="F38:H38"/>
    <mergeCell ref="AG38:AH38"/>
    <mergeCell ref="AG45:AH45"/>
    <mergeCell ref="F50:H50"/>
    <mergeCell ref="F51:H51"/>
    <mergeCell ref="C31:I31"/>
    <mergeCell ref="J31:S31"/>
    <mergeCell ref="F45:H45"/>
    <mergeCell ref="F46:H46"/>
    <mergeCell ref="F47:H47"/>
    <mergeCell ref="F48:H48"/>
    <mergeCell ref="F49:H49"/>
    <mergeCell ref="I48:K48"/>
    <mergeCell ref="I49:K49"/>
    <mergeCell ref="I50:K50"/>
    <mergeCell ref="I51:K51"/>
    <mergeCell ref="F33:H33"/>
    <mergeCell ref="O11:Q11"/>
    <mergeCell ref="AG10:AH10"/>
    <mergeCell ref="AG17:AH17"/>
    <mergeCell ref="AG24:AH24"/>
    <mergeCell ref="AG31:AH31"/>
    <mergeCell ref="U10:Z10"/>
    <mergeCell ref="AA11:AC11"/>
  </mergeCells>
  <conditionalFormatting sqref="C12:Q29">
    <cfRule type="expression" dxfId="24" priority="4">
      <formula>OR($I12="",$K12="")</formula>
    </cfRule>
  </conditionalFormatting>
  <conditionalFormatting sqref="U12:AE14 U47:AE49 U40:AE42 U33:AE35 U26:AE28 U19:AE21">
    <cfRule type="expression" dxfId="23" priority="2">
      <formula>$V12=""</formula>
    </cfRule>
    <cfRule type="expression" dxfId="22" priority="3">
      <formula>OR(AND($U12=$U11,$V11&lt;&gt;""),AND($U12=$U13,$V13&lt;&gt;""))</formula>
    </cfRule>
  </conditionalFormatting>
  <conditionalFormatting sqref="L12:Q29">
    <cfRule type="expression" dxfId="21" priority="1">
      <formula>OR(AND($L12&lt;&gt;"",$L12=$N12),AND($O12&lt;&gt;"",$O12=$Q12))</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J12:AJ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5" id="{B28F59E1-16B8-4AA9-9B9B-6D02F5F87039}">
            <xm:f>$F34&gt;3*Calc1!$F$14</xm:f>
            <x14:dxf>
              <numFmt numFmtId="165" formatCode=";;;"/>
            </x14:dxf>
          </x14:cfRule>
          <xm:sqref>F34:H51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Q33"/>
  <sheetViews>
    <sheetView showGridLines="0" showRowColHeaders="0" workbookViewId="0">
      <selection activeCell="L12" sqref="L12"/>
    </sheetView>
  </sheetViews>
  <sheetFormatPr baseColWidth="10" defaultColWidth="0" defaultRowHeight="12.75" zeroHeight="1" x14ac:dyDescent="0.2"/>
  <cols>
    <col min="1" max="1" width="2.28515625" style="47" customWidth="1"/>
    <col min="2" max="2" width="6" style="47" customWidth="1"/>
    <col min="3" max="3" width="5.28515625" style="47" customWidth="1"/>
    <col min="4" max="4" width="11.42578125" style="47" customWidth="1"/>
    <col min="5" max="5" width="9.140625" style="47" customWidth="1"/>
    <col min="6" max="6" width="5.7109375" style="47" customWidth="1"/>
    <col min="7" max="7" width="2.28515625" style="47" customWidth="1"/>
    <col min="8" max="8" width="5.7109375" style="47" customWidth="1"/>
    <col min="9" max="9" width="28.7109375" style="47" customWidth="1"/>
    <col min="10" max="10" width="2.85546875" style="47" customWidth="1"/>
    <col min="11" max="11" width="28.7109375" style="47" customWidth="1"/>
    <col min="12" max="12" width="4.7109375" style="47" customWidth="1"/>
    <col min="13" max="13" width="2.28515625" style="47" customWidth="1"/>
    <col min="14" max="15" width="4.7109375" style="47" customWidth="1"/>
    <col min="16" max="16" width="2.28515625" style="47" customWidth="1"/>
    <col min="17" max="18" width="4.7109375" style="47" customWidth="1"/>
    <col min="19" max="19" width="2.28515625" style="47" customWidth="1"/>
    <col min="20" max="20" width="4.7109375" style="47" customWidth="1"/>
    <col min="21" max="21" width="15.7109375" style="47" customWidth="1"/>
    <col min="22" max="22" width="8" style="47" customWidth="1"/>
    <col min="23" max="23" width="4" style="47" customWidth="1"/>
    <col min="24" max="24" width="6.7109375" customWidth="1"/>
    <col min="25" max="25" width="36.7109375" customWidth="1"/>
    <col min="26" max="29" width="6.7109375" customWidth="1"/>
    <col min="30" max="30" width="5.7109375" customWidth="1"/>
    <col min="31" max="31" width="2" customWidth="1"/>
    <col min="32" max="32" width="5.7109375" customWidth="1"/>
    <col min="33" max="34" width="6.7109375" customWidth="1"/>
    <col min="35" max="35" width="3.28515625" customWidth="1"/>
    <col min="36" max="36" width="5.140625" hidden="1" customWidth="1"/>
    <col min="37" max="37" width="20.140625" hidden="1" customWidth="1"/>
    <col min="38" max="38" width="18.7109375" hidden="1" customWidth="1"/>
    <col min="39" max="39" width="9" hidden="1" customWidth="1"/>
    <col min="40" max="40" width="9.7109375" hidden="1" customWidth="1"/>
    <col min="41" max="41" width="9.28515625" hidden="1" customWidth="1"/>
    <col min="42" max="42" width="6.28515625" hidden="1" customWidth="1"/>
    <col min="43" max="43" width="5.7109375" hidden="1" customWidth="1"/>
    <col min="44" max="16384" width="11.42578125" hidden="1"/>
  </cols>
  <sheetData>
    <row r="1" spans="1:43" ht="13.5" thickBot="1" x14ac:dyDescent="0.25"/>
    <row r="2" spans="1:43" ht="36.75" thickTop="1" x14ac:dyDescent="0.2">
      <c r="G2" s="936" t="str">
        <f>PreliminaryRound!$G$2</f>
        <v>International tournament U10 on Apr. 17th, 2025</v>
      </c>
      <c r="H2" s="937"/>
      <c r="I2" s="937"/>
      <c r="J2" s="937"/>
      <c r="K2" s="937"/>
      <c r="L2" s="937"/>
      <c r="M2" s="937"/>
      <c r="N2" s="937"/>
      <c r="O2" s="937"/>
      <c r="P2" s="937"/>
      <c r="Q2" s="937"/>
      <c r="R2" s="937"/>
      <c r="S2" s="937"/>
      <c r="T2" s="937"/>
      <c r="U2" s="937"/>
      <c r="V2" s="937"/>
      <c r="W2" s="937"/>
      <c r="X2" s="937"/>
      <c r="Y2" s="937"/>
      <c r="Z2" s="938"/>
    </row>
    <row r="3" spans="1:43" ht="30" customHeight="1" x14ac:dyDescent="0.2">
      <c r="G3" s="939" t="str">
        <f>PreliminaryRound!$G$3</f>
        <v>Organizer:  1. FC Riedwald</v>
      </c>
      <c r="H3" s="940"/>
      <c r="I3" s="940"/>
      <c r="J3" s="940"/>
      <c r="K3" s="940"/>
      <c r="L3" s="940"/>
      <c r="M3" s="940"/>
      <c r="N3" s="940"/>
      <c r="O3" s="940"/>
      <c r="P3" s="940"/>
      <c r="Q3" s="940"/>
      <c r="R3" s="940"/>
      <c r="S3" s="940"/>
      <c r="T3" s="940"/>
      <c r="U3" s="940"/>
      <c r="V3" s="940"/>
      <c r="W3" s="940"/>
      <c r="X3" s="940"/>
      <c r="Y3" s="940"/>
      <c r="Z3" s="941"/>
    </row>
    <row r="4" spans="1:43" ht="30" customHeight="1" x14ac:dyDescent="0.2">
      <c r="G4" s="942" t="str">
        <f>PreliminaryRound!$G$4</f>
        <v>Sports hall Wiesengrund, Wendiger Str. 51, 65432 Riedwald</v>
      </c>
      <c r="H4" s="943"/>
      <c r="I4" s="943"/>
      <c r="J4" s="943"/>
      <c r="K4" s="943"/>
      <c r="L4" s="943"/>
      <c r="M4" s="943"/>
      <c r="N4" s="943"/>
      <c r="O4" s="943"/>
      <c r="P4" s="943"/>
      <c r="Q4" s="943"/>
      <c r="R4" s="943"/>
      <c r="S4" s="943"/>
      <c r="T4" s="943"/>
      <c r="U4" s="943"/>
      <c r="V4" s="943"/>
      <c r="W4" s="943"/>
      <c r="X4" s="943"/>
      <c r="Y4" s="943"/>
      <c r="Z4" s="944"/>
    </row>
    <row r="5" spans="1:43" ht="30" customHeight="1" thickBot="1" x14ac:dyDescent="0.25">
      <c r="G5" s="945" t="str">
        <f>PreliminaryRound!$G$5</f>
        <v>Start:  9:00 a.m.</v>
      </c>
      <c r="H5" s="946"/>
      <c r="I5" s="946"/>
      <c r="J5" s="946"/>
      <c r="K5" s="946"/>
      <c r="L5" s="946"/>
      <c r="M5" s="946"/>
      <c r="N5" s="946"/>
      <c r="O5" s="946"/>
      <c r="P5" s="946"/>
      <c r="Q5" s="946"/>
      <c r="R5" s="946"/>
      <c r="S5" s="946"/>
      <c r="T5" s="946"/>
      <c r="U5" s="946"/>
      <c r="V5" s="946"/>
      <c r="W5" s="946"/>
      <c r="X5" s="946"/>
      <c r="Y5" s="946"/>
      <c r="Z5" s="947"/>
    </row>
    <row r="6" spans="1:43" ht="18" customHeight="1" thickTop="1" thickBot="1" x14ac:dyDescent="0.25"/>
    <row r="7" spans="1:43" ht="30" customHeight="1" thickTop="1" x14ac:dyDescent="0.2">
      <c r="J7" s="948" t="str">
        <f>Language!$E$19</f>
        <v>Final round</v>
      </c>
      <c r="K7" s="949"/>
      <c r="L7" s="949"/>
      <c r="M7" s="949"/>
      <c r="N7" s="949"/>
      <c r="O7" s="949"/>
      <c r="P7" s="949"/>
      <c r="Q7" s="949"/>
      <c r="R7" s="949"/>
      <c r="S7" s="949"/>
      <c r="T7" s="949"/>
      <c r="U7" s="949"/>
      <c r="V7" s="949"/>
      <c r="W7" s="949"/>
      <c r="X7" s="950"/>
    </row>
    <row r="8" spans="1:43" ht="30" customHeight="1" thickBot="1" x14ac:dyDescent="0.25">
      <c r="J8" s="951"/>
      <c r="K8" s="952"/>
      <c r="L8" s="952"/>
      <c r="M8" s="952"/>
      <c r="N8" s="952"/>
      <c r="O8" s="952"/>
      <c r="P8" s="952"/>
      <c r="Q8" s="952"/>
      <c r="R8" s="952"/>
      <c r="S8" s="952"/>
      <c r="T8" s="952"/>
      <c r="U8" s="952"/>
      <c r="V8" s="952"/>
      <c r="W8" s="952"/>
      <c r="X8" s="953"/>
    </row>
    <row r="9" spans="1:43" ht="12.6" customHeight="1" thickTop="1" x14ac:dyDescent="0.2">
      <c r="AB9" s="576"/>
      <c r="AC9" s="576"/>
      <c r="AD9" s="576"/>
      <c r="AE9" s="576"/>
      <c r="AF9" s="576"/>
      <c r="AG9" s="576"/>
      <c r="AH9" s="576"/>
      <c r="AI9" s="552"/>
    </row>
    <row r="10" spans="1:43" ht="27.95" customHeight="1" thickBot="1" x14ac:dyDescent="0.45">
      <c r="C10" s="968" t="str">
        <f>Language!$E$58</f>
        <v>Quarterfinals</v>
      </c>
      <c r="D10" s="968"/>
      <c r="E10" s="968"/>
      <c r="F10" s="968"/>
      <c r="G10" s="968"/>
      <c r="H10" s="968"/>
      <c r="V10" s="815" t="str">
        <f>Language!$E$20</f>
        <v>Addit. Pause (min)</v>
      </c>
      <c r="X10" s="898" t="str">
        <f>Language!$E$57</f>
        <v>Third of group</v>
      </c>
      <c r="Y10" s="898"/>
      <c r="Z10" s="201"/>
      <c r="AA10" s="201"/>
      <c r="AB10" s="577"/>
      <c r="AC10" s="577"/>
      <c r="AD10" s="577"/>
      <c r="AE10" s="577"/>
      <c r="AF10" s="577"/>
      <c r="AG10" s="577"/>
      <c r="AH10" s="577"/>
      <c r="AI10" s="552"/>
    </row>
    <row r="11" spans="1:43" ht="24" customHeight="1" thickTop="1" thickBot="1" x14ac:dyDescent="0.25">
      <c r="B11" s="354"/>
      <c r="C11" s="745" t="str">
        <f>Language!$E$9</f>
        <v>No.</v>
      </c>
      <c r="D11" s="746" t="str">
        <f>Language!$E$39</f>
        <v>Start:</v>
      </c>
      <c r="E11" s="747" t="str">
        <f>Language!$E$48</f>
        <v>Field</v>
      </c>
      <c r="F11" s="969" t="str">
        <f>Language!$E$34</f>
        <v>Pairings</v>
      </c>
      <c r="G11" s="970"/>
      <c r="H11" s="971"/>
      <c r="I11" s="959" t="str">
        <f>Language!$E$14</f>
        <v>Match pairing</v>
      </c>
      <c r="J11" s="955"/>
      <c r="K11" s="956"/>
      <c r="L11" s="954" t="str">
        <f>Language!$E$78</f>
        <v>1st set</v>
      </c>
      <c r="M11" s="955"/>
      <c r="N11" s="956"/>
      <c r="O11" s="954" t="str">
        <f>Language!$E$79</f>
        <v>2nd set</v>
      </c>
      <c r="P11" s="955"/>
      <c r="Q11" s="956"/>
      <c r="R11" s="972" t="str">
        <f>Language!$E$81</f>
        <v>3rd set</v>
      </c>
      <c r="S11" s="973"/>
      <c r="T11" s="974"/>
      <c r="U11" s="773" t="str">
        <f>Language!$E$125</f>
        <v>Referee</v>
      </c>
      <c r="V11" s="816"/>
      <c r="X11" s="531"/>
      <c r="Y11" s="505" t="str">
        <f>Language!$E$10</f>
        <v>Participant or team</v>
      </c>
      <c r="Z11" s="450" t="str">
        <f>Language!$E$21</f>
        <v>Pld</v>
      </c>
      <c r="AA11" s="515" t="str">
        <f>Language!$E$22</f>
        <v>W</v>
      </c>
      <c r="AB11" s="515" t="str">
        <f>Language!$E$23</f>
        <v>D</v>
      </c>
      <c r="AC11" s="515" t="str">
        <f>Language!$E$24</f>
        <v>L</v>
      </c>
      <c r="AD11" s="975" t="str">
        <f>Language!$E$80</f>
        <v>balls</v>
      </c>
      <c r="AE11" s="975"/>
      <c r="AF11" s="975"/>
      <c r="AG11" s="515" t="str">
        <f>IF(Settings!$G$7,Language!$E$26,Language!$E$86)</f>
        <v>Diff.</v>
      </c>
      <c r="AH11" s="451" t="str">
        <f>Language!$E$27</f>
        <v>Pts</v>
      </c>
      <c r="AI11" s="553"/>
      <c r="AK11" s="769" t="s">
        <v>436</v>
      </c>
      <c r="AL11" s="769" t="s">
        <v>437</v>
      </c>
      <c r="AM11" s="770" t="s">
        <v>438</v>
      </c>
      <c r="AN11" s="770" t="s">
        <v>439</v>
      </c>
      <c r="AO11" s="770" t="s">
        <v>440</v>
      </c>
      <c r="AP11" s="967" t="s">
        <v>396</v>
      </c>
      <c r="AQ11" s="967"/>
    </row>
    <row r="12" spans="1:43" ht="24" customHeight="1" x14ac:dyDescent="0.2">
      <c r="A12" s="340"/>
      <c r="B12" s="526" t="str">
        <f>Language!$E$77&amp;1</f>
        <v>SF 1</v>
      </c>
      <c r="C12" s="391">
        <f t="array" aca="1" ref="C12" ca="1">46-SUM(((Planning!$L$6:$L$50="")+(Planning!$N$6:$N$50="")&gt;0)*1)</f>
        <v>31</v>
      </c>
      <c r="D12" s="394">
        <f ca="1">IF(Planning!$V$15,"",Planning!$S$13+(Planning!$S$9+Planning!$Q$50)/1440)</f>
        <v>0.61805555555555558</v>
      </c>
      <c r="E12" s="376">
        <f>IF(Planning!$V$15,"",1)</f>
        <v>1</v>
      </c>
      <c r="F12" s="424" t="s">
        <v>273</v>
      </c>
      <c r="G12" s="425" t="s">
        <v>4</v>
      </c>
      <c r="H12" s="426" t="s">
        <v>317</v>
      </c>
      <c r="I12" s="377" t="str">
        <f ca="1">VLOOKUP($F12,$X$12:$Y$26,2,0)</f>
        <v>FC Barcelona</v>
      </c>
      <c r="J12" s="154" t="s">
        <v>4</v>
      </c>
      <c r="K12" s="378" t="str">
        <f ca="1">VLOOKUP($H12,$X$12:$Y$26,2,0)</f>
        <v>Real Madrid</v>
      </c>
      <c r="L12" s="379">
        <v>20</v>
      </c>
      <c r="M12" s="380" t="str">
        <f>Language!$E$96</f>
        <v>-</v>
      </c>
      <c r="N12" s="751">
        <v>25</v>
      </c>
      <c r="O12" s="379">
        <v>25</v>
      </c>
      <c r="P12" s="380" t="str">
        <f>Language!$E$96</f>
        <v>-</v>
      </c>
      <c r="Q12" s="751">
        <v>21</v>
      </c>
      <c r="R12" s="379">
        <v>15</v>
      </c>
      <c r="S12" s="381" t="str">
        <f>Language!$E$96</f>
        <v>-</v>
      </c>
      <c r="T12" s="382">
        <v>11</v>
      </c>
      <c r="U12" s="777"/>
      <c r="V12" s="741"/>
      <c r="W12" s="340"/>
      <c r="X12" s="494" t="s">
        <v>316</v>
      </c>
      <c r="Y12" s="509" t="str">
        <f ca="1">IF(Calc1!$F$14&lt;3,"",IF(CalcGR3!$K$13=0,CalcGR3!$Q$64,VLOOKUP(CalcGR3!$B$4,CalcGR3!$C$4:$N$12,4,0)))</f>
        <v>VFB Essenheim</v>
      </c>
      <c r="Z12" s="510">
        <f ca="1">IF(CalcGR3!$K$13=0,"",VLOOKUP(CalcGR3!$B$4,CalcGR3!$C$4:$N$12,9,0))</f>
        <v>4</v>
      </c>
      <c r="AA12" s="511">
        <f ca="1">IF(CalcGR3!$K$13=0,"",VLOOKUP(CalcGR3!$B$4,CalcGR3!$C$4:$N$12,10,0))</f>
        <v>1</v>
      </c>
      <c r="AB12" s="511">
        <f ca="1">IF(CalcGR3!$K$13=0,"",VLOOKUP(CalcGR3!$B$4,CalcGR3!$C$4:$N$12,11,0))</f>
        <v>2</v>
      </c>
      <c r="AC12" s="511">
        <f ca="1">IF(CalcGR3!$K$13=0,"",VLOOKUP(CalcGR3!$B$4,CalcGR3!$C$4:$N$12,12,0))</f>
        <v>1</v>
      </c>
      <c r="AD12" s="512">
        <f ca="1">IF(CalcGR3!$K$13=0,"",VLOOKUP(CalcGR3!$B$4,CalcGR3!$C$4:$N$12,5,0))</f>
        <v>180</v>
      </c>
      <c r="AE12" s="513" t="str">
        <f>Language!$E$96</f>
        <v>-</v>
      </c>
      <c r="AF12" s="514">
        <f ca="1">IF(CalcGR3!$K$13=0,"",VLOOKUP(CalcGR3!$B$4,CalcGR3!$C$4:$N$12,6,0))</f>
        <v>181</v>
      </c>
      <c r="AG12" s="511">
        <f ca="1">IF(CalcGR3!$K$13=0,"",IF(VLOOKUP(CalcGR3!B4,CalcGR3!$C$4:$AR$12,42,0)=Settings!$F$7,"max",VLOOKUP(CalcGR3!B4,CalcGR3!$C$4:$AR$12,42,0)))</f>
        <v>-1</v>
      </c>
      <c r="AH12" s="469">
        <f ca="1">IF(CalcGR3!$K$13=0,"",VLOOKUP(CalcGR3!$B$4,CalcGR3!$C$4:$N$12,8,0))</f>
        <v>4</v>
      </c>
      <c r="AI12" s="554"/>
      <c r="AK12" s="340" t="str">
        <f ca="1">IF(AP12&gt;AQ12,$I12,IF(AP12&lt;AQ12,$K12,""))</f>
        <v>FC Barcelona</v>
      </c>
      <c r="AL12" s="340" t="str">
        <f ca="1">IF(AP12&lt;AQ12,$I12,IF(AP12&gt;AQ12,$K12,""))</f>
        <v>Real Madrid</v>
      </c>
      <c r="AM12" s="340" t="b">
        <f>AND($L12&lt;&gt;"",$N12&lt;&gt;"",$O12&lt;&gt;"",$Q12&lt;&gt;"",$L12&lt;&gt;$N12,$O12&lt;&gt;$Q12,($L12&gt;$N12)+($O12&gt;$Q12)=1)</f>
        <v>1</v>
      </c>
      <c r="AN12" s="771" t="b">
        <f ca="1">AND($L12&lt;&gt;"",$N12&lt;&gt;"",$L12&lt;&gt;$N12,OR(AND($O12="",$Q12=""),AND($O12&lt;&gt;"",$Q12&lt;&gt;"",$O12&lt;&gt;$Q12)),$I12&lt;&gt;"",$K12&lt;&gt;"",$I12&lt;&gt;$K12)</f>
        <v>1</v>
      </c>
      <c r="AO12" s="340" t="b">
        <f>AND(AM12,$R12&lt;&gt;"",$T12&lt;&gt;"",$R12&lt;&gt;$T12)</f>
        <v>1</v>
      </c>
      <c r="AP12" s="771">
        <f ca="1">(($L12&gt;$N12)+($O12&gt;$Q12)+($R12&gt;$T12)*AO12)*AN12</f>
        <v>2</v>
      </c>
      <c r="AQ12" s="771">
        <f ca="1">(($L12&lt;$N12)+($O12&lt;$Q12)+($R12&lt;$T12)*AO12)*AN12</f>
        <v>1</v>
      </c>
    </row>
    <row r="13" spans="1:43" ht="24" customHeight="1" x14ac:dyDescent="0.2">
      <c r="A13" s="340"/>
      <c r="B13" s="527" t="str">
        <f>Language!$E$77&amp;2</f>
        <v>SF 2</v>
      </c>
      <c r="C13" s="392">
        <f t="array" aca="1" ref="C13" ca="1">ROW(47:47)-SUM(((Planning!$L$6:$L$50="")+(Planning!$N$6:$N$50="")&gt;0)*1)-SUM((($I$12:$I12="")+($K$12:$K12="")&gt;0)*1)</f>
        <v>32</v>
      </c>
      <c r="D13" s="395">
        <f t="array" aca="1" ref="D13" ca="1">IF(Planning!$V$15,"",$D$12+QUOTIENT(($C13-$C$12),Planning!$V$11)*(Planning!$S$7+Planning!$S$9)/1440+SUM($V$12:$V12)/1440)</f>
        <v>0.61805555555555558</v>
      </c>
      <c r="E13" s="748">
        <f ca="1">IF(Planning!$V$15,"",MOD($C13-$C$12,Planning!$V$11)+1)</f>
        <v>2</v>
      </c>
      <c r="F13" s="427" t="s">
        <v>274</v>
      </c>
      <c r="G13" s="428" t="s">
        <v>4</v>
      </c>
      <c r="H13" s="429" t="s">
        <v>316</v>
      </c>
      <c r="I13" s="749" t="str">
        <f t="shared" ref="I13:I15" ca="1" si="0">VLOOKUP($F13,$X$12:$Y$26,2,0)</f>
        <v>Inter Mailand</v>
      </c>
      <c r="J13" s="155" t="s">
        <v>4</v>
      </c>
      <c r="K13" s="750" t="str">
        <f t="shared" ref="K13:K15" ca="1" si="1">VLOOKUP($H13,$X$12:$Y$26,2,0)</f>
        <v>VFB Essenheim</v>
      </c>
      <c r="L13" s="348">
        <v>25</v>
      </c>
      <c r="M13" s="436" t="str">
        <f>Language!$E$96</f>
        <v>-</v>
      </c>
      <c r="N13" s="752">
        <v>19</v>
      </c>
      <c r="O13" s="348">
        <v>25</v>
      </c>
      <c r="P13" s="436" t="str">
        <f>Language!$E$96</f>
        <v>-</v>
      </c>
      <c r="Q13" s="752">
        <v>22</v>
      </c>
      <c r="R13" s="348"/>
      <c r="S13" s="341" t="str">
        <f>Language!$E$96</f>
        <v>-</v>
      </c>
      <c r="T13" s="342"/>
      <c r="U13" s="778"/>
      <c r="V13" s="742"/>
      <c r="W13" s="340"/>
      <c r="X13" s="455" t="s">
        <v>317</v>
      </c>
      <c r="Y13" s="471" t="str">
        <f ca="1">IF(Calc1!$F$14&lt;3,"",IF(CalcGR3!$K$13=0,CalcGR3!$Q$65,VLOOKUP(CalcGR3!$B$5,CalcGR3!$C$4:$N$12,4,0)))</f>
        <v>Real Madrid</v>
      </c>
      <c r="Z13" s="225">
        <f ca="1">IF(CalcGR3!$K$13=0,"",VLOOKUP(CalcGR3!$B$5,CalcGR3!$C$4:$N$12,9,0))</f>
        <v>4</v>
      </c>
      <c r="AA13" s="200">
        <f ca="1">IF(CalcGR3!$K$13=0,"",VLOOKUP(CalcGR3!$B$5,CalcGR3!$C$4:$N$12,10,0))</f>
        <v>0</v>
      </c>
      <c r="AB13" s="200">
        <f ca="1">IF(CalcGR3!$K$13=0,"",VLOOKUP(CalcGR3!$B$5,CalcGR3!$C$4:$N$12,11,0))</f>
        <v>3</v>
      </c>
      <c r="AC13" s="200">
        <f ca="1">IF(CalcGR3!$K$13=0,"",VLOOKUP(CalcGR3!$B$5,CalcGR3!$C$4:$N$12,12,0))</f>
        <v>1</v>
      </c>
      <c r="AD13" s="221">
        <f ca="1">IF(CalcGR3!$K$13=0,"",VLOOKUP(CalcGR3!$B$5,CalcGR3!$C$4:$N$12,5,0))</f>
        <v>165</v>
      </c>
      <c r="AE13" s="222" t="str">
        <f>Language!$E$96</f>
        <v>-</v>
      </c>
      <c r="AF13" s="223">
        <f ca="1">IF(CalcGR3!$K$13=0,"",VLOOKUP(CalcGR3!$B$5,CalcGR3!$C$4:$N$12,6,0))</f>
        <v>171</v>
      </c>
      <c r="AG13" s="200">
        <f ca="1">IF(CalcGR3!$K$13=0,"",IF(VLOOKUP(CalcGR3!B5,CalcGR3!$C$4:$AR$12,42,0)=Settings!$F$7,"max",VLOOKUP(CalcGR3!B5,CalcGR3!$C$4:$AR$12,42,0)))</f>
        <v>-6</v>
      </c>
      <c r="AH13" s="469">
        <f ca="1">IF(CalcGR3!$K$13=0,"",VLOOKUP(CalcGR3!$B$5,CalcGR3!$C$4:$N$12,8,0))</f>
        <v>3</v>
      </c>
      <c r="AI13" s="554"/>
      <c r="AK13" s="340" t="str">
        <f t="shared" ref="AK13:AK15" ca="1" si="2">IF(AP13&gt;AQ13,$I13,IF(AP13&lt;AQ13,$K13,""))</f>
        <v>Inter Mailand</v>
      </c>
      <c r="AL13" s="340" t="str">
        <f t="shared" ref="AL13:AL15" ca="1" si="3">IF(AP13&lt;AQ13,$I13,IF(AP13&gt;AQ13,$K13,""))</f>
        <v>VFB Essenheim</v>
      </c>
      <c r="AM13" s="340" t="b">
        <f t="shared" ref="AM13:AM15" si="4">AND($L13&lt;&gt;"",$N13&lt;&gt;"",$O13&lt;&gt;"",$Q13&lt;&gt;"",$L13&lt;&gt;$N13,$O13&lt;&gt;$Q13,($L13&gt;$N13)+($O13&gt;$Q13)=1)</f>
        <v>0</v>
      </c>
      <c r="AN13" s="771" t="b">
        <f t="shared" ref="AN13:AN15" ca="1" si="5">AND($L13&lt;&gt;"",$N13&lt;&gt;"",$L13&lt;&gt;$N13,OR(AND($O13="",$Q13=""),AND($O13&lt;&gt;"",$Q13&lt;&gt;"",$O13&lt;&gt;$Q13)),$I13&lt;&gt;"",$K13&lt;&gt;"",$I13&lt;&gt;$K13)</f>
        <v>1</v>
      </c>
      <c r="AO13" s="340" t="b">
        <f t="shared" ref="AO13:AO15" si="6">AND(AM13,$R13&lt;&gt;"",$T13&lt;&gt;"",$R13&lt;&gt;$T13)</f>
        <v>0</v>
      </c>
      <c r="AP13" s="771">
        <f t="shared" ref="AP13:AP15" ca="1" si="7">(($L13&gt;$N13)+($O13&gt;$Q13)+($R13&gt;$T13)*AO13)*AN13</f>
        <v>2</v>
      </c>
      <c r="AQ13" s="771">
        <f t="shared" ref="AQ13:AQ15" ca="1" si="8">(($L13&lt;$N13)+($O13&lt;$Q13)+($R13&lt;$T13)*AO13)*AN13</f>
        <v>0</v>
      </c>
    </row>
    <row r="14" spans="1:43" ht="24" customHeight="1" thickBot="1" x14ac:dyDescent="0.25">
      <c r="A14" s="340"/>
      <c r="B14" s="527" t="str">
        <f>Language!$E$77&amp;3</f>
        <v>SF 3</v>
      </c>
      <c r="C14" s="392">
        <f t="array" aca="1" ref="C14" ca="1">ROW(48:48)-SUM(((Planning!$L$6:$L$50="")+(Planning!$N$6:$N$50="")&gt;0)*1)-SUM((($I$12:$I13="")+($K$12:$K13="")&gt;0)*1)</f>
        <v>33</v>
      </c>
      <c r="D14" s="395">
        <f t="array" aca="1" ref="D14" ca="1">IF(Planning!$V$15,"",$D$12+QUOTIENT(($C14-$C$12),Planning!$V$11)*(Planning!$S$7+Planning!$S$9)/1440+SUM($V$12:$V13)/1440)</f>
        <v>0.61805555555555558</v>
      </c>
      <c r="E14" s="748">
        <f ca="1">IF(Planning!$V$15,"",MOD($C14-$C$12,Planning!$V$11)+1)</f>
        <v>3</v>
      </c>
      <c r="F14" s="427" t="s">
        <v>275</v>
      </c>
      <c r="G14" s="428" t="s">
        <v>4</v>
      </c>
      <c r="H14" s="429" t="s">
        <v>276</v>
      </c>
      <c r="I14" s="749" t="str">
        <f t="shared" ca="1" si="0"/>
        <v>Borussia Dortmund</v>
      </c>
      <c r="J14" s="155" t="s">
        <v>4</v>
      </c>
      <c r="K14" s="750" t="str">
        <f t="shared" ca="1" si="1"/>
        <v>Eintracht Frankfurt</v>
      </c>
      <c r="L14" s="348">
        <v>25</v>
      </c>
      <c r="M14" s="436" t="str">
        <f>Language!$E$96</f>
        <v>-</v>
      </c>
      <c r="N14" s="752">
        <v>20</v>
      </c>
      <c r="O14" s="348">
        <v>25</v>
      </c>
      <c r="P14" s="436" t="str">
        <f>Language!$E$96</f>
        <v>-</v>
      </c>
      <c r="Q14" s="752">
        <v>16</v>
      </c>
      <c r="R14" s="348"/>
      <c r="S14" s="341" t="str">
        <f>Language!$E$96</f>
        <v>-</v>
      </c>
      <c r="T14" s="342"/>
      <c r="U14" s="778"/>
      <c r="V14" s="742"/>
      <c r="W14" s="340"/>
      <c r="X14" s="415" t="s">
        <v>318</v>
      </c>
      <c r="Y14" s="472" t="str">
        <f ca="1">IF(Calc1!$F$14&lt;3,"",IF(CalcGR3!$K$13=0,CalcGR3!$Q$66,VLOOKUP(CalcGR3!$B$6,CalcGR3!$C$4:$N$12,4,0)))</f>
        <v>FC Grönlingen</v>
      </c>
      <c r="Z14" s="236">
        <f ca="1">IF(CalcGR3!$K$13=0,"",VLOOKUP(CalcGR3!$B$6,CalcGR3!$C$4:$N$12,9,0))</f>
        <v>4</v>
      </c>
      <c r="AA14" s="230">
        <f ca="1">IF(CalcGR3!$K$13=0,"",VLOOKUP(CalcGR3!$B$6,CalcGR3!$C$4:$N$12,10,0))</f>
        <v>0</v>
      </c>
      <c r="AB14" s="230">
        <f ca="1">IF(CalcGR3!$K$13=0,"",VLOOKUP(CalcGR3!$B$6,CalcGR3!$C$4:$N$12,11,0))</f>
        <v>3</v>
      </c>
      <c r="AC14" s="230">
        <f ca="1">IF(CalcGR3!$K$13=0,"",VLOOKUP(CalcGR3!$B$6,CalcGR3!$C$4:$N$12,12,0))</f>
        <v>1</v>
      </c>
      <c r="AD14" s="232">
        <f ca="1">IF(CalcGR3!$K$13=0,"",VLOOKUP(CalcGR3!$B$6,CalcGR3!$C$4:$N$12,5,0))</f>
        <v>174</v>
      </c>
      <c r="AE14" s="233" t="str">
        <f>Language!$E$96</f>
        <v>-</v>
      </c>
      <c r="AF14" s="234">
        <f ca="1">IF(CalcGR3!$K$13=0,"",VLOOKUP(CalcGR3!$B$6,CalcGR3!$C$4:$N$12,6,0))</f>
        <v>181</v>
      </c>
      <c r="AG14" s="230">
        <f ca="1">IF(CalcGR3!$K$13=0,"",IF(VLOOKUP(CalcGR3!B6,CalcGR3!$C$4:$AR$12,42,0)=Settings!$F$7,"max",VLOOKUP(CalcGR3!B6,CalcGR3!$C$4:$AR$12,42,0)))</f>
        <v>-7</v>
      </c>
      <c r="AH14" s="470">
        <f ca="1">IF(CalcGR3!$K$13=0,"",VLOOKUP(CalcGR3!$B$6,CalcGR3!$C$4:$N$12,8,0))</f>
        <v>3</v>
      </c>
      <c r="AI14" s="554"/>
      <c r="AK14" s="340" t="str">
        <f t="shared" ca="1" si="2"/>
        <v>Borussia Dortmund</v>
      </c>
      <c r="AL14" s="340" t="str">
        <f t="shared" ca="1" si="3"/>
        <v>Eintracht Frankfurt</v>
      </c>
      <c r="AM14" s="340" t="b">
        <f t="shared" si="4"/>
        <v>0</v>
      </c>
      <c r="AN14" s="771" t="b">
        <f t="shared" ca="1" si="5"/>
        <v>1</v>
      </c>
      <c r="AO14" s="340" t="b">
        <f t="shared" si="6"/>
        <v>0</v>
      </c>
      <c r="AP14" s="771">
        <f t="shared" ca="1" si="7"/>
        <v>2</v>
      </c>
      <c r="AQ14" s="771">
        <f t="shared" ca="1" si="8"/>
        <v>0</v>
      </c>
    </row>
    <row r="15" spans="1:43" ht="24" customHeight="1" thickTop="1" thickBot="1" x14ac:dyDescent="0.25">
      <c r="A15" s="340"/>
      <c r="B15" s="528" t="str">
        <f>Language!$E$77&amp;4</f>
        <v>SF 4</v>
      </c>
      <c r="C15" s="393">
        <f t="array" aca="1" ref="C15" ca="1">ROW(49:49)-SUM(((Planning!$L$6:$L$50="")+(Planning!$N$6:$N$50="")&gt;0)*1)-SUM((($I$12:$I14="")+($K$12:$K14="")&gt;0)*1)</f>
        <v>34</v>
      </c>
      <c r="D15" s="396">
        <f t="array" aca="1" ref="D15" ca="1">IF(Planning!$V$15,"",$D$12+QUOTIENT(($C15-$C$12),Planning!$V$11)*(Planning!$S$7+Planning!$S$9)/1440+SUM($V$12:$V14)/1440)</f>
        <v>0.64236111111111116</v>
      </c>
      <c r="E15" s="373">
        <f ca="1">IF(Planning!$V$15,"",MOD($C15-$C$12,Planning!$V$11)+1)</f>
        <v>1</v>
      </c>
      <c r="F15" s="430" t="s">
        <v>277</v>
      </c>
      <c r="G15" s="728" t="s">
        <v>4</v>
      </c>
      <c r="H15" s="432" t="s">
        <v>278</v>
      </c>
      <c r="I15" s="345" t="str">
        <f t="shared" ca="1" si="0"/>
        <v>SSV Wildbach</v>
      </c>
      <c r="J15" s="156" t="s">
        <v>4</v>
      </c>
      <c r="K15" s="346" t="str">
        <f t="shared" ca="1" si="1"/>
        <v>1. FC Nürnberg</v>
      </c>
      <c r="L15" s="349">
        <v>25</v>
      </c>
      <c r="M15" s="374" t="str">
        <f>Language!$E$96</f>
        <v>-</v>
      </c>
      <c r="N15" s="753">
        <v>21</v>
      </c>
      <c r="O15" s="349">
        <v>25</v>
      </c>
      <c r="P15" s="374" t="str">
        <f>Language!$E$96</f>
        <v>-</v>
      </c>
      <c r="Q15" s="753">
        <v>19</v>
      </c>
      <c r="R15" s="349"/>
      <c r="S15" s="343" t="str">
        <f>Language!$E$96</f>
        <v>-</v>
      </c>
      <c r="T15" s="344"/>
      <c r="U15" s="375"/>
      <c r="V15" s="743"/>
      <c r="W15" s="340"/>
      <c r="AK15" s="340" t="str">
        <f t="shared" ca="1" si="2"/>
        <v>SSV Wildbach</v>
      </c>
      <c r="AL15" s="340" t="str">
        <f t="shared" ca="1" si="3"/>
        <v>1. FC Nürnberg</v>
      </c>
      <c r="AM15" s="340" t="b">
        <f t="shared" si="4"/>
        <v>0</v>
      </c>
      <c r="AN15" s="771" t="b">
        <f t="shared" ca="1" si="5"/>
        <v>1</v>
      </c>
      <c r="AO15" s="340" t="b">
        <f t="shared" si="6"/>
        <v>0</v>
      </c>
      <c r="AP15" s="771">
        <f t="shared" ca="1" si="7"/>
        <v>2</v>
      </c>
      <c r="AQ15" s="771">
        <f t="shared" ca="1" si="8"/>
        <v>0</v>
      </c>
    </row>
    <row r="16" spans="1:43" ht="27.95" customHeight="1" thickTop="1" thickBot="1" x14ac:dyDescent="0.45">
      <c r="A16" s="340"/>
      <c r="B16" s="390"/>
      <c r="C16" s="966" t="str">
        <f>Language!$E$53</f>
        <v>Semi-finals</v>
      </c>
      <c r="D16" s="966"/>
      <c r="E16" s="966"/>
      <c r="F16" s="966"/>
      <c r="G16" s="966"/>
      <c r="H16" s="966"/>
      <c r="I16" s="401" t="s">
        <v>250</v>
      </c>
      <c r="J16" s="122"/>
      <c r="K16" s="401" t="s">
        <v>250</v>
      </c>
      <c r="L16" s="362"/>
      <c r="M16" s="362"/>
      <c r="N16" s="362"/>
      <c r="O16" s="362"/>
      <c r="P16" s="362"/>
      <c r="Q16" s="362"/>
      <c r="R16" s="362"/>
      <c r="S16" s="362"/>
      <c r="T16" s="362"/>
      <c r="U16" s="793"/>
      <c r="V16" s="364"/>
      <c r="W16" s="340"/>
      <c r="X16" s="898" t="str">
        <f>Language!$E$60</f>
        <v>Runners-up</v>
      </c>
      <c r="Y16" s="898"/>
      <c r="AB16" s="755"/>
      <c r="AC16" s="549"/>
      <c r="AD16" s="549"/>
      <c r="AE16" s="549"/>
      <c r="AF16" s="549"/>
      <c r="AG16" s="549"/>
      <c r="AH16" s="550"/>
    </row>
    <row r="17" spans="1:43" ht="24" customHeight="1" thickTop="1" x14ac:dyDescent="0.2">
      <c r="A17" s="340"/>
      <c r="B17" s="389"/>
      <c r="C17" s="397">
        <f t="array" aca="1" ref="C17" ca="1">ROW(50:50)-SUM(((Planning!$L$6:$L$50="")+(Planning!$N$6:$N$50="")&gt;0)*1)-SUM((($I$12:$I16="")+($K$12:$K16="")&gt;0)*1)</f>
        <v>35</v>
      </c>
      <c r="D17" s="398">
        <f ca="1">IF(Planning!$V$15,"",$D$15+($V$15+Planning!$S$9+Planning!$S$7)/1440)</f>
        <v>0.66666666666666674</v>
      </c>
      <c r="E17" s="365">
        <f>IF(Planning!$V$15,"",1)</f>
        <v>1</v>
      </c>
      <c r="F17" s="516" t="str">
        <f>B12</f>
        <v>SF 1</v>
      </c>
      <c r="G17" s="517" t="s">
        <v>4</v>
      </c>
      <c r="H17" s="518" t="str">
        <f>B14</f>
        <v>SF 3</v>
      </c>
      <c r="I17" s="366" t="str">
        <f ca="1">INDEX($AK$12:$AK$15,RIGHT($F17,1))</f>
        <v>FC Barcelona</v>
      </c>
      <c r="J17" s="367" t="s">
        <v>4</v>
      </c>
      <c r="K17" s="368" t="str">
        <f ca="1">INDEX($AK$12:$AK$15,RIGHT($H17,1))</f>
        <v>Borussia Dortmund</v>
      </c>
      <c r="L17" s="369">
        <v>25</v>
      </c>
      <c r="M17" s="370" t="str">
        <f>Language!$E$96</f>
        <v>-</v>
      </c>
      <c r="N17" s="754">
        <v>17</v>
      </c>
      <c r="O17" s="369">
        <v>14</v>
      </c>
      <c r="P17" s="370" t="str">
        <f>Language!$E$96</f>
        <v>-</v>
      </c>
      <c r="Q17" s="754">
        <v>25</v>
      </c>
      <c r="R17" s="369">
        <v>17</v>
      </c>
      <c r="S17" s="371" t="str">
        <f>Language!$E$96</f>
        <v>-</v>
      </c>
      <c r="T17" s="372">
        <v>25</v>
      </c>
      <c r="U17" s="352"/>
      <c r="V17" s="741"/>
      <c r="W17" s="340"/>
      <c r="X17" s="456"/>
      <c r="Y17" s="505" t="str">
        <f>Language!$E$10</f>
        <v>Participant or team</v>
      </c>
      <c r="AB17" s="756"/>
      <c r="AC17" s="548"/>
      <c r="AD17" s="548"/>
      <c r="AE17" s="548"/>
      <c r="AF17" s="548"/>
      <c r="AG17" s="548"/>
      <c r="AH17" s="551"/>
      <c r="AK17" s="340" t="str">
        <f t="shared" ref="AK17:AK18" ca="1" si="9">IF(AP17&gt;AQ17,$I17,IF(AP17&lt;AQ17,$K17,""))</f>
        <v>Borussia Dortmund</v>
      </c>
      <c r="AL17" s="340" t="str">
        <f t="shared" ref="AL17:AL18" ca="1" si="10">IF(AP17&lt;AQ17,$I17,IF(AP17&gt;AQ17,$K17,""))</f>
        <v>FC Barcelona</v>
      </c>
      <c r="AM17" s="340" t="b">
        <f t="shared" ref="AM17:AM18" si="11">AND($L17&lt;&gt;"",$N17&lt;&gt;"",$O17&lt;&gt;"",$Q17&lt;&gt;"",$L17&lt;&gt;$N17,$O17&lt;&gt;$Q17,($L17&gt;$N17)+($O17&gt;$Q17)=1)</f>
        <v>1</v>
      </c>
      <c r="AN17" s="771" t="b">
        <f t="shared" ref="AN17:AN18" ca="1" si="12">AND($L17&lt;&gt;"",$N17&lt;&gt;"",$L17&lt;&gt;$N17,OR(AND($O17="",$Q17=""),AND($O17&lt;&gt;"",$Q17&lt;&gt;"",$O17&lt;&gt;$Q17)),$I17&lt;&gt;"",$K17&lt;&gt;"",$I17&lt;&gt;$K17)</f>
        <v>1</v>
      </c>
      <c r="AO17" s="340" t="b">
        <f t="shared" ref="AO17:AO18" si="13">AND(AM17,$R17&lt;&gt;"",$T17&lt;&gt;"",$R17&lt;&gt;$T17)</f>
        <v>1</v>
      </c>
      <c r="AP17" s="771">
        <f t="shared" ref="AP17:AP18" ca="1" si="14">(($L17&gt;$N17)+($O17&gt;$Q17)+($R17&gt;$T17)*AO17)*AN17</f>
        <v>1</v>
      </c>
      <c r="AQ17" s="771">
        <f t="shared" ref="AQ17:AQ18" ca="1" si="15">(($L17&lt;$N17)+($O17&lt;$Q17)+($R17&lt;$T17)*AO17)*AN17</f>
        <v>2</v>
      </c>
    </row>
    <row r="18" spans="1:43" ht="24" customHeight="1" thickBot="1" x14ac:dyDescent="0.25">
      <c r="A18" s="340"/>
      <c r="B18" s="389"/>
      <c r="C18" s="393">
        <f ca="1">$C$17+1</f>
        <v>36</v>
      </c>
      <c r="D18" s="396">
        <f ca="1">IF(Planning!$V$15,"",$D$17+($V$17+(Planning!$S$9+Planning!$S$7)*($E$17=$E$18))/1440)</f>
        <v>0.66666666666666674</v>
      </c>
      <c r="E18" s="373">
        <f>IF(Planning!$V$15,"",1+(Planning!$S$11&gt;1)*1)</f>
        <v>2</v>
      </c>
      <c r="F18" s="430" t="str">
        <f>B13</f>
        <v>SF 2</v>
      </c>
      <c r="G18" s="431" t="s">
        <v>4</v>
      </c>
      <c r="H18" s="432" t="str">
        <f>B15</f>
        <v>SF 4</v>
      </c>
      <c r="I18" s="345" t="str">
        <f ca="1">INDEX($AK$12:$AK$15,RIGHT($F18,1))</f>
        <v>Inter Mailand</v>
      </c>
      <c r="J18" s="156" t="s">
        <v>4</v>
      </c>
      <c r="K18" s="346" t="str">
        <f ca="1">INDEX($AK$12:$AK$15,RIGHT($H18,1))</f>
        <v>SSV Wildbach</v>
      </c>
      <c r="L18" s="349">
        <v>25</v>
      </c>
      <c r="M18" s="374" t="str">
        <f>Language!$E$96</f>
        <v>-</v>
      </c>
      <c r="N18" s="753">
        <v>4</v>
      </c>
      <c r="O18" s="349">
        <v>25</v>
      </c>
      <c r="P18" s="374" t="str">
        <f>Language!$E$96</f>
        <v>-</v>
      </c>
      <c r="Q18" s="753">
        <v>3</v>
      </c>
      <c r="R18" s="349"/>
      <c r="S18" s="343" t="str">
        <f>Language!$E$96</f>
        <v>-</v>
      </c>
      <c r="T18" s="344"/>
      <c r="U18" s="375"/>
      <c r="V18" s="743"/>
      <c r="W18" s="340"/>
      <c r="X18" s="494" t="s">
        <v>276</v>
      </c>
      <c r="Y18" s="506" t="str">
        <f ca="1">IF(PreliminaryRound!$R$13="","",PreliminaryRound!$R$13)</f>
        <v>Eintracht Frankfurt</v>
      </c>
      <c r="AB18" s="756"/>
      <c r="AC18" s="548"/>
      <c r="AD18" s="548"/>
      <c r="AE18" s="548"/>
      <c r="AF18" s="548"/>
      <c r="AG18" s="548"/>
      <c r="AH18" s="551"/>
      <c r="AK18" s="340" t="str">
        <f t="shared" ca="1" si="9"/>
        <v>Inter Mailand</v>
      </c>
      <c r="AL18" s="340" t="str">
        <f t="shared" ca="1" si="10"/>
        <v>SSV Wildbach</v>
      </c>
      <c r="AM18" s="340" t="b">
        <f t="shared" si="11"/>
        <v>0</v>
      </c>
      <c r="AN18" s="771" t="b">
        <f t="shared" ca="1" si="12"/>
        <v>1</v>
      </c>
      <c r="AO18" s="340" t="b">
        <f t="shared" si="13"/>
        <v>0</v>
      </c>
      <c r="AP18" s="771">
        <f t="shared" ca="1" si="14"/>
        <v>2</v>
      </c>
      <c r="AQ18" s="771">
        <f t="shared" ca="1" si="15"/>
        <v>0</v>
      </c>
    </row>
    <row r="19" spans="1:43" ht="27.95" customHeight="1" thickTop="1" thickBot="1" x14ac:dyDescent="0.35">
      <c r="A19" s="340"/>
      <c r="B19" s="390"/>
      <c r="C19" s="966" t="str">
        <f>Language!$E$54</f>
        <v>Finals</v>
      </c>
      <c r="D19" s="966"/>
      <c r="E19" s="966"/>
      <c r="F19" s="966"/>
      <c r="G19" s="966"/>
      <c r="H19" s="966"/>
      <c r="I19" s="503"/>
      <c r="J19" s="122"/>
      <c r="K19" s="503"/>
      <c r="L19" s="362"/>
      <c r="M19" s="362"/>
      <c r="N19" s="362"/>
      <c r="O19" s="362"/>
      <c r="P19" s="362"/>
      <c r="Q19" s="362"/>
      <c r="R19" s="362"/>
      <c r="S19" s="362"/>
      <c r="T19" s="362"/>
      <c r="U19" s="793"/>
      <c r="V19" s="364"/>
      <c r="W19" s="340"/>
      <c r="X19" s="455" t="s">
        <v>277</v>
      </c>
      <c r="Y19" s="507" t="str">
        <f ca="1">IF(PreliminaryRound!$R$23="","",PreliminaryRound!$R$23)</f>
        <v>SSV Wildbach</v>
      </c>
      <c r="AB19" s="756"/>
      <c r="AC19" s="548"/>
      <c r="AD19" s="548"/>
      <c r="AE19" s="548"/>
      <c r="AF19" s="548"/>
      <c r="AG19" s="548"/>
      <c r="AH19" s="551"/>
    </row>
    <row r="20" spans="1:43" ht="24" customHeight="1" thickTop="1" thickBot="1" x14ac:dyDescent="0.25">
      <c r="A20" s="340"/>
      <c r="B20" s="389"/>
      <c r="C20" s="397">
        <f ca="1">$C$17+2</f>
        <v>37</v>
      </c>
      <c r="D20" s="398">
        <f ca="1">IF(Planning!$V$15,"",$D$18+($V$18+Planning!$S$9+Planning!$S$7)/1440)</f>
        <v>0.69097222222222232</v>
      </c>
      <c r="E20" s="365">
        <f>IF(Planning!$V$15,"",1)</f>
        <v>1</v>
      </c>
      <c r="F20" s="960" t="str">
        <f>Language!$E$105</f>
        <v>3rd place</v>
      </c>
      <c r="G20" s="961"/>
      <c r="H20" s="962"/>
      <c r="I20" s="366" t="str">
        <f ca="1">AL17</f>
        <v>FC Barcelona</v>
      </c>
      <c r="J20" s="367" t="s">
        <v>4</v>
      </c>
      <c r="K20" s="368" t="str">
        <f ca="1">AL18</f>
        <v>SSV Wildbach</v>
      </c>
      <c r="L20" s="369">
        <v>25</v>
      </c>
      <c r="M20" s="370" t="str">
        <f>Language!$E$96</f>
        <v>-</v>
      </c>
      <c r="N20" s="754">
        <v>21</v>
      </c>
      <c r="O20" s="369">
        <v>25</v>
      </c>
      <c r="P20" s="370" t="str">
        <f>Language!$E$96</f>
        <v>-</v>
      </c>
      <c r="Q20" s="754">
        <v>18</v>
      </c>
      <c r="R20" s="369"/>
      <c r="S20" s="371" t="str">
        <f>Language!$E$96</f>
        <v>-</v>
      </c>
      <c r="T20" s="372"/>
      <c r="U20" s="352"/>
      <c r="V20" s="741"/>
      <c r="W20" s="340"/>
      <c r="X20" s="415" t="s">
        <v>278</v>
      </c>
      <c r="Y20" s="508" t="str">
        <f ca="1">IF(PreliminaryRound!$R$33="","",PreliminaryRound!$R$33)</f>
        <v>1. FC Nürnberg</v>
      </c>
      <c r="AB20" s="756"/>
      <c r="AC20" s="548"/>
      <c r="AD20" s="548"/>
      <c r="AE20" s="548"/>
      <c r="AF20" s="548"/>
      <c r="AG20" s="548"/>
      <c r="AH20" s="551"/>
      <c r="AK20" s="340" t="str">
        <f t="shared" ref="AK20:AK21" ca="1" si="16">IF(AP20&gt;AQ20,$I20,IF(AP20&lt;AQ20,$K20,""))</f>
        <v>FC Barcelona</v>
      </c>
      <c r="AL20" s="340" t="str">
        <f t="shared" ref="AL20:AL21" ca="1" si="17">IF(AP20&lt;AQ20,$I20,IF(AP20&gt;AQ20,$K20,""))</f>
        <v>SSV Wildbach</v>
      </c>
      <c r="AM20" s="340" t="b">
        <f t="shared" ref="AM20:AM21" si="18">AND($L20&lt;&gt;"",$N20&lt;&gt;"",$O20&lt;&gt;"",$Q20&lt;&gt;"",$L20&lt;&gt;$N20,$O20&lt;&gt;$Q20,($L20&gt;$N20)+($O20&gt;$Q20)=1)</f>
        <v>0</v>
      </c>
      <c r="AN20" s="771" t="b">
        <f t="shared" ref="AN20:AN21" ca="1" si="19">AND($L20&lt;&gt;"",$N20&lt;&gt;"",$L20&lt;&gt;$N20,OR(AND($O20="",$Q20=""),AND($O20&lt;&gt;"",$Q20&lt;&gt;"",$O20&lt;&gt;$Q20)),$I20&lt;&gt;"",$K20&lt;&gt;"",$I20&lt;&gt;$K20)</f>
        <v>1</v>
      </c>
      <c r="AO20" s="340" t="b">
        <f t="shared" ref="AO20:AO21" si="20">AND(AM20,$R20&lt;&gt;"",$T20&lt;&gt;"",$R20&lt;&gt;$T20)</f>
        <v>0</v>
      </c>
      <c r="AP20" s="771">
        <f t="shared" ref="AP20:AP21" ca="1" si="21">(($L20&gt;$N20)+($O20&gt;$Q20)+($R20&gt;$T20)*AO20)*AN20</f>
        <v>2</v>
      </c>
      <c r="AQ20" s="771">
        <f t="shared" ref="AQ20:AQ21" ca="1" si="22">(($L20&lt;$N20)+($O20&lt;$Q20)+($R20&lt;$T20)*AO20)*AN20</f>
        <v>0</v>
      </c>
    </row>
    <row r="21" spans="1:43" ht="24" customHeight="1" thickTop="1" thickBot="1" x14ac:dyDescent="0.25">
      <c r="A21" s="340"/>
      <c r="B21" s="389"/>
      <c r="C21" s="393">
        <f ca="1">$C$17+3</f>
        <v>38</v>
      </c>
      <c r="D21" s="396">
        <f ca="1">IF(Planning!$V$15,"",$D$20+($V$20+Planning!$S$9+Planning!$S$7)/1440)</f>
        <v>0.7152777777777779</v>
      </c>
      <c r="E21" s="373">
        <f>IF(Planning!$V$15,"",1)</f>
        <v>1</v>
      </c>
      <c r="F21" s="963" t="str">
        <f>Language!$E$106</f>
        <v>Final</v>
      </c>
      <c r="G21" s="964"/>
      <c r="H21" s="965"/>
      <c r="I21" s="345" t="str">
        <f ca="1">AK17</f>
        <v>Borussia Dortmund</v>
      </c>
      <c r="J21" s="156" t="s">
        <v>4</v>
      </c>
      <c r="K21" s="346" t="str">
        <f ca="1">AK18</f>
        <v>Inter Mailand</v>
      </c>
      <c r="L21" s="349">
        <v>20</v>
      </c>
      <c r="M21" s="374" t="str">
        <f>Language!$E$96</f>
        <v>-</v>
      </c>
      <c r="N21" s="753">
        <v>25</v>
      </c>
      <c r="O21" s="349">
        <v>23</v>
      </c>
      <c r="P21" s="374" t="str">
        <f>Language!$E$96</f>
        <v>-</v>
      </c>
      <c r="Q21" s="753">
        <v>25</v>
      </c>
      <c r="R21" s="349"/>
      <c r="S21" s="343" t="str">
        <f>Language!$E$96</f>
        <v>-</v>
      </c>
      <c r="T21" s="344"/>
      <c r="U21" s="375"/>
      <c r="V21" s="791"/>
      <c r="W21" s="340"/>
      <c r="AK21" s="340" t="str">
        <f t="shared" ca="1" si="16"/>
        <v>Inter Mailand</v>
      </c>
      <c r="AL21" s="340" t="str">
        <f t="shared" ca="1" si="17"/>
        <v>Borussia Dortmund</v>
      </c>
      <c r="AM21" s="340" t="b">
        <f t="shared" si="18"/>
        <v>0</v>
      </c>
      <c r="AN21" s="771" t="b">
        <f t="shared" ca="1" si="19"/>
        <v>1</v>
      </c>
      <c r="AO21" s="340" t="b">
        <f t="shared" si="20"/>
        <v>0</v>
      </c>
      <c r="AP21" s="771">
        <f t="shared" ca="1" si="21"/>
        <v>0</v>
      </c>
      <c r="AQ21" s="771">
        <f t="shared" ca="1" si="22"/>
        <v>2</v>
      </c>
    </row>
    <row r="22" spans="1:43" ht="24" customHeight="1" thickTop="1" thickBot="1" x14ac:dyDescent="0.45">
      <c r="X22" s="898" t="str">
        <f>Language!$E$59</f>
        <v>Group winners</v>
      </c>
      <c r="Y22" s="898"/>
    </row>
    <row r="23" spans="1:43" ht="24" customHeight="1" thickTop="1" x14ac:dyDescent="0.2">
      <c r="C23" s="357"/>
      <c r="D23" s="357"/>
      <c r="E23" s="357"/>
      <c r="F23" s="357"/>
      <c r="G23" s="357"/>
      <c r="H23" s="357"/>
      <c r="I23" s="358" t="str">
        <f>Language!$E$29</f>
        <v>End of Tournament:</v>
      </c>
      <c r="J23" s="357"/>
      <c r="K23" s="359">
        <f ca="1">IF(Planning!$S$13="","",$D$21+Planning!$S$7/1440)</f>
        <v>0.73611111111111127</v>
      </c>
      <c r="L23" s="360"/>
      <c r="M23" s="360"/>
      <c r="N23" s="360"/>
      <c r="O23" s="360"/>
      <c r="P23" s="360"/>
      <c r="Q23" s="360"/>
      <c r="R23" s="360"/>
      <c r="S23" s="360"/>
      <c r="T23" s="360"/>
      <c r="U23" s="360"/>
      <c r="V23" s="360"/>
      <c r="X23" s="456"/>
      <c r="Y23" s="505" t="str">
        <f>Language!$E$10</f>
        <v>Participant or team</v>
      </c>
    </row>
    <row r="24" spans="1:43" ht="24" customHeight="1" thickBot="1" x14ac:dyDescent="0.25">
      <c r="D24" s="355"/>
      <c r="X24" s="494" t="s">
        <v>273</v>
      </c>
      <c r="Y24" s="506" t="str">
        <f ca="1">IF(PreliminaryRound!$R$12="","",PreliminaryRound!$R$12)</f>
        <v>FC Barcelona</v>
      </c>
    </row>
    <row r="25" spans="1:43" ht="24" customHeight="1" thickBot="1" x14ac:dyDescent="0.25">
      <c r="F25" s="909" t="str">
        <f>Language!$E$104</f>
        <v>Rank</v>
      </c>
      <c r="G25" s="910"/>
      <c r="H25" s="910"/>
      <c r="I25" s="957" t="str">
        <f>"  "&amp;Language!$E$10</f>
        <v xml:space="preserve">  Participant or team</v>
      </c>
      <c r="J25" s="957"/>
      <c r="K25" s="958"/>
      <c r="X25" s="455" t="s">
        <v>274</v>
      </c>
      <c r="Y25" s="507" t="str">
        <f ca="1">IF(PreliminaryRound!$R$22="","",PreliminaryRound!$R$22)</f>
        <v>Inter Mailand</v>
      </c>
    </row>
    <row r="26" spans="1:43" ht="24" customHeight="1" thickTop="1" thickBot="1" x14ac:dyDescent="0.25">
      <c r="E26" s="356">
        <v>1</v>
      </c>
      <c r="F26" s="911">
        <v>1</v>
      </c>
      <c r="G26" s="912"/>
      <c r="H26" s="912"/>
      <c r="I26" s="919" t="str">
        <f ca="1">AK21</f>
        <v>Inter Mailand</v>
      </c>
      <c r="J26" s="919"/>
      <c r="K26" s="920"/>
      <c r="X26" s="415" t="s">
        <v>275</v>
      </c>
      <c r="Y26" s="508" t="str">
        <f ca="1">IF(PreliminaryRound!$R$32="","",PreliminaryRound!$R$32)</f>
        <v>Borussia Dortmund</v>
      </c>
    </row>
    <row r="27" spans="1:43" ht="24" customHeight="1" thickTop="1" x14ac:dyDescent="0.2">
      <c r="E27" s="356">
        <v>2</v>
      </c>
      <c r="F27" s="913">
        <v>2</v>
      </c>
      <c r="G27" s="914"/>
      <c r="H27" s="914"/>
      <c r="I27" s="921" t="str">
        <f ca="1">AL21</f>
        <v>Borussia Dortmund</v>
      </c>
      <c r="J27" s="921"/>
      <c r="K27" s="922"/>
    </row>
    <row r="28" spans="1:43" ht="24" customHeight="1" x14ac:dyDescent="0.2">
      <c r="E28" s="356">
        <v>3</v>
      </c>
      <c r="F28" s="915">
        <v>3</v>
      </c>
      <c r="G28" s="916"/>
      <c r="H28" s="916"/>
      <c r="I28" s="923" t="str">
        <f ca="1">AK20</f>
        <v>FC Barcelona</v>
      </c>
      <c r="J28" s="923"/>
      <c r="K28" s="924"/>
    </row>
    <row r="29" spans="1:43" ht="24" customHeight="1" thickBot="1" x14ac:dyDescent="0.25">
      <c r="E29" s="356">
        <v>4</v>
      </c>
      <c r="F29" s="901">
        <v>4</v>
      </c>
      <c r="G29" s="902"/>
      <c r="H29" s="902"/>
      <c r="I29" s="907" t="str">
        <f ca="1">AL20</f>
        <v>SSV Wildbach</v>
      </c>
      <c r="J29" s="907"/>
      <c r="K29" s="908"/>
    </row>
    <row r="30" spans="1:43" ht="13.5" thickTop="1" x14ac:dyDescent="0.2"/>
    <row r="31" spans="1:43" ht="24" customHeight="1" x14ac:dyDescent="0.2"/>
    <row r="32" spans="1:43" x14ac:dyDescent="0.2"/>
    <row r="33" x14ac:dyDescent="0.2"/>
  </sheetData>
  <sheetProtection sheet="1" selectLockedCells="1"/>
  <mergeCells count="31">
    <mergeCell ref="AP11:AQ11"/>
    <mergeCell ref="C10:H10"/>
    <mergeCell ref="C16:H16"/>
    <mergeCell ref="V10:V11"/>
    <mergeCell ref="F11:H11"/>
    <mergeCell ref="R11:T11"/>
    <mergeCell ref="AD11:AF11"/>
    <mergeCell ref="X16:Y16"/>
    <mergeCell ref="I27:K27"/>
    <mergeCell ref="I11:K11"/>
    <mergeCell ref="L11:N11"/>
    <mergeCell ref="F20:H20"/>
    <mergeCell ref="F21:H21"/>
    <mergeCell ref="C19:H19"/>
    <mergeCell ref="I26:K26"/>
    <mergeCell ref="F28:H28"/>
    <mergeCell ref="F29:H29"/>
    <mergeCell ref="G2:Z2"/>
    <mergeCell ref="G3:Z3"/>
    <mergeCell ref="G4:Z4"/>
    <mergeCell ref="G5:Z5"/>
    <mergeCell ref="J7:X8"/>
    <mergeCell ref="F25:H25"/>
    <mergeCell ref="F26:H26"/>
    <mergeCell ref="F27:H27"/>
    <mergeCell ref="X10:Y10"/>
    <mergeCell ref="I29:K29"/>
    <mergeCell ref="O11:Q11"/>
    <mergeCell ref="I28:K28"/>
    <mergeCell ref="X22:Y22"/>
    <mergeCell ref="I25:K25"/>
  </mergeCells>
  <conditionalFormatting sqref="C12:T15">
    <cfRule type="expression" dxfId="19" priority="4">
      <formula>OR($I12="",$K12="")</formula>
    </cfRule>
  </conditionalFormatting>
  <conditionalFormatting sqref="L12:Q15 L17:Q18 L20:Q21">
    <cfRule type="expression" dxfId="18" priority="3">
      <formula>OR(AND($L12&lt;&gt;"",$L12=$N12),AND($O12&lt;&gt;"",$O12=$Q12))</formula>
    </cfRule>
  </conditionalFormatting>
  <conditionalFormatting sqref="R12:T15 R17:T18 R20:T21">
    <cfRule type="expression" dxfId="17" priority="1">
      <formula>AND($R12&lt;&gt;"",$T12&lt;&gt;"",$R12=$T12,$AD12)</formula>
    </cfRule>
    <cfRule type="expression" dxfId="16" priority="2">
      <formula>NOT($AM12)</formula>
    </cfRule>
  </conditionalFormatting>
  <pageMargins left="0.7" right="0.7" top="0.78740157499999996" bottom="0.78740157499999996"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7" customWidth="1"/>
    <col min="2" max="2" width="4.5703125" style="47" customWidth="1"/>
    <col min="3" max="3" width="32.7109375" style="47" customWidth="1"/>
    <col min="4" max="6" width="11.7109375" style="47" customWidth="1"/>
    <col min="7" max="12" width="6.85546875" style="47" customWidth="1"/>
    <col min="13" max="13" width="32.7109375" style="47" customWidth="1"/>
    <col min="14" max="14" width="4.5703125" style="47" customWidth="1"/>
    <col min="15" max="16384" width="11.42578125" style="47" hidden="1"/>
  </cols>
  <sheetData>
    <row r="1" spans="2:13" x14ac:dyDescent="0.2"/>
    <row r="2" spans="2:13" ht="33.75" x14ac:dyDescent="0.2">
      <c r="B2" s="976" t="str">
        <f>Language!$E$7</f>
        <v>Direct comparisons</v>
      </c>
      <c r="C2" s="976"/>
      <c r="D2" s="976"/>
      <c r="E2" s="976"/>
      <c r="F2" s="976"/>
      <c r="G2" s="976"/>
      <c r="H2" s="976"/>
      <c r="I2" s="976"/>
      <c r="J2" s="976"/>
      <c r="K2" s="976"/>
      <c r="L2" s="976"/>
    </row>
    <row r="3" spans="2:13" ht="42.75" customHeight="1" x14ac:dyDescent="0.2">
      <c r="B3" s="977" t="str">
        <f>Language!$E$56&amp;" A"</f>
        <v>Preliminary round group A</v>
      </c>
      <c r="C3" s="977"/>
      <c r="D3" s="977"/>
      <c r="E3" s="977"/>
      <c r="F3" s="977"/>
      <c r="G3" s="977"/>
      <c r="H3" s="977"/>
      <c r="I3" s="977"/>
      <c r="J3" s="977"/>
      <c r="K3" s="977"/>
      <c r="L3" s="977"/>
    </row>
    <row r="4" spans="2:13" ht="17.25" customHeight="1" x14ac:dyDescent="0.2">
      <c r="B4" s="978" t="str">
        <f>Language!$E$94</f>
        <v>Red font means that the ranking is not clear even with the direct comparison. A playoff match or drawing of lots must decide here.</v>
      </c>
      <c r="C4" s="978"/>
      <c r="D4" s="978"/>
      <c r="E4" s="978"/>
      <c r="F4" s="978"/>
      <c r="G4" s="978"/>
      <c r="H4" s="978"/>
      <c r="I4" s="978"/>
      <c r="J4" s="978"/>
      <c r="K4" s="978"/>
      <c r="L4" s="978"/>
      <c r="M4" s="978"/>
    </row>
    <row r="5" spans="2:13" ht="17.25" customHeight="1" thickBot="1" x14ac:dyDescent="0.25">
      <c r="B5" s="120"/>
      <c r="C5" s="120"/>
      <c r="D5" s="120"/>
      <c r="E5" s="120"/>
      <c r="F5" s="120"/>
      <c r="G5" s="121"/>
      <c r="H5" s="121"/>
      <c r="I5" s="121"/>
      <c r="J5" s="121"/>
      <c r="K5" s="121"/>
      <c r="L5" s="121"/>
    </row>
    <row r="6" spans="2:13" ht="21.95" customHeight="1" thickBot="1" x14ac:dyDescent="0.25">
      <c r="G6" s="150" t="str">
        <f ca="1">IF(LEN(G7)&gt;Settings!$C$11,LEFT(G7,Settings!$C$11)&amp;".",G7)</f>
        <v/>
      </c>
      <c r="H6" s="151" t="str">
        <f ca="1">IF(LEN(H7)&gt;Settings!$C$11,LEFT(H7,Settings!$C$11)&amp;".",H7)</f>
        <v/>
      </c>
      <c r="I6" s="151" t="str">
        <f ca="1">IF(LEN(I7)&gt;Settings!$C$11,LEFT(I7,Settings!$C$11)&amp;".",I7)</f>
        <v/>
      </c>
      <c r="J6" s="151" t="str">
        <f ca="1">IF(LEN(J7)&gt;Settings!$C$11,LEFT(J7,Settings!$C$11)&amp;".",J7)</f>
        <v/>
      </c>
      <c r="K6" s="151" t="str">
        <f ca="1">IF(LEN(K7)&gt;Settings!$C$11,LEFT(K7,Settings!$C$11)&amp;".",K7)</f>
        <v/>
      </c>
      <c r="L6" s="152" t="str">
        <f ca="1">IF(LEN(L7)&gt;Settings!$C$11,LEFT(L7,Settings!$C$11)&amp;".",L7)</f>
        <v/>
      </c>
    </row>
    <row r="7" spans="2:13" ht="21.95" customHeight="1" thickTop="1" thickBot="1" x14ac:dyDescent="0.25">
      <c r="B7" s="118"/>
      <c r="C7" s="124" t="str">
        <f>Language!$E$10</f>
        <v>Participant or team</v>
      </c>
      <c r="D7" s="128" t="str">
        <f>Language!$E$27</f>
        <v>Pts</v>
      </c>
      <c r="E7" s="115" t="str">
        <f>Language!$E$26</f>
        <v>Diff.</v>
      </c>
      <c r="F7" s="153" t="str">
        <f>Language!$E$49</f>
        <v>Tie break</v>
      </c>
      <c r="G7" s="132" t="str">
        <f ca="1">C8</f>
        <v/>
      </c>
      <c r="H7" s="133" t="str">
        <f ca="1">C9</f>
        <v/>
      </c>
      <c r="I7" s="133" t="str">
        <f ca="1">C10</f>
        <v/>
      </c>
      <c r="J7" s="133" t="str">
        <f ca="1">C11</f>
        <v/>
      </c>
      <c r="K7" s="133" t="str">
        <f ca="1">C12</f>
        <v/>
      </c>
      <c r="L7" s="157" t="str">
        <f ca="1">C13</f>
        <v/>
      </c>
    </row>
    <row r="8" spans="2:13" ht="21.95" customHeight="1" x14ac:dyDescent="0.2">
      <c r="B8" s="116" t="str">
        <f ca="1">IF($C8="","",INDEX(Calc1!$E$4:$E$12,MATCH($C8,Calc1!$F$4:$F$12,0)))</f>
        <v/>
      </c>
      <c r="C8" s="125" t="str">
        <f ca="1">IF(Calc1!$K$13=0,"",Calc1!$X4)</f>
        <v/>
      </c>
      <c r="D8" s="129" t="str">
        <f ca="1">IF($C8="","",VLOOKUP($C8,Calc1!$C$17:$AC$25,25,0))</f>
        <v/>
      </c>
      <c r="E8" s="112" t="str">
        <f ca="1">IF($C8="","",VLOOKUP($C8,Calc1!$C$17:$AC$25,26,0))</f>
        <v/>
      </c>
      <c r="F8" s="523" t="str">
        <f ca="1">IF($C8="","",VLOOKUP(C8,PreliminaryRound!$AO$12:$AQ$37,3,0))</f>
        <v/>
      </c>
      <c r="G8" s="137"/>
      <c r="H8" s="112" t="str">
        <f ca="1">IFERROR(VLOOKUP($C8&amp;H$7,Calc1!$Z$64:$AB$207,3,0),"")</f>
        <v/>
      </c>
      <c r="I8" s="112" t="str">
        <f ca="1">IFERROR(VLOOKUP($C8&amp;I$7,Calc1!$Z$64:$AB$207,3,0),"")</f>
        <v/>
      </c>
      <c r="J8" s="112" t="str">
        <f ca="1">IFERROR(VLOOKUP($C8&amp;J$7,Calc1!$Z$64:$AB$207,3,0),"")</f>
        <v/>
      </c>
      <c r="K8" s="112" t="str">
        <f ca="1">IFERROR(VLOOKUP($C8&amp;K$7,Calc1!$Z$64:$AB$207,3,0),"")</f>
        <v/>
      </c>
      <c r="L8" s="158" t="str">
        <f ca="1">IFERROR(VLOOKUP($C8&amp;L$7,Calc1!$Z$64:$AB$207,3,0),"")</f>
        <v/>
      </c>
      <c r="M8" s="188" t="str">
        <f t="shared" ref="M8:M13" ca="1" si="0">C8</f>
        <v/>
      </c>
    </row>
    <row r="9" spans="2:13" ht="21.95" customHeight="1" x14ac:dyDescent="0.2">
      <c r="B9" s="116" t="str">
        <f ca="1">IF($C9="","",INDEX(Calc1!$E$4:$E$12,MATCH($C9,Calc1!$F$4:$F$12,0)))</f>
        <v/>
      </c>
      <c r="C9" s="126" t="str">
        <f ca="1">IF(Calc1!$K$13=0,"",Calc1!$X5)</f>
        <v/>
      </c>
      <c r="D9" s="130" t="str">
        <f ca="1">IF($C9="","",VLOOKUP($C9,Calc1!$C$17:$AC$25,25,0))</f>
        <v/>
      </c>
      <c r="E9" s="113" t="str">
        <f ca="1">IF($C9="","",VLOOKUP($C9,Calc1!$C$17:$AC$25,26,0))</f>
        <v/>
      </c>
      <c r="F9" s="524" t="str">
        <f ca="1">IF($C9="","",VLOOKUP(C9,PreliminaryRound!$AO$12:$AQ$37,3,0))</f>
        <v/>
      </c>
      <c r="G9" s="138" t="str">
        <f ca="1">IFERROR(VLOOKUP($C9&amp;G$7,Calc1!$Z$64:$AB$207,3,0),"")</f>
        <v/>
      </c>
      <c r="H9" s="123"/>
      <c r="I9" s="113" t="str">
        <f ca="1">IFERROR(VLOOKUP($C9&amp;I$7,Calc1!$Z$64:$AB$207,3,0),"")</f>
        <v/>
      </c>
      <c r="J9" s="113" t="str">
        <f ca="1">IFERROR(VLOOKUP($C9&amp;J$7,Calc1!$Z$64:$AB$207,3,0),"")</f>
        <v/>
      </c>
      <c r="K9" s="113" t="str">
        <f ca="1">IFERROR(VLOOKUP($C9&amp;K$7,Calc1!$Z$64:$AB$207,3,0),"")</f>
        <v/>
      </c>
      <c r="L9" s="159" t="str">
        <f ca="1">IFERROR(VLOOKUP($C9&amp;L$7,Calc1!$Z$64:$AB$207,3,0),"")</f>
        <v/>
      </c>
      <c r="M9" s="189" t="str">
        <f t="shared" ca="1" si="0"/>
        <v/>
      </c>
    </row>
    <row r="10" spans="2:13" ht="21.95" customHeight="1" x14ac:dyDescent="0.2">
      <c r="B10" s="116" t="str">
        <f ca="1">IF($C10="","",INDEX(Calc1!$E$4:$E$12,MATCH($C10,Calc1!$F$4:$F$12,0)))</f>
        <v/>
      </c>
      <c r="C10" s="126" t="str">
        <f ca="1">IF(Calc1!$K$13=0,"",Calc1!$X6)</f>
        <v/>
      </c>
      <c r="D10" s="130" t="str">
        <f ca="1">IF($C10="","",VLOOKUP($C10,Calc1!$C$17:$AC$25,25,0))</f>
        <v/>
      </c>
      <c r="E10" s="113" t="str">
        <f ca="1">IF($C10="","",VLOOKUP($C10,Calc1!$C$17:$AC$25,26,0))</f>
        <v/>
      </c>
      <c r="F10" s="524" t="str">
        <f ca="1">IF($C10="","",VLOOKUP(C10,PreliminaryRound!$AO$12:$AQ$37,3,0))</f>
        <v/>
      </c>
      <c r="G10" s="138" t="str">
        <f ca="1">IFERROR(VLOOKUP($C10&amp;G$7,Calc1!$Z$64:$AB$207,3,0),"")</f>
        <v/>
      </c>
      <c r="H10" s="113" t="str">
        <f ca="1">IFERROR(VLOOKUP($C10&amp;H$7,Calc1!$Z$64:$AB$207,3,0),"")</f>
        <v/>
      </c>
      <c r="I10" s="123"/>
      <c r="J10" s="113" t="str">
        <f ca="1">IFERROR(VLOOKUP($C10&amp;J$7,Calc1!$Z$64:$AB$207,3,0),"")</f>
        <v/>
      </c>
      <c r="K10" s="113" t="str">
        <f ca="1">IFERROR(VLOOKUP($C10&amp;K$7,Calc1!$Z$64:$AB$207,3,0),"")</f>
        <v/>
      </c>
      <c r="L10" s="159" t="str">
        <f ca="1">IFERROR(VLOOKUP($C10&amp;L$7,Calc1!$Z$64:$AB$207,3,0),"")</f>
        <v/>
      </c>
      <c r="M10" s="189" t="str">
        <f t="shared" ca="1" si="0"/>
        <v/>
      </c>
    </row>
    <row r="11" spans="2:13" ht="21.95" customHeight="1" x14ac:dyDescent="0.2">
      <c r="B11" s="116" t="str">
        <f ca="1">IF($C11="","",INDEX(Calc1!$E$4:$E$12,MATCH($C11,Calc1!$F$4:$F$12,0)))</f>
        <v/>
      </c>
      <c r="C11" s="126" t="str">
        <f ca="1">IF(Calc1!$K$13=0,"",Calc1!$X7)</f>
        <v/>
      </c>
      <c r="D11" s="130" t="str">
        <f ca="1">IF($C11="","",VLOOKUP($C11,Calc1!$C$17:$AC$25,25,0))</f>
        <v/>
      </c>
      <c r="E11" s="113" t="str">
        <f ca="1">IF($C11="","",VLOOKUP($C11,Calc1!$C$17:$AC$25,26,0))</f>
        <v/>
      </c>
      <c r="F11" s="524" t="str">
        <f ca="1">IF($C11="","",VLOOKUP(C11,PreliminaryRound!$AO$12:$AQ$37,3,0))</f>
        <v/>
      </c>
      <c r="G11" s="138" t="str">
        <f ca="1">IFERROR(VLOOKUP($C11&amp;G$7,Calc1!$Z$64:$AB$207,3,0),"")</f>
        <v/>
      </c>
      <c r="H11" s="113" t="str">
        <f ca="1">IFERROR(VLOOKUP($C11&amp;H$7,Calc1!$Z$64:$AB$207,3,0),"")</f>
        <v/>
      </c>
      <c r="I11" s="113" t="str">
        <f ca="1">IFERROR(VLOOKUP($C11&amp;I$7,Calc1!$Z$64:$AB$207,3,0),"")</f>
        <v/>
      </c>
      <c r="J11" s="123"/>
      <c r="K11" s="113" t="str">
        <f ca="1">IFERROR(VLOOKUP($C11&amp;K$7,Calc1!$Z$64:$AB$207,3,0),"")</f>
        <v/>
      </c>
      <c r="L11" s="159" t="str">
        <f ca="1">IFERROR(VLOOKUP($C11&amp;L$7,Calc1!$Z$64:$AB$207,3,0),"")</f>
        <v/>
      </c>
      <c r="M11" s="189" t="str">
        <f t="shared" ca="1" si="0"/>
        <v/>
      </c>
    </row>
    <row r="12" spans="2:13" ht="21.95" customHeight="1" x14ac:dyDescent="0.2">
      <c r="B12" s="116" t="str">
        <f ca="1">IF($C12="","",INDEX(Calc1!$E$4:$E$12,MATCH($C12,Calc1!$F$4:$F$12,0)))</f>
        <v/>
      </c>
      <c r="C12" s="126" t="str">
        <f ca="1">IF(Calc1!$K$13=0,"",Calc1!$X8)</f>
        <v/>
      </c>
      <c r="D12" s="130" t="str">
        <f ca="1">IF($C12="","",VLOOKUP($C12,Calc1!$C$17:$AC$25,25,0))</f>
        <v/>
      </c>
      <c r="E12" s="113" t="str">
        <f ca="1">IF($C12="","",VLOOKUP($C12,Calc1!$C$17:$AC$25,26,0))</f>
        <v/>
      </c>
      <c r="F12" s="524" t="str">
        <f ca="1">IF($C12="","",VLOOKUP(C12,PreliminaryRound!$AO$12:$AQ$37,3,0))</f>
        <v/>
      </c>
      <c r="G12" s="138" t="str">
        <f ca="1">IFERROR(VLOOKUP($C12&amp;G$7,Calc1!$Z$64:$AB$207,3,0),"")</f>
        <v/>
      </c>
      <c r="H12" s="113" t="str">
        <f ca="1">IFERROR(VLOOKUP($C12&amp;H$7,Calc1!$Z$64:$AB$207,3,0),"")</f>
        <v/>
      </c>
      <c r="I12" s="113" t="str">
        <f ca="1">IFERROR(VLOOKUP($C12&amp;I$7,Calc1!$Z$64:$AB$207,3,0),"")</f>
        <v/>
      </c>
      <c r="J12" s="113" t="str">
        <f ca="1">IFERROR(VLOOKUP($C12&amp;J$7,Calc1!$Z$64:$AB$207,3,0),"")</f>
        <v/>
      </c>
      <c r="K12" s="123"/>
      <c r="L12" s="159" t="str">
        <f ca="1">IFERROR(VLOOKUP($C12&amp;L$7,Calc1!$Z$64:$AB$207,3,0),"")</f>
        <v/>
      </c>
      <c r="M12" s="189" t="str">
        <f t="shared" ca="1" si="0"/>
        <v/>
      </c>
    </row>
    <row r="13" spans="2:13" ht="21.95" customHeight="1" thickBot="1" x14ac:dyDescent="0.25">
      <c r="B13" s="117" t="str">
        <f ca="1">IF($C13="","",INDEX(Calc1!$E$4:$E$12,MATCH($C13,Calc1!$F$4:$F$12,0)))</f>
        <v/>
      </c>
      <c r="C13" s="127" t="str">
        <f ca="1">IF(Calc1!$K$13=0,"",Calc1!$X9)</f>
        <v/>
      </c>
      <c r="D13" s="131" t="str">
        <f ca="1">IF($C13="","",VLOOKUP($C13,Calc1!$C$17:$AC$25,25,0))</f>
        <v/>
      </c>
      <c r="E13" s="114" t="str">
        <f ca="1">IF($C13="","",VLOOKUP($C13,Calc1!$C$17:$AC$25,26,0))</f>
        <v/>
      </c>
      <c r="F13" s="525" t="str">
        <f ca="1">IF($C13="","",VLOOKUP(C13,PreliminaryRound!$AO$12:$AQ$37,3,0))</f>
        <v/>
      </c>
      <c r="G13" s="139" t="str">
        <f ca="1">IFERROR(VLOOKUP($C13&amp;G$7,Calc1!$Z$64:$AB$207,3,0),"")</f>
        <v/>
      </c>
      <c r="H13" s="114" t="str">
        <f ca="1">IFERROR(VLOOKUP($C13&amp;H$7,Calc1!$Z$64:$AB$207,3,0),"")</f>
        <v/>
      </c>
      <c r="I13" s="114" t="str">
        <f ca="1">IFERROR(VLOOKUP($C13&amp;I$7,Calc1!$Z$64:$AB$207,3,0),"")</f>
        <v/>
      </c>
      <c r="J13" s="114" t="str">
        <f ca="1">IFERROR(VLOOKUP($C13&amp;J$7,Calc1!$Z$64:$AB$207,3,0),"")</f>
        <v/>
      </c>
      <c r="K13" s="114" t="str">
        <f ca="1">IFERROR(VLOOKUP($C13&amp;K$7,Calc1!$Z$64:$AB$207,3,0),"")</f>
        <v/>
      </c>
      <c r="L13" s="160"/>
      <c r="M13" s="190" t="str">
        <f t="shared" ca="1" si="0"/>
        <v/>
      </c>
    </row>
    <row r="14" spans="2:13" ht="42.75" customHeight="1" thickTop="1" thickBot="1" x14ac:dyDescent="0.25">
      <c r="B14" s="134"/>
      <c r="C14" s="135"/>
      <c r="D14" s="136"/>
      <c r="E14" s="122"/>
      <c r="F14" s="122"/>
      <c r="G14" s="122"/>
      <c r="H14" s="122"/>
      <c r="I14" s="122"/>
      <c r="J14" s="122"/>
      <c r="K14" s="122"/>
      <c r="L14" s="122"/>
    </row>
    <row r="15" spans="2:13" ht="21.95" customHeight="1" thickBot="1" x14ac:dyDescent="0.25">
      <c r="G15" s="150" t="str">
        <f ca="1">IF(LEN(G16)&gt;Settings!$C$11,LEFT(G16,Settings!$C$11)&amp;".",G16)</f>
        <v/>
      </c>
      <c r="H15" s="151" t="str">
        <f ca="1">IF(LEN(H16)&gt;Settings!$C$11,LEFT(H16,Settings!$C$11)&amp;".",H16)</f>
        <v/>
      </c>
      <c r="I15" s="151" t="str">
        <f ca="1">IF(LEN(I16)&gt;Settings!$C$11,LEFT(I16,Settings!$C$11)&amp;".",I16)</f>
        <v/>
      </c>
      <c r="J15" s="151" t="str">
        <f ca="1">IF(LEN(J16)&gt;Settings!$C$11,LEFT(J16,Settings!$C$11)&amp;".",J16)</f>
        <v/>
      </c>
      <c r="K15" s="151" t="str">
        <f ca="1">IF(LEN(K16)&gt;Settings!$C$11,LEFT(K16,Settings!$C$11)&amp;".",K16)</f>
        <v/>
      </c>
      <c r="L15" s="152" t="str">
        <f ca="1">IF(LEN(L16)&gt;Settings!$C$11,LEFT(L16,Settings!$C$11)&amp;".",L16)</f>
        <v/>
      </c>
    </row>
    <row r="16" spans="2:13" ht="21.95" customHeight="1" thickTop="1" thickBot="1" x14ac:dyDescent="0.25">
      <c r="B16" s="118"/>
      <c r="C16" s="124" t="str">
        <f>Language!$E$10</f>
        <v>Participant or team</v>
      </c>
      <c r="D16" s="128" t="str">
        <f>Language!$E$27</f>
        <v>Pts</v>
      </c>
      <c r="E16" s="115" t="str">
        <f>Language!$E$26</f>
        <v>Diff.</v>
      </c>
      <c r="F16" s="153" t="str">
        <f>Language!$E$49</f>
        <v>Tie break</v>
      </c>
      <c r="G16" s="132" t="str">
        <f ca="1">C17</f>
        <v/>
      </c>
      <c r="H16" s="133" t="str">
        <f ca="1">C18</f>
        <v/>
      </c>
      <c r="I16" s="133" t="str">
        <f ca="1">C19</f>
        <v/>
      </c>
      <c r="J16" s="133" t="str">
        <f ca="1">C20</f>
        <v/>
      </c>
      <c r="K16" s="133" t="str">
        <f ca="1">C21</f>
        <v/>
      </c>
      <c r="L16" s="157" t="str">
        <f ca="1">C22</f>
        <v/>
      </c>
    </row>
    <row r="17" spans="2:13" ht="21.95" customHeight="1" x14ac:dyDescent="0.2">
      <c r="B17" s="116" t="str">
        <f ca="1">IF($C17="","",INDEX(Calc1!$E$4:$E$12,MATCH($C17,Calc1!$F$4:$F$12,0)))</f>
        <v/>
      </c>
      <c r="C17" s="125" t="str">
        <f ca="1">IF(Calc1!$K$13=0,"",Calc1!$AC4)</f>
        <v/>
      </c>
      <c r="D17" s="129" t="str">
        <f ca="1">IF($C17="","",VLOOKUP($C17,Calc1!$C$17:$AC$25,25,0))</f>
        <v/>
      </c>
      <c r="E17" s="112" t="str">
        <f ca="1">IF($C17="","",VLOOKUP($C17,Calc1!$C$17:$AC$25,26,0))</f>
        <v/>
      </c>
      <c r="F17" s="523" t="str">
        <f ca="1">IF($C17="","",VLOOKUP(C17,PreliminaryRound!$AO$12:$AQ$37,3,0))</f>
        <v/>
      </c>
      <c r="G17" s="137"/>
      <c r="H17" s="112" t="str">
        <f ca="1">IFERROR(VLOOKUP($C17&amp;H$16,Calc1!$Z$64:$AB$207,3,0),"")</f>
        <v/>
      </c>
      <c r="I17" s="112" t="str">
        <f ca="1">IFERROR(VLOOKUP($C17&amp;I$16,Calc1!$Z$64:$AB$207,3,0),"")</f>
        <v/>
      </c>
      <c r="J17" s="112" t="str">
        <f ca="1">IFERROR(VLOOKUP($C17&amp;J$16,Calc1!$Z$64:$AB$207,3,0),"")</f>
        <v/>
      </c>
      <c r="K17" s="112" t="str">
        <f ca="1">IFERROR(VLOOKUP($C17&amp;K$16,Calc1!$Z$64:$AB$207,3,0),"")</f>
        <v/>
      </c>
      <c r="L17" s="158" t="str">
        <f ca="1">IFERROR(VLOOKUP($C17&amp;L$16,Calc1!$Z$64:$AB$207,3,0),"")</f>
        <v/>
      </c>
      <c r="M17" s="188" t="str">
        <f t="shared" ref="M17:M22" ca="1" si="1">C17</f>
        <v/>
      </c>
    </row>
    <row r="18" spans="2:13" ht="21.95" customHeight="1" x14ac:dyDescent="0.2">
      <c r="B18" s="116" t="str">
        <f ca="1">IF($C18="","",INDEX(Calc1!$E$4:$E$12,MATCH($C18,Calc1!$F$4:$F$12,0)))</f>
        <v/>
      </c>
      <c r="C18" s="126" t="str">
        <f ca="1">IF(Calc1!$K$13=0,"",Calc1!$AC5)</f>
        <v/>
      </c>
      <c r="D18" s="130" t="str">
        <f ca="1">IF($C18="","",VLOOKUP($C18,Calc1!$C$17:$AC$25,25,0))</f>
        <v/>
      </c>
      <c r="E18" s="113" t="str">
        <f ca="1">IF($C18="","",VLOOKUP($C18,Calc1!$C$17:$AC$25,26,0))</f>
        <v/>
      </c>
      <c r="F18" s="524" t="str">
        <f ca="1">IF($C18="","",VLOOKUP(C18,PreliminaryRound!$AO$12:$AQ$37,3,0))</f>
        <v/>
      </c>
      <c r="G18" s="138" t="str">
        <f ca="1">IFERROR(VLOOKUP($C18&amp;G$16,Calc1!$Z$64:$AB$207,3,0),"")</f>
        <v/>
      </c>
      <c r="H18" s="123"/>
      <c r="I18" s="113" t="str">
        <f ca="1">IFERROR(VLOOKUP($C18&amp;I$16,Calc1!$Z$64:$AB$207,3,0),"")</f>
        <v/>
      </c>
      <c r="J18" s="113" t="str">
        <f ca="1">IFERROR(VLOOKUP($C18&amp;J$16,Calc1!$Z$64:$AB$207,3,0),"")</f>
        <v/>
      </c>
      <c r="K18" s="113" t="str">
        <f ca="1">IFERROR(VLOOKUP($C18&amp;K$16,Calc1!$Z$64:$AB$207,3,0),"")</f>
        <v/>
      </c>
      <c r="L18" s="159" t="str">
        <f ca="1">IFERROR(VLOOKUP($C18&amp;L$16,Calc1!$Z$64:$AB$207,3,0),"")</f>
        <v/>
      </c>
      <c r="M18" s="189" t="str">
        <f t="shared" ca="1" si="1"/>
        <v/>
      </c>
    </row>
    <row r="19" spans="2:13" ht="21.95" customHeight="1" x14ac:dyDescent="0.2">
      <c r="B19" s="116" t="str">
        <f ca="1">IF($C19="","",INDEX(Calc1!$E$4:$E$12,MATCH($C19,Calc1!$F$4:$F$12,0)))</f>
        <v/>
      </c>
      <c r="C19" s="126" t="str">
        <f ca="1">IF(Calc1!$K$13=0,"",Calc1!$AC6)</f>
        <v/>
      </c>
      <c r="D19" s="130" t="str">
        <f ca="1">IF($C19="","",VLOOKUP($C19,Calc1!$C$17:$AC$25,25,0))</f>
        <v/>
      </c>
      <c r="E19" s="113" t="str">
        <f ca="1">IF($C19="","",VLOOKUP($C19,Calc1!$C$17:$AC$25,26,0))</f>
        <v/>
      </c>
      <c r="F19" s="524" t="str">
        <f ca="1">IF($C19="","",VLOOKUP(C19,PreliminaryRound!$AO$12:$AQ$37,3,0))</f>
        <v/>
      </c>
      <c r="G19" s="138" t="str">
        <f ca="1">IFERROR(VLOOKUP($C19&amp;G$16,Calc1!$Z$64:$AB$207,3,0),"")</f>
        <v/>
      </c>
      <c r="H19" s="113" t="str">
        <f ca="1">IFERROR(VLOOKUP($C19&amp;H$16,Calc1!$Z$64:$AB$207,3,0),"")</f>
        <v/>
      </c>
      <c r="I19" s="123"/>
      <c r="J19" s="113" t="str">
        <f ca="1">IFERROR(VLOOKUP($C19&amp;J$16,Calc1!$Z$64:$AB$207,3,0),"")</f>
        <v/>
      </c>
      <c r="K19" s="113" t="str">
        <f ca="1">IFERROR(VLOOKUP($C19&amp;K$16,Calc1!$Z$64:$AB$207,3,0),"")</f>
        <v/>
      </c>
      <c r="L19" s="159" t="str">
        <f ca="1">IFERROR(VLOOKUP($C19&amp;L$16,Calc1!$Z$64:$AB$207,3,0),"")</f>
        <v/>
      </c>
      <c r="M19" s="189" t="str">
        <f t="shared" ca="1" si="1"/>
        <v/>
      </c>
    </row>
    <row r="20" spans="2:13" ht="21.95" customHeight="1" x14ac:dyDescent="0.2">
      <c r="B20" s="116" t="str">
        <f ca="1">IF($C20="","",INDEX(Calc1!$E$4:$E$12,MATCH($C20,Calc1!$F$4:$F$12,0)))</f>
        <v/>
      </c>
      <c r="C20" s="126" t="str">
        <f ca="1">IF(Calc1!$K$13=0,"",Calc1!$AC7)</f>
        <v/>
      </c>
      <c r="D20" s="130" t="str">
        <f ca="1">IF($C20="","",VLOOKUP($C20,Calc1!$C$17:$AC$25,25,0))</f>
        <v/>
      </c>
      <c r="E20" s="113" t="str">
        <f ca="1">IF($C20="","",VLOOKUP($C20,Calc1!$C$17:$AC$25,26,0))</f>
        <v/>
      </c>
      <c r="F20" s="524" t="str">
        <f ca="1">IF($C20="","",VLOOKUP(C20,PreliminaryRound!$AO$12:$AQ$37,3,0))</f>
        <v/>
      </c>
      <c r="G20" s="138" t="str">
        <f ca="1">IFERROR(VLOOKUP($C20&amp;G$16,Calc1!$Z$64:$AB$207,3,0),"")</f>
        <v/>
      </c>
      <c r="H20" s="113" t="str">
        <f ca="1">IFERROR(VLOOKUP($C20&amp;H$16,Calc1!$Z$64:$AB$207,3,0),"")</f>
        <v/>
      </c>
      <c r="I20" s="113" t="str">
        <f ca="1">IFERROR(VLOOKUP($C20&amp;I$16,Calc1!$Z$64:$AB$207,3,0),"")</f>
        <v/>
      </c>
      <c r="J20" s="123"/>
      <c r="K20" s="113" t="str">
        <f ca="1">IFERROR(VLOOKUP($C20&amp;K$16,Calc1!$Z$64:$AB$207,3,0),"")</f>
        <v/>
      </c>
      <c r="L20" s="159" t="str">
        <f ca="1">IFERROR(VLOOKUP($C20&amp;L$16,Calc1!$Z$64:$AB$207,3,0),"")</f>
        <v/>
      </c>
      <c r="M20" s="189" t="str">
        <f t="shared" ca="1" si="1"/>
        <v/>
      </c>
    </row>
    <row r="21" spans="2:13" ht="21.95" customHeight="1" x14ac:dyDescent="0.2">
      <c r="B21" s="116" t="str">
        <f ca="1">IF($C21="","",INDEX(Calc1!$E$4:$E$12,MATCH($C21,Calc1!$F$4:$F$12,0)))</f>
        <v/>
      </c>
      <c r="C21" s="126" t="str">
        <f ca="1">IF(Calc1!$K$13=0,"",Calc1!$AC8)</f>
        <v/>
      </c>
      <c r="D21" s="130" t="str">
        <f ca="1">IF($C21="","",VLOOKUP($C21,Calc1!$C$17:$AC$25,25,0))</f>
        <v/>
      </c>
      <c r="E21" s="113" t="str">
        <f ca="1">IF($C21="","",VLOOKUP($C21,Calc1!$C$17:$AC$25,26,0))</f>
        <v/>
      </c>
      <c r="F21" s="524" t="str">
        <f ca="1">IF($C21="","",VLOOKUP(C21,PreliminaryRound!$AO$12:$AQ$37,3,0))</f>
        <v/>
      </c>
      <c r="G21" s="138" t="str">
        <f ca="1">IFERROR(VLOOKUP($C21&amp;G$16,Calc1!$Z$64:$AB$207,3,0),"")</f>
        <v/>
      </c>
      <c r="H21" s="113" t="str">
        <f ca="1">IFERROR(VLOOKUP($C21&amp;H$16,Calc1!$Z$64:$AB$207,3,0),"")</f>
        <v/>
      </c>
      <c r="I21" s="113" t="str">
        <f ca="1">IFERROR(VLOOKUP($C21&amp;I$16,Calc1!$Z$64:$AB$207,3,0),"")</f>
        <v/>
      </c>
      <c r="J21" s="113" t="str">
        <f ca="1">IFERROR(VLOOKUP($C21&amp;J$16,Calc1!$Z$64:$AB$207,3,0),"")</f>
        <v/>
      </c>
      <c r="K21" s="123"/>
      <c r="L21" s="159" t="str">
        <f ca="1">IFERROR(VLOOKUP($C21&amp;L$16,Calc1!$Z$64:$AB$207,3,0),"")</f>
        <v/>
      </c>
      <c r="M21" s="189" t="str">
        <f t="shared" ca="1" si="1"/>
        <v/>
      </c>
    </row>
    <row r="22" spans="2:13" ht="21.95" customHeight="1" thickBot="1" x14ac:dyDescent="0.25">
      <c r="B22" s="117" t="str">
        <f ca="1">IF($C22="","",INDEX(Calc1!$E$4:$E$12,MATCH($C22,Calc1!$F$4:$F$12,0)))</f>
        <v/>
      </c>
      <c r="C22" s="127" t="str">
        <f ca="1">IF(Calc1!$K$13=0,"",Calc1!$AC9)</f>
        <v/>
      </c>
      <c r="D22" s="131" t="str">
        <f ca="1">IF($C22="","",VLOOKUP($C22,Calc1!$C$17:$AC$25,25,0))</f>
        <v/>
      </c>
      <c r="E22" s="114" t="str">
        <f ca="1">IF($C22="","",VLOOKUP($C22,Calc1!$C$17:$AC$25,26,0))</f>
        <v/>
      </c>
      <c r="F22" s="525" t="str">
        <f ca="1">IF($C22="","",VLOOKUP(C22,PreliminaryRound!$AO$12:$AQ$37,3,0))</f>
        <v/>
      </c>
      <c r="G22" s="139" t="str">
        <f ca="1">IFERROR(VLOOKUP($C22&amp;G$16,Calc1!$Z$64:$AB$207,3,0),"")</f>
        <v/>
      </c>
      <c r="H22" s="114" t="str">
        <f ca="1">IFERROR(VLOOKUP($C22&amp;H$16,Calc1!$Z$64:$AB$207,3,0),"")</f>
        <v/>
      </c>
      <c r="I22" s="114" t="str">
        <f ca="1">IFERROR(VLOOKUP($C22&amp;I$16,Calc1!$Z$64:$AB$207,3,0),"")</f>
        <v/>
      </c>
      <c r="J22" s="114" t="str">
        <f ca="1">IFERROR(VLOOKUP($C22&amp;J$16,Calc1!$Z$64:$AB$207,3,0),"")</f>
        <v/>
      </c>
      <c r="K22" s="114" t="str">
        <f ca="1">IFERROR(VLOOKUP($C22&amp;K$16,Calc1!$Z$64:$AB$207,3,0),"")</f>
        <v/>
      </c>
      <c r="L22" s="160"/>
      <c r="M22" s="190" t="str">
        <f t="shared" ca="1" si="1"/>
        <v/>
      </c>
    </row>
    <row r="23" spans="2:13" ht="42.75" customHeight="1" thickTop="1" thickBot="1" x14ac:dyDescent="0.25">
      <c r="B23" s="134"/>
      <c r="C23" s="135"/>
      <c r="D23" s="136"/>
      <c r="E23" s="122"/>
      <c r="F23" s="122"/>
      <c r="G23" s="122"/>
      <c r="H23" s="122"/>
      <c r="I23" s="122"/>
      <c r="J23" s="122"/>
      <c r="K23" s="122"/>
      <c r="L23" s="122"/>
    </row>
    <row r="24" spans="2:13" ht="21.95" customHeight="1" thickBot="1" x14ac:dyDescent="0.25">
      <c r="G24" s="150" t="str">
        <f ca="1">IF(LEN(G25)&gt;Settings!$C$11,LEFT(G25,Settings!$C$11)&amp;".",G25)</f>
        <v/>
      </c>
      <c r="H24" s="151" t="str">
        <f ca="1">IF(LEN(H25)&gt;Settings!$C$11,LEFT(H25,Settings!$C$11)&amp;".",H25)</f>
        <v/>
      </c>
      <c r="I24" s="151" t="str">
        <f ca="1">IF(LEN(I25)&gt;Settings!$C$11,LEFT(I25,Settings!$C$11)&amp;".",I25)</f>
        <v/>
      </c>
      <c r="J24" s="151" t="str">
        <f ca="1">IF(LEN(J25)&gt;Settings!$C$11,LEFT(J25,Settings!$C$11)&amp;".",J25)</f>
        <v/>
      </c>
      <c r="K24" s="151" t="str">
        <f ca="1">IF(LEN(K25)&gt;Settings!$C$11,LEFT(K25,Settings!$C$11)&amp;".",K25)</f>
        <v/>
      </c>
      <c r="L24" s="152" t="str">
        <f ca="1">IF(LEN(L25)&gt;Settings!$C$11,LEFT(L25,Settings!$C$11)&amp;".",L25)</f>
        <v/>
      </c>
    </row>
    <row r="25" spans="2:13" ht="21.95" customHeight="1" thickTop="1" thickBot="1" x14ac:dyDescent="0.25">
      <c r="B25" s="118"/>
      <c r="C25" s="124" t="str">
        <f>Language!$E$10</f>
        <v>Participant or team</v>
      </c>
      <c r="D25" s="128" t="str">
        <f>Language!$E$27</f>
        <v>Pts</v>
      </c>
      <c r="E25" s="115" t="str">
        <f>Language!$E$26</f>
        <v>Diff.</v>
      </c>
      <c r="F25" s="153" t="str">
        <f>Language!$E$49</f>
        <v>Tie break</v>
      </c>
      <c r="G25" s="132" t="str">
        <f ca="1">C26</f>
        <v/>
      </c>
      <c r="H25" s="133" t="str">
        <f ca="1">C27</f>
        <v/>
      </c>
      <c r="I25" s="133" t="str">
        <f ca="1">C28</f>
        <v/>
      </c>
      <c r="J25" s="133" t="str">
        <f ca="1">C29</f>
        <v/>
      </c>
      <c r="K25" s="133" t="str">
        <f ca="1">C30</f>
        <v/>
      </c>
      <c r="L25" s="157" t="str">
        <f ca="1">C31</f>
        <v/>
      </c>
    </row>
    <row r="26" spans="2:13" ht="21.95" customHeight="1" x14ac:dyDescent="0.2">
      <c r="B26" s="116" t="str">
        <f ca="1">IF($C26="","",INDEX(Calc1!$E$4:$E$12,MATCH($C26,Calc1!$F$4:$F$12,0)))</f>
        <v/>
      </c>
      <c r="C26" s="125" t="str">
        <f ca="1">IF(Calc1!$K$13=0,"",Calc1!$AH4)</f>
        <v/>
      </c>
      <c r="D26" s="129" t="str">
        <f ca="1">IF($C26="","",VLOOKUP($C26,Calc1!$C$17:$AC$25,25,0))</f>
        <v/>
      </c>
      <c r="E26" s="112" t="str">
        <f ca="1">IF($C26="","",VLOOKUP($C26,Calc1!$C$17:$AC$25,26,0))</f>
        <v/>
      </c>
      <c r="F26" s="523" t="str">
        <f ca="1">IF($C26="","",VLOOKUP(C26,PreliminaryRound!$AO$12:$AQ$37,3,0))</f>
        <v/>
      </c>
      <c r="G26" s="137"/>
      <c r="H26" s="112" t="str">
        <f ca="1">IFERROR(VLOOKUP($C26&amp;H$25,Calc1!$Z$64:$AB$207,3,0),"")</f>
        <v/>
      </c>
      <c r="I26" s="112" t="str">
        <f ca="1">IFERROR(VLOOKUP($C26&amp;I$25,Calc1!$Z$64:$AB$207,3,0),"")</f>
        <v/>
      </c>
      <c r="J26" s="112" t="str">
        <f ca="1">IFERROR(VLOOKUP($C26&amp;J$25,Calc1!$Z$64:$AB$207,3,0),"")</f>
        <v/>
      </c>
      <c r="K26" s="112" t="str">
        <f ca="1">IFERROR(VLOOKUP($C26&amp;K$25,Calc1!$Z$64:$AB$207,3,0),"")</f>
        <v/>
      </c>
      <c r="L26" s="158" t="str">
        <f ca="1">IFERROR(VLOOKUP($C26&amp;L$25,Calc1!$Z$64:$AB$207,3,0),"")</f>
        <v/>
      </c>
      <c r="M26" s="188" t="str">
        <f t="shared" ref="M26:M31" ca="1" si="2">C26</f>
        <v/>
      </c>
    </row>
    <row r="27" spans="2:13" ht="21.95" customHeight="1" x14ac:dyDescent="0.2">
      <c r="B27" s="116" t="str">
        <f ca="1">IF($C27="","",INDEX(Calc1!$E$4:$E$12,MATCH($C27,Calc1!$F$4:$F$12,0)))</f>
        <v/>
      </c>
      <c r="C27" s="126" t="str">
        <f ca="1">IF(Calc1!$K$13=0,"",Calc1!$AH5)</f>
        <v/>
      </c>
      <c r="D27" s="130" t="str">
        <f ca="1">IF($C27="","",VLOOKUP($C27,Calc1!$C$17:$AC$25,25,0))</f>
        <v/>
      </c>
      <c r="E27" s="113" t="str">
        <f ca="1">IF($C27="","",VLOOKUP($C27,Calc1!$C$17:$AC$25,26,0))</f>
        <v/>
      </c>
      <c r="F27" s="524" t="str">
        <f ca="1">IF($C27="","",VLOOKUP(C27,PreliminaryRound!$AO$12:$AQ$37,3,0))</f>
        <v/>
      </c>
      <c r="G27" s="138" t="str">
        <f ca="1">IFERROR(VLOOKUP($C27&amp;G$25,Calc1!$Z$64:$AB$207,3,0),"")</f>
        <v/>
      </c>
      <c r="H27" s="123"/>
      <c r="I27" s="113" t="str">
        <f ca="1">IFERROR(VLOOKUP($C27&amp;I$25,Calc1!$Z$64:$AB$207,3,0),"")</f>
        <v/>
      </c>
      <c r="J27" s="113" t="str">
        <f ca="1">IFERROR(VLOOKUP($C27&amp;J$25,Calc1!$Z$64:$AB$207,3,0),"")</f>
        <v/>
      </c>
      <c r="K27" s="113" t="str">
        <f ca="1">IFERROR(VLOOKUP($C27&amp;K$25,Calc1!$Z$64:$AB$207,3,0),"")</f>
        <v/>
      </c>
      <c r="L27" s="159" t="str">
        <f ca="1">IFERROR(VLOOKUP($C27&amp;L$25,Calc1!$Z$64:$AB$207,3,0),"")</f>
        <v/>
      </c>
      <c r="M27" s="189" t="str">
        <f t="shared" ca="1" si="2"/>
        <v/>
      </c>
    </row>
    <row r="28" spans="2:13" ht="21.95" customHeight="1" x14ac:dyDescent="0.2">
      <c r="B28" s="116" t="str">
        <f ca="1">IF($C28="","",INDEX(Calc1!$E$4:$E$12,MATCH($C28,Calc1!$F$4:$F$12,0)))</f>
        <v/>
      </c>
      <c r="C28" s="126" t="str">
        <f ca="1">IF(Calc1!$K$13=0,"",Calc1!$AH6)</f>
        <v/>
      </c>
      <c r="D28" s="130" t="str">
        <f ca="1">IF($C28="","",VLOOKUP($C28,Calc1!$C$17:$AC$25,25,0))</f>
        <v/>
      </c>
      <c r="E28" s="113" t="str">
        <f ca="1">IF($C28="","",VLOOKUP($C28,Calc1!$C$17:$AC$25,26,0))</f>
        <v/>
      </c>
      <c r="F28" s="524" t="str">
        <f ca="1">IF($C28="","",VLOOKUP(C28,PreliminaryRound!$AO$12:$AQ$37,3,0))</f>
        <v/>
      </c>
      <c r="G28" s="138" t="str">
        <f ca="1">IFERROR(VLOOKUP($C28&amp;G$25,Calc1!$Z$64:$AB$207,3,0),"")</f>
        <v/>
      </c>
      <c r="H28" s="113" t="str">
        <f ca="1">IFERROR(VLOOKUP($C28&amp;H$25,Calc1!$Z$64:$AB$207,3,0),"")</f>
        <v/>
      </c>
      <c r="I28" s="123"/>
      <c r="J28" s="113" t="str">
        <f ca="1">IFERROR(VLOOKUP($C28&amp;J$25,Calc1!$Z$64:$AB$207,3,0),"")</f>
        <v/>
      </c>
      <c r="K28" s="113" t="str">
        <f ca="1">IFERROR(VLOOKUP($C28&amp;K$25,Calc1!$Z$64:$AB$207,3,0),"")</f>
        <v/>
      </c>
      <c r="L28" s="159" t="str">
        <f ca="1">IFERROR(VLOOKUP($C28&amp;L$25,Calc1!$Z$64:$AB$207,3,0),"")</f>
        <v/>
      </c>
      <c r="M28" s="189" t="str">
        <f t="shared" ca="1" si="2"/>
        <v/>
      </c>
    </row>
    <row r="29" spans="2:13" ht="21.95" customHeight="1" x14ac:dyDescent="0.2">
      <c r="B29" s="116" t="str">
        <f ca="1">IF($C29="","",INDEX(Calc1!$E$4:$E$12,MATCH($C29,Calc1!$F$4:$F$12,0)))</f>
        <v/>
      </c>
      <c r="C29" s="126" t="str">
        <f ca="1">IF(Calc1!$K$13=0,"",Calc1!$AH7)</f>
        <v/>
      </c>
      <c r="D29" s="130" t="str">
        <f ca="1">IF($C29="","",VLOOKUP($C29,Calc1!$C$17:$AC$25,25,0))</f>
        <v/>
      </c>
      <c r="E29" s="113" t="str">
        <f ca="1">IF($C29="","",VLOOKUP($C29,Calc1!$C$17:$AC$25,26,0))</f>
        <v/>
      </c>
      <c r="F29" s="524" t="str">
        <f ca="1">IF($C29="","",VLOOKUP(C29,PreliminaryRound!$AO$12:$AQ$37,3,0))</f>
        <v/>
      </c>
      <c r="G29" s="138" t="str">
        <f ca="1">IFERROR(VLOOKUP($C29&amp;G$25,Calc1!$Z$64:$AB$207,3,0),"")</f>
        <v/>
      </c>
      <c r="H29" s="113" t="str">
        <f ca="1">IFERROR(VLOOKUP($C29&amp;H$25,Calc1!$Z$64:$AB$207,3,0),"")</f>
        <v/>
      </c>
      <c r="I29" s="113" t="str">
        <f ca="1">IFERROR(VLOOKUP($C29&amp;I$25,Calc1!$Z$64:$AB$207,3,0),"")</f>
        <v/>
      </c>
      <c r="J29" s="123"/>
      <c r="K29" s="113" t="str">
        <f ca="1">IFERROR(VLOOKUP($C29&amp;K$25,Calc1!$Z$64:$AB$207,3,0),"")</f>
        <v/>
      </c>
      <c r="L29" s="159" t="str">
        <f ca="1">IFERROR(VLOOKUP($C29&amp;L$25,Calc1!$Z$64:$AB$207,3,0),"")</f>
        <v/>
      </c>
      <c r="M29" s="189" t="str">
        <f t="shared" ca="1" si="2"/>
        <v/>
      </c>
    </row>
    <row r="30" spans="2:13" ht="21.95" customHeight="1" x14ac:dyDescent="0.2">
      <c r="B30" s="116" t="str">
        <f ca="1">IF($C30="","",INDEX(Calc1!$E$4:$E$12,MATCH($C30,Calc1!$F$4:$F$12,0)))</f>
        <v/>
      </c>
      <c r="C30" s="126" t="str">
        <f ca="1">IF(Calc1!$K$13=0,"",Calc1!$AH8)</f>
        <v/>
      </c>
      <c r="D30" s="130" t="str">
        <f ca="1">IF($C30="","",VLOOKUP($C30,Calc1!$C$17:$AC$25,25,0))</f>
        <v/>
      </c>
      <c r="E30" s="113" t="str">
        <f ca="1">IF($C30="","",VLOOKUP($C30,Calc1!$C$17:$AC$25,26,0))</f>
        <v/>
      </c>
      <c r="F30" s="524" t="str">
        <f ca="1">IF($C30="","",VLOOKUP(C30,PreliminaryRound!$AO$12:$AQ$37,3,0))</f>
        <v/>
      </c>
      <c r="G30" s="138" t="str">
        <f ca="1">IFERROR(VLOOKUP($C30&amp;G$25,Calc1!$Z$64:$AB$207,3,0),"")</f>
        <v/>
      </c>
      <c r="H30" s="113" t="str">
        <f ca="1">IFERROR(VLOOKUP($C30&amp;H$25,Calc1!$Z$64:$AB$207,3,0),"")</f>
        <v/>
      </c>
      <c r="I30" s="113" t="str">
        <f ca="1">IFERROR(VLOOKUP($C30&amp;I$25,Calc1!$Z$64:$AB$207,3,0),"")</f>
        <v/>
      </c>
      <c r="J30" s="113" t="str">
        <f ca="1">IFERROR(VLOOKUP($C30&amp;J$25,Calc1!$Z$64:$AB$207,3,0),"")</f>
        <v/>
      </c>
      <c r="K30" s="123"/>
      <c r="L30" s="159" t="str">
        <f ca="1">IFERROR(VLOOKUP($C30&amp;L$25,Calc1!$Z$64:$AB$207,3,0),"")</f>
        <v/>
      </c>
      <c r="M30" s="189" t="str">
        <f t="shared" ca="1" si="2"/>
        <v/>
      </c>
    </row>
    <row r="31" spans="2:13" ht="21.95" customHeight="1" thickBot="1" x14ac:dyDescent="0.25">
      <c r="B31" s="117" t="str">
        <f ca="1">IF($C31="","",INDEX(Calc1!$E$4:$E$12,MATCH($C31,Calc1!$F$4:$F$12,0)))</f>
        <v/>
      </c>
      <c r="C31" s="127" t="str">
        <f ca="1">IF(Calc1!$K$13=0,"",Calc1!$AH9)</f>
        <v/>
      </c>
      <c r="D31" s="131" t="str">
        <f ca="1">IF($C31="","",VLOOKUP($C31,Calc1!$C$17:$AC$25,25,0))</f>
        <v/>
      </c>
      <c r="E31" s="114" t="str">
        <f ca="1">IF($C31="","",VLOOKUP($C31,Calc1!$C$17:$AC$25,26,0))</f>
        <v/>
      </c>
      <c r="F31" s="525" t="str">
        <f ca="1">IF($C31="","",VLOOKUP(C31,PreliminaryRound!$AO$12:$AQ$37,3,0))</f>
        <v/>
      </c>
      <c r="G31" s="139" t="str">
        <f ca="1">IFERROR(VLOOKUP($C31&amp;G$25,Calc1!$Z$64:$AB$207,3,0),"")</f>
        <v/>
      </c>
      <c r="H31" s="114" t="str">
        <f ca="1">IFERROR(VLOOKUP($C31&amp;H$25,Calc1!$Z$64:$AB$207,3,0),"")</f>
        <v/>
      </c>
      <c r="I31" s="114" t="str">
        <f ca="1">IFERROR(VLOOKUP($C31&amp;I$25,Calc1!$Z$64:$AB$207,3,0),"")</f>
        <v/>
      </c>
      <c r="J31" s="114" t="str">
        <f ca="1">IFERROR(VLOOKUP($C31&amp;J$25,Calc1!$Z$64:$AB$207,3,0),"")</f>
        <v/>
      </c>
      <c r="K31" s="114" t="str">
        <f ca="1">IFERROR(VLOOKUP($C31&amp;K$25,Calc1!$Z$64:$AB$207,3,0),"")</f>
        <v/>
      </c>
      <c r="L31" s="160"/>
      <c r="M31" s="190" t="str">
        <f t="shared" ca="1" si="2"/>
        <v/>
      </c>
    </row>
    <row r="32" spans="2:13" ht="42.75" customHeight="1" thickTop="1" thickBot="1" x14ac:dyDescent="0.25"/>
    <row r="33" spans="2:13" ht="21.95" customHeight="1" thickBot="1" x14ac:dyDescent="0.25">
      <c r="G33" s="150" t="str">
        <f ca="1">IF(LEN(G34)&gt;Settings!$C$11,LEFT(G34,Settings!$C$11)&amp;".",G34)</f>
        <v/>
      </c>
      <c r="H33" s="151" t="str">
        <f ca="1">IF(LEN(H34)&gt;Settings!$C$11,LEFT(H34,Settings!$C$11)&amp;".",H34)</f>
        <v/>
      </c>
      <c r="I33" s="151" t="str">
        <f ca="1">IF(LEN(I34)&gt;Settings!$C$11,LEFT(I34,Settings!$C$11)&amp;".",I34)</f>
        <v/>
      </c>
      <c r="J33" s="151" t="str">
        <f ca="1">IF(LEN(J34)&gt;Settings!$C$11,LEFT(J34,Settings!$C$11)&amp;".",J34)</f>
        <v/>
      </c>
      <c r="K33" s="151" t="str">
        <f ca="1">IF(LEN(K34)&gt;Settings!$C$11,LEFT(K34,Settings!$C$11)&amp;".",K34)</f>
        <v/>
      </c>
      <c r="L33" s="152" t="str">
        <f ca="1">IF(LEN(L34)&gt;Settings!$C$11,LEFT(L34,Settings!$C$11)&amp;".",L34)</f>
        <v/>
      </c>
    </row>
    <row r="34" spans="2:13" ht="21.95" customHeight="1" thickTop="1" thickBot="1" x14ac:dyDescent="0.25">
      <c r="B34" s="118"/>
      <c r="C34" s="124" t="str">
        <f>Language!$E$10</f>
        <v>Participant or team</v>
      </c>
      <c r="D34" s="128" t="str">
        <f>Language!$E$27</f>
        <v>Pts</v>
      </c>
      <c r="E34" s="115" t="str">
        <f>Language!$E$26</f>
        <v>Diff.</v>
      </c>
      <c r="F34" s="153" t="str">
        <f>Language!$E$49</f>
        <v>Tie break</v>
      </c>
      <c r="G34" s="132" t="str">
        <f ca="1">C35</f>
        <v/>
      </c>
      <c r="H34" s="133" t="str">
        <f ca="1">C36</f>
        <v/>
      </c>
      <c r="I34" s="133" t="str">
        <f ca="1">C37</f>
        <v/>
      </c>
      <c r="J34" s="133" t="str">
        <f ca="1">C38</f>
        <v/>
      </c>
      <c r="K34" s="133" t="str">
        <f ca="1">C39</f>
        <v/>
      </c>
      <c r="L34" s="157" t="str">
        <f ca="1">C40</f>
        <v/>
      </c>
    </row>
    <row r="35" spans="2:13" ht="21.95" customHeight="1" x14ac:dyDescent="0.2">
      <c r="B35" s="116" t="str">
        <f ca="1">IF($C35="","",INDEX(Calc1!$E$4:$E$12,MATCH($C35,Calc1!$F$4:$F$12,0)))</f>
        <v/>
      </c>
      <c r="C35" s="125" t="str">
        <f ca="1">IF(Calc1!$K$13=0,"",Calc1!$AM4)</f>
        <v/>
      </c>
      <c r="D35" s="129" t="str">
        <f ca="1">IF($C35="","",VLOOKUP($C35,Calc1!$C$17:$AC$25,25,0))</f>
        <v/>
      </c>
      <c r="E35" s="112" t="str">
        <f ca="1">IF($C35="","",VLOOKUP($C35,Calc1!$C$17:$AC$25,26,0))</f>
        <v/>
      </c>
      <c r="F35" s="523" t="str">
        <f ca="1">IF($C35="","",VLOOKUP(C35,PreliminaryRound!$AO$12:$AQ$37,3,0))</f>
        <v/>
      </c>
      <c r="G35" s="137"/>
      <c r="H35" s="112" t="str">
        <f ca="1">IFERROR(VLOOKUP($C35&amp;H$34,Calc1!$Z$64:$AB$207,3,0),"")</f>
        <v/>
      </c>
      <c r="I35" s="112" t="str">
        <f ca="1">IFERROR(VLOOKUP($C35&amp;I$34,Calc1!$Z$64:$AB$207,3,0),"")</f>
        <v/>
      </c>
      <c r="J35" s="112" t="str">
        <f ca="1">IFERROR(VLOOKUP($C35&amp;J$34,Calc1!$Z$64:$AB$207,3,0),"")</f>
        <v/>
      </c>
      <c r="K35" s="112" t="str">
        <f ca="1">IFERROR(VLOOKUP($C35&amp;K$34,Calc1!$Z$64:$AB$207,3,0),"")</f>
        <v/>
      </c>
      <c r="L35" s="158" t="str">
        <f ca="1">IFERROR(VLOOKUP($C35&amp;L$34,Calc1!$Z$64:$AB$207,3,0),"")</f>
        <v/>
      </c>
      <c r="M35" s="188" t="str">
        <f t="shared" ref="M35:M40" ca="1" si="3">C35</f>
        <v/>
      </c>
    </row>
    <row r="36" spans="2:13" ht="21.95" customHeight="1" x14ac:dyDescent="0.2">
      <c r="B36" s="116" t="str">
        <f ca="1">IF($C36="","",INDEX(Calc1!$E$4:$E$12,MATCH($C36,Calc1!$F$4:$F$12,0)))</f>
        <v/>
      </c>
      <c r="C36" s="126" t="str">
        <f ca="1">IF(Calc1!$K$13=0,"",Calc1!$AM5)</f>
        <v/>
      </c>
      <c r="D36" s="130" t="str">
        <f ca="1">IF($C36="","",VLOOKUP($C36,Calc1!$C$17:$AC$25,25,0))</f>
        <v/>
      </c>
      <c r="E36" s="113" t="str">
        <f ca="1">IF($C36="","",VLOOKUP($C36,Calc1!$C$17:$AC$25,26,0))</f>
        <v/>
      </c>
      <c r="F36" s="524" t="str">
        <f ca="1">IF($C36="","",VLOOKUP(C36,PreliminaryRound!$AO$12:$AQ$37,3,0))</f>
        <v/>
      </c>
      <c r="G36" s="138" t="str">
        <f ca="1">IFERROR(VLOOKUP($C36&amp;G$34,Calc1!$Z$64:$AB$207,3,0),"")</f>
        <v/>
      </c>
      <c r="H36" s="123"/>
      <c r="I36" s="113" t="str">
        <f ca="1">IFERROR(VLOOKUP($C36&amp;I$34,Calc1!$Z$64:$AB$207,3,0),"")</f>
        <v/>
      </c>
      <c r="J36" s="113" t="str">
        <f ca="1">IFERROR(VLOOKUP($C36&amp;J$34,Calc1!$Z$64:$AB$207,3,0),"")</f>
        <v/>
      </c>
      <c r="K36" s="113" t="str">
        <f ca="1">IFERROR(VLOOKUP($C36&amp;K$34,Calc1!$Z$64:$AB$207,3,0),"")</f>
        <v/>
      </c>
      <c r="L36" s="159" t="str">
        <f ca="1">IFERROR(VLOOKUP($C36&amp;L$34,Calc1!$Z$64:$AB$207,3,0),"")</f>
        <v/>
      </c>
      <c r="M36" s="189" t="str">
        <f t="shared" ca="1" si="3"/>
        <v/>
      </c>
    </row>
    <row r="37" spans="2:13" ht="21.95" customHeight="1" x14ac:dyDescent="0.2">
      <c r="B37" s="116" t="str">
        <f ca="1">IF($C37="","",INDEX(Calc1!$E$4:$E$12,MATCH($C37,Calc1!$F$4:$F$12,0)))</f>
        <v/>
      </c>
      <c r="C37" s="126" t="str">
        <f ca="1">IF(Calc1!$K$13=0,"",Calc1!$AM6)</f>
        <v/>
      </c>
      <c r="D37" s="130" t="str">
        <f ca="1">IF($C37="","",VLOOKUP($C37,Calc1!$C$17:$AC$25,25,0))</f>
        <v/>
      </c>
      <c r="E37" s="113" t="str">
        <f ca="1">IF($C37="","",VLOOKUP($C37,Calc1!$C$17:$AC$25,26,0))</f>
        <v/>
      </c>
      <c r="F37" s="524" t="str">
        <f ca="1">IF($C37="","",VLOOKUP(C37,PreliminaryRound!$AO$12:$AQ$37,3,0))</f>
        <v/>
      </c>
      <c r="G37" s="138" t="str">
        <f ca="1">IFERROR(VLOOKUP($C37&amp;G$34,Calc1!$Z$64:$AB$207,3,0),"")</f>
        <v/>
      </c>
      <c r="H37" s="113" t="str">
        <f ca="1">IFERROR(VLOOKUP($C37&amp;H$34,Calc1!$Z$64:$AB$207,3,0),"")</f>
        <v/>
      </c>
      <c r="I37" s="123"/>
      <c r="J37" s="113" t="str">
        <f ca="1">IFERROR(VLOOKUP($C37&amp;J$34,Calc1!$Z$64:$AB$207,3,0),"")</f>
        <v/>
      </c>
      <c r="K37" s="113" t="str">
        <f ca="1">IFERROR(VLOOKUP($C37&amp;K$34,Calc1!$Z$64:$AB$207,3,0),"")</f>
        <v/>
      </c>
      <c r="L37" s="159" t="str">
        <f ca="1">IFERROR(VLOOKUP($C37&amp;L$34,Calc1!$Z$64:$AB$207,3,0),"")</f>
        <v/>
      </c>
      <c r="M37" s="189" t="str">
        <f t="shared" ca="1" si="3"/>
        <v/>
      </c>
    </row>
    <row r="38" spans="2:13" ht="21.95" customHeight="1" x14ac:dyDescent="0.2">
      <c r="B38" s="116" t="str">
        <f ca="1">IF($C38="","",INDEX(Calc1!$E$4:$E$12,MATCH($C38,Calc1!$F$4:$F$12,0)))</f>
        <v/>
      </c>
      <c r="C38" s="126" t="str">
        <f ca="1">IF(Calc1!$K$13=0,"",Calc1!$AM7)</f>
        <v/>
      </c>
      <c r="D38" s="130" t="str">
        <f ca="1">IF($C38="","",VLOOKUP($C38,Calc1!$C$17:$AC$25,25,0))</f>
        <v/>
      </c>
      <c r="E38" s="113" t="str">
        <f ca="1">IF($C38="","",VLOOKUP($C38,Calc1!$C$17:$AC$25,26,0))</f>
        <v/>
      </c>
      <c r="F38" s="524" t="str">
        <f ca="1">IF($C38="","",VLOOKUP(C38,PreliminaryRound!$AO$12:$AQ$37,3,0))</f>
        <v/>
      </c>
      <c r="G38" s="138" t="str">
        <f ca="1">IFERROR(VLOOKUP($C38&amp;G$34,Calc1!$Z$64:$AB$207,3,0),"")</f>
        <v/>
      </c>
      <c r="H38" s="113" t="str">
        <f ca="1">IFERROR(VLOOKUP($C38&amp;H$34,Calc1!$Z$64:$AB$207,3,0),"")</f>
        <v/>
      </c>
      <c r="I38" s="113" t="str">
        <f ca="1">IFERROR(VLOOKUP($C38&amp;I$34,Calc1!$Z$64:$AB$207,3,0),"")</f>
        <v/>
      </c>
      <c r="J38" s="123"/>
      <c r="K38" s="113" t="str">
        <f ca="1">IFERROR(VLOOKUP($C38&amp;K$34,Calc1!$Z$64:$AB$207,3,0),"")</f>
        <v/>
      </c>
      <c r="L38" s="159" t="str">
        <f ca="1">IFERROR(VLOOKUP($C38&amp;L$34,Calc1!$Z$64:$AB$207,3,0),"")</f>
        <v/>
      </c>
      <c r="M38" s="189" t="str">
        <f t="shared" ca="1" si="3"/>
        <v/>
      </c>
    </row>
    <row r="39" spans="2:13" ht="21.95" customHeight="1" x14ac:dyDescent="0.2">
      <c r="B39" s="116" t="str">
        <f ca="1">IF($C39="","",INDEX(Calc1!$E$4:$E$12,MATCH($C39,Calc1!$F$4:$F$12,0)))</f>
        <v/>
      </c>
      <c r="C39" s="126" t="str">
        <f ca="1">IF(Calc1!$K$13=0,"",Calc1!$AM8)</f>
        <v/>
      </c>
      <c r="D39" s="130" t="str">
        <f ca="1">IF($C39="","",VLOOKUP($C39,Calc1!$C$17:$AC$25,25,0))</f>
        <v/>
      </c>
      <c r="E39" s="113" t="str">
        <f ca="1">IF($C39="","",VLOOKUP($C39,Calc1!$C$17:$AC$25,26,0))</f>
        <v/>
      </c>
      <c r="F39" s="524" t="str">
        <f ca="1">IF($C39="","",VLOOKUP(C39,PreliminaryRound!$AO$12:$AQ$37,3,0))</f>
        <v/>
      </c>
      <c r="G39" s="138" t="str">
        <f ca="1">IFERROR(VLOOKUP($C39&amp;G$34,Calc1!$Z$64:$AB$207,3,0),"")</f>
        <v/>
      </c>
      <c r="H39" s="113" t="str">
        <f ca="1">IFERROR(VLOOKUP($C39&amp;H$34,Calc1!$Z$64:$AB$207,3,0),"")</f>
        <v/>
      </c>
      <c r="I39" s="113" t="str">
        <f ca="1">IFERROR(VLOOKUP($C39&amp;I$34,Calc1!$Z$64:$AB$207,3,0),"")</f>
        <v/>
      </c>
      <c r="J39" s="113" t="str">
        <f ca="1">IFERROR(VLOOKUP($C39&amp;J$34,Calc1!$Z$64:$AB$207,3,0),"")</f>
        <v/>
      </c>
      <c r="K39" s="123"/>
      <c r="L39" s="159" t="str">
        <f ca="1">IFERROR(VLOOKUP($C39&amp;L$34,Calc1!$Z$64:$AB$207,3,0),"")</f>
        <v/>
      </c>
      <c r="M39" s="189" t="str">
        <f t="shared" ca="1" si="3"/>
        <v/>
      </c>
    </row>
    <row r="40" spans="2:13" ht="21.95" customHeight="1" thickBot="1" x14ac:dyDescent="0.25">
      <c r="B40" s="117" t="str">
        <f ca="1">IF($C40="","",INDEX(Calc1!$E$4:$E$12,MATCH($C40,Calc1!$F$4:$F$12,0)))</f>
        <v/>
      </c>
      <c r="C40" s="127" t="str">
        <f ca="1">IF(Calc1!$K$13=0,"",Calc1!$AM9)</f>
        <v/>
      </c>
      <c r="D40" s="131" t="str">
        <f ca="1">IF($C40="","",VLOOKUP($C40,Calc1!$C$17:$AC$25,25,0))</f>
        <v/>
      </c>
      <c r="E40" s="114" t="str">
        <f ca="1">IF($C40="","",VLOOKUP($C40,Calc1!$C$17:$AC$25,26,0))</f>
        <v/>
      </c>
      <c r="F40" s="525" t="str">
        <f ca="1">IF($C40="","",VLOOKUP(C40,PreliminaryRound!$AO$12:$AQ$37,3,0))</f>
        <v/>
      </c>
      <c r="G40" s="139" t="str">
        <f ca="1">IFERROR(VLOOKUP($C40&amp;G$34,Calc1!$Z$64:$AB$207,3,0),"")</f>
        <v/>
      </c>
      <c r="H40" s="114" t="str">
        <f ca="1">IFERROR(VLOOKUP($C40&amp;H$34,Calc1!$Z$64:$AB$207,3,0),"")</f>
        <v/>
      </c>
      <c r="I40" s="114" t="str">
        <f ca="1">IFERROR(VLOOKUP($C40&amp;I$34,Calc1!$Z$64:$AB$207,3,0),"")</f>
        <v/>
      </c>
      <c r="J40" s="114" t="str">
        <f ca="1">IFERROR(VLOOKUP($C40&amp;J$34,Calc1!$Z$64:$AB$207,3,0),"")</f>
        <v/>
      </c>
      <c r="K40" s="114" t="str">
        <f ca="1">IFERROR(VLOOKUP($C40&amp;K$34,Calc1!$Z$64:$AB$207,3,0),"")</f>
        <v/>
      </c>
      <c r="L40" s="160"/>
      <c r="M40" s="190"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5"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7" customWidth="1"/>
    <col min="2" max="2" width="4.5703125" style="47" customWidth="1"/>
    <col min="3" max="3" width="32.7109375" style="47" customWidth="1"/>
    <col min="4" max="6" width="11.7109375" style="47" customWidth="1"/>
    <col min="7" max="12" width="6.85546875" style="47" customWidth="1"/>
    <col min="13" max="13" width="32.7109375" style="47" customWidth="1"/>
    <col min="14" max="14" width="4.85546875" style="47" customWidth="1"/>
    <col min="15" max="16384" width="11.42578125" style="47" hidden="1"/>
  </cols>
  <sheetData>
    <row r="1" spans="2:13" x14ac:dyDescent="0.2"/>
    <row r="2" spans="2:13" ht="33.75" x14ac:dyDescent="0.2">
      <c r="B2" s="976" t="str">
        <f>Language!$E$7</f>
        <v>Direct comparisons</v>
      </c>
      <c r="C2" s="976"/>
      <c r="D2" s="976"/>
      <c r="E2" s="976"/>
      <c r="F2" s="976"/>
      <c r="G2" s="976"/>
      <c r="H2" s="976"/>
      <c r="I2" s="976"/>
      <c r="J2" s="976"/>
      <c r="K2" s="976"/>
      <c r="L2" s="976"/>
    </row>
    <row r="3" spans="2:13" ht="42.75" customHeight="1" x14ac:dyDescent="0.2">
      <c r="B3" s="977" t="str">
        <f>Language!$E$56&amp;" B"</f>
        <v>Preliminary round group B</v>
      </c>
      <c r="C3" s="977"/>
      <c r="D3" s="977"/>
      <c r="E3" s="977"/>
      <c r="F3" s="977"/>
      <c r="G3" s="977"/>
      <c r="H3" s="977"/>
      <c r="I3" s="977"/>
      <c r="J3" s="977"/>
      <c r="K3" s="977"/>
      <c r="L3" s="977"/>
    </row>
    <row r="4" spans="2:13" ht="17.25" customHeight="1" x14ac:dyDescent="0.2">
      <c r="B4" s="978" t="str">
        <f>Language!$E$94</f>
        <v>Red font means that the ranking is not clear even with the direct comparison. A playoff match or drawing of lots must decide here.</v>
      </c>
      <c r="C4" s="978"/>
      <c r="D4" s="978"/>
      <c r="E4" s="978"/>
      <c r="F4" s="978"/>
      <c r="G4" s="978"/>
      <c r="H4" s="978"/>
      <c r="I4" s="978"/>
      <c r="J4" s="978"/>
      <c r="K4" s="978"/>
      <c r="L4" s="978"/>
      <c r="M4" s="978"/>
    </row>
    <row r="5" spans="2:13" ht="17.25" customHeight="1" thickBot="1" x14ac:dyDescent="0.25">
      <c r="B5" s="121"/>
      <c r="C5" s="121"/>
      <c r="D5" s="121"/>
      <c r="E5" s="121"/>
      <c r="F5" s="121"/>
      <c r="G5" s="121"/>
      <c r="H5" s="121"/>
      <c r="I5" s="121"/>
      <c r="J5" s="121"/>
      <c r="K5" s="121"/>
      <c r="L5" s="121"/>
    </row>
    <row r="6" spans="2:13" ht="21.95" customHeight="1" thickBot="1" x14ac:dyDescent="0.25">
      <c r="G6" s="150" t="str">
        <f ca="1">IF(LEN(G7)&gt;Settings!$C$11,LEFT(G7,Settings!$C$11)&amp;".",G7)</f>
        <v/>
      </c>
      <c r="H6" s="151" t="str">
        <f ca="1">IF(LEN(H7)&gt;Settings!$C$11,LEFT(H7,Settings!$C$11)&amp;".",H7)</f>
        <v/>
      </c>
      <c r="I6" s="151" t="str">
        <f ca="1">IF(LEN(I7)&gt;Settings!$C$11,LEFT(I7,Settings!$C$11)&amp;".",I7)</f>
        <v/>
      </c>
      <c r="J6" s="151" t="str">
        <f ca="1">IF(LEN(J7)&gt;Settings!$C$11,LEFT(J7,Settings!$C$11)&amp;".",J7)</f>
        <v/>
      </c>
      <c r="K6" s="151" t="str">
        <f ca="1">IF(LEN(K7)&gt;Settings!$C$11,LEFT(K7,Settings!$C$11)&amp;".",K7)</f>
        <v/>
      </c>
      <c r="L6" s="152" t="str">
        <f ca="1">IF(LEN(L7)&gt;Settings!$C$11,LEFT(L7,Settings!$C$11)&amp;".",L7)</f>
        <v/>
      </c>
    </row>
    <row r="7" spans="2:13" ht="21.95" customHeight="1" thickTop="1" thickBot="1" x14ac:dyDescent="0.25">
      <c r="B7" s="118"/>
      <c r="C7" s="124" t="str">
        <f>Language!$E$10</f>
        <v>Participant or team</v>
      </c>
      <c r="D7" s="128" t="str">
        <f>Language!$E$27</f>
        <v>Pts</v>
      </c>
      <c r="E7" s="115" t="str">
        <f>Language!$E$26</f>
        <v>Diff.</v>
      </c>
      <c r="F7" s="153" t="str">
        <f>Language!$E$49</f>
        <v>Tie break</v>
      </c>
      <c r="G7" s="132" t="str">
        <f ca="1">C8</f>
        <v/>
      </c>
      <c r="H7" s="133" t="str">
        <f ca="1">C9</f>
        <v/>
      </c>
      <c r="I7" s="133" t="str">
        <f ca="1">C10</f>
        <v/>
      </c>
      <c r="J7" s="133" t="str">
        <f ca="1">C11</f>
        <v/>
      </c>
      <c r="K7" s="133" t="str">
        <f ca="1">C12</f>
        <v/>
      </c>
      <c r="L7" s="157" t="str">
        <f ca="1">C13</f>
        <v/>
      </c>
    </row>
    <row r="8" spans="2:13" ht="21.95" customHeight="1" x14ac:dyDescent="0.2">
      <c r="B8" s="116" t="str">
        <f ca="1">IF($C8="","",INDEX(Calc2!$E$4:$E$12,MATCH($C8,Calc2!$F$4:$F$12,0)))</f>
        <v/>
      </c>
      <c r="C8" s="125" t="str">
        <f ca="1">IF(Calc2!$K$13=0,"",Calc2!$X4)</f>
        <v/>
      </c>
      <c r="D8" s="129" t="str">
        <f ca="1">IF($C8="","",VLOOKUP($C8,Calc2!$C$17:$AC$25,25,0))</f>
        <v/>
      </c>
      <c r="E8" s="112" t="str">
        <f ca="1">IF($C8="","",VLOOKUP($C8,Calc2!$C$17:$AC$25,26,0))</f>
        <v/>
      </c>
      <c r="F8" s="523" t="str">
        <f ca="1">IF($C8="","",VLOOKUP(C8,PreliminaryRound!$AO$12:$AQ$37,3,0))</f>
        <v/>
      </c>
      <c r="G8" s="137"/>
      <c r="H8" s="112" t="str">
        <f ca="1">IFERROR(VLOOKUP($C8&amp;H$7,Calc2!$Z$64:$AB$207,3,0),"")</f>
        <v/>
      </c>
      <c r="I8" s="112" t="str">
        <f ca="1">IFERROR(VLOOKUP($C8&amp;I$7,Calc2!$Z$64:$AB$207,3,0),"")</f>
        <v/>
      </c>
      <c r="J8" s="112" t="str">
        <f ca="1">IFERROR(VLOOKUP($C8&amp;J$7,Calc2!$Z$64:$AB$207,3,0),"")</f>
        <v/>
      </c>
      <c r="K8" s="112" t="str">
        <f ca="1">IFERROR(VLOOKUP($C8&amp;K$7,Calc2!$Z$64:$AB$207,3,0),"")</f>
        <v/>
      </c>
      <c r="L8" s="158" t="str">
        <f ca="1">IFERROR(VLOOKUP($C8&amp;L$7,Calc2!$Z$64:$AB$207,3,0),"")</f>
        <v/>
      </c>
      <c r="M8" s="188" t="str">
        <f t="shared" ref="M8:M13" ca="1" si="0">C8</f>
        <v/>
      </c>
    </row>
    <row r="9" spans="2:13" ht="21.95" customHeight="1" x14ac:dyDescent="0.2">
      <c r="B9" s="116" t="str">
        <f ca="1">IF($C9="","",INDEX(Calc2!$E$4:$E$12,MATCH($C9,Calc2!$F$4:$F$12,0)))</f>
        <v/>
      </c>
      <c r="C9" s="126" t="str">
        <f ca="1">IF(Calc2!$K$13=0,"",Calc2!$X5)</f>
        <v/>
      </c>
      <c r="D9" s="130" t="str">
        <f ca="1">IF($C9="","",VLOOKUP($C9,Calc2!$C$17:$AC$25,25,0))</f>
        <v/>
      </c>
      <c r="E9" s="113" t="str">
        <f ca="1">IF($C9="","",VLOOKUP($C9,Calc2!$C$17:$AC$25,26,0))</f>
        <v/>
      </c>
      <c r="F9" s="524" t="str">
        <f ca="1">IF($C9="","",VLOOKUP(C9,PreliminaryRound!$AO$12:$AQ$37,3,0))</f>
        <v/>
      </c>
      <c r="G9" s="138" t="str">
        <f ca="1">IFERROR(VLOOKUP($C9&amp;G$7,Calc2!$Z$64:$AB$207,3,0),"")</f>
        <v/>
      </c>
      <c r="H9" s="123"/>
      <c r="I9" s="113" t="str">
        <f ca="1">IFERROR(VLOOKUP($C9&amp;I$7,Calc2!$Z$64:$AB$207,3,0),"")</f>
        <v/>
      </c>
      <c r="J9" s="113" t="str">
        <f ca="1">IFERROR(VLOOKUP($C9&amp;J$7,Calc2!$Z$64:$AB$207,3,0),"")</f>
        <v/>
      </c>
      <c r="K9" s="113" t="str">
        <f ca="1">IFERROR(VLOOKUP($C9&amp;K$7,Calc2!$Z$64:$AB$207,3,0),"")</f>
        <v/>
      </c>
      <c r="L9" s="159" t="str">
        <f ca="1">IFERROR(VLOOKUP($C9&amp;L$7,Calc2!$Z$64:$AB$207,3,0),"")</f>
        <v/>
      </c>
      <c r="M9" s="189" t="str">
        <f t="shared" ca="1" si="0"/>
        <v/>
      </c>
    </row>
    <row r="10" spans="2:13" ht="21.95" customHeight="1" x14ac:dyDescent="0.2">
      <c r="B10" s="116" t="str">
        <f ca="1">IF($C10="","",INDEX(Calc2!$E$4:$E$12,MATCH($C10,Calc2!$F$4:$F$12,0)))</f>
        <v/>
      </c>
      <c r="C10" s="126" t="str">
        <f ca="1">IF(Calc2!$K$13=0,"",Calc2!$X6)</f>
        <v/>
      </c>
      <c r="D10" s="130" t="str">
        <f ca="1">IF($C10="","",VLOOKUP($C10,Calc2!$C$17:$AC$25,25,0))</f>
        <v/>
      </c>
      <c r="E10" s="113" t="str">
        <f ca="1">IF($C10="","",VLOOKUP($C10,Calc2!$C$17:$AC$25,26,0))</f>
        <v/>
      </c>
      <c r="F10" s="524" t="str">
        <f ca="1">IF($C10="","",VLOOKUP(C10,PreliminaryRound!$AO$12:$AQ$37,3,0))</f>
        <v/>
      </c>
      <c r="G10" s="138" t="str">
        <f ca="1">IFERROR(VLOOKUP($C10&amp;G$7,Calc2!$Z$64:$AB$207,3,0),"")</f>
        <v/>
      </c>
      <c r="H10" s="113" t="str">
        <f ca="1">IFERROR(VLOOKUP($C10&amp;H$7,Calc2!$Z$64:$AB$207,3,0),"")</f>
        <v/>
      </c>
      <c r="I10" s="123"/>
      <c r="J10" s="113" t="str">
        <f ca="1">IFERROR(VLOOKUP($C10&amp;J$7,Calc2!$Z$64:$AB$207,3,0),"")</f>
        <v/>
      </c>
      <c r="K10" s="113" t="str">
        <f ca="1">IFERROR(VLOOKUP($C10&amp;K$7,Calc2!$Z$64:$AB$207,3,0),"")</f>
        <v/>
      </c>
      <c r="L10" s="159" t="str">
        <f ca="1">IFERROR(VLOOKUP($C10&amp;L$7,Calc2!$Z$64:$AB$207,3,0),"")</f>
        <v/>
      </c>
      <c r="M10" s="189" t="str">
        <f t="shared" ca="1" si="0"/>
        <v/>
      </c>
    </row>
    <row r="11" spans="2:13" ht="21.95" customHeight="1" x14ac:dyDescent="0.2">
      <c r="B11" s="116" t="str">
        <f ca="1">IF($C11="","",INDEX(Calc2!$E$4:$E$12,MATCH($C11,Calc2!$F$4:$F$12,0)))</f>
        <v/>
      </c>
      <c r="C11" s="126" t="str">
        <f ca="1">IF(Calc2!$K$13=0,"",Calc2!$X7)</f>
        <v/>
      </c>
      <c r="D11" s="130" t="str">
        <f ca="1">IF($C11="","",VLOOKUP($C11,Calc2!$C$17:$AC$25,25,0))</f>
        <v/>
      </c>
      <c r="E11" s="113" t="str">
        <f ca="1">IF($C11="","",VLOOKUP($C11,Calc2!$C$17:$AC$25,26,0))</f>
        <v/>
      </c>
      <c r="F11" s="524" t="str">
        <f ca="1">IF($C11="","",VLOOKUP(C11,PreliminaryRound!$AO$12:$AQ$37,3,0))</f>
        <v/>
      </c>
      <c r="G11" s="138" t="str">
        <f ca="1">IFERROR(VLOOKUP($C11&amp;G$7,Calc2!$Z$64:$AB$207,3,0),"")</f>
        <v/>
      </c>
      <c r="H11" s="113" t="str">
        <f ca="1">IFERROR(VLOOKUP($C11&amp;H$7,Calc2!$Z$64:$AB$207,3,0),"")</f>
        <v/>
      </c>
      <c r="I11" s="113" t="str">
        <f ca="1">IFERROR(VLOOKUP($C11&amp;I$7,Calc2!$Z$64:$AB$207,3,0),"")</f>
        <v/>
      </c>
      <c r="J11" s="123"/>
      <c r="K11" s="113" t="str">
        <f ca="1">IFERROR(VLOOKUP($C11&amp;K$7,Calc2!$Z$64:$AB$207,3,0),"")</f>
        <v/>
      </c>
      <c r="L11" s="159" t="str">
        <f ca="1">IFERROR(VLOOKUP($C11&amp;L$7,Calc2!$Z$64:$AB$207,3,0),"")</f>
        <v/>
      </c>
      <c r="M11" s="189" t="str">
        <f t="shared" ca="1" si="0"/>
        <v/>
      </c>
    </row>
    <row r="12" spans="2:13" ht="21.95" customHeight="1" x14ac:dyDescent="0.2">
      <c r="B12" s="116" t="str">
        <f ca="1">IF($C12="","",INDEX(Calc2!$E$4:$E$12,MATCH($C12,Calc2!$F$4:$F$12,0)))</f>
        <v/>
      </c>
      <c r="C12" s="126" t="str">
        <f ca="1">IF(Calc2!$K$13=0,"",Calc2!$X8)</f>
        <v/>
      </c>
      <c r="D12" s="130" t="str">
        <f ca="1">IF($C12="","",VLOOKUP($C12,Calc2!$C$17:$AC$25,25,0))</f>
        <v/>
      </c>
      <c r="E12" s="113" t="str">
        <f ca="1">IF($C12="","",VLOOKUP($C12,Calc2!$C$17:$AC$25,26,0))</f>
        <v/>
      </c>
      <c r="F12" s="524" t="str">
        <f ca="1">IF($C12="","",VLOOKUP(C12,PreliminaryRound!$AO$12:$AQ$37,3,0))</f>
        <v/>
      </c>
      <c r="G12" s="138" t="str">
        <f ca="1">IFERROR(VLOOKUP($C12&amp;G$7,Calc2!$Z$64:$AB$207,3,0),"")</f>
        <v/>
      </c>
      <c r="H12" s="113" t="str">
        <f ca="1">IFERROR(VLOOKUP($C12&amp;H$7,Calc2!$Z$64:$AB$207,3,0),"")</f>
        <v/>
      </c>
      <c r="I12" s="113" t="str">
        <f ca="1">IFERROR(VLOOKUP($C12&amp;I$7,Calc2!$Z$64:$AB$207,3,0),"")</f>
        <v/>
      </c>
      <c r="J12" s="113" t="str">
        <f ca="1">IFERROR(VLOOKUP($C12&amp;J$7,Calc2!$Z$64:$AB$207,3,0),"")</f>
        <v/>
      </c>
      <c r="K12" s="123"/>
      <c r="L12" s="159" t="str">
        <f ca="1">IFERROR(VLOOKUP($C12&amp;L$7,Calc2!$Z$64:$AB$207,3,0),"")</f>
        <v/>
      </c>
      <c r="M12" s="189" t="str">
        <f t="shared" ca="1" si="0"/>
        <v/>
      </c>
    </row>
    <row r="13" spans="2:13" ht="21.95" customHeight="1" thickBot="1" x14ac:dyDescent="0.25">
      <c r="B13" s="117" t="str">
        <f ca="1">IF($C13="","",INDEX(Calc2!$E$4:$E$12,MATCH($C13,Calc2!$F$4:$F$12,0)))</f>
        <v/>
      </c>
      <c r="C13" s="127" t="str">
        <f ca="1">IF(Calc2!$K$13=0,"",Calc2!$X9)</f>
        <v/>
      </c>
      <c r="D13" s="131" t="str">
        <f ca="1">IF($C13="","",VLOOKUP($C13,Calc2!$C$17:$AC$25,25,0))</f>
        <v/>
      </c>
      <c r="E13" s="114" t="str">
        <f ca="1">IF($C13="","",VLOOKUP($C13,Calc2!$C$17:$AC$25,26,0))</f>
        <v/>
      </c>
      <c r="F13" s="525" t="str">
        <f ca="1">IF($C13="","",VLOOKUP(C13,PreliminaryRound!$AO$12:$AQ$37,3,0))</f>
        <v/>
      </c>
      <c r="G13" s="139" t="str">
        <f ca="1">IFERROR(VLOOKUP($C13&amp;G$7,Calc2!$Z$64:$AB$207,3,0),"")</f>
        <v/>
      </c>
      <c r="H13" s="114" t="str">
        <f ca="1">IFERROR(VLOOKUP($C13&amp;H$7,Calc2!$Z$64:$AB$207,3,0),"")</f>
        <v/>
      </c>
      <c r="I13" s="114" t="str">
        <f ca="1">IFERROR(VLOOKUP($C13&amp;I$7,Calc2!$Z$64:$AB$207,3,0),"")</f>
        <v/>
      </c>
      <c r="J13" s="114" t="str">
        <f ca="1">IFERROR(VLOOKUP($C13&amp;J$7,Calc2!$Z$64:$AB$207,3,0),"")</f>
        <v/>
      </c>
      <c r="K13" s="114" t="str">
        <f ca="1">IFERROR(VLOOKUP($C13&amp;K$7,Calc2!$Z$64:$AB$207,3,0),"")</f>
        <v/>
      </c>
      <c r="L13" s="160"/>
      <c r="M13" s="190" t="str">
        <f t="shared" ca="1" si="0"/>
        <v/>
      </c>
    </row>
    <row r="14" spans="2:13" ht="42.75" customHeight="1" thickTop="1" thickBot="1" x14ac:dyDescent="0.25">
      <c r="B14" s="134"/>
      <c r="C14" s="135"/>
      <c r="D14" s="136"/>
      <c r="E14" s="122"/>
      <c r="F14" s="122"/>
      <c r="G14" s="122"/>
      <c r="H14" s="122"/>
      <c r="I14" s="122"/>
      <c r="J14" s="122"/>
      <c r="K14" s="122"/>
      <c r="L14" s="122"/>
    </row>
    <row r="15" spans="2:13" ht="21.95" customHeight="1" thickBot="1" x14ac:dyDescent="0.25">
      <c r="G15" s="150" t="str">
        <f ca="1">IF(LEN(G16)&gt;Settings!$C$11,LEFT(G16,Settings!$C$11)&amp;".",G16)</f>
        <v/>
      </c>
      <c r="H15" s="151" t="str">
        <f ca="1">IF(LEN(H16)&gt;Settings!$C$11,LEFT(H16,Settings!$C$11)&amp;".",H16)</f>
        <v/>
      </c>
      <c r="I15" s="151" t="str">
        <f ca="1">IF(LEN(I16)&gt;Settings!$C$11,LEFT(I16,Settings!$C$11)&amp;".",I16)</f>
        <v/>
      </c>
      <c r="J15" s="151" t="str">
        <f ca="1">IF(LEN(J16)&gt;Settings!$C$11,LEFT(J16,Settings!$C$11)&amp;".",J16)</f>
        <v/>
      </c>
      <c r="K15" s="151" t="str">
        <f ca="1">IF(LEN(K16)&gt;Settings!$C$11,LEFT(K16,Settings!$C$11)&amp;".",K16)</f>
        <v/>
      </c>
      <c r="L15" s="152" t="str">
        <f ca="1">IF(LEN(L16)&gt;Settings!$C$11,LEFT(L16,Settings!$C$11)&amp;".",L16)</f>
        <v/>
      </c>
    </row>
    <row r="16" spans="2:13" ht="21.95" customHeight="1" thickTop="1" thickBot="1" x14ac:dyDescent="0.25">
      <c r="B16" s="118"/>
      <c r="C16" s="124" t="str">
        <f>Language!$E$10</f>
        <v>Participant or team</v>
      </c>
      <c r="D16" s="128" t="str">
        <f>Language!$E$27</f>
        <v>Pts</v>
      </c>
      <c r="E16" s="115" t="str">
        <f>Language!$E$26</f>
        <v>Diff.</v>
      </c>
      <c r="F16" s="153" t="str">
        <f>Language!$E$49</f>
        <v>Tie break</v>
      </c>
      <c r="G16" s="132" t="str">
        <f ca="1">C17</f>
        <v/>
      </c>
      <c r="H16" s="133" t="str">
        <f ca="1">C18</f>
        <v/>
      </c>
      <c r="I16" s="133" t="str">
        <f ca="1">C19</f>
        <v/>
      </c>
      <c r="J16" s="133" t="str">
        <f ca="1">C20</f>
        <v/>
      </c>
      <c r="K16" s="133" t="str">
        <f ca="1">C21</f>
        <v/>
      </c>
      <c r="L16" s="157" t="str">
        <f ca="1">C22</f>
        <v/>
      </c>
    </row>
    <row r="17" spans="2:13" ht="21.95" customHeight="1" x14ac:dyDescent="0.2">
      <c r="B17" s="116" t="str">
        <f ca="1">IF($C17="","",INDEX(Calc2!$E$4:$E$12,MATCH($C17,Calc2!$F$4:$F$12,0)))</f>
        <v/>
      </c>
      <c r="C17" s="125" t="str">
        <f ca="1">IF(Calc2!$K$13=0,"",Calc2!$AC4)</f>
        <v/>
      </c>
      <c r="D17" s="129" t="str">
        <f ca="1">IF($C17="","",VLOOKUP($C17,Calc2!$C$17:$AC$25,25,0))</f>
        <v/>
      </c>
      <c r="E17" s="112" t="str">
        <f ca="1">IF($C17="","",VLOOKUP($C17,Calc2!$C$17:$AC$25,26,0))</f>
        <v/>
      </c>
      <c r="F17" s="523" t="str">
        <f ca="1">IF($C17="","",VLOOKUP(C17,PreliminaryRound!$AO$12:$AQ$37,3,0))</f>
        <v/>
      </c>
      <c r="G17" s="137"/>
      <c r="H17" s="112" t="str">
        <f ca="1">IFERROR(VLOOKUP($C17&amp;H$16,Calc2!$Z$64:$AB$207,3,0),"")</f>
        <v/>
      </c>
      <c r="I17" s="112" t="str">
        <f ca="1">IFERROR(VLOOKUP($C17&amp;I$16,Calc2!$Z$64:$AB$207,3,0),"")</f>
        <v/>
      </c>
      <c r="J17" s="112" t="str">
        <f ca="1">IFERROR(VLOOKUP($C17&amp;J$16,Calc2!$Z$64:$AB$207,3,0),"")</f>
        <v/>
      </c>
      <c r="K17" s="112" t="str">
        <f ca="1">IFERROR(VLOOKUP($C17&amp;K$16,Calc2!$Z$64:$AB$207,3,0),"")</f>
        <v/>
      </c>
      <c r="L17" s="158" t="str">
        <f ca="1">IFERROR(VLOOKUP($C17&amp;L$16,Calc2!$Z$64:$AB$207,3,0),"")</f>
        <v/>
      </c>
      <c r="M17" s="188" t="str">
        <f t="shared" ref="M17:M22" ca="1" si="1">C17</f>
        <v/>
      </c>
    </row>
    <row r="18" spans="2:13" ht="21.95" customHeight="1" x14ac:dyDescent="0.2">
      <c r="B18" s="116" t="str">
        <f ca="1">IF($C18="","",INDEX(Calc2!$E$4:$E$12,MATCH($C18,Calc2!$F$4:$F$12,0)))</f>
        <v/>
      </c>
      <c r="C18" s="126" t="str">
        <f ca="1">IF(Calc2!$K$13=0,"",Calc2!$AC5)</f>
        <v/>
      </c>
      <c r="D18" s="130" t="str">
        <f ca="1">IF($C18="","",VLOOKUP($C18,Calc2!$C$17:$AC$25,25,0))</f>
        <v/>
      </c>
      <c r="E18" s="113" t="str">
        <f ca="1">IF($C18="","",VLOOKUP($C18,Calc2!$C$17:$AC$25,26,0))</f>
        <v/>
      </c>
      <c r="F18" s="524" t="str">
        <f ca="1">IF($C18="","",VLOOKUP(C18,PreliminaryRound!$AO$12:$AQ$37,3,0))</f>
        <v/>
      </c>
      <c r="G18" s="138" t="str">
        <f ca="1">IFERROR(VLOOKUP($C18&amp;G$16,Calc2!$Z$64:$AB$207,3,0),"")</f>
        <v/>
      </c>
      <c r="H18" s="123"/>
      <c r="I18" s="113" t="str">
        <f ca="1">IFERROR(VLOOKUP($C18&amp;I$16,Calc2!$Z$64:$AB$207,3,0),"")</f>
        <v/>
      </c>
      <c r="J18" s="113" t="str">
        <f ca="1">IFERROR(VLOOKUP($C18&amp;J$16,Calc2!$Z$64:$AB$207,3,0),"")</f>
        <v/>
      </c>
      <c r="K18" s="113" t="str">
        <f ca="1">IFERROR(VLOOKUP($C18&amp;K$16,Calc2!$Z$64:$AB$207,3,0),"")</f>
        <v/>
      </c>
      <c r="L18" s="159" t="str">
        <f ca="1">IFERROR(VLOOKUP($C18&amp;L$16,Calc2!$Z$64:$AB$207,3,0),"")</f>
        <v/>
      </c>
      <c r="M18" s="189" t="str">
        <f t="shared" ca="1" si="1"/>
        <v/>
      </c>
    </row>
    <row r="19" spans="2:13" ht="21.95" customHeight="1" x14ac:dyDescent="0.2">
      <c r="B19" s="116" t="str">
        <f ca="1">IF($C19="","",INDEX(Calc2!$E$4:$E$12,MATCH($C19,Calc2!$F$4:$F$12,0)))</f>
        <v/>
      </c>
      <c r="C19" s="126" t="str">
        <f ca="1">IF(Calc2!$K$13=0,"",Calc2!$AC6)</f>
        <v/>
      </c>
      <c r="D19" s="130" t="str">
        <f ca="1">IF($C19="","",VLOOKUP($C19,Calc2!$C$17:$AC$25,25,0))</f>
        <v/>
      </c>
      <c r="E19" s="113" t="str">
        <f ca="1">IF($C19="","",VLOOKUP($C19,Calc2!$C$17:$AC$25,26,0))</f>
        <v/>
      </c>
      <c r="F19" s="524" t="str">
        <f ca="1">IF($C19="","",VLOOKUP(C19,PreliminaryRound!$AO$12:$AQ$37,3,0))</f>
        <v/>
      </c>
      <c r="G19" s="138" t="str">
        <f ca="1">IFERROR(VLOOKUP($C19&amp;G$16,Calc2!$Z$64:$AB$207,3,0),"")</f>
        <v/>
      </c>
      <c r="H19" s="113" t="str">
        <f ca="1">IFERROR(VLOOKUP($C19&amp;H$16,Calc2!$Z$64:$AB$207,3,0),"")</f>
        <v/>
      </c>
      <c r="I19" s="123"/>
      <c r="J19" s="113" t="str">
        <f ca="1">IFERROR(VLOOKUP($C19&amp;J$16,Calc2!$Z$64:$AB$207,3,0),"")</f>
        <v/>
      </c>
      <c r="K19" s="113" t="str">
        <f ca="1">IFERROR(VLOOKUP($C19&amp;K$16,Calc2!$Z$64:$AB$207,3,0),"")</f>
        <v/>
      </c>
      <c r="L19" s="159" t="str">
        <f ca="1">IFERROR(VLOOKUP($C19&amp;L$16,Calc2!$Z$64:$AB$207,3,0),"")</f>
        <v/>
      </c>
      <c r="M19" s="189" t="str">
        <f t="shared" ca="1" si="1"/>
        <v/>
      </c>
    </row>
    <row r="20" spans="2:13" ht="21.95" customHeight="1" x14ac:dyDescent="0.2">
      <c r="B20" s="116" t="str">
        <f ca="1">IF($C20="","",INDEX(Calc2!$E$4:$E$12,MATCH($C20,Calc2!$F$4:$F$12,0)))</f>
        <v/>
      </c>
      <c r="C20" s="126" t="str">
        <f ca="1">IF(Calc2!$K$13=0,"",Calc2!$AC7)</f>
        <v/>
      </c>
      <c r="D20" s="130" t="str">
        <f ca="1">IF($C20="","",VLOOKUP($C20,Calc2!$C$17:$AC$25,25,0))</f>
        <v/>
      </c>
      <c r="E20" s="113" t="str">
        <f ca="1">IF($C20="","",VLOOKUP($C20,Calc2!$C$17:$AC$25,26,0))</f>
        <v/>
      </c>
      <c r="F20" s="524" t="str">
        <f ca="1">IF($C20="","",VLOOKUP(C20,PreliminaryRound!$AO$12:$AQ$37,3,0))</f>
        <v/>
      </c>
      <c r="G20" s="138" t="str">
        <f ca="1">IFERROR(VLOOKUP($C20&amp;G$16,Calc2!$Z$64:$AB$207,3,0),"")</f>
        <v/>
      </c>
      <c r="H20" s="113" t="str">
        <f ca="1">IFERROR(VLOOKUP($C20&amp;H$16,Calc2!$Z$64:$AB$207,3,0),"")</f>
        <v/>
      </c>
      <c r="I20" s="113" t="str">
        <f ca="1">IFERROR(VLOOKUP($C20&amp;I$16,Calc2!$Z$64:$AB$207,3,0),"")</f>
        <v/>
      </c>
      <c r="J20" s="123"/>
      <c r="K20" s="113" t="str">
        <f ca="1">IFERROR(VLOOKUP($C20&amp;K$16,Calc2!$Z$64:$AB$207,3,0),"")</f>
        <v/>
      </c>
      <c r="L20" s="159" t="str">
        <f ca="1">IFERROR(VLOOKUP($C20&amp;L$16,Calc2!$Z$64:$AB$207,3,0),"")</f>
        <v/>
      </c>
      <c r="M20" s="189" t="str">
        <f t="shared" ca="1" si="1"/>
        <v/>
      </c>
    </row>
    <row r="21" spans="2:13" ht="21.95" customHeight="1" x14ac:dyDescent="0.2">
      <c r="B21" s="116" t="str">
        <f ca="1">IF($C21="","",INDEX(Calc2!$E$4:$E$12,MATCH($C21,Calc2!$F$4:$F$12,0)))</f>
        <v/>
      </c>
      <c r="C21" s="126" t="str">
        <f ca="1">IF(Calc2!$K$13=0,"",Calc2!$AC8)</f>
        <v/>
      </c>
      <c r="D21" s="130" t="str">
        <f ca="1">IF($C21="","",VLOOKUP($C21,Calc2!$C$17:$AC$25,25,0))</f>
        <v/>
      </c>
      <c r="E21" s="113" t="str">
        <f ca="1">IF($C21="","",VLOOKUP($C21,Calc2!$C$17:$AC$25,26,0))</f>
        <v/>
      </c>
      <c r="F21" s="524" t="str">
        <f ca="1">IF($C21="","",VLOOKUP(C21,PreliminaryRound!$AO$12:$AQ$37,3,0))</f>
        <v/>
      </c>
      <c r="G21" s="138" t="str">
        <f ca="1">IFERROR(VLOOKUP($C21&amp;G$16,Calc2!$Z$64:$AB$207,3,0),"")</f>
        <v/>
      </c>
      <c r="H21" s="113" t="str">
        <f ca="1">IFERROR(VLOOKUP($C21&amp;H$16,Calc2!$Z$64:$AB$207,3,0),"")</f>
        <v/>
      </c>
      <c r="I21" s="113" t="str">
        <f ca="1">IFERROR(VLOOKUP($C21&amp;I$16,Calc2!$Z$64:$AB$207,3,0),"")</f>
        <v/>
      </c>
      <c r="J21" s="113" t="str">
        <f ca="1">IFERROR(VLOOKUP($C21&amp;J$16,Calc2!$Z$64:$AB$207,3,0),"")</f>
        <v/>
      </c>
      <c r="K21" s="123"/>
      <c r="L21" s="159" t="str">
        <f ca="1">IFERROR(VLOOKUP($C21&amp;L$16,Calc2!$Z$64:$AB$207,3,0),"")</f>
        <v/>
      </c>
      <c r="M21" s="189" t="str">
        <f t="shared" ca="1" si="1"/>
        <v/>
      </c>
    </row>
    <row r="22" spans="2:13" ht="21.95" customHeight="1" thickBot="1" x14ac:dyDescent="0.25">
      <c r="B22" s="117" t="str">
        <f ca="1">IF($C22="","",INDEX(Calc2!$E$4:$E$12,MATCH($C22,Calc2!$F$4:$F$12,0)))</f>
        <v/>
      </c>
      <c r="C22" s="127" t="str">
        <f ca="1">IF(Calc2!$K$13=0,"",Calc2!$AC9)</f>
        <v/>
      </c>
      <c r="D22" s="131" t="str">
        <f ca="1">IF($C22="","",VLOOKUP($C22,Calc2!$C$17:$AC$25,25,0))</f>
        <v/>
      </c>
      <c r="E22" s="114" t="str">
        <f ca="1">IF($C22="","",VLOOKUP($C22,Calc2!$C$17:$AC$25,26,0))</f>
        <v/>
      </c>
      <c r="F22" s="525" t="str">
        <f ca="1">IF($C22="","",VLOOKUP(C22,PreliminaryRound!$AO$12:$AQ$37,3,0))</f>
        <v/>
      </c>
      <c r="G22" s="139" t="str">
        <f ca="1">IFERROR(VLOOKUP($C22&amp;G$16,Calc2!$Z$64:$AB$207,3,0),"")</f>
        <v/>
      </c>
      <c r="H22" s="114" t="str">
        <f ca="1">IFERROR(VLOOKUP($C22&amp;H$16,Calc2!$Z$64:$AB$207,3,0),"")</f>
        <v/>
      </c>
      <c r="I22" s="114" t="str">
        <f ca="1">IFERROR(VLOOKUP($C22&amp;I$16,Calc2!$Z$64:$AB$207,3,0),"")</f>
        <v/>
      </c>
      <c r="J22" s="114" t="str">
        <f ca="1">IFERROR(VLOOKUP($C22&amp;J$16,Calc2!$Z$64:$AB$207,3,0),"")</f>
        <v/>
      </c>
      <c r="K22" s="114" t="str">
        <f ca="1">IFERROR(VLOOKUP($C22&amp;K$16,Calc2!$Z$64:$AB$207,3,0),"")</f>
        <v/>
      </c>
      <c r="L22" s="160"/>
      <c r="M22" s="190" t="str">
        <f t="shared" ca="1" si="1"/>
        <v/>
      </c>
    </row>
    <row r="23" spans="2:13" ht="42.75" customHeight="1" thickTop="1" thickBot="1" x14ac:dyDescent="0.25">
      <c r="B23" s="134"/>
      <c r="C23" s="135"/>
      <c r="D23" s="136"/>
      <c r="E23" s="122"/>
      <c r="F23" s="122"/>
      <c r="G23" s="122"/>
      <c r="H23" s="122"/>
      <c r="I23" s="122"/>
      <c r="J23" s="122"/>
      <c r="K23" s="122"/>
      <c r="L23" s="122"/>
    </row>
    <row r="24" spans="2:13" ht="21.95" customHeight="1" thickBot="1" x14ac:dyDescent="0.25">
      <c r="G24" s="150" t="str">
        <f ca="1">IF(LEN(G25)&gt;Settings!$C$11,LEFT(G25,Settings!$C$11)&amp;".",G25)</f>
        <v/>
      </c>
      <c r="H24" s="151" t="str">
        <f ca="1">IF(LEN(H25)&gt;Settings!$C$11,LEFT(H25,Settings!$C$11)&amp;".",H25)</f>
        <v/>
      </c>
      <c r="I24" s="151" t="str">
        <f ca="1">IF(LEN(I25)&gt;Settings!$C$11,LEFT(I25,Settings!$C$11)&amp;".",I25)</f>
        <v/>
      </c>
      <c r="J24" s="151" t="str">
        <f ca="1">IF(LEN(J25)&gt;Settings!$C$11,LEFT(J25,Settings!$C$11)&amp;".",J25)</f>
        <v/>
      </c>
      <c r="K24" s="151" t="str">
        <f ca="1">IF(LEN(K25)&gt;Settings!$C$11,LEFT(K25,Settings!$C$11)&amp;".",K25)</f>
        <v/>
      </c>
      <c r="L24" s="152" t="str">
        <f ca="1">IF(LEN(L25)&gt;Settings!$C$11,LEFT(L25,Settings!$C$11)&amp;".",L25)</f>
        <v/>
      </c>
    </row>
    <row r="25" spans="2:13" ht="21.95" customHeight="1" thickTop="1" thickBot="1" x14ac:dyDescent="0.25">
      <c r="B25" s="118"/>
      <c r="C25" s="124" t="str">
        <f>Language!$E$10</f>
        <v>Participant or team</v>
      </c>
      <c r="D25" s="128" t="str">
        <f>Language!$E$27</f>
        <v>Pts</v>
      </c>
      <c r="E25" s="115" t="str">
        <f>Language!$E$26</f>
        <v>Diff.</v>
      </c>
      <c r="F25" s="153" t="str">
        <f>Language!$E$49</f>
        <v>Tie break</v>
      </c>
      <c r="G25" s="132" t="str">
        <f ca="1">C26</f>
        <v/>
      </c>
      <c r="H25" s="133" t="str">
        <f ca="1">C27</f>
        <v/>
      </c>
      <c r="I25" s="133" t="str">
        <f ca="1">C28</f>
        <v/>
      </c>
      <c r="J25" s="133" t="str">
        <f ca="1">C29</f>
        <v/>
      </c>
      <c r="K25" s="133" t="str">
        <f ca="1">C30</f>
        <v/>
      </c>
      <c r="L25" s="157" t="str">
        <f ca="1">C31</f>
        <v/>
      </c>
    </row>
    <row r="26" spans="2:13" ht="21.95" customHeight="1" x14ac:dyDescent="0.2">
      <c r="B26" s="116" t="str">
        <f ca="1">IF($C26="","",INDEX(Calc2!$E$4:$E$12,MATCH($C26,Calc2!$F$4:$F$12,0)))</f>
        <v/>
      </c>
      <c r="C26" s="125" t="str">
        <f ca="1">IF(Calc2!$K$13=0,"",Calc2!$AH4)</f>
        <v/>
      </c>
      <c r="D26" s="129" t="str">
        <f ca="1">IF($C26="","",VLOOKUP($C26,Calc2!$C$17:$AC$25,25,0))</f>
        <v/>
      </c>
      <c r="E26" s="112" t="str">
        <f ca="1">IF($C26="","",VLOOKUP($C26,Calc2!$C$17:$AC$25,26,0))</f>
        <v/>
      </c>
      <c r="F26" s="523" t="str">
        <f ca="1">IF($C26="","",VLOOKUP(C26,PreliminaryRound!$AO$12:$AQ$37,3,0))</f>
        <v/>
      </c>
      <c r="G26" s="137"/>
      <c r="H26" s="112" t="str">
        <f ca="1">IFERROR(VLOOKUP($C26&amp;H$25,Calc2!$Z$64:$AB$207,3,0),"")</f>
        <v/>
      </c>
      <c r="I26" s="112" t="str">
        <f ca="1">IFERROR(VLOOKUP($C26&amp;I$25,Calc2!$Z$64:$AB$207,3,0),"")</f>
        <v/>
      </c>
      <c r="J26" s="112" t="str">
        <f ca="1">IFERROR(VLOOKUP($C26&amp;J$25,Calc2!$Z$64:$AB$207,3,0),"")</f>
        <v/>
      </c>
      <c r="K26" s="112" t="str">
        <f ca="1">IFERROR(VLOOKUP($C26&amp;K$25,Calc2!$Z$64:$AB$207,3,0),"")</f>
        <v/>
      </c>
      <c r="L26" s="158" t="str">
        <f ca="1">IFERROR(VLOOKUP($C26&amp;L$25,Calc2!$Z$64:$AB$207,3,0),"")</f>
        <v/>
      </c>
      <c r="M26" s="188" t="str">
        <f t="shared" ref="M26:M31" ca="1" si="2">C26</f>
        <v/>
      </c>
    </row>
    <row r="27" spans="2:13" ht="21.95" customHeight="1" x14ac:dyDescent="0.2">
      <c r="B27" s="116" t="str">
        <f ca="1">IF($C27="","",INDEX(Calc2!$E$4:$E$12,MATCH($C27,Calc2!$F$4:$F$12,0)))</f>
        <v/>
      </c>
      <c r="C27" s="126" t="str">
        <f ca="1">IF(Calc2!$K$13=0,"",Calc2!$AH5)</f>
        <v/>
      </c>
      <c r="D27" s="130" t="str">
        <f ca="1">IF($C27="","",VLOOKUP($C27,Calc2!$C$17:$AC$25,25,0))</f>
        <v/>
      </c>
      <c r="E27" s="113" t="str">
        <f ca="1">IF($C27="","",VLOOKUP($C27,Calc2!$C$17:$AC$25,26,0))</f>
        <v/>
      </c>
      <c r="F27" s="524" t="str">
        <f ca="1">IF($C27="","",VLOOKUP(C27,PreliminaryRound!$AO$12:$AQ$37,3,0))</f>
        <v/>
      </c>
      <c r="G27" s="138" t="str">
        <f ca="1">IFERROR(VLOOKUP($C27&amp;G$25,Calc2!$Z$64:$AB$207,3,0),"")</f>
        <v/>
      </c>
      <c r="H27" s="123"/>
      <c r="I27" s="113" t="str">
        <f ca="1">IFERROR(VLOOKUP($C27&amp;I$25,Calc2!$Z$64:$AB$207,3,0),"")</f>
        <v/>
      </c>
      <c r="J27" s="113" t="str">
        <f ca="1">IFERROR(VLOOKUP($C27&amp;J$25,Calc2!$Z$64:$AB$207,3,0),"")</f>
        <v/>
      </c>
      <c r="K27" s="113" t="str">
        <f ca="1">IFERROR(VLOOKUP($C27&amp;K$25,Calc2!$Z$64:$AB$207,3,0),"")</f>
        <v/>
      </c>
      <c r="L27" s="159" t="str">
        <f ca="1">IFERROR(VLOOKUP($C27&amp;L$25,Calc2!$Z$64:$AB$207,3,0),"")</f>
        <v/>
      </c>
      <c r="M27" s="189" t="str">
        <f t="shared" ca="1" si="2"/>
        <v/>
      </c>
    </row>
    <row r="28" spans="2:13" ht="21.95" customHeight="1" x14ac:dyDescent="0.2">
      <c r="B28" s="116" t="str">
        <f ca="1">IF($C28="","",INDEX(Calc2!$E$4:$E$12,MATCH($C28,Calc2!$F$4:$F$12,0)))</f>
        <v/>
      </c>
      <c r="C28" s="126" t="str">
        <f ca="1">IF(Calc2!$K$13=0,"",Calc2!$AH6)</f>
        <v/>
      </c>
      <c r="D28" s="130" t="str">
        <f ca="1">IF($C28="","",VLOOKUP($C28,Calc2!$C$17:$AC$25,25,0))</f>
        <v/>
      </c>
      <c r="E28" s="113" t="str">
        <f ca="1">IF($C28="","",VLOOKUP($C28,Calc2!$C$17:$AC$25,26,0))</f>
        <v/>
      </c>
      <c r="F28" s="524" t="str">
        <f ca="1">IF($C28="","",VLOOKUP(C28,PreliminaryRound!$AO$12:$AQ$37,3,0))</f>
        <v/>
      </c>
      <c r="G28" s="138" t="str">
        <f ca="1">IFERROR(VLOOKUP($C28&amp;G$25,Calc2!$Z$64:$AB$207,3,0),"")</f>
        <v/>
      </c>
      <c r="H28" s="113" t="str">
        <f ca="1">IFERROR(VLOOKUP($C28&amp;H$25,Calc2!$Z$64:$AB$207,3,0),"")</f>
        <v/>
      </c>
      <c r="I28" s="123"/>
      <c r="J28" s="113" t="str">
        <f ca="1">IFERROR(VLOOKUP($C28&amp;J$25,Calc2!$Z$64:$AB$207,3,0),"")</f>
        <v/>
      </c>
      <c r="K28" s="113" t="str">
        <f ca="1">IFERROR(VLOOKUP($C28&amp;K$25,Calc2!$Z$64:$AB$207,3,0),"")</f>
        <v/>
      </c>
      <c r="L28" s="159" t="str">
        <f ca="1">IFERROR(VLOOKUP($C28&amp;L$25,Calc2!$Z$64:$AB$207,3,0),"")</f>
        <v/>
      </c>
      <c r="M28" s="189" t="str">
        <f t="shared" ca="1" si="2"/>
        <v/>
      </c>
    </row>
    <row r="29" spans="2:13" ht="21.95" customHeight="1" x14ac:dyDescent="0.2">
      <c r="B29" s="116" t="str">
        <f ca="1">IF($C29="","",INDEX(Calc2!$E$4:$E$12,MATCH($C29,Calc2!$F$4:$F$12,0)))</f>
        <v/>
      </c>
      <c r="C29" s="126" t="str">
        <f ca="1">IF(Calc2!$K$13=0,"",Calc2!$AH7)</f>
        <v/>
      </c>
      <c r="D29" s="130" t="str">
        <f ca="1">IF($C29="","",VLOOKUP($C29,Calc2!$C$17:$AC$25,25,0))</f>
        <v/>
      </c>
      <c r="E29" s="113" t="str">
        <f ca="1">IF($C29="","",VLOOKUP($C29,Calc2!$C$17:$AC$25,26,0))</f>
        <v/>
      </c>
      <c r="F29" s="524" t="str">
        <f ca="1">IF($C29="","",VLOOKUP(C29,PreliminaryRound!$AO$12:$AQ$37,3,0))</f>
        <v/>
      </c>
      <c r="G29" s="138" t="str">
        <f ca="1">IFERROR(VLOOKUP($C29&amp;G$25,Calc2!$Z$64:$AB$207,3,0),"")</f>
        <v/>
      </c>
      <c r="H29" s="113" t="str">
        <f ca="1">IFERROR(VLOOKUP($C29&amp;H$25,Calc2!$Z$64:$AB$207,3,0),"")</f>
        <v/>
      </c>
      <c r="I29" s="113" t="str">
        <f ca="1">IFERROR(VLOOKUP($C29&amp;I$25,Calc2!$Z$64:$AB$207,3,0),"")</f>
        <v/>
      </c>
      <c r="J29" s="123"/>
      <c r="K29" s="113" t="str">
        <f ca="1">IFERROR(VLOOKUP($C29&amp;K$25,Calc2!$Z$64:$AB$207,3,0),"")</f>
        <v/>
      </c>
      <c r="L29" s="159" t="str">
        <f ca="1">IFERROR(VLOOKUP($C29&amp;L$25,Calc2!$Z$64:$AB$207,3,0),"")</f>
        <v/>
      </c>
      <c r="M29" s="189" t="str">
        <f t="shared" ca="1" si="2"/>
        <v/>
      </c>
    </row>
    <row r="30" spans="2:13" ht="21.95" customHeight="1" x14ac:dyDescent="0.2">
      <c r="B30" s="116" t="str">
        <f ca="1">IF($C30="","",INDEX(Calc2!$E$4:$E$12,MATCH($C30,Calc2!$F$4:$F$12,0)))</f>
        <v/>
      </c>
      <c r="C30" s="126" t="str">
        <f ca="1">IF(Calc2!$K$13=0,"",Calc2!$AH8)</f>
        <v/>
      </c>
      <c r="D30" s="130" t="str">
        <f ca="1">IF($C30="","",VLOOKUP($C30,Calc2!$C$17:$AC$25,25,0))</f>
        <v/>
      </c>
      <c r="E30" s="113" t="str">
        <f ca="1">IF($C30="","",VLOOKUP($C30,Calc2!$C$17:$AC$25,26,0))</f>
        <v/>
      </c>
      <c r="F30" s="524" t="str">
        <f ca="1">IF($C30="","",VLOOKUP(C30,PreliminaryRound!$AO$12:$AQ$37,3,0))</f>
        <v/>
      </c>
      <c r="G30" s="138" t="str">
        <f ca="1">IFERROR(VLOOKUP($C30&amp;G$25,Calc2!$Z$64:$AB$207,3,0),"")</f>
        <v/>
      </c>
      <c r="H30" s="113" t="str">
        <f ca="1">IFERROR(VLOOKUP($C30&amp;H$25,Calc2!$Z$64:$AB$207,3,0),"")</f>
        <v/>
      </c>
      <c r="I30" s="113" t="str">
        <f ca="1">IFERROR(VLOOKUP($C30&amp;I$25,Calc2!$Z$64:$AB$207,3,0),"")</f>
        <v/>
      </c>
      <c r="J30" s="113" t="str">
        <f ca="1">IFERROR(VLOOKUP($C30&amp;J$25,Calc2!$Z$64:$AB$207,3,0),"")</f>
        <v/>
      </c>
      <c r="K30" s="123"/>
      <c r="L30" s="159" t="str">
        <f ca="1">IFERROR(VLOOKUP($C30&amp;L$25,Calc2!$Z$64:$AB$207,3,0),"")</f>
        <v/>
      </c>
      <c r="M30" s="189" t="str">
        <f t="shared" ca="1" si="2"/>
        <v/>
      </c>
    </row>
    <row r="31" spans="2:13" ht="21.95" customHeight="1" thickBot="1" x14ac:dyDescent="0.25">
      <c r="B31" s="117" t="str">
        <f ca="1">IF($C31="","",INDEX(Calc2!$E$4:$E$12,MATCH($C31,Calc2!$F$4:$F$12,0)))</f>
        <v/>
      </c>
      <c r="C31" s="127" t="str">
        <f ca="1">IF(Calc2!$K$13=0,"",Calc2!$AH9)</f>
        <v/>
      </c>
      <c r="D31" s="131" t="str">
        <f ca="1">IF($C31="","",VLOOKUP($C31,Calc2!$C$17:$AC$25,25,0))</f>
        <v/>
      </c>
      <c r="E31" s="114" t="str">
        <f ca="1">IF($C31="","",VLOOKUP($C31,Calc2!$C$17:$AC$25,26,0))</f>
        <v/>
      </c>
      <c r="F31" s="525" t="str">
        <f ca="1">IF($C31="","",VLOOKUP(C31,PreliminaryRound!$AO$12:$AQ$37,3,0))</f>
        <v/>
      </c>
      <c r="G31" s="139" t="str">
        <f ca="1">IFERROR(VLOOKUP($C31&amp;G$25,Calc2!$Z$64:$AB$207,3,0),"")</f>
        <v/>
      </c>
      <c r="H31" s="114" t="str">
        <f ca="1">IFERROR(VLOOKUP($C31&amp;H$25,Calc2!$Z$64:$AB$207,3,0),"")</f>
        <v/>
      </c>
      <c r="I31" s="114" t="str">
        <f ca="1">IFERROR(VLOOKUP($C31&amp;I$25,Calc2!$Z$64:$AB$207,3,0),"")</f>
        <v/>
      </c>
      <c r="J31" s="114" t="str">
        <f ca="1">IFERROR(VLOOKUP($C31&amp;J$25,Calc2!$Z$64:$AB$207,3,0),"")</f>
        <v/>
      </c>
      <c r="K31" s="114" t="str">
        <f ca="1">IFERROR(VLOOKUP($C31&amp;K$25,Calc2!$Z$64:$AB$207,3,0),"")</f>
        <v/>
      </c>
      <c r="L31" s="160"/>
      <c r="M31" s="190" t="str">
        <f t="shared" ca="1" si="2"/>
        <v/>
      </c>
    </row>
    <row r="32" spans="2:13" ht="42.75" customHeight="1" thickTop="1" thickBot="1" x14ac:dyDescent="0.25"/>
    <row r="33" spans="2:13" ht="21.95" customHeight="1" thickBot="1" x14ac:dyDescent="0.25">
      <c r="G33" s="150" t="str">
        <f ca="1">IF(LEN(G34)&gt;Settings!$C$11,LEFT(G34,Settings!$C$11)&amp;".",G34)</f>
        <v/>
      </c>
      <c r="H33" s="151" t="str">
        <f ca="1">IF(LEN(H34)&gt;Settings!$C$11,LEFT(H34,Settings!$C$11)&amp;".",H34)</f>
        <v/>
      </c>
      <c r="I33" s="151" t="str">
        <f ca="1">IF(LEN(I34)&gt;Settings!$C$11,LEFT(I34,Settings!$C$11)&amp;".",I34)</f>
        <v/>
      </c>
      <c r="J33" s="151" t="str">
        <f ca="1">IF(LEN(J34)&gt;Settings!$C$11,LEFT(J34,Settings!$C$11)&amp;".",J34)</f>
        <v/>
      </c>
      <c r="K33" s="151" t="str">
        <f ca="1">IF(LEN(K34)&gt;Settings!$C$11,LEFT(K34,Settings!$C$11)&amp;".",K34)</f>
        <v/>
      </c>
      <c r="L33" s="152" t="str">
        <f ca="1">IF(LEN(L34)&gt;Settings!$C$11,LEFT(L34,Settings!$C$11)&amp;".",L34)</f>
        <v/>
      </c>
    </row>
    <row r="34" spans="2:13" ht="21.95" customHeight="1" thickTop="1" thickBot="1" x14ac:dyDescent="0.25">
      <c r="B34" s="118"/>
      <c r="C34" s="124" t="str">
        <f>Language!$E$10</f>
        <v>Participant or team</v>
      </c>
      <c r="D34" s="128" t="str">
        <f>Language!$E$27</f>
        <v>Pts</v>
      </c>
      <c r="E34" s="115" t="str">
        <f>Language!$E$26</f>
        <v>Diff.</v>
      </c>
      <c r="F34" s="153" t="str">
        <f>Language!$E$49</f>
        <v>Tie break</v>
      </c>
      <c r="G34" s="132" t="str">
        <f ca="1">C35</f>
        <v/>
      </c>
      <c r="H34" s="133" t="str">
        <f ca="1">C36</f>
        <v/>
      </c>
      <c r="I34" s="133" t="str">
        <f ca="1">C37</f>
        <v/>
      </c>
      <c r="J34" s="133" t="str">
        <f ca="1">C38</f>
        <v/>
      </c>
      <c r="K34" s="133" t="str">
        <f ca="1">C39</f>
        <v/>
      </c>
      <c r="L34" s="157" t="str">
        <f ca="1">C40</f>
        <v/>
      </c>
    </row>
    <row r="35" spans="2:13" ht="21.95" customHeight="1" x14ac:dyDescent="0.2">
      <c r="B35" s="116" t="str">
        <f ca="1">IF($C35="","",INDEX(Calc2!$E$4:$E$12,MATCH($C35,Calc2!$F$4:$F$12,0)))</f>
        <v/>
      </c>
      <c r="C35" s="125" t="str">
        <f ca="1">IF(Calc2!$K$13=0,"",Calc2!$AM4)</f>
        <v/>
      </c>
      <c r="D35" s="129" t="str">
        <f ca="1">IF($C35="","",VLOOKUP($C35,Calc2!$C$17:$AC$25,25,0))</f>
        <v/>
      </c>
      <c r="E35" s="112" t="str">
        <f ca="1">IF($C35="","",VLOOKUP($C35,Calc2!$C$17:$AC$25,26,0))</f>
        <v/>
      </c>
      <c r="F35" s="523" t="str">
        <f ca="1">IF($C35="","",VLOOKUP(C35,PreliminaryRound!$AO$12:$AQ$37,3,0))</f>
        <v/>
      </c>
      <c r="G35" s="137"/>
      <c r="H35" s="112" t="str">
        <f ca="1">IFERROR(VLOOKUP($C35&amp;H$34,Calc2!$Z$64:$AB$207,3,0),"")</f>
        <v/>
      </c>
      <c r="I35" s="112" t="str">
        <f ca="1">IFERROR(VLOOKUP($C35&amp;I$34,Calc2!$Z$64:$AB$207,3,0),"")</f>
        <v/>
      </c>
      <c r="J35" s="112" t="str">
        <f ca="1">IFERROR(VLOOKUP($C35&amp;J$34,Calc2!$Z$64:$AB$207,3,0),"")</f>
        <v/>
      </c>
      <c r="K35" s="112" t="str">
        <f ca="1">IFERROR(VLOOKUP($C35&amp;K$34,Calc2!$Z$64:$AB$207,3,0),"")</f>
        <v/>
      </c>
      <c r="L35" s="158" t="str">
        <f ca="1">IFERROR(VLOOKUP($C35&amp;L$34,Calc2!$Z$64:$AB$207,3,0),"")</f>
        <v/>
      </c>
      <c r="M35" s="188" t="str">
        <f t="shared" ref="M35:M40" ca="1" si="3">C35</f>
        <v/>
      </c>
    </row>
    <row r="36" spans="2:13" ht="21.95" customHeight="1" x14ac:dyDescent="0.2">
      <c r="B36" s="116" t="str">
        <f ca="1">IF($C36="","",INDEX(Calc2!$E$4:$E$12,MATCH($C36,Calc2!$F$4:$F$12,0)))</f>
        <v/>
      </c>
      <c r="C36" s="126" t="str">
        <f ca="1">IF(Calc2!$K$13=0,"",Calc2!$AM5)</f>
        <v/>
      </c>
      <c r="D36" s="130" t="str">
        <f ca="1">IF($C36="","",VLOOKUP($C36,Calc2!$C$17:$AC$25,25,0))</f>
        <v/>
      </c>
      <c r="E36" s="113" t="str">
        <f ca="1">IF($C36="","",VLOOKUP($C36,Calc2!$C$17:$AC$25,26,0))</f>
        <v/>
      </c>
      <c r="F36" s="524" t="str">
        <f ca="1">IF($C36="","",VLOOKUP(C36,PreliminaryRound!$AO$12:$AQ$37,3,0))</f>
        <v/>
      </c>
      <c r="G36" s="138" t="str">
        <f ca="1">IFERROR(VLOOKUP($C36&amp;G$34,Calc2!$Z$64:$AB$207,3,0),"")</f>
        <v/>
      </c>
      <c r="H36" s="123"/>
      <c r="I36" s="113" t="str">
        <f ca="1">IFERROR(VLOOKUP($C36&amp;I$34,Calc2!$Z$64:$AB$207,3,0),"")</f>
        <v/>
      </c>
      <c r="J36" s="113" t="str">
        <f ca="1">IFERROR(VLOOKUP($C36&amp;J$34,Calc2!$Z$64:$AB$207,3,0),"")</f>
        <v/>
      </c>
      <c r="K36" s="113" t="str">
        <f ca="1">IFERROR(VLOOKUP($C36&amp;K$34,Calc2!$Z$64:$AB$207,3,0),"")</f>
        <v/>
      </c>
      <c r="L36" s="159" t="str">
        <f ca="1">IFERROR(VLOOKUP($C36&amp;L$34,Calc2!$Z$64:$AB$207,3,0),"")</f>
        <v/>
      </c>
      <c r="M36" s="189" t="str">
        <f t="shared" ca="1" si="3"/>
        <v/>
      </c>
    </row>
    <row r="37" spans="2:13" ht="21.95" customHeight="1" x14ac:dyDescent="0.2">
      <c r="B37" s="116" t="str">
        <f ca="1">IF($C37="","",INDEX(Calc2!$E$4:$E$12,MATCH($C37,Calc2!$F$4:$F$12,0)))</f>
        <v/>
      </c>
      <c r="C37" s="126" t="str">
        <f ca="1">IF(Calc2!$K$13=0,"",Calc2!$AM6)</f>
        <v/>
      </c>
      <c r="D37" s="130" t="str">
        <f ca="1">IF($C37="","",VLOOKUP($C37,Calc2!$C$17:$AC$25,25,0))</f>
        <v/>
      </c>
      <c r="E37" s="113" t="str">
        <f ca="1">IF($C37="","",VLOOKUP($C37,Calc2!$C$17:$AC$25,26,0))</f>
        <v/>
      </c>
      <c r="F37" s="524" t="str">
        <f ca="1">IF($C37="","",VLOOKUP(C37,PreliminaryRound!$AO$12:$AQ$37,3,0))</f>
        <v/>
      </c>
      <c r="G37" s="138" t="str">
        <f ca="1">IFERROR(VLOOKUP($C37&amp;G$34,Calc2!$Z$64:$AB$207,3,0),"")</f>
        <v/>
      </c>
      <c r="H37" s="113" t="str">
        <f ca="1">IFERROR(VLOOKUP($C37&amp;H$34,Calc2!$Z$64:$AB$207,3,0),"")</f>
        <v/>
      </c>
      <c r="I37" s="123"/>
      <c r="J37" s="113" t="str">
        <f ca="1">IFERROR(VLOOKUP($C37&amp;J$34,Calc2!$Z$64:$AB$207,3,0),"")</f>
        <v/>
      </c>
      <c r="K37" s="113" t="str">
        <f ca="1">IFERROR(VLOOKUP($C37&amp;K$34,Calc2!$Z$64:$AB$207,3,0),"")</f>
        <v/>
      </c>
      <c r="L37" s="159" t="str">
        <f ca="1">IFERROR(VLOOKUP($C37&amp;L$34,Calc2!$Z$64:$AB$207,3,0),"")</f>
        <v/>
      </c>
      <c r="M37" s="189" t="str">
        <f t="shared" ca="1" si="3"/>
        <v/>
      </c>
    </row>
    <row r="38" spans="2:13" ht="21.95" customHeight="1" x14ac:dyDescent="0.2">
      <c r="B38" s="116" t="str">
        <f ca="1">IF($C38="","",INDEX(Calc2!$E$4:$E$12,MATCH($C38,Calc2!$F$4:$F$12,0)))</f>
        <v/>
      </c>
      <c r="C38" s="126" t="str">
        <f ca="1">IF(Calc2!$K$13=0,"",Calc2!$AM7)</f>
        <v/>
      </c>
      <c r="D38" s="130" t="str">
        <f ca="1">IF($C38="","",VLOOKUP($C38,Calc2!$C$17:$AC$25,25,0))</f>
        <v/>
      </c>
      <c r="E38" s="113" t="str">
        <f ca="1">IF($C38="","",VLOOKUP($C38,Calc2!$C$17:$AC$25,26,0))</f>
        <v/>
      </c>
      <c r="F38" s="524" t="str">
        <f ca="1">IF($C38="","",VLOOKUP(C38,PreliminaryRound!$AO$12:$AQ$37,3,0))</f>
        <v/>
      </c>
      <c r="G38" s="138" t="str">
        <f ca="1">IFERROR(VLOOKUP($C38&amp;G$34,Calc2!$Z$64:$AB$207,3,0),"")</f>
        <v/>
      </c>
      <c r="H38" s="113" t="str">
        <f ca="1">IFERROR(VLOOKUP($C38&amp;H$34,Calc2!$Z$64:$AB$207,3,0),"")</f>
        <v/>
      </c>
      <c r="I38" s="113" t="str">
        <f ca="1">IFERROR(VLOOKUP($C38&amp;I$34,Calc2!$Z$64:$AB$207,3,0),"")</f>
        <v/>
      </c>
      <c r="J38" s="123"/>
      <c r="K38" s="113" t="str">
        <f ca="1">IFERROR(VLOOKUP($C38&amp;K$34,Calc2!$Z$64:$AB$207,3,0),"")</f>
        <v/>
      </c>
      <c r="L38" s="159" t="str">
        <f ca="1">IFERROR(VLOOKUP($C38&amp;L$34,Calc2!$Z$64:$AB$207,3,0),"")</f>
        <v/>
      </c>
      <c r="M38" s="189" t="str">
        <f t="shared" ca="1" si="3"/>
        <v/>
      </c>
    </row>
    <row r="39" spans="2:13" ht="21.95" customHeight="1" x14ac:dyDescent="0.2">
      <c r="B39" s="116" t="str">
        <f ca="1">IF($C39="","",INDEX(Calc2!$E$4:$E$12,MATCH($C39,Calc2!$F$4:$F$12,0)))</f>
        <v/>
      </c>
      <c r="C39" s="126" t="str">
        <f ca="1">IF(Calc2!$K$13=0,"",Calc2!$AM8)</f>
        <v/>
      </c>
      <c r="D39" s="130" t="str">
        <f ca="1">IF($C39="","",VLOOKUP($C39,Calc2!$C$17:$AC$25,25,0))</f>
        <v/>
      </c>
      <c r="E39" s="113" t="str">
        <f ca="1">IF($C39="","",VLOOKUP($C39,Calc2!$C$17:$AC$25,26,0))</f>
        <v/>
      </c>
      <c r="F39" s="524" t="str">
        <f ca="1">IF($C39="","",VLOOKUP(C39,PreliminaryRound!$AO$12:$AQ$37,3,0))</f>
        <v/>
      </c>
      <c r="G39" s="138" t="str">
        <f ca="1">IFERROR(VLOOKUP($C39&amp;G$34,Calc2!$Z$64:$AB$207,3,0),"")</f>
        <v/>
      </c>
      <c r="H39" s="113" t="str">
        <f ca="1">IFERROR(VLOOKUP($C39&amp;H$34,Calc2!$Z$64:$AB$207,3,0),"")</f>
        <v/>
      </c>
      <c r="I39" s="113" t="str">
        <f ca="1">IFERROR(VLOOKUP($C39&amp;I$34,Calc2!$Z$64:$AB$207,3,0),"")</f>
        <v/>
      </c>
      <c r="J39" s="113" t="str">
        <f ca="1">IFERROR(VLOOKUP($C39&amp;J$34,Calc2!$Z$64:$AB$207,3,0),"")</f>
        <v/>
      </c>
      <c r="K39" s="123"/>
      <c r="L39" s="159" t="str">
        <f ca="1">IFERROR(VLOOKUP($C39&amp;L$34,Calc2!$Z$64:$AB$207,3,0),"")</f>
        <v/>
      </c>
      <c r="M39" s="189" t="str">
        <f t="shared" ca="1" si="3"/>
        <v/>
      </c>
    </row>
    <row r="40" spans="2:13" ht="21.95" customHeight="1" thickBot="1" x14ac:dyDescent="0.25">
      <c r="B40" s="117" t="str">
        <f ca="1">IF($C40="","",INDEX(Calc2!$E$4:$E$12,MATCH($C40,Calc2!$F$4:$F$12,0)))</f>
        <v/>
      </c>
      <c r="C40" s="127" t="str">
        <f ca="1">IF(Calc2!$K$13=0,"",Calc2!$AM9)</f>
        <v/>
      </c>
      <c r="D40" s="131" t="str">
        <f ca="1">IF($C40="","",VLOOKUP($C40,Calc2!$C$17:$AC$25,25,0))</f>
        <v/>
      </c>
      <c r="E40" s="114" t="str">
        <f ca="1">IF($C40="","",VLOOKUP($C40,Calc2!$C$17:$AC$25,26,0))</f>
        <v/>
      </c>
      <c r="F40" s="525" t="str">
        <f ca="1">IF($C40="","",VLOOKUP(C40,PreliminaryRound!$AO$12:$AQ$37,3,0))</f>
        <v/>
      </c>
      <c r="G40" s="139" t="str">
        <f ca="1">IFERROR(VLOOKUP($C40&amp;G$34,Calc2!$Z$64:$AB$207,3,0),"")</f>
        <v/>
      </c>
      <c r="H40" s="114" t="str">
        <f ca="1">IFERROR(VLOOKUP($C40&amp;H$34,Calc2!$Z$64:$AB$207,3,0),"")</f>
        <v/>
      </c>
      <c r="I40" s="114" t="str">
        <f ca="1">IFERROR(VLOOKUP($C40&amp;I$34,Calc2!$Z$64:$AB$207,3,0),"")</f>
        <v/>
      </c>
      <c r="J40" s="114" t="str">
        <f ca="1">IFERROR(VLOOKUP($C40&amp;J$34,Calc2!$Z$64:$AB$207,3,0),"")</f>
        <v/>
      </c>
      <c r="K40" s="114" t="str">
        <f ca="1">IFERROR(VLOOKUP($C40&amp;K$34,Calc2!$Z$64:$AB$207,3,0),"")</f>
        <v/>
      </c>
      <c r="L40" s="160"/>
      <c r="M40" s="190"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4"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Planning</vt:lpstr>
      <vt:lpstr>proof</vt:lpstr>
      <vt:lpstr>Pairings</vt:lpstr>
      <vt:lpstr>PreliminaryRound</vt:lpstr>
      <vt:lpstr>TieBreak</vt:lpstr>
      <vt:lpstr>Finals 1</vt:lpstr>
      <vt:lpstr>Finals 2</vt:lpstr>
      <vt:lpstr>DirComp_A</vt:lpstr>
      <vt:lpstr>DirComp_B</vt:lpstr>
      <vt:lpstr>DirComp_C</vt:lpstr>
      <vt:lpstr>Finals 3</vt:lpstr>
      <vt:lpstr>Finals 4</vt:lpstr>
      <vt:lpstr>Language</vt:lpstr>
      <vt:lpstr>Settings</vt:lpstr>
      <vt:lpstr>Help</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2025-04-17T11:33:58Z</dcterms:modified>
</cp:coreProperties>
</file>