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DieseArbeitsmappe"/>
  <mc:AlternateContent xmlns:mc="http://schemas.openxmlformats.org/markup-compatibility/2006">
    <mc:Choice Requires="x15">
      <x15ac:absPath xmlns:x15ac="http://schemas.microsoft.com/office/spreadsheetml/2010/11/ac" url="E:\xampp\htdocs\hb\_hermann-baum.de strato\excel\UEFA_EURO\de\download\"/>
    </mc:Choice>
  </mc:AlternateContent>
  <xr:revisionPtr revIDLastSave="0" documentId="13_ncr:1_{86160DF7-2ABC-46E6-9794-FB4DE3709EC2}" xr6:coauthVersionLast="47" xr6:coauthVersionMax="47" xr10:uidLastSave="{00000000-0000-0000-0000-000000000000}"/>
  <bookViews>
    <workbookView xWindow="-120" yWindow="-120" windowWidth="29040" windowHeight="15750" tabRatio="637" xr2:uid="{00000000-000D-0000-FFFF-FFFF00000000}"/>
  </bookViews>
  <sheets>
    <sheet name="Euro" sheetId="30" r:id="rId1"/>
    <sheet name="FairPlay" sheetId="3" r:id="rId2"/>
    <sheet name="Direct comparisons" sheetId="23" r:id="rId3"/>
    <sheet name="AssignThird" sheetId="29" r:id="rId4"/>
    <sheet name="Language" sheetId="18" r:id="rId5"/>
    <sheet name="TimeZone" sheetId="19" r:id="rId6"/>
    <sheet name="Help" sheetId="17" r:id="rId7"/>
    <sheet name="ThirdOfGroup" sheetId="27" state="hidden" r:id="rId8"/>
    <sheet name="Groups" sheetId="26" state="hidden" r:id="rId9"/>
    <sheet name="Matches" sheetId="22" state="hidden" r:id="rId10"/>
    <sheet name="Factors" sheetId="6" state="hidden" r:id="rId11"/>
    <sheet name="Distinctness" sheetId="16" state="hidden" r:id="rId12"/>
    <sheet name="References" sheetId="24" state="hidden" r:id="rId13"/>
    <sheet name="GrpA" sheetId="8" state="hidden" r:id="rId14"/>
    <sheet name="GrpB" sheetId="10" state="hidden" r:id="rId15"/>
    <sheet name="GrpC" sheetId="11" state="hidden" r:id="rId16"/>
    <sheet name="GrpD" sheetId="12" state="hidden" r:id="rId17"/>
    <sheet name="GrpE" sheetId="13" state="hidden" r:id="rId18"/>
    <sheet name="GrpF" sheetId="14" state="hidden" r:id="rId19"/>
  </sheets>
  <definedNames>
    <definedName name="FactorDirC2">Factors!$B$6</definedName>
    <definedName name="FactorDirC3">Factors!$B$5</definedName>
    <definedName name="FactorDirC42">Factors!$B$12</definedName>
    <definedName name="FactorDirC43">Factors!$B$11</definedName>
    <definedName name="FactorFairPlay">Factors!$B$13</definedName>
    <definedName name="FactorFor">Factors!$B$8</definedName>
    <definedName name="FactorGD">Factors!$B$7</definedName>
    <definedName name="FactorPenalty">Factors!$B$10</definedName>
    <definedName name="FactorPts">Factors!$B$4</definedName>
    <definedName name="FactorRank">Factors!$B$14</definedName>
    <definedName name="FactorRow">Factors!$B$15</definedName>
    <definedName name="FactorWins">Factors!$B$9</definedName>
    <definedName name="FairPlayPoints1">FairPlay!$C$6:$C$21</definedName>
    <definedName name="FairPlayPoints2">FairPlay!$F$6:$F$21</definedName>
    <definedName name="FairPlayTeams1">FairPlay!$B$6:$B$21</definedName>
    <definedName name="FairPlayTeams2">FairPlay!$E$6:$E$21</definedName>
    <definedName name="GDzero">Factors!$D$7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9" i="30" l="1"/>
  <c r="N88" i="30"/>
  <c r="L88" i="30"/>
  <c r="L83" i="30"/>
  <c r="R79" i="30"/>
  <c r="F79" i="30"/>
  <c r="T78" i="30"/>
  <c r="R78" i="30"/>
  <c r="H78" i="30"/>
  <c r="F78" i="30"/>
  <c r="R73" i="30"/>
  <c r="F73" i="30"/>
  <c r="U69" i="30"/>
  <c r="O69" i="30"/>
  <c r="I69" i="30"/>
  <c r="C69" i="30"/>
  <c r="W68" i="30"/>
  <c r="U68" i="30"/>
  <c r="Q68" i="30"/>
  <c r="O68" i="30"/>
  <c r="K68" i="30"/>
  <c r="I68" i="30"/>
  <c r="E68" i="30"/>
  <c r="C68" i="30"/>
  <c r="U63" i="30"/>
  <c r="O63" i="30"/>
  <c r="I63" i="30"/>
  <c r="C63" i="30"/>
  <c r="W59" i="30"/>
  <c r="T59" i="30"/>
  <c r="Q59" i="30"/>
  <c r="N59" i="30"/>
  <c r="K59" i="30"/>
  <c r="H59" i="30"/>
  <c r="E59" i="30"/>
  <c r="B59" i="30"/>
  <c r="X58" i="30"/>
  <c r="W58" i="30"/>
  <c r="U58" i="30"/>
  <c r="T58" i="30"/>
  <c r="R58" i="30"/>
  <c r="Q58" i="30"/>
  <c r="O58" i="30"/>
  <c r="N58" i="30"/>
  <c r="L58" i="30"/>
  <c r="K58" i="30"/>
  <c r="I58" i="30"/>
  <c r="H58" i="30"/>
  <c r="F58" i="30"/>
  <c r="E58" i="30"/>
  <c r="C58" i="30"/>
  <c r="B58" i="30"/>
  <c r="W53" i="30"/>
  <c r="T53" i="30"/>
  <c r="Q53" i="30"/>
  <c r="N53" i="30"/>
  <c r="K53" i="30"/>
  <c r="H53" i="30"/>
  <c r="E53" i="30"/>
  <c r="B53" i="30"/>
  <c r="Q44" i="30"/>
  <c r="N44" i="30"/>
  <c r="K44" i="30"/>
  <c r="H44" i="30"/>
  <c r="E44" i="30"/>
  <c r="B44" i="30"/>
  <c r="Q39" i="30"/>
  <c r="N39" i="30"/>
  <c r="K39" i="30"/>
  <c r="H39" i="30"/>
  <c r="E39" i="30"/>
  <c r="B39" i="30"/>
  <c r="Q37" i="30"/>
  <c r="N37" i="30"/>
  <c r="K37" i="30"/>
  <c r="H37" i="30"/>
  <c r="E37" i="30"/>
  <c r="B37" i="30"/>
  <c r="Q32" i="30"/>
  <c r="N32" i="30"/>
  <c r="K32" i="30"/>
  <c r="H32" i="30"/>
  <c r="E32" i="30"/>
  <c r="B32" i="30"/>
  <c r="Q27" i="30"/>
  <c r="N27" i="30"/>
  <c r="K27" i="30"/>
  <c r="H27" i="30"/>
  <c r="E27" i="30"/>
  <c r="B27" i="30"/>
  <c r="Q22" i="30"/>
  <c r="N22" i="30"/>
  <c r="K22" i="30"/>
  <c r="H22" i="30"/>
  <c r="E22" i="30"/>
  <c r="B22" i="30"/>
  <c r="Q17" i="30"/>
  <c r="N17" i="30"/>
  <c r="K17" i="30"/>
  <c r="H17" i="30"/>
  <c r="E17" i="30"/>
  <c r="B17" i="30"/>
  <c r="Q12" i="30"/>
  <c r="N12" i="30"/>
  <c r="K12" i="30"/>
  <c r="H12" i="30"/>
  <c r="E12" i="30"/>
  <c r="B12" i="30"/>
  <c r="D1" i="14" l="1"/>
  <c r="B1" i="14"/>
  <c r="D1" i="13"/>
  <c r="B1" i="13"/>
  <c r="D1" i="12"/>
  <c r="B1" i="12"/>
  <c r="D1" i="11"/>
  <c r="B1" i="11"/>
  <c r="D1" i="10"/>
  <c r="B1" i="10"/>
  <c r="E8" i="10"/>
  <c r="G7" i="13"/>
  <c r="J9" i="13"/>
  <c r="L8" i="14"/>
  <c r="G9" i="14"/>
  <c r="G6" i="13"/>
  <c r="J9" i="10"/>
  <c r="J8" i="13"/>
  <c r="L8" i="10"/>
  <c r="L9" i="13"/>
  <c r="E6" i="10"/>
  <c r="G5" i="13"/>
  <c r="G9" i="13"/>
  <c r="G8" i="14"/>
  <c r="G5" i="12"/>
  <c r="E4" i="12"/>
  <c r="G4" i="10"/>
  <c r="E6" i="13"/>
  <c r="G8" i="12"/>
  <c r="G4" i="12"/>
  <c r="G6" i="10"/>
  <c r="E8" i="13"/>
  <c r="G8" i="11"/>
  <c r="G9" i="10"/>
  <c r="G8" i="13"/>
  <c r="E7" i="10"/>
  <c r="G6" i="14"/>
  <c r="E5" i="10"/>
  <c r="G7" i="12"/>
  <c r="J8" i="12"/>
  <c r="E6" i="12"/>
  <c r="J8" i="14"/>
  <c r="G9" i="12"/>
  <c r="J9" i="14"/>
  <c r="L8" i="12"/>
  <c r="E4" i="13"/>
  <c r="E8" i="12"/>
  <c r="G5" i="14"/>
  <c r="E8" i="14"/>
  <c r="J9" i="12"/>
  <c r="L9" i="12"/>
  <c r="E9" i="10"/>
  <c r="G4" i="14"/>
  <c r="E6" i="14"/>
  <c r="E5" i="12"/>
  <c r="G8" i="10"/>
  <c r="G5" i="10"/>
  <c r="G7" i="14"/>
  <c r="E5" i="13"/>
  <c r="E7" i="12"/>
  <c r="E7" i="13"/>
  <c r="G6" i="12"/>
  <c r="J8" i="10"/>
  <c r="E9" i="12"/>
  <c r="E7" i="14"/>
  <c r="G7" i="10"/>
  <c r="E4" i="10"/>
  <c r="E5" i="14"/>
  <c r="L8" i="13"/>
  <c r="E9" i="14"/>
  <c r="L9" i="14"/>
  <c r="E4" i="14"/>
  <c r="E9" i="13"/>
  <c r="G4" i="13"/>
  <c r="L9" i="10"/>
  <c r="M8" i="14" l="1"/>
  <c r="M9" i="14"/>
  <c r="M8" i="13"/>
  <c r="M9" i="13"/>
  <c r="M9" i="12"/>
  <c r="M8" i="12"/>
  <c r="M8" i="10"/>
  <c r="M9" i="10"/>
  <c r="L9" i="11"/>
  <c r="E5" i="11"/>
  <c r="E7" i="11"/>
  <c r="G7" i="11"/>
  <c r="G9" i="11"/>
  <c r="E4" i="11"/>
  <c r="G6" i="11"/>
  <c r="E8" i="11"/>
  <c r="G4" i="11"/>
  <c r="L8" i="11"/>
  <c r="E9" i="11"/>
  <c r="J8" i="11"/>
  <c r="J9" i="11"/>
  <c r="G5" i="11"/>
  <c r="E6" i="11"/>
  <c r="M9" i="11" l="1"/>
  <c r="M8" i="11"/>
  <c r="I8" i="13"/>
  <c r="H8" i="13"/>
  <c r="M6" i="14"/>
  <c r="M7" i="14"/>
  <c r="M5" i="14"/>
  <c r="M4" i="14"/>
  <c r="M7" i="13"/>
  <c r="M5" i="13"/>
  <c r="M4" i="13"/>
  <c r="M6" i="13"/>
  <c r="M7" i="12"/>
  <c r="M6" i="12"/>
  <c r="M4" i="12"/>
  <c r="M5" i="12"/>
  <c r="M4" i="11"/>
  <c r="M7" i="11"/>
  <c r="M6" i="11"/>
  <c r="M5" i="11"/>
  <c r="M7" i="10"/>
  <c r="M6" i="10"/>
  <c r="M4" i="10"/>
  <c r="M5" i="10"/>
  <c r="M10" i="14" l="1"/>
  <c r="M10" i="13"/>
  <c r="M10" i="12"/>
  <c r="M10" i="11"/>
  <c r="M10" i="10"/>
  <c r="I4" i="14"/>
  <c r="H4" i="14"/>
  <c r="I5" i="14"/>
  <c r="H5" i="14"/>
  <c r="I8" i="14"/>
  <c r="H8" i="14"/>
  <c r="I7" i="14"/>
  <c r="H7" i="14"/>
  <c r="I6" i="14"/>
  <c r="H6" i="14"/>
  <c r="I9" i="14"/>
  <c r="H9" i="14"/>
  <c r="I4" i="13"/>
  <c r="H4" i="13"/>
  <c r="I5" i="13"/>
  <c r="H5" i="13"/>
  <c r="I7" i="13"/>
  <c r="H7" i="13"/>
  <c r="I9" i="13"/>
  <c r="H9" i="13"/>
  <c r="I6" i="13"/>
  <c r="H6" i="13"/>
  <c r="I5" i="12"/>
  <c r="H5" i="12"/>
  <c r="I8" i="12"/>
  <c r="H8" i="12"/>
  <c r="I9" i="12"/>
  <c r="H9" i="12"/>
  <c r="I7" i="12"/>
  <c r="H7" i="12"/>
  <c r="H4" i="12"/>
  <c r="I4" i="12"/>
  <c r="I6" i="12"/>
  <c r="H6" i="12"/>
  <c r="I6" i="11"/>
  <c r="H6" i="11"/>
  <c r="H4" i="11"/>
  <c r="I4" i="11"/>
  <c r="I8" i="11"/>
  <c r="H8" i="11"/>
  <c r="I9" i="11"/>
  <c r="H9" i="11"/>
  <c r="I5" i="11"/>
  <c r="H5" i="11"/>
  <c r="I7" i="11"/>
  <c r="H7" i="11"/>
  <c r="H8" i="10"/>
  <c r="I8" i="10"/>
  <c r="I7" i="10"/>
  <c r="H7" i="10"/>
  <c r="I9" i="10"/>
  <c r="H9" i="10"/>
  <c r="I5" i="10"/>
  <c r="H5" i="10"/>
  <c r="H4" i="10"/>
  <c r="I4" i="10"/>
  <c r="I6" i="10"/>
  <c r="H6" i="10"/>
  <c r="C3" i="18" l="1"/>
  <c r="C4" i="18"/>
  <c r="C5" i="18"/>
  <c r="C6" i="18"/>
  <c r="C7" i="18"/>
  <c r="B1" i="8"/>
  <c r="D1" i="8"/>
  <c r="F27" i="22"/>
  <c r="F21" i="22"/>
  <c r="F19" i="22"/>
  <c r="F55" i="22"/>
  <c r="F52" i="22"/>
  <c r="F45" i="22"/>
  <c r="F44" i="22"/>
  <c r="F35" i="22"/>
  <c r="F29" i="22"/>
  <c r="F36" i="22"/>
  <c r="F13" i="22"/>
  <c r="F12" i="22"/>
  <c r="F6" i="22"/>
  <c r="E16" i="19"/>
  <c r="C8" i="18"/>
  <c r="N1" i="18"/>
  <c r="I1" i="19"/>
  <c r="E5" i="19"/>
  <c r="E6" i="19"/>
  <c r="E7" i="19"/>
  <c r="E8" i="19"/>
  <c r="E9" i="19"/>
  <c r="E10" i="19"/>
  <c r="E11" i="19"/>
  <c r="E12" i="19"/>
  <c r="E13" i="19"/>
  <c r="E14" i="19"/>
  <c r="E15" i="19"/>
  <c r="E17" i="19"/>
  <c r="E18" i="19"/>
  <c r="E19" i="19"/>
  <c r="F25" i="22" s="1"/>
  <c r="E20" i="19"/>
  <c r="E21" i="19"/>
  <c r="E22" i="19"/>
  <c r="E23" i="19"/>
  <c r="E24" i="19"/>
  <c r="E25" i="19"/>
  <c r="E26" i="19"/>
  <c r="E27" i="19"/>
  <c r="E28" i="19"/>
  <c r="E29" i="19"/>
  <c r="E30" i="19"/>
  <c r="E31" i="19"/>
  <c r="E32" i="19"/>
  <c r="E33" i="19"/>
  <c r="E34" i="19"/>
  <c r="E35" i="19"/>
  <c r="E36" i="19"/>
  <c r="E37" i="19"/>
  <c r="E38" i="19"/>
  <c r="E39" i="19"/>
  <c r="E4" i="19"/>
  <c r="J9" i="8"/>
  <c r="G7" i="8"/>
  <c r="L9" i="8"/>
  <c r="L8" i="8"/>
  <c r="E5" i="8"/>
  <c r="G4" i="8"/>
  <c r="G5" i="8"/>
  <c r="E9" i="8"/>
  <c r="E6" i="8"/>
  <c r="G9" i="8"/>
  <c r="J8" i="8"/>
  <c r="E4" i="8"/>
  <c r="G6" i="8"/>
  <c r="E8" i="8"/>
  <c r="E7" i="8"/>
  <c r="G8" i="8"/>
  <c r="F14" i="22" l="1"/>
  <c r="F31" i="22"/>
  <c r="F46" i="22"/>
  <c r="F53" i="22"/>
  <c r="F20" i="22"/>
  <c r="F15" i="22"/>
  <c r="F38" i="22"/>
  <c r="F33" i="22"/>
  <c r="F43" i="22"/>
  <c r="F56" i="22"/>
  <c r="F22" i="22"/>
  <c r="F4" i="22"/>
  <c r="F11" i="22"/>
  <c r="F34" i="22"/>
  <c r="F37" i="22"/>
  <c r="F42" i="22"/>
  <c r="F58" i="22"/>
  <c r="F23" i="22"/>
  <c r="F9" i="22"/>
  <c r="F32" i="22"/>
  <c r="F39" i="22"/>
  <c r="F41" i="22"/>
  <c r="F16" i="22"/>
  <c r="F24" i="22"/>
  <c r="F8" i="22"/>
  <c r="F7" i="22"/>
  <c r="F30" i="22"/>
  <c r="F48" i="22"/>
  <c r="F50" i="22"/>
  <c r="F18" i="22"/>
  <c r="F26" i="22"/>
  <c r="F10" i="22"/>
  <c r="F5" i="22"/>
  <c r="F28" i="22"/>
  <c r="F47" i="22"/>
  <c r="F51" i="22"/>
  <c r="F17" i="22"/>
  <c r="E99" i="18"/>
  <c r="E98" i="18"/>
  <c r="I4" i="23" s="1"/>
  <c r="M4" i="8"/>
  <c r="I4" i="8" s="1"/>
  <c r="M8" i="8"/>
  <c r="H8" i="8" s="1"/>
  <c r="M5" i="8"/>
  <c r="I5" i="8" s="1"/>
  <c r="M7" i="8"/>
  <c r="I7" i="8" s="1"/>
  <c r="M6" i="8"/>
  <c r="H6" i="8" s="1"/>
  <c r="E156" i="18"/>
  <c r="E145" i="18"/>
  <c r="T14" i="30" s="1"/>
  <c r="E154" i="18"/>
  <c r="E148" i="18"/>
  <c r="E146" i="18"/>
  <c r="E155" i="18"/>
  <c r="E147" i="18"/>
  <c r="E157" i="18"/>
  <c r="E158" i="18"/>
  <c r="T33" i="30" s="1"/>
  <c r="E151" i="18"/>
  <c r="E144" i="18"/>
  <c r="T11" i="30" s="1"/>
  <c r="E149" i="18"/>
  <c r="E150" i="18"/>
  <c r="E152" i="18"/>
  <c r="E153" i="18"/>
  <c r="E81" i="18"/>
  <c r="E129" i="18"/>
  <c r="C5" i="29" s="1"/>
  <c r="E130" i="18"/>
  <c r="E131" i="18"/>
  <c r="E74" i="18"/>
  <c r="E97" i="18"/>
  <c r="R44" i="23" s="1"/>
  <c r="E133" i="18"/>
  <c r="E128" i="18"/>
  <c r="W47" i="30" s="1"/>
  <c r="E127" i="18"/>
  <c r="W45" i="30" s="1"/>
  <c r="E94" i="18"/>
  <c r="E143" i="18"/>
  <c r="G4" i="19" s="1"/>
  <c r="E62" i="18"/>
  <c r="E88" i="18"/>
  <c r="B1" i="22" s="1"/>
  <c r="E132" i="18"/>
  <c r="T31" i="30" s="1"/>
  <c r="E76" i="18"/>
  <c r="E103" i="18"/>
  <c r="W28" i="23" s="1"/>
  <c r="E78" i="18"/>
  <c r="E100" i="18"/>
  <c r="E105" i="18"/>
  <c r="P3" i="23" s="1"/>
  <c r="E89" i="18"/>
  <c r="F1" i="18" s="1"/>
  <c r="E159" i="18"/>
  <c r="E72" i="18"/>
  <c r="E79" i="18"/>
  <c r="E136" i="18"/>
  <c r="J5" i="16" s="1"/>
  <c r="E141" i="18"/>
  <c r="K1" i="18" s="1"/>
  <c r="E121" i="18"/>
  <c r="K56" i="22" s="1"/>
  <c r="R71" i="30" s="1"/>
  <c r="E109" i="18"/>
  <c r="K51" i="30" s="1"/>
  <c r="E58" i="18"/>
  <c r="E33" i="18"/>
  <c r="E80" i="18"/>
  <c r="E138" i="18"/>
  <c r="E135" i="18"/>
  <c r="E140" i="18"/>
  <c r="G1" i="19" s="1"/>
  <c r="E120" i="18"/>
  <c r="K55" i="22" s="1"/>
  <c r="F71" i="30" s="1"/>
  <c r="E113" i="18"/>
  <c r="E51" i="30" s="1"/>
  <c r="E47" i="18"/>
  <c r="E122" i="18"/>
  <c r="E117" i="18"/>
  <c r="I61" i="30" s="1"/>
  <c r="E42" i="18"/>
  <c r="E137" i="18"/>
  <c r="E82" i="18"/>
  <c r="E106" i="18"/>
  <c r="E86" i="18"/>
  <c r="B2" i="3" s="1"/>
  <c r="E101" i="18"/>
  <c r="D11" i="23" s="1"/>
  <c r="E139" i="18"/>
  <c r="B3" i="3" s="1"/>
  <c r="E91" i="18"/>
  <c r="B2" i="26" s="1"/>
  <c r="E123" i="18"/>
  <c r="K58" i="22" s="1"/>
  <c r="L81" i="30" s="1"/>
  <c r="E119" i="18"/>
  <c r="U61" i="30" s="1"/>
  <c r="E26" i="18"/>
  <c r="E107" i="18"/>
  <c r="R82" i="30" s="1"/>
  <c r="E104" i="18"/>
  <c r="J43" i="23" s="1"/>
  <c r="E95" i="18"/>
  <c r="E90" i="18"/>
  <c r="A2" i="29" s="1"/>
  <c r="E48" i="18"/>
  <c r="E84" i="18"/>
  <c r="E1" i="30" s="1"/>
  <c r="E85" i="18"/>
  <c r="B1" i="23" s="1"/>
  <c r="E102" i="18"/>
  <c r="V44" i="23" s="1"/>
  <c r="E96" i="18"/>
  <c r="E87" i="18"/>
  <c r="A1" i="19" s="1"/>
  <c r="E110" i="18"/>
  <c r="N51" i="30" s="1"/>
  <c r="E54" i="18"/>
  <c r="E40" i="18"/>
  <c r="E16" i="18"/>
  <c r="E24" i="18"/>
  <c r="D13" i="26" s="1"/>
  <c r="P5" i="10" s="1"/>
  <c r="E68" i="18"/>
  <c r="E114" i="18"/>
  <c r="T51" i="30" s="1"/>
  <c r="E53" i="18"/>
  <c r="E36" i="18"/>
  <c r="E8" i="18"/>
  <c r="E17" i="18"/>
  <c r="E142" i="18"/>
  <c r="E52" i="18"/>
  <c r="E34" i="18"/>
  <c r="E13" i="18"/>
  <c r="E126" i="18"/>
  <c r="T45" i="30" s="1"/>
  <c r="E125" i="18"/>
  <c r="E67" i="18"/>
  <c r="E71" i="18"/>
  <c r="E108" i="18"/>
  <c r="Q51" i="30" s="1"/>
  <c r="E115" i="18"/>
  <c r="W51" i="30" s="1"/>
  <c r="E77" i="18"/>
  <c r="E49" i="18"/>
  <c r="E32" i="18"/>
  <c r="E29" i="18"/>
  <c r="E69" i="18"/>
  <c r="E73" i="18"/>
  <c r="E112" i="18"/>
  <c r="B51" i="30" s="1"/>
  <c r="E116" i="18"/>
  <c r="C61" i="30" s="1"/>
  <c r="E75" i="18"/>
  <c r="E59" i="18"/>
  <c r="E44" i="18"/>
  <c r="E27" i="18"/>
  <c r="E93" i="18"/>
  <c r="E66" i="18"/>
  <c r="H56" i="22" s="1"/>
  <c r="R72" i="30" s="1"/>
  <c r="E70" i="18"/>
  <c r="H48" i="22" s="1"/>
  <c r="W52" i="30" s="1"/>
  <c r="E111" i="18"/>
  <c r="H51" i="30" s="1"/>
  <c r="E118" i="18"/>
  <c r="O61" i="30" s="1"/>
  <c r="E57" i="18"/>
  <c r="E41" i="18"/>
  <c r="E20" i="18"/>
  <c r="E56" i="18"/>
  <c r="E63" i="18"/>
  <c r="E61" i="18"/>
  <c r="E51" i="18"/>
  <c r="E39" i="18"/>
  <c r="E23" i="18"/>
  <c r="D9" i="26" s="1"/>
  <c r="P6" i="8" s="1"/>
  <c r="E14" i="18"/>
  <c r="E12" i="18"/>
  <c r="E124" i="18"/>
  <c r="E18" i="18"/>
  <c r="E19" i="18"/>
  <c r="D33" i="26" s="1"/>
  <c r="E10" i="18"/>
  <c r="E45" i="18"/>
  <c r="E35" i="18"/>
  <c r="E37" i="18"/>
  <c r="E55" i="18"/>
  <c r="E43" i="18"/>
  <c r="E30" i="18"/>
  <c r="E28" i="18"/>
  <c r="E60" i="18"/>
  <c r="E46" i="18"/>
  <c r="E50" i="18"/>
  <c r="E7" i="18"/>
  <c r="D22" i="26" s="1"/>
  <c r="E31" i="18"/>
  <c r="E6" i="18"/>
  <c r="E25" i="18"/>
  <c r="E5" i="18"/>
  <c r="E38" i="18"/>
  <c r="E21" i="18"/>
  <c r="E9" i="18"/>
  <c r="E11" i="18"/>
  <c r="E15" i="18"/>
  <c r="E22" i="18"/>
  <c r="N9" i="30" l="1"/>
  <c r="K9" i="30"/>
  <c r="H9" i="30"/>
  <c r="Q9" i="30"/>
  <c r="E9" i="30"/>
  <c r="B9" i="30"/>
  <c r="E56" i="30"/>
  <c r="B42" i="30"/>
  <c r="N35" i="30"/>
  <c r="K35" i="30"/>
  <c r="B56" i="30"/>
  <c r="U66" i="30"/>
  <c r="W56" i="30"/>
  <c r="H35" i="30"/>
  <c r="H42" i="30"/>
  <c r="L86" i="30"/>
  <c r="O66" i="30"/>
  <c r="T56" i="30"/>
  <c r="Q42" i="30"/>
  <c r="E35" i="30"/>
  <c r="K56" i="30"/>
  <c r="I66" i="30"/>
  <c r="Q56" i="30"/>
  <c r="N42" i="30"/>
  <c r="B35" i="30"/>
  <c r="C66" i="30"/>
  <c r="N56" i="30"/>
  <c r="K42" i="30"/>
  <c r="R76" i="30"/>
  <c r="F76" i="30"/>
  <c r="H56" i="30"/>
  <c r="E42" i="30"/>
  <c r="Q35" i="30"/>
  <c r="O2" i="30"/>
  <c r="I2" i="30"/>
  <c r="R2" i="30"/>
  <c r="F2" i="30"/>
  <c r="C2" i="30"/>
  <c r="L2" i="30"/>
  <c r="Y47" i="30"/>
  <c r="V45" i="30"/>
  <c r="N45" i="30"/>
  <c r="K45" i="30"/>
  <c r="H45" i="30"/>
  <c r="E45" i="30"/>
  <c r="B45" i="30"/>
  <c r="Q45" i="30"/>
  <c r="T16" i="30"/>
  <c r="P5" i="14"/>
  <c r="E19" i="14" s="1"/>
  <c r="E19" i="3"/>
  <c r="E17" i="3"/>
  <c r="E5" i="3"/>
  <c r="E11" i="3"/>
  <c r="P4" i="12"/>
  <c r="P36" i="12" s="1"/>
  <c r="E6" i="3"/>
  <c r="M12" i="23"/>
  <c r="M28" i="23"/>
  <c r="M36" i="23"/>
  <c r="M20" i="23"/>
  <c r="M44" i="23"/>
  <c r="M4" i="23"/>
  <c r="H20" i="22"/>
  <c r="H21" i="30" s="1"/>
  <c r="F36" i="23"/>
  <c r="W4" i="23"/>
  <c r="D15" i="26"/>
  <c r="P7" i="10" s="1"/>
  <c r="P30" i="10" s="1"/>
  <c r="F4" i="23"/>
  <c r="R20" i="23"/>
  <c r="I44" i="23"/>
  <c r="I36" i="23"/>
  <c r="I12" i="23"/>
  <c r="I20" i="23"/>
  <c r="I28" i="23"/>
  <c r="AF5" i="10"/>
  <c r="I17" i="10"/>
  <c r="P24" i="10"/>
  <c r="P33" i="10"/>
  <c r="E19" i="10"/>
  <c r="P19" i="10"/>
  <c r="P31" i="10"/>
  <c r="P19" i="14"/>
  <c r="I17" i="14"/>
  <c r="P31" i="14"/>
  <c r="I8" i="8"/>
  <c r="H7" i="8"/>
  <c r="H5" i="8"/>
  <c r="H4" i="8"/>
  <c r="I6" i="8"/>
  <c r="W20" i="23"/>
  <c r="W36" i="23"/>
  <c r="J19" i="23"/>
  <c r="D24" i="26"/>
  <c r="I31" i="22"/>
  <c r="E40" i="30" s="1"/>
  <c r="R28" i="23"/>
  <c r="F10" i="27"/>
  <c r="I10" i="27"/>
  <c r="P4" i="23"/>
  <c r="D10" i="27"/>
  <c r="R36" i="23"/>
  <c r="W12" i="23"/>
  <c r="F44" i="23"/>
  <c r="Q36" i="23"/>
  <c r="E10" i="27"/>
  <c r="F20" i="23"/>
  <c r="F12" i="23"/>
  <c r="R4" i="23"/>
  <c r="W44" i="23"/>
  <c r="R12" i="23"/>
  <c r="F28" i="23"/>
  <c r="D19" i="23"/>
  <c r="D3" i="23"/>
  <c r="Q12" i="23"/>
  <c r="Q28" i="23"/>
  <c r="Q20" i="23"/>
  <c r="P44" i="23"/>
  <c r="P20" i="23"/>
  <c r="P12" i="23"/>
  <c r="D36" i="23"/>
  <c r="D28" i="23"/>
  <c r="D44" i="23"/>
  <c r="D12" i="23"/>
  <c r="P36" i="23"/>
  <c r="D20" i="23"/>
  <c r="P28" i="23"/>
  <c r="D30" i="26"/>
  <c r="J11" i="23"/>
  <c r="E44" i="23"/>
  <c r="H19" i="22"/>
  <c r="E26" i="30" s="1"/>
  <c r="D17" i="26"/>
  <c r="P4" i="11" s="1"/>
  <c r="E36" i="23"/>
  <c r="Q4" i="23"/>
  <c r="E12" i="23"/>
  <c r="E28" i="23"/>
  <c r="D27" i="26"/>
  <c r="C27" i="23"/>
  <c r="C19" i="23"/>
  <c r="D10" i="26"/>
  <c r="P7" i="8" s="1"/>
  <c r="AF7" i="8" s="1"/>
  <c r="D14" i="26"/>
  <c r="P6" i="10" s="1"/>
  <c r="D23" i="26"/>
  <c r="E7" i="3" s="1"/>
  <c r="J35" i="23"/>
  <c r="P11" i="23"/>
  <c r="D12" i="26"/>
  <c r="P4" i="10" s="1"/>
  <c r="P27" i="23"/>
  <c r="D29" i="26"/>
  <c r="P35" i="23"/>
  <c r="G7" i="29"/>
  <c r="F7" i="29"/>
  <c r="E7" i="29"/>
  <c r="D7" i="29"/>
  <c r="P19" i="23"/>
  <c r="D35" i="26"/>
  <c r="F5" i="29"/>
  <c r="D5" i="29"/>
  <c r="G5" i="29"/>
  <c r="E5" i="29"/>
  <c r="P43" i="23"/>
  <c r="H18" i="22"/>
  <c r="E21" i="30" s="1"/>
  <c r="C43" i="23"/>
  <c r="D19" i="26"/>
  <c r="P6" i="11" s="1"/>
  <c r="B17" i="3"/>
  <c r="C35" i="23"/>
  <c r="D20" i="26"/>
  <c r="B11" i="3"/>
  <c r="C11" i="23"/>
  <c r="D32" i="26"/>
  <c r="C3" i="23"/>
  <c r="D7" i="26"/>
  <c r="P4" i="8" s="1"/>
  <c r="AF4" i="8" s="1"/>
  <c r="H24" i="22"/>
  <c r="N21" i="30" s="1"/>
  <c r="D34" i="26"/>
  <c r="C1" i="27"/>
  <c r="H23" i="22"/>
  <c r="K26" i="30" s="1"/>
  <c r="D18" i="26"/>
  <c r="D28" i="26"/>
  <c r="AF6" i="8"/>
  <c r="H58" i="22"/>
  <c r="L82" i="30" s="1"/>
  <c r="D25" i="26"/>
  <c r="E9" i="3" s="1"/>
  <c r="H35" i="22"/>
  <c r="K38" i="30" s="1"/>
  <c r="J6" i="22"/>
  <c r="F13" i="30" s="1"/>
  <c r="H46" i="22"/>
  <c r="E52" i="30" s="1"/>
  <c r="D8" i="26"/>
  <c r="P5" i="8" s="1"/>
  <c r="H15" i="22"/>
  <c r="Q16" i="30" s="1"/>
  <c r="H43" i="22"/>
  <c r="N52" i="30" s="1"/>
  <c r="H52" i="22"/>
  <c r="O62" i="30" s="1"/>
  <c r="I39" i="22"/>
  <c r="Q40" i="30" s="1"/>
  <c r="J14" i="22"/>
  <c r="R13" i="30" s="1"/>
  <c r="H50" i="22"/>
  <c r="C62" i="30" s="1"/>
  <c r="Q44" i="23"/>
  <c r="E20" i="23"/>
  <c r="E4" i="23"/>
  <c r="L20" i="23"/>
  <c r="D4" i="23"/>
  <c r="L12" i="23"/>
  <c r="L44" i="23"/>
  <c r="L36" i="23"/>
  <c r="L4" i="23"/>
  <c r="L28" i="23"/>
  <c r="V20" i="23"/>
  <c r="V4" i="23"/>
  <c r="H11" i="22"/>
  <c r="K16" i="30" s="1"/>
  <c r="H9" i="22"/>
  <c r="H16" i="30" s="1"/>
  <c r="H47" i="22"/>
  <c r="T52" i="30" s="1"/>
  <c r="H33" i="22"/>
  <c r="H38" i="30" s="1"/>
  <c r="H51" i="22"/>
  <c r="I62" i="30" s="1"/>
  <c r="V28" i="23"/>
  <c r="V36" i="23"/>
  <c r="D43" i="23"/>
  <c r="D27" i="23"/>
  <c r="V12" i="23"/>
  <c r="H55" i="22"/>
  <c r="F72" i="30" s="1"/>
  <c r="H21" i="22"/>
  <c r="H26" i="30" s="1"/>
  <c r="D35" i="23"/>
  <c r="J27" i="23"/>
  <c r="J3" i="23"/>
  <c r="J19" i="22"/>
  <c r="F28" i="30" s="1"/>
  <c r="I27" i="22"/>
  <c r="Q28" i="30" s="1"/>
  <c r="B13" i="3"/>
  <c r="B15" i="3"/>
  <c r="I30" i="22"/>
  <c r="E33" i="30" s="1"/>
  <c r="J7" i="22"/>
  <c r="F18" i="30" s="1"/>
  <c r="I19" i="22"/>
  <c r="E28" i="30" s="1"/>
  <c r="H16" i="22"/>
  <c r="B21" i="30" s="1"/>
  <c r="H6" i="22"/>
  <c r="E11" i="30" s="1"/>
  <c r="H30" i="22"/>
  <c r="E31" i="30" s="1"/>
  <c r="H14" i="22"/>
  <c r="Q11" i="30" s="1"/>
  <c r="H39" i="22"/>
  <c r="Q38" i="30" s="1"/>
  <c r="H27" i="22"/>
  <c r="Q26" i="30" s="1"/>
  <c r="H28" i="22"/>
  <c r="B31" i="30" s="1"/>
  <c r="H44" i="22"/>
  <c r="H52" i="30" s="1"/>
  <c r="H36" i="22"/>
  <c r="N31" i="30" s="1"/>
  <c r="H5" i="22"/>
  <c r="B16" i="30" s="1"/>
  <c r="H53" i="22"/>
  <c r="U62" i="30" s="1"/>
  <c r="H13" i="22"/>
  <c r="N16" i="30" s="1"/>
  <c r="H25" i="22"/>
  <c r="N26" i="30" s="1"/>
  <c r="H31" i="22"/>
  <c r="E38" i="30" s="1"/>
  <c r="H4" i="22"/>
  <c r="B11" i="30" s="1"/>
  <c r="H17" i="22"/>
  <c r="B26" i="30" s="1"/>
  <c r="H38" i="22"/>
  <c r="Q31" i="30" s="1"/>
  <c r="H41" i="22"/>
  <c r="Q52" i="30" s="1"/>
  <c r="B5" i="3"/>
  <c r="H45" i="22"/>
  <c r="B52" i="30" s="1"/>
  <c r="H22" i="22"/>
  <c r="K21" i="30" s="1"/>
  <c r="H8" i="22"/>
  <c r="H11" i="30" s="1"/>
  <c r="H32" i="22"/>
  <c r="H31" i="30" s="1"/>
  <c r="H26" i="22"/>
  <c r="Q21" i="30" s="1"/>
  <c r="H42" i="22"/>
  <c r="K52" i="30" s="1"/>
  <c r="H37" i="22"/>
  <c r="N38" i="30" s="1"/>
  <c r="H29" i="22"/>
  <c r="B38" i="30" s="1"/>
  <c r="H7" i="22"/>
  <c r="E16" i="30" s="1"/>
  <c r="H12" i="22"/>
  <c r="N11" i="30" s="1"/>
  <c r="H34" i="22"/>
  <c r="K31" i="30" s="1"/>
  <c r="H10" i="22"/>
  <c r="K11" i="30" s="1"/>
  <c r="E20" i="8"/>
  <c r="P20" i="8"/>
  <c r="P29" i="8"/>
  <c r="P34" i="8"/>
  <c r="P26" i="8"/>
  <c r="J17" i="8"/>
  <c r="C11" i="3"/>
  <c r="C17" i="3"/>
  <c r="F5" i="3"/>
  <c r="C5" i="3"/>
  <c r="F17" i="3"/>
  <c r="F11" i="3"/>
  <c r="I11" i="22"/>
  <c r="K18" i="30" s="1"/>
  <c r="J29" i="22"/>
  <c r="C40" i="30" s="1"/>
  <c r="J16" i="22"/>
  <c r="C23" i="30" s="1"/>
  <c r="B8" i="3"/>
  <c r="I5" i="22"/>
  <c r="B18" i="30" s="1"/>
  <c r="I10" i="22"/>
  <c r="K13" i="30" s="1"/>
  <c r="I22" i="22"/>
  <c r="K23" i="30" s="1"/>
  <c r="J34" i="22"/>
  <c r="L33" i="30" s="1"/>
  <c r="D8" i="12"/>
  <c r="B5" i="12"/>
  <c r="D4" i="14"/>
  <c r="D9" i="8"/>
  <c r="B9" i="14"/>
  <c r="D7" i="10"/>
  <c r="D4" i="10"/>
  <c r="B9" i="10"/>
  <c r="B8" i="10"/>
  <c r="B7" i="10"/>
  <c r="B7" i="14"/>
  <c r="B5" i="8"/>
  <c r="B4" i="12"/>
  <c r="B6" i="12"/>
  <c r="D5" i="10"/>
  <c r="D6" i="8"/>
  <c r="AF5" i="14" l="1"/>
  <c r="P24" i="14"/>
  <c r="P6" i="14"/>
  <c r="E20" i="3"/>
  <c r="P4" i="13"/>
  <c r="E12" i="3"/>
  <c r="P7" i="13"/>
  <c r="E15" i="3"/>
  <c r="P18" i="12"/>
  <c r="E18" i="12"/>
  <c r="P6" i="13"/>
  <c r="E14" i="3"/>
  <c r="P33" i="14"/>
  <c r="P23" i="12"/>
  <c r="P4" i="14"/>
  <c r="E18" i="3"/>
  <c r="P7" i="14"/>
  <c r="AF7" i="14" s="1"/>
  <c r="E21" i="3"/>
  <c r="AF4" i="12"/>
  <c r="P28" i="12"/>
  <c r="H17" i="12"/>
  <c r="P5" i="13"/>
  <c r="E13" i="3"/>
  <c r="P6" i="12"/>
  <c r="E8" i="3"/>
  <c r="J24" i="22"/>
  <c r="O23" i="30" s="1"/>
  <c r="J37" i="22"/>
  <c r="O40" i="30" s="1"/>
  <c r="I13" i="22"/>
  <c r="N18" i="30" s="1"/>
  <c r="I20" i="22"/>
  <c r="H23" i="30" s="1"/>
  <c r="B18" i="3"/>
  <c r="I8" i="22"/>
  <c r="H13" i="30" s="1"/>
  <c r="P35" i="10"/>
  <c r="P25" i="10"/>
  <c r="B20" i="3"/>
  <c r="AF7" i="10"/>
  <c r="E21" i="10"/>
  <c r="P21" i="10"/>
  <c r="J20" i="22"/>
  <c r="I23" i="30" s="1"/>
  <c r="I14" i="22"/>
  <c r="Q13" i="30" s="1"/>
  <c r="J25" i="22"/>
  <c r="O28" i="30" s="1"/>
  <c r="J15" i="22"/>
  <c r="R18" i="30" s="1"/>
  <c r="K17" i="10"/>
  <c r="J38" i="22"/>
  <c r="R33" i="30" s="1"/>
  <c r="I36" i="22"/>
  <c r="N33" i="30" s="1"/>
  <c r="I38" i="22"/>
  <c r="Q33" i="30" s="1"/>
  <c r="J27" i="22"/>
  <c r="R28" i="30" s="1"/>
  <c r="I9" i="22"/>
  <c r="H18" i="30" s="1"/>
  <c r="J33" i="22"/>
  <c r="I40" i="30" s="1"/>
  <c r="I26" i="22"/>
  <c r="Q23" i="30" s="1"/>
  <c r="J13" i="22"/>
  <c r="O18" i="30" s="1"/>
  <c r="J35" i="22"/>
  <c r="L40" i="30" s="1"/>
  <c r="J22" i="22"/>
  <c r="L23" i="30" s="1"/>
  <c r="I16" i="22"/>
  <c r="B23" i="30" s="1"/>
  <c r="J23" i="22"/>
  <c r="L28" i="30" s="1"/>
  <c r="P7" i="12"/>
  <c r="P23" i="14"/>
  <c r="H17" i="14"/>
  <c r="P18" i="14"/>
  <c r="P28" i="14"/>
  <c r="AF4" i="14"/>
  <c r="P36" i="14"/>
  <c r="E18" i="14"/>
  <c r="J17" i="11"/>
  <c r="P29" i="11"/>
  <c r="AF6" i="11"/>
  <c r="P26" i="11"/>
  <c r="P20" i="11"/>
  <c r="E20" i="11"/>
  <c r="P34" i="11"/>
  <c r="E21" i="14"/>
  <c r="P21" i="14"/>
  <c r="P30" i="14"/>
  <c r="K17" i="13"/>
  <c r="P21" i="13"/>
  <c r="E21" i="13"/>
  <c r="P35" i="13"/>
  <c r="P30" i="13"/>
  <c r="P25" i="13"/>
  <c r="AF7" i="13"/>
  <c r="P36" i="10"/>
  <c r="H17" i="10"/>
  <c r="P18" i="10"/>
  <c r="AF4" i="10"/>
  <c r="P23" i="10"/>
  <c r="E18" i="10"/>
  <c r="P28" i="10"/>
  <c r="P36" i="11"/>
  <c r="H17" i="11"/>
  <c r="E18" i="11"/>
  <c r="P18" i="11"/>
  <c r="P23" i="11"/>
  <c r="P28" i="11"/>
  <c r="AF4" i="11"/>
  <c r="I17" i="13"/>
  <c r="AF5" i="13"/>
  <c r="E19" i="13"/>
  <c r="P24" i="13"/>
  <c r="P33" i="13"/>
  <c r="P31" i="13"/>
  <c r="P19" i="13"/>
  <c r="J17" i="14"/>
  <c r="E20" i="14"/>
  <c r="P20" i="14"/>
  <c r="AF6" i="14"/>
  <c r="P34" i="14"/>
  <c r="P29" i="14"/>
  <c r="P26" i="14"/>
  <c r="I32" i="22"/>
  <c r="H33" i="30" s="1"/>
  <c r="P7" i="11"/>
  <c r="P36" i="13"/>
  <c r="H17" i="13"/>
  <c r="E18" i="13"/>
  <c r="P23" i="13"/>
  <c r="P28" i="13"/>
  <c r="P18" i="13"/>
  <c r="AF4" i="13"/>
  <c r="J10" i="22"/>
  <c r="L13" i="30" s="1"/>
  <c r="P5" i="12"/>
  <c r="J8" i="22"/>
  <c r="I13" i="30" s="1"/>
  <c r="P5" i="11"/>
  <c r="J17" i="10"/>
  <c r="P34" i="10"/>
  <c r="AF6" i="10"/>
  <c r="P29" i="10"/>
  <c r="P26" i="10"/>
  <c r="E20" i="10"/>
  <c r="P20" i="10"/>
  <c r="J17" i="12"/>
  <c r="P26" i="12"/>
  <c r="P34" i="12"/>
  <c r="AF6" i="12"/>
  <c r="P29" i="12"/>
  <c r="P20" i="12"/>
  <c r="E20" i="12"/>
  <c r="J17" i="13"/>
  <c r="P26" i="13"/>
  <c r="E20" i="13"/>
  <c r="P20" i="13"/>
  <c r="AF6" i="13"/>
  <c r="P29" i="13"/>
  <c r="P34" i="13"/>
  <c r="P36" i="8"/>
  <c r="E21" i="8"/>
  <c r="J30" i="22"/>
  <c r="F33" i="30" s="1"/>
  <c r="P35" i="8"/>
  <c r="J36" i="22"/>
  <c r="O33" i="30" s="1"/>
  <c r="J39" i="22"/>
  <c r="R40" i="30" s="1"/>
  <c r="I24" i="22"/>
  <c r="N23" i="30" s="1"/>
  <c r="J9" i="22"/>
  <c r="I18" i="30" s="1"/>
  <c r="I12" i="22"/>
  <c r="N13" i="30" s="1"/>
  <c r="J26" i="22"/>
  <c r="R23" i="30" s="1"/>
  <c r="J12" i="22"/>
  <c r="O13" i="30" s="1"/>
  <c r="I18" i="22"/>
  <c r="E23" i="30" s="1"/>
  <c r="P21" i="8"/>
  <c r="I28" i="22"/>
  <c r="B33" i="30" s="1"/>
  <c r="J32" i="22"/>
  <c r="I33" i="30" s="1"/>
  <c r="B12" i="3"/>
  <c r="P25" i="8"/>
  <c r="B9" i="3"/>
  <c r="K17" i="8"/>
  <c r="I6" i="22"/>
  <c r="E13" i="30" s="1"/>
  <c r="P30" i="8"/>
  <c r="J17" i="22"/>
  <c r="C28" i="30" s="1"/>
  <c r="J5" i="22"/>
  <c r="C18" i="30" s="1"/>
  <c r="I37" i="22"/>
  <c r="N40" i="30" s="1"/>
  <c r="B6" i="3"/>
  <c r="I4" i="22"/>
  <c r="B13" i="30" s="1"/>
  <c r="H17" i="8"/>
  <c r="I7" i="22"/>
  <c r="E18" i="30" s="1"/>
  <c r="I21" i="22"/>
  <c r="H28" i="30" s="1"/>
  <c r="J18" i="22"/>
  <c r="F23" i="30" s="1"/>
  <c r="J31" i="22"/>
  <c r="F40" i="30" s="1"/>
  <c r="P23" i="8"/>
  <c r="B14" i="3"/>
  <c r="E18" i="8"/>
  <c r="J28" i="22"/>
  <c r="C33" i="30" s="1"/>
  <c r="P28" i="8"/>
  <c r="P18" i="8"/>
  <c r="I35" i="22"/>
  <c r="K40" i="30" s="1"/>
  <c r="I23" i="22"/>
  <c r="K28" i="30" s="1"/>
  <c r="J21" i="22"/>
  <c r="I28" i="30" s="1"/>
  <c r="I17" i="22"/>
  <c r="B28" i="30" s="1"/>
  <c r="I15" i="22"/>
  <c r="Q18" i="30" s="1"/>
  <c r="B21" i="3"/>
  <c r="B19" i="3"/>
  <c r="I33" i="22"/>
  <c r="H40" i="30" s="1"/>
  <c r="J11" i="22"/>
  <c r="L18" i="30" s="1"/>
  <c r="I34" i="22"/>
  <c r="K33" i="30" s="1"/>
  <c r="I25" i="22"/>
  <c r="N28" i="30" s="1"/>
  <c r="I17" i="8"/>
  <c r="AF5" i="8"/>
  <c r="P19" i="8"/>
  <c r="P24" i="8"/>
  <c r="P31" i="8"/>
  <c r="P33" i="8"/>
  <c r="I29" i="22"/>
  <c r="B40" i="30" s="1"/>
  <c r="J4" i="22"/>
  <c r="C13" i="30" s="1"/>
  <c r="E19" i="8"/>
  <c r="B7" i="3"/>
  <c r="M9" i="8"/>
  <c r="D9" i="12"/>
  <c r="B7" i="13"/>
  <c r="B4" i="10"/>
  <c r="D7" i="14"/>
  <c r="B4" i="11"/>
  <c r="D6" i="13"/>
  <c r="D9" i="10"/>
  <c r="D7" i="11"/>
  <c r="D8" i="14"/>
  <c r="D5" i="8"/>
  <c r="D4" i="11"/>
  <c r="B5" i="13"/>
  <c r="B5" i="10"/>
  <c r="D7" i="12"/>
  <c r="B4" i="14"/>
  <c r="D5" i="12"/>
  <c r="B6" i="14"/>
  <c r="B9" i="13"/>
  <c r="D9" i="14"/>
  <c r="B8" i="12"/>
  <c r="B6" i="13"/>
  <c r="D9" i="13"/>
  <c r="D4" i="12"/>
  <c r="B9" i="11"/>
  <c r="D6" i="14"/>
  <c r="B8" i="13"/>
  <c r="B9" i="8"/>
  <c r="D8" i="13"/>
  <c r="B5" i="11"/>
  <c r="D7" i="13"/>
  <c r="B7" i="11"/>
  <c r="B5" i="14"/>
  <c r="D6" i="10"/>
  <c r="B6" i="8"/>
  <c r="D6" i="11"/>
  <c r="B4" i="8"/>
  <c r="D6" i="12"/>
  <c r="B9" i="12"/>
  <c r="D9" i="11"/>
  <c r="B8" i="14"/>
  <c r="D8" i="8"/>
  <c r="D5" i="14"/>
  <c r="D4" i="13"/>
  <c r="B7" i="12"/>
  <c r="B7" i="8"/>
  <c r="B6" i="11"/>
  <c r="D5" i="11"/>
  <c r="D4" i="8"/>
  <c r="B8" i="8"/>
  <c r="B8" i="11"/>
  <c r="B4" i="13"/>
  <c r="D7" i="8"/>
  <c r="D8" i="10"/>
  <c r="D8" i="11"/>
  <c r="B6" i="10"/>
  <c r="D5" i="13"/>
  <c r="P25" i="14" l="1"/>
  <c r="P35" i="14"/>
  <c r="K17" i="14"/>
  <c r="AB4" i="10"/>
  <c r="H20" i="12"/>
  <c r="K20" i="12"/>
  <c r="T23" i="12"/>
  <c r="S23" i="12"/>
  <c r="J18" i="12"/>
  <c r="Q6" i="12"/>
  <c r="T4" i="12"/>
  <c r="S4" i="12"/>
  <c r="T6" i="12"/>
  <c r="Q4" i="12"/>
  <c r="U4" i="12"/>
  <c r="S6" i="12"/>
  <c r="U6" i="12"/>
  <c r="I21" i="13"/>
  <c r="T5" i="13"/>
  <c r="J18" i="13"/>
  <c r="H20" i="13"/>
  <c r="J21" i="13"/>
  <c r="K19" i="13"/>
  <c r="K18" i="13"/>
  <c r="T6" i="13"/>
  <c r="T7" i="13"/>
  <c r="S5" i="13"/>
  <c r="T4" i="13"/>
  <c r="I20" i="13"/>
  <c r="H21" i="13"/>
  <c r="H19" i="13"/>
  <c r="S4" i="13"/>
  <c r="S6" i="13"/>
  <c r="Q7" i="13"/>
  <c r="J19" i="13"/>
  <c r="I18" i="13"/>
  <c r="U6" i="13"/>
  <c r="U7" i="13"/>
  <c r="U5" i="13"/>
  <c r="Q4" i="13"/>
  <c r="Q6" i="13"/>
  <c r="Q5" i="13"/>
  <c r="U4" i="13"/>
  <c r="S7" i="13"/>
  <c r="K20" i="13"/>
  <c r="H20" i="11"/>
  <c r="T6" i="11"/>
  <c r="S4" i="11"/>
  <c r="U4" i="11"/>
  <c r="S6" i="11"/>
  <c r="Q4" i="11"/>
  <c r="U6" i="11"/>
  <c r="Q6" i="11"/>
  <c r="T4" i="11"/>
  <c r="J18" i="11"/>
  <c r="S5" i="14"/>
  <c r="U4" i="14"/>
  <c r="S7" i="14"/>
  <c r="T19" i="14"/>
  <c r="I20" i="14"/>
  <c r="S33" i="14"/>
  <c r="T7" i="14"/>
  <c r="Q19" i="14"/>
  <c r="S6" i="14"/>
  <c r="Q33" i="14"/>
  <c r="K18" i="14"/>
  <c r="I21" i="14"/>
  <c r="H20" i="14"/>
  <c r="I18" i="14"/>
  <c r="H21" i="14"/>
  <c r="K20" i="14"/>
  <c r="T4" i="14"/>
  <c r="J21" i="14"/>
  <c r="Q6" i="14"/>
  <c r="K19" i="14"/>
  <c r="T5" i="14"/>
  <c r="J18" i="14"/>
  <c r="U7" i="14"/>
  <c r="U6" i="14"/>
  <c r="T24" i="14"/>
  <c r="U5" i="14"/>
  <c r="S4" i="14"/>
  <c r="Q7" i="14"/>
  <c r="H19" i="14"/>
  <c r="S24" i="14"/>
  <c r="Q5" i="14"/>
  <c r="J19" i="14"/>
  <c r="Q4" i="14"/>
  <c r="S19" i="14"/>
  <c r="T6" i="14"/>
  <c r="T33" i="14"/>
  <c r="Q24" i="14"/>
  <c r="I21" i="10"/>
  <c r="S5" i="10"/>
  <c r="S7" i="10"/>
  <c r="K19" i="10"/>
  <c r="T7" i="10"/>
  <c r="T5" i="10"/>
  <c r="U7" i="10"/>
  <c r="Q7" i="10"/>
  <c r="Q5" i="10"/>
  <c r="U5" i="10"/>
  <c r="K18" i="10"/>
  <c r="S30" i="10"/>
  <c r="U6" i="10"/>
  <c r="S25" i="10"/>
  <c r="I18" i="10"/>
  <c r="Q30" i="10"/>
  <c r="Q6" i="10"/>
  <c r="T25" i="10"/>
  <c r="T4" i="10"/>
  <c r="S19" i="10"/>
  <c r="T35" i="10"/>
  <c r="S24" i="10"/>
  <c r="Q25" i="10"/>
  <c r="J18" i="10"/>
  <c r="T19" i="10"/>
  <c r="S35" i="10"/>
  <c r="H20" i="10"/>
  <c r="S4" i="10"/>
  <c r="Q19" i="10"/>
  <c r="Q35" i="10"/>
  <c r="T33" i="10"/>
  <c r="T6" i="10"/>
  <c r="J19" i="10"/>
  <c r="U4" i="10"/>
  <c r="S33" i="10"/>
  <c r="S6" i="10"/>
  <c r="Q4" i="10"/>
  <c r="H21" i="10"/>
  <c r="Q33" i="10"/>
  <c r="K20" i="10"/>
  <c r="J21" i="10"/>
  <c r="T30" i="10"/>
  <c r="I20" i="10"/>
  <c r="H19" i="10"/>
  <c r="Q23" i="12"/>
  <c r="I20" i="11"/>
  <c r="T24" i="10"/>
  <c r="AB6" i="13"/>
  <c r="S29" i="10"/>
  <c r="T29" i="10"/>
  <c r="Q29" i="10"/>
  <c r="AB7" i="11"/>
  <c r="K17" i="11"/>
  <c r="P35" i="11"/>
  <c r="AF7" i="11"/>
  <c r="P25" i="11"/>
  <c r="P30" i="11"/>
  <c r="E21" i="11"/>
  <c r="P21" i="11"/>
  <c r="S20" i="11" s="1"/>
  <c r="S7" i="11"/>
  <c r="H21" i="11"/>
  <c r="T7" i="11"/>
  <c r="J21" i="11"/>
  <c r="I21" i="11"/>
  <c r="Q7" i="11"/>
  <c r="U7" i="11"/>
  <c r="T19" i="13"/>
  <c r="S19" i="13"/>
  <c r="Q19" i="13"/>
  <c r="T28" i="10"/>
  <c r="S28" i="10"/>
  <c r="Q28" i="10"/>
  <c r="AB7" i="13"/>
  <c r="T30" i="14"/>
  <c r="S30" i="14"/>
  <c r="Q30" i="14"/>
  <c r="T34" i="13"/>
  <c r="S34" i="13"/>
  <c r="Q34" i="13"/>
  <c r="P19" i="12"/>
  <c r="I17" i="12"/>
  <c r="P24" i="12"/>
  <c r="P33" i="12"/>
  <c r="AB5" i="12"/>
  <c r="AF5" i="12"/>
  <c r="P31" i="12"/>
  <c r="Q29" i="12" s="1"/>
  <c r="E19" i="12"/>
  <c r="T5" i="12"/>
  <c r="H19" i="12"/>
  <c r="K19" i="12"/>
  <c r="J19" i="12"/>
  <c r="S5" i="12"/>
  <c r="U5" i="12"/>
  <c r="Q5" i="12"/>
  <c r="I18" i="12"/>
  <c r="T18" i="13"/>
  <c r="S18" i="13"/>
  <c r="Q18" i="13"/>
  <c r="T20" i="11"/>
  <c r="T28" i="14"/>
  <c r="S28" i="14"/>
  <c r="Q28" i="14"/>
  <c r="AB7" i="10"/>
  <c r="AB5" i="10"/>
  <c r="AB4" i="12"/>
  <c r="AB5" i="14"/>
  <c r="S29" i="13"/>
  <c r="T29" i="13"/>
  <c r="Q29" i="13"/>
  <c r="AB6" i="12"/>
  <c r="S34" i="10"/>
  <c r="T34" i="10"/>
  <c r="Q34" i="10"/>
  <c r="T28" i="13"/>
  <c r="S28" i="13"/>
  <c r="Q28" i="13"/>
  <c r="T29" i="14"/>
  <c r="S29" i="14"/>
  <c r="Q29" i="14"/>
  <c r="S33" i="13"/>
  <c r="T33" i="13"/>
  <c r="Q33" i="13"/>
  <c r="T25" i="13"/>
  <c r="S25" i="13"/>
  <c r="Q25" i="13"/>
  <c r="T18" i="14"/>
  <c r="S18" i="14"/>
  <c r="Q18" i="14"/>
  <c r="I20" i="12"/>
  <c r="S34" i="12"/>
  <c r="T34" i="12"/>
  <c r="Q34" i="12"/>
  <c r="AB6" i="10"/>
  <c r="Q24" i="10"/>
  <c r="T23" i="13"/>
  <c r="S23" i="13"/>
  <c r="Q23" i="13"/>
  <c r="T34" i="14"/>
  <c r="S34" i="14"/>
  <c r="Q34" i="14"/>
  <c r="S24" i="13"/>
  <c r="T24" i="13"/>
  <c r="Q24" i="13"/>
  <c r="T23" i="11"/>
  <c r="S23" i="11"/>
  <c r="Q23" i="11"/>
  <c r="T23" i="10"/>
  <c r="S23" i="10"/>
  <c r="Q23" i="10"/>
  <c r="S30" i="13"/>
  <c r="T30" i="13"/>
  <c r="Q30" i="13"/>
  <c r="K20" i="11"/>
  <c r="AB4" i="14"/>
  <c r="T20" i="13"/>
  <c r="S20" i="13"/>
  <c r="Q20" i="13"/>
  <c r="AB4" i="13"/>
  <c r="AB6" i="14"/>
  <c r="Q18" i="11"/>
  <c r="T35" i="13"/>
  <c r="S35" i="13"/>
  <c r="Q35" i="13"/>
  <c r="S25" i="14"/>
  <c r="T25" i="14"/>
  <c r="Q25" i="14"/>
  <c r="T20" i="10"/>
  <c r="S20" i="10"/>
  <c r="Q20" i="10"/>
  <c r="AB5" i="11"/>
  <c r="I17" i="11"/>
  <c r="P19" i="11"/>
  <c r="P31" i="11"/>
  <c r="Q29" i="11" s="1"/>
  <c r="AF5" i="11"/>
  <c r="P24" i="11"/>
  <c r="E19" i="11"/>
  <c r="P33" i="11"/>
  <c r="J19" i="11"/>
  <c r="S5" i="11"/>
  <c r="T5" i="11"/>
  <c r="H19" i="11"/>
  <c r="K19" i="11"/>
  <c r="U5" i="11"/>
  <c r="Q5" i="11"/>
  <c r="T18" i="10"/>
  <c r="S18" i="10"/>
  <c r="Q18" i="10"/>
  <c r="AB7" i="14"/>
  <c r="T23" i="14"/>
  <c r="S23" i="14"/>
  <c r="Q23" i="14"/>
  <c r="T20" i="14"/>
  <c r="S20" i="14"/>
  <c r="Q20" i="14"/>
  <c r="I18" i="11"/>
  <c r="AB4" i="11"/>
  <c r="T35" i="14"/>
  <c r="S35" i="14"/>
  <c r="Q35" i="14"/>
  <c r="AB6" i="11"/>
  <c r="K17" i="12"/>
  <c r="E21" i="12"/>
  <c r="P25" i="12"/>
  <c r="P21" i="12"/>
  <c r="S20" i="12" s="1"/>
  <c r="P30" i="12"/>
  <c r="P35" i="12"/>
  <c r="AF7" i="12"/>
  <c r="AB7" i="12"/>
  <c r="T7" i="12"/>
  <c r="H21" i="12"/>
  <c r="I21" i="12"/>
  <c r="J21" i="12"/>
  <c r="S7" i="12"/>
  <c r="U7" i="12"/>
  <c r="Q7" i="12"/>
  <c r="K18" i="12"/>
  <c r="AB5" i="13"/>
  <c r="K18" i="11"/>
  <c r="S34" i="11"/>
  <c r="T34" i="11"/>
  <c r="Q34" i="11"/>
  <c r="U7" i="8"/>
  <c r="U4" i="8"/>
  <c r="AB4" i="8"/>
  <c r="AB5" i="8"/>
  <c r="AB6" i="8"/>
  <c r="AB7" i="8"/>
  <c r="S23" i="8"/>
  <c r="J18" i="8"/>
  <c r="AA28" i="8" s="1"/>
  <c r="T28" i="8"/>
  <c r="K18" i="8"/>
  <c r="AB28" i="8" s="1"/>
  <c r="S28" i="8"/>
  <c r="T23" i="8"/>
  <c r="Q28" i="8"/>
  <c r="Q23" i="8"/>
  <c r="T18" i="8"/>
  <c r="I18" i="8"/>
  <c r="AA18" i="8" s="1"/>
  <c r="S18" i="8"/>
  <c r="Q18" i="8"/>
  <c r="I21" i="8"/>
  <c r="AB35" i="8" s="1"/>
  <c r="S33" i="8"/>
  <c r="T7" i="8"/>
  <c r="S25" i="8"/>
  <c r="Q35" i="8"/>
  <c r="S19" i="8"/>
  <c r="T4" i="8"/>
  <c r="Q25" i="8"/>
  <c r="Q30" i="8"/>
  <c r="T34" i="8"/>
  <c r="T29" i="8"/>
  <c r="Q4" i="8"/>
  <c r="H20" i="8"/>
  <c r="AB20" i="8" s="1"/>
  <c r="K20" i="8"/>
  <c r="AC29" i="8" s="1"/>
  <c r="T20" i="8"/>
  <c r="Q29" i="8"/>
  <c r="K19" i="8"/>
  <c r="AC24" i="8" s="1"/>
  <c r="S24" i="8"/>
  <c r="T33" i="8"/>
  <c r="J21" i="8"/>
  <c r="AC30" i="8" s="1"/>
  <c r="S20" i="8"/>
  <c r="T5" i="8"/>
  <c r="T19" i="8"/>
  <c r="H19" i="8"/>
  <c r="AA24" i="8" s="1"/>
  <c r="J19" i="8"/>
  <c r="AA33" i="8" s="1"/>
  <c r="S5" i="8"/>
  <c r="I20" i="8"/>
  <c r="AC20" i="8" s="1"/>
  <c r="S4" i="8"/>
  <c r="T6" i="8"/>
  <c r="S6" i="8"/>
  <c r="T35" i="8"/>
  <c r="S29" i="8"/>
  <c r="H21" i="8"/>
  <c r="AB25" i="8" s="1"/>
  <c r="Q7" i="8"/>
  <c r="S34" i="8"/>
  <c r="T24" i="8"/>
  <c r="S7" i="8"/>
  <c r="T25" i="8"/>
  <c r="T30" i="8"/>
  <c r="S35" i="8"/>
  <c r="S30" i="8"/>
  <c r="M10" i="8"/>
  <c r="H9" i="8"/>
  <c r="U5" i="8" s="1"/>
  <c r="I9" i="8"/>
  <c r="U6" i="8" s="1"/>
  <c r="G13" i="16" l="1"/>
  <c r="Q20" i="11"/>
  <c r="S18" i="11"/>
  <c r="T18" i="11"/>
  <c r="R6" i="13"/>
  <c r="AD6" i="13" s="1"/>
  <c r="Q20" i="12"/>
  <c r="S29" i="11"/>
  <c r="R24" i="14"/>
  <c r="V24" i="14" s="1"/>
  <c r="R34" i="14"/>
  <c r="V34" i="14" s="1"/>
  <c r="R4" i="14"/>
  <c r="AD4" i="14" s="1"/>
  <c r="R5" i="13"/>
  <c r="AD5" i="13" s="1"/>
  <c r="Y12" i="13" s="1"/>
  <c r="R7" i="13"/>
  <c r="AD7" i="13" s="1"/>
  <c r="R19" i="14"/>
  <c r="V19" i="14" s="1"/>
  <c r="R5" i="10"/>
  <c r="AD5" i="10" s="1"/>
  <c r="Y12" i="10" s="1"/>
  <c r="R34" i="10"/>
  <c r="V34" i="10" s="1"/>
  <c r="R28" i="14"/>
  <c r="V28" i="14" s="1"/>
  <c r="R29" i="13"/>
  <c r="V29" i="13" s="1"/>
  <c r="R5" i="12"/>
  <c r="AD5" i="12" s="1"/>
  <c r="Y12" i="12" s="1"/>
  <c r="R6" i="10"/>
  <c r="AD6" i="10" s="1"/>
  <c r="R4" i="13"/>
  <c r="AD4" i="13" s="1"/>
  <c r="R23" i="11"/>
  <c r="V23" i="11" s="1"/>
  <c r="R30" i="14"/>
  <c r="V30" i="14" s="1"/>
  <c r="R18" i="14"/>
  <c r="V18" i="14" s="1"/>
  <c r="R18" i="13"/>
  <c r="V18" i="13" s="1"/>
  <c r="R5" i="11"/>
  <c r="AD5" i="11" s="1"/>
  <c r="R30" i="13"/>
  <c r="V30" i="13" s="1"/>
  <c r="R29" i="14"/>
  <c r="V29" i="14" s="1"/>
  <c r="R4" i="12"/>
  <c r="AD4" i="12" s="1"/>
  <c r="R18" i="10"/>
  <c r="V18" i="10" s="1"/>
  <c r="R35" i="13"/>
  <c r="V35" i="13" s="1"/>
  <c r="R25" i="13"/>
  <c r="V25" i="13" s="1"/>
  <c r="R34" i="13"/>
  <c r="V34" i="13" s="1"/>
  <c r="R6" i="11"/>
  <c r="AD6" i="11" s="1"/>
  <c r="R20" i="11"/>
  <c r="V20" i="11" s="1"/>
  <c r="R7" i="11"/>
  <c r="AD7" i="11" s="1"/>
  <c r="R4" i="10"/>
  <c r="AD4" i="10" s="1"/>
  <c r="R6" i="12"/>
  <c r="AD6" i="12" s="1"/>
  <c r="R23" i="12"/>
  <c r="V23" i="12" s="1"/>
  <c r="R33" i="13"/>
  <c r="V33" i="13" s="1"/>
  <c r="R34" i="11"/>
  <c r="V34" i="11" s="1"/>
  <c r="AB25" i="12"/>
  <c r="AB30" i="12"/>
  <c r="AA24" i="11"/>
  <c r="AA19" i="11"/>
  <c r="T29" i="11"/>
  <c r="R23" i="10"/>
  <c r="V23" i="10" s="1"/>
  <c r="R19" i="13"/>
  <c r="V19" i="13" s="1"/>
  <c r="AB30" i="11"/>
  <c r="AB25" i="11"/>
  <c r="AA34" i="10"/>
  <c r="AC20" i="10"/>
  <c r="R33" i="10"/>
  <c r="V33" i="10" s="1"/>
  <c r="AA29" i="10"/>
  <c r="AB20" i="10"/>
  <c r="AB23" i="10"/>
  <c r="AB28" i="10"/>
  <c r="R7" i="10"/>
  <c r="AD7" i="10" s="1"/>
  <c r="AC19" i="14"/>
  <c r="AA33" i="14"/>
  <c r="AC34" i="14"/>
  <c r="AC29" i="14"/>
  <c r="R4" i="11"/>
  <c r="AD4" i="11" s="1"/>
  <c r="AC6" i="13"/>
  <c r="L20" i="13"/>
  <c r="AC6" i="12"/>
  <c r="L20" i="12"/>
  <c r="AB28" i="12"/>
  <c r="AB23" i="12"/>
  <c r="R20" i="14"/>
  <c r="V20" i="14" s="1"/>
  <c r="S19" i="11"/>
  <c r="T19" i="11"/>
  <c r="Q19" i="11"/>
  <c r="AC19" i="12"/>
  <c r="AA33" i="12"/>
  <c r="S33" i="12"/>
  <c r="T33" i="12"/>
  <c r="Q33" i="12"/>
  <c r="R35" i="10"/>
  <c r="V35" i="10" s="1"/>
  <c r="X33" i="14"/>
  <c r="Z33" i="14" s="1"/>
  <c r="L19" i="14"/>
  <c r="X34" i="14"/>
  <c r="Z34" i="14" s="1"/>
  <c r="X35" i="14"/>
  <c r="Z35" i="14" s="1"/>
  <c r="AC5" i="14"/>
  <c r="AB25" i="14"/>
  <c r="AB30" i="14"/>
  <c r="AB18" i="11"/>
  <c r="AA28" i="11"/>
  <c r="L18" i="13"/>
  <c r="X20" i="13"/>
  <c r="X23" i="13"/>
  <c r="Z23" i="13" s="1"/>
  <c r="X18" i="13"/>
  <c r="X30" i="13"/>
  <c r="Z30" i="13" s="1"/>
  <c r="AC4" i="13"/>
  <c r="X19" i="13"/>
  <c r="X24" i="13"/>
  <c r="Z24" i="13" s="1"/>
  <c r="X25" i="13"/>
  <c r="X29" i="13"/>
  <c r="Z29" i="13" s="1"/>
  <c r="AF16" i="13"/>
  <c r="X28" i="13"/>
  <c r="Z28" i="13" s="1"/>
  <c r="AB23" i="13"/>
  <c r="AB28" i="13"/>
  <c r="AB18" i="12"/>
  <c r="AA28" i="12"/>
  <c r="R34" i="12"/>
  <c r="V34" i="12" s="1"/>
  <c r="AB33" i="12"/>
  <c r="AC24" i="12"/>
  <c r="T24" i="12"/>
  <c r="S24" i="12"/>
  <c r="Q24" i="12"/>
  <c r="AC35" i="10"/>
  <c r="AC30" i="10"/>
  <c r="AA33" i="10"/>
  <c r="AC19" i="10"/>
  <c r="AC6" i="10"/>
  <c r="L20" i="10"/>
  <c r="X34" i="10"/>
  <c r="Z34" i="10" s="1"/>
  <c r="AC5" i="10"/>
  <c r="X35" i="10"/>
  <c r="Z35" i="10" s="1"/>
  <c r="L19" i="10"/>
  <c r="X33" i="10"/>
  <c r="Z33" i="10" s="1"/>
  <c r="AC25" i="10"/>
  <c r="AB35" i="10"/>
  <c r="AB18" i="14"/>
  <c r="AA28" i="14"/>
  <c r="AA18" i="14"/>
  <c r="AA23" i="14"/>
  <c r="R33" i="14"/>
  <c r="V33" i="14" s="1"/>
  <c r="AB20" i="11"/>
  <c r="AA29" i="11"/>
  <c r="AA24" i="13"/>
  <c r="AA19" i="13"/>
  <c r="AB33" i="13"/>
  <c r="AC24" i="13"/>
  <c r="AB28" i="11"/>
  <c r="AB23" i="11"/>
  <c r="L21" i="12"/>
  <c r="AC7" i="12"/>
  <c r="AA33" i="11"/>
  <c r="AC19" i="11"/>
  <c r="AC34" i="11"/>
  <c r="AC29" i="11"/>
  <c r="AC20" i="12"/>
  <c r="AA34" i="12"/>
  <c r="Q28" i="11"/>
  <c r="AA19" i="12"/>
  <c r="AA24" i="12"/>
  <c r="AC34" i="10"/>
  <c r="AC29" i="10"/>
  <c r="AA28" i="10"/>
  <c r="AB18" i="10"/>
  <c r="L21" i="10"/>
  <c r="AC7" i="10"/>
  <c r="AA24" i="14"/>
  <c r="AA19" i="14"/>
  <c r="AB20" i="14"/>
  <c r="AA29" i="14"/>
  <c r="AC20" i="14"/>
  <c r="AA34" i="14"/>
  <c r="AC6" i="11"/>
  <c r="L20" i="11"/>
  <c r="AB25" i="13"/>
  <c r="AB30" i="13"/>
  <c r="AC35" i="13"/>
  <c r="AC30" i="13"/>
  <c r="S35" i="12"/>
  <c r="T35" i="12"/>
  <c r="Q35" i="12"/>
  <c r="R35" i="14"/>
  <c r="V35" i="14" s="1"/>
  <c r="R23" i="14"/>
  <c r="V23" i="14" s="1"/>
  <c r="S33" i="11"/>
  <c r="T33" i="11"/>
  <c r="Q33" i="11"/>
  <c r="R25" i="14"/>
  <c r="V25" i="14" s="1"/>
  <c r="R23" i="13"/>
  <c r="V23" i="13" s="1"/>
  <c r="T28" i="11"/>
  <c r="AA18" i="12"/>
  <c r="AA23" i="12"/>
  <c r="S19" i="12"/>
  <c r="T19" i="12"/>
  <c r="Q19" i="12"/>
  <c r="L21" i="11"/>
  <c r="AC7" i="11"/>
  <c r="T30" i="11"/>
  <c r="S30" i="11"/>
  <c r="Q30" i="11"/>
  <c r="R29" i="10"/>
  <c r="V29" i="10" s="1"/>
  <c r="AA23" i="10"/>
  <c r="AA18" i="10"/>
  <c r="L21" i="14"/>
  <c r="AC7" i="14"/>
  <c r="AB33" i="14"/>
  <c r="AC24" i="14"/>
  <c r="AC25" i="14"/>
  <c r="AB35" i="14"/>
  <c r="AC29" i="13"/>
  <c r="AC34" i="13"/>
  <c r="AC20" i="13"/>
  <c r="AA34" i="13"/>
  <c r="AA29" i="13"/>
  <c r="AB20" i="13"/>
  <c r="AF16" i="12"/>
  <c r="X20" i="12"/>
  <c r="Z20" i="12" s="1"/>
  <c r="X23" i="12"/>
  <c r="Z23" i="12" s="1"/>
  <c r="X30" i="12"/>
  <c r="Z30" i="12" s="1"/>
  <c r="AC4" i="12"/>
  <c r="X19" i="12"/>
  <c r="L18" i="12"/>
  <c r="X25" i="12"/>
  <c r="X24" i="12"/>
  <c r="Z24" i="12" s="1"/>
  <c r="X29" i="12"/>
  <c r="Z29" i="12" s="1"/>
  <c r="X28" i="12"/>
  <c r="Z28" i="12" s="1"/>
  <c r="X18" i="12"/>
  <c r="R7" i="12"/>
  <c r="AD7" i="12" s="1"/>
  <c r="Y11" i="12" s="1"/>
  <c r="T30" i="12"/>
  <c r="S30" i="12"/>
  <c r="Q30" i="12"/>
  <c r="AC5" i="11"/>
  <c r="X35" i="11"/>
  <c r="Z35" i="11" s="1"/>
  <c r="L19" i="11"/>
  <c r="X33" i="11"/>
  <c r="Z33" i="11" s="1"/>
  <c r="X34" i="11"/>
  <c r="Z34" i="11" s="1"/>
  <c r="R20" i="10"/>
  <c r="V20" i="10" s="1"/>
  <c r="S28" i="11"/>
  <c r="R28" i="13"/>
  <c r="V28" i="13" s="1"/>
  <c r="R28" i="10"/>
  <c r="V28" i="10" s="1"/>
  <c r="AC25" i="11"/>
  <c r="AB35" i="11"/>
  <c r="T25" i="11"/>
  <c r="S25" i="11"/>
  <c r="Q25" i="11"/>
  <c r="AA34" i="11"/>
  <c r="AC20" i="11"/>
  <c r="AB25" i="10"/>
  <c r="AB30" i="10"/>
  <c r="R24" i="10"/>
  <c r="V24" i="10" s="1"/>
  <c r="R25" i="10"/>
  <c r="V25" i="10" s="1"/>
  <c r="AC6" i="14"/>
  <c r="L20" i="14"/>
  <c r="AB28" i="14"/>
  <c r="AB23" i="14"/>
  <c r="R7" i="14"/>
  <c r="AD7" i="14" s="1"/>
  <c r="Y11" i="14" s="1"/>
  <c r="X25" i="11"/>
  <c r="Z25" i="11" s="1"/>
  <c r="X29" i="11"/>
  <c r="Z29" i="11" s="1"/>
  <c r="X28" i="11"/>
  <c r="Z28" i="11" s="1"/>
  <c r="AF16" i="11"/>
  <c r="X20" i="11"/>
  <c r="Z20" i="11" s="1"/>
  <c r="X30" i="11"/>
  <c r="Z30" i="11" s="1"/>
  <c r="AC4" i="11"/>
  <c r="X23" i="11"/>
  <c r="Z23" i="11" s="1"/>
  <c r="X18" i="11"/>
  <c r="X19" i="11"/>
  <c r="Z19" i="11" s="1"/>
  <c r="L18" i="11"/>
  <c r="X24" i="11"/>
  <c r="Z24" i="11" s="1"/>
  <c r="AA18" i="13"/>
  <c r="AA23" i="13"/>
  <c r="AB18" i="13"/>
  <c r="AA28" i="13"/>
  <c r="AC35" i="12"/>
  <c r="AC30" i="12"/>
  <c r="T18" i="12"/>
  <c r="S18" i="12"/>
  <c r="Q18" i="12"/>
  <c r="T24" i="11"/>
  <c r="S24" i="11"/>
  <c r="Q24" i="11"/>
  <c r="L19" i="12"/>
  <c r="AC5" i="12"/>
  <c r="X35" i="12"/>
  <c r="Z35" i="12" s="1"/>
  <c r="X33" i="12"/>
  <c r="Z33" i="12" s="1"/>
  <c r="X34" i="12"/>
  <c r="Z34" i="12" s="1"/>
  <c r="S28" i="12"/>
  <c r="T28" i="12"/>
  <c r="Q28" i="12"/>
  <c r="AC35" i="11"/>
  <c r="AC30" i="11"/>
  <c r="T29" i="12"/>
  <c r="X29" i="10"/>
  <c r="Z29" i="10" s="1"/>
  <c r="L18" i="10"/>
  <c r="AF16" i="10"/>
  <c r="X30" i="10"/>
  <c r="Z30" i="10" s="1"/>
  <c r="X19" i="10"/>
  <c r="X28" i="10"/>
  <c r="Z28" i="10" s="1"/>
  <c r="X20" i="10"/>
  <c r="X18" i="10"/>
  <c r="AC4" i="10"/>
  <c r="AC35" i="14"/>
  <c r="AC30" i="14"/>
  <c r="AA33" i="13"/>
  <c r="AC19" i="13"/>
  <c r="AC29" i="12"/>
  <c r="AC34" i="12"/>
  <c r="T20" i="12"/>
  <c r="R20" i="12" s="1"/>
  <c r="AB35" i="12"/>
  <c r="AC25" i="12"/>
  <c r="T25" i="12"/>
  <c r="S25" i="12"/>
  <c r="Q25" i="12"/>
  <c r="AA23" i="11"/>
  <c r="AA18" i="11"/>
  <c r="AB33" i="11"/>
  <c r="AC24" i="11"/>
  <c r="R20" i="13"/>
  <c r="V20" i="13" s="1"/>
  <c r="R24" i="13"/>
  <c r="V24" i="13" s="1"/>
  <c r="T35" i="11"/>
  <c r="S35" i="11"/>
  <c r="Q35" i="11"/>
  <c r="S29" i="12"/>
  <c r="AA24" i="10"/>
  <c r="AA19" i="10"/>
  <c r="R19" i="10"/>
  <c r="V19" i="10" s="1"/>
  <c r="R30" i="10"/>
  <c r="V30" i="10" s="1"/>
  <c r="AB33" i="10"/>
  <c r="AC24" i="10"/>
  <c r="X18" i="14"/>
  <c r="X29" i="14"/>
  <c r="Z29" i="14" s="1"/>
  <c r="X24" i="14"/>
  <c r="Z24" i="14" s="1"/>
  <c r="X20" i="14"/>
  <c r="X25" i="14"/>
  <c r="X28" i="14"/>
  <c r="Z28" i="14" s="1"/>
  <c r="AF16" i="14"/>
  <c r="X23" i="14"/>
  <c r="Z23" i="14" s="1"/>
  <c r="X30" i="14"/>
  <c r="Z30" i="14" s="1"/>
  <c r="AC4" i="14"/>
  <c r="X19" i="14"/>
  <c r="L18" i="14"/>
  <c r="R6" i="14"/>
  <c r="AD6" i="14" s="1"/>
  <c r="R5" i="14"/>
  <c r="X34" i="13"/>
  <c r="Z34" i="13" s="1"/>
  <c r="AC5" i="13"/>
  <c r="X35" i="13"/>
  <c r="Z35" i="13" s="1"/>
  <c r="X33" i="13"/>
  <c r="Z33" i="13" s="1"/>
  <c r="L19" i="13"/>
  <c r="L21" i="13"/>
  <c r="AC7" i="13"/>
  <c r="AC25" i="13"/>
  <c r="AB35" i="13"/>
  <c r="AB20" i="12"/>
  <c r="AA29" i="12"/>
  <c r="Q24" i="8"/>
  <c r="R29" i="8"/>
  <c r="V29" i="8" s="1"/>
  <c r="R7" i="8"/>
  <c r="AD7" i="8" s="1"/>
  <c r="AA34" i="8"/>
  <c r="AC35" i="8"/>
  <c r="AB18" i="8"/>
  <c r="AC4" i="8"/>
  <c r="R18" i="8"/>
  <c r="V18" i="8" s="1"/>
  <c r="AA29" i="8"/>
  <c r="AA19" i="8"/>
  <c r="AB23" i="8"/>
  <c r="AC34" i="8"/>
  <c r="AA23" i="8"/>
  <c r="AC7" i="8"/>
  <c r="R20" i="8"/>
  <c r="R35" i="8"/>
  <c r="V35" i="8" s="1"/>
  <c r="R4" i="8"/>
  <c r="AD4" i="8" s="1"/>
  <c r="R28" i="8"/>
  <c r="V28" i="8" s="1"/>
  <c r="AC25" i="8"/>
  <c r="AB33" i="8"/>
  <c r="AC19" i="8"/>
  <c r="AB30" i="8"/>
  <c r="R25" i="8"/>
  <c r="V25" i="8" s="1"/>
  <c r="R5" i="8"/>
  <c r="R6" i="8"/>
  <c r="R19" i="8"/>
  <c r="R24" i="8"/>
  <c r="R33" i="8"/>
  <c r="R23" i="8"/>
  <c r="V23" i="8" s="1"/>
  <c r="R34" i="8"/>
  <c r="R30" i="8"/>
  <c r="V30" i="8" s="1"/>
  <c r="Q20" i="8"/>
  <c r="Q34" i="8"/>
  <c r="Q6" i="8"/>
  <c r="Q5" i="8"/>
  <c r="Q19" i="8"/>
  <c r="Q33" i="8"/>
  <c r="Y11" i="13" l="1"/>
  <c r="Y11" i="11"/>
  <c r="Y11" i="10"/>
  <c r="Y12" i="11"/>
  <c r="Y11" i="8"/>
  <c r="R18" i="11"/>
  <c r="V18" i="11" s="1"/>
  <c r="V20" i="12"/>
  <c r="R29" i="11"/>
  <c r="V29" i="11" s="1"/>
  <c r="R35" i="11"/>
  <c r="V35" i="11" s="1"/>
  <c r="R28" i="11"/>
  <c r="V28" i="11" s="1"/>
  <c r="R35" i="12"/>
  <c r="V35" i="12" s="1"/>
  <c r="R33" i="12"/>
  <c r="V33" i="12" s="1"/>
  <c r="R29" i="12"/>
  <c r="V29" i="12" s="1"/>
  <c r="X5" i="11"/>
  <c r="R28" i="12"/>
  <c r="V28" i="12" s="1"/>
  <c r="W29" i="14"/>
  <c r="Y28" i="14"/>
  <c r="W28" i="14"/>
  <c r="W33" i="13"/>
  <c r="Y29" i="14"/>
  <c r="R24" i="12"/>
  <c r="V24" i="12" s="1"/>
  <c r="R24" i="11"/>
  <c r="V24" i="11" s="1"/>
  <c r="X6" i="11"/>
  <c r="X6" i="12"/>
  <c r="Y28" i="13"/>
  <c r="Y29" i="13"/>
  <c r="W28" i="13"/>
  <c r="W29" i="13"/>
  <c r="Y24" i="10"/>
  <c r="W24" i="10"/>
  <c r="X24" i="10" s="1"/>
  <c r="W5" i="10" s="1"/>
  <c r="Y25" i="14"/>
  <c r="W25" i="14"/>
  <c r="W20" i="10"/>
  <c r="Y20" i="10"/>
  <c r="Y29" i="10"/>
  <c r="W29" i="10"/>
  <c r="W23" i="14"/>
  <c r="Y23" i="14"/>
  <c r="W20" i="13"/>
  <c r="Y20" i="13"/>
  <c r="Y30" i="10"/>
  <c r="W30" i="10"/>
  <c r="W28" i="10"/>
  <c r="Y28" i="10"/>
  <c r="Y20" i="14"/>
  <c r="W20" i="14"/>
  <c r="W35" i="14"/>
  <c r="Y35" i="14"/>
  <c r="W24" i="13"/>
  <c r="Y24" i="13"/>
  <c r="M18" i="10"/>
  <c r="AA4" i="10" s="1"/>
  <c r="M21" i="10"/>
  <c r="AA7" i="10" s="1"/>
  <c r="M19" i="10"/>
  <c r="AA5" i="10" s="1"/>
  <c r="M20" i="10"/>
  <c r="AA6" i="10" s="1"/>
  <c r="W19" i="13"/>
  <c r="Y19" i="13"/>
  <c r="AD28" i="11"/>
  <c r="AE28" i="11" s="1"/>
  <c r="AD20" i="11"/>
  <c r="AD18" i="11"/>
  <c r="AD29" i="11"/>
  <c r="AE29" i="11" s="1"/>
  <c r="AD23" i="11"/>
  <c r="AE23" i="11" s="1"/>
  <c r="AD30" i="11"/>
  <c r="AE30" i="11" s="1"/>
  <c r="AD19" i="11"/>
  <c r="AD25" i="11"/>
  <c r="AD24" i="11"/>
  <c r="AE24" i="11" s="1"/>
  <c r="Z19" i="14"/>
  <c r="X5" i="14" s="1"/>
  <c r="W5" i="14"/>
  <c r="Z20" i="14"/>
  <c r="X6" i="14" s="1"/>
  <c r="W6" i="14"/>
  <c r="R25" i="12"/>
  <c r="V25" i="12" s="1"/>
  <c r="AD29" i="10"/>
  <c r="AE29" i="10" s="1"/>
  <c r="AD23" i="10"/>
  <c r="AE23" i="10" s="1"/>
  <c r="AD30" i="10"/>
  <c r="AE30" i="10" s="1"/>
  <c r="AD19" i="10"/>
  <c r="AD25" i="10"/>
  <c r="AD24" i="10"/>
  <c r="AE24" i="10" s="1"/>
  <c r="AD28" i="10"/>
  <c r="AE28" i="10" s="1"/>
  <c r="AD20" i="10"/>
  <c r="AD18" i="10"/>
  <c r="Z19" i="12"/>
  <c r="X5" i="12" s="1"/>
  <c r="W5" i="12"/>
  <c r="R33" i="11"/>
  <c r="V33" i="11" s="1"/>
  <c r="Z25" i="13"/>
  <c r="X7" i="13" s="1"/>
  <c r="W7" i="13"/>
  <c r="W6" i="11"/>
  <c r="W19" i="14"/>
  <c r="Y19" i="14"/>
  <c r="Y30" i="14"/>
  <c r="W30" i="14"/>
  <c r="W23" i="10"/>
  <c r="X23" i="10" s="1"/>
  <c r="W4" i="10" s="1"/>
  <c r="Y23" i="10"/>
  <c r="Y33" i="14"/>
  <c r="W33" i="14"/>
  <c r="R25" i="11"/>
  <c r="V25" i="11" s="1"/>
  <c r="Z18" i="12"/>
  <c r="X4" i="12" s="1"/>
  <c r="W4" i="12"/>
  <c r="R30" i="11"/>
  <c r="V30" i="11" s="1"/>
  <c r="W6" i="12"/>
  <c r="W5" i="11"/>
  <c r="Y18" i="13"/>
  <c r="Y25" i="13"/>
  <c r="W25" i="13"/>
  <c r="Z19" i="10"/>
  <c r="Z18" i="11"/>
  <c r="X4" i="11" s="1"/>
  <c r="W4" i="11"/>
  <c r="X7" i="11"/>
  <c r="Y18" i="14"/>
  <c r="W18" i="14"/>
  <c r="AD34" i="10"/>
  <c r="AE34" i="10" s="1"/>
  <c r="AD35" i="10"/>
  <c r="AE35" i="10" s="1"/>
  <c r="AD33" i="10"/>
  <c r="AE33" i="10" s="1"/>
  <c r="Z19" i="13"/>
  <c r="X5" i="13" s="1"/>
  <c r="W5" i="13"/>
  <c r="W18" i="13"/>
  <c r="AD34" i="13"/>
  <c r="AE34" i="13" s="1"/>
  <c r="AD35" i="13"/>
  <c r="AE35" i="13" s="1"/>
  <c r="AD33" i="13"/>
  <c r="AE33" i="13" s="1"/>
  <c r="Z18" i="14"/>
  <c r="X4" i="14" s="1"/>
  <c r="W4" i="14"/>
  <c r="AD34" i="12"/>
  <c r="AE34" i="12" s="1"/>
  <c r="AD35" i="12"/>
  <c r="AE35" i="12" s="1"/>
  <c r="AD33" i="12"/>
  <c r="AE33" i="12" s="1"/>
  <c r="W35" i="10"/>
  <c r="Y35" i="10"/>
  <c r="Y30" i="13"/>
  <c r="W30" i="13"/>
  <c r="Y34" i="14"/>
  <c r="W34" i="14"/>
  <c r="W35" i="13"/>
  <c r="Y35" i="13"/>
  <c r="AD23" i="12"/>
  <c r="AE23" i="12" s="1"/>
  <c r="AD30" i="12"/>
  <c r="AE30" i="12" s="1"/>
  <c r="AD19" i="12"/>
  <c r="AD25" i="12"/>
  <c r="AD24" i="12"/>
  <c r="AE24" i="12" s="1"/>
  <c r="AD28" i="12"/>
  <c r="AE28" i="12" s="1"/>
  <c r="AD20" i="12"/>
  <c r="AD18" i="12"/>
  <c r="AD29" i="12"/>
  <c r="AE29" i="12" s="1"/>
  <c r="Y24" i="14"/>
  <c r="W24" i="14"/>
  <c r="W7" i="11"/>
  <c r="R19" i="11"/>
  <c r="V19" i="11" s="1"/>
  <c r="Y33" i="13"/>
  <c r="R18" i="12"/>
  <c r="V18" i="12" s="1"/>
  <c r="R30" i="12"/>
  <c r="V30" i="12" s="1"/>
  <c r="M21" i="12"/>
  <c r="AA7" i="12" s="1"/>
  <c r="M19" i="12"/>
  <c r="AA5" i="12" s="1"/>
  <c r="M20" i="12"/>
  <c r="AA6" i="12" s="1"/>
  <c r="M18" i="12"/>
  <c r="AA4" i="12" s="1"/>
  <c r="Y25" i="10"/>
  <c r="W25" i="10"/>
  <c r="X25" i="10" s="1"/>
  <c r="R19" i="12"/>
  <c r="V19" i="12" s="1"/>
  <c r="Y23" i="13"/>
  <c r="W23" i="13"/>
  <c r="M21" i="13"/>
  <c r="AA7" i="13" s="1"/>
  <c r="M19" i="13"/>
  <c r="AA5" i="13" s="1"/>
  <c r="M20" i="13"/>
  <c r="AA6" i="13" s="1"/>
  <c r="M18" i="13"/>
  <c r="AA4" i="13" s="1"/>
  <c r="Z18" i="13"/>
  <c r="X4" i="13" s="1"/>
  <c r="W4" i="13"/>
  <c r="Y18" i="10"/>
  <c r="W18" i="10"/>
  <c r="Y19" i="10"/>
  <c r="W19" i="10"/>
  <c r="Y34" i="13"/>
  <c r="W34" i="13"/>
  <c r="AD34" i="11"/>
  <c r="AE34" i="11" s="1"/>
  <c r="AD35" i="11"/>
  <c r="AE35" i="11" s="1"/>
  <c r="AD33" i="11"/>
  <c r="AE33" i="11" s="1"/>
  <c r="Z25" i="12"/>
  <c r="X7" i="12" s="1"/>
  <c r="W7" i="12"/>
  <c r="Y33" i="10"/>
  <c r="W33" i="10"/>
  <c r="AD19" i="13"/>
  <c r="AD25" i="13"/>
  <c r="AD24" i="13"/>
  <c r="AE24" i="13" s="1"/>
  <c r="AD28" i="13"/>
  <c r="AE28" i="13" s="1"/>
  <c r="AD20" i="13"/>
  <c r="AD18" i="13"/>
  <c r="AD29" i="13"/>
  <c r="AE29" i="13" s="1"/>
  <c r="AD23" i="13"/>
  <c r="AE23" i="13" s="1"/>
  <c r="AD30" i="13"/>
  <c r="AE30" i="13" s="1"/>
  <c r="Z18" i="10"/>
  <c r="Z25" i="14"/>
  <c r="X7" i="14" s="1"/>
  <c r="W7" i="14"/>
  <c r="Y34" i="10"/>
  <c r="W34" i="10"/>
  <c r="Z20" i="10"/>
  <c r="X6" i="10" s="1"/>
  <c r="W6" i="10"/>
  <c r="M21" i="11"/>
  <c r="AA7" i="11" s="1"/>
  <c r="M19" i="11"/>
  <c r="AA5" i="11" s="1"/>
  <c r="M20" i="11"/>
  <c r="AA6" i="11" s="1"/>
  <c r="M18" i="11"/>
  <c r="AA4" i="11" s="1"/>
  <c r="Z20" i="13"/>
  <c r="X6" i="13" s="1"/>
  <c r="W6" i="13"/>
  <c r="AD5" i="14"/>
  <c r="Y12" i="14" s="1"/>
  <c r="V33" i="8"/>
  <c r="V19" i="8"/>
  <c r="V34" i="8"/>
  <c r="V24" i="8"/>
  <c r="Y23" i="8" s="1"/>
  <c r="V20" i="8"/>
  <c r="Y30" i="8"/>
  <c r="W28" i="8"/>
  <c r="Y28" i="8"/>
  <c r="Y29" i="8"/>
  <c r="W30" i="8"/>
  <c r="W29" i="8"/>
  <c r="AD6" i="8"/>
  <c r="X20" i="8"/>
  <c r="X35" i="8"/>
  <c r="Z35" i="8" s="1"/>
  <c r="L18" i="8"/>
  <c r="X33" i="8"/>
  <c r="Z33" i="8" s="1"/>
  <c r="L19" i="8"/>
  <c r="X18" i="8"/>
  <c r="Z18" i="8" s="1"/>
  <c r="L21" i="8"/>
  <c r="X34" i="8"/>
  <c r="Z34" i="8" s="1"/>
  <c r="AF16" i="8"/>
  <c r="AC5" i="8"/>
  <c r="X19" i="8"/>
  <c r="Z19" i="8" s="1"/>
  <c r="AD5" i="8"/>
  <c r="X29" i="8"/>
  <c r="Z29" i="8" s="1"/>
  <c r="L20" i="8"/>
  <c r="X30" i="8"/>
  <c r="Z30" i="8" s="1"/>
  <c r="AC6" i="8"/>
  <c r="X28" i="8"/>
  <c r="Z28" i="8" s="1"/>
  <c r="Y12" i="8" l="1"/>
  <c r="AE4" i="8" s="1"/>
  <c r="M21" i="14"/>
  <c r="AA7" i="14" s="1"/>
  <c r="M18" i="14"/>
  <c r="AA4" i="14" s="1"/>
  <c r="M20" i="14"/>
  <c r="AA6" i="14" s="1"/>
  <c r="M19" i="14"/>
  <c r="AA5" i="14" s="1"/>
  <c r="AE4" i="12"/>
  <c r="AE5" i="13"/>
  <c r="AE6" i="12"/>
  <c r="AD18" i="14"/>
  <c r="AE18" i="14" s="1"/>
  <c r="AE7" i="14"/>
  <c r="AE4" i="13"/>
  <c r="AE7" i="13"/>
  <c r="AE6" i="13"/>
  <c r="AE5" i="12"/>
  <c r="AE7" i="12"/>
  <c r="Y33" i="12"/>
  <c r="W35" i="12"/>
  <c r="W33" i="12"/>
  <c r="Y35" i="12"/>
  <c r="W34" i="12"/>
  <c r="W34" i="11"/>
  <c r="W24" i="11"/>
  <c r="W23" i="11"/>
  <c r="Y23" i="11"/>
  <c r="Y24" i="11"/>
  <c r="Y34" i="12"/>
  <c r="Z23" i="10"/>
  <c r="X4" i="10" s="1"/>
  <c r="Y30" i="12"/>
  <c r="W30" i="12"/>
  <c r="Y28" i="12"/>
  <c r="W28" i="12"/>
  <c r="W29" i="12"/>
  <c r="Y29" i="12"/>
  <c r="W19" i="12"/>
  <c r="Y19" i="12"/>
  <c r="Y18" i="12"/>
  <c r="W18" i="12"/>
  <c r="W20" i="12"/>
  <c r="Y20" i="12"/>
  <c r="W19" i="11"/>
  <c r="Y19" i="11"/>
  <c r="Y18" i="11"/>
  <c r="W18" i="11"/>
  <c r="Y20" i="11"/>
  <c r="W20" i="11"/>
  <c r="AD24" i="14"/>
  <c r="AE24" i="14" s="1"/>
  <c r="AD28" i="14"/>
  <c r="AE28" i="14" s="1"/>
  <c r="AE18" i="10"/>
  <c r="Z4" i="10" s="1"/>
  <c r="Y4" i="10"/>
  <c r="AE19" i="11"/>
  <c r="Z5" i="11" s="1"/>
  <c r="Y5" i="11"/>
  <c r="Z24" i="10"/>
  <c r="X5" i="10" s="1"/>
  <c r="AE25" i="13"/>
  <c r="Z7" i="13" s="1"/>
  <c r="Y7" i="13"/>
  <c r="AD25" i="14"/>
  <c r="Y24" i="12"/>
  <c r="W24" i="12"/>
  <c r="W23" i="12"/>
  <c r="Y23" i="12"/>
  <c r="Y28" i="11"/>
  <c r="W28" i="11"/>
  <c r="AE20" i="10"/>
  <c r="Z6" i="10" s="1"/>
  <c r="Y6" i="10"/>
  <c r="Y25" i="12"/>
  <c r="W25" i="12"/>
  <c r="AE19" i="13"/>
  <c r="Z5" i="13" s="1"/>
  <c r="Y5" i="13"/>
  <c r="AD19" i="14"/>
  <c r="AE18" i="12"/>
  <c r="Z4" i="12" s="1"/>
  <c r="Y4" i="12"/>
  <c r="AD30" i="14"/>
  <c r="AE30" i="14" s="1"/>
  <c r="AE20" i="12"/>
  <c r="Z6" i="12" s="1"/>
  <c r="Y6" i="12"/>
  <c r="Y30" i="11"/>
  <c r="W30" i="11"/>
  <c r="W33" i="11"/>
  <c r="Y33" i="11"/>
  <c r="AD23" i="14"/>
  <c r="AE23" i="14" s="1"/>
  <c r="AE4" i="10"/>
  <c r="AE5" i="10"/>
  <c r="AE6" i="10"/>
  <c r="Y34" i="11"/>
  <c r="Y35" i="11"/>
  <c r="W35" i="11"/>
  <c r="AE25" i="10"/>
  <c r="Z7" i="10" s="1"/>
  <c r="Y7" i="10"/>
  <c r="AE18" i="11"/>
  <c r="Z4" i="11" s="1"/>
  <c r="Y4" i="11"/>
  <c r="AE18" i="13"/>
  <c r="Z4" i="13" s="1"/>
  <c r="Y4" i="13"/>
  <c r="AD29" i="14"/>
  <c r="AE29" i="14" s="1"/>
  <c r="AE7" i="11"/>
  <c r="AE4" i="11"/>
  <c r="AE5" i="11"/>
  <c r="AE6" i="11"/>
  <c r="AE7" i="10"/>
  <c r="AE19" i="10"/>
  <c r="Z5" i="10" s="1"/>
  <c r="Y5" i="10"/>
  <c r="AE20" i="11"/>
  <c r="Z6" i="11" s="1"/>
  <c r="Y6" i="11"/>
  <c r="AE20" i="13"/>
  <c r="Z6" i="13" s="1"/>
  <c r="Y6" i="13"/>
  <c r="Z25" i="10"/>
  <c r="X7" i="10" s="1"/>
  <c r="W7" i="10"/>
  <c r="AE25" i="12"/>
  <c r="Z7" i="12" s="1"/>
  <c r="Y7" i="12"/>
  <c r="Y29" i="11"/>
  <c r="AD35" i="14"/>
  <c r="AE35" i="14" s="1"/>
  <c r="AD33" i="14"/>
  <c r="AE33" i="14" s="1"/>
  <c r="AD34" i="14"/>
  <c r="AE34" i="14" s="1"/>
  <c r="AD20" i="14"/>
  <c r="AE19" i="12"/>
  <c r="Z5" i="12" s="1"/>
  <c r="Y5" i="12"/>
  <c r="Y25" i="11"/>
  <c r="W25" i="11"/>
  <c r="AE25" i="11"/>
  <c r="Z7" i="11" s="1"/>
  <c r="Y7" i="11"/>
  <c r="W29" i="11"/>
  <c r="W24" i="8"/>
  <c r="X24" i="8" s="1"/>
  <c r="W5" i="8" s="1"/>
  <c r="W23" i="8"/>
  <c r="X23" i="8" s="1"/>
  <c r="Z23" i="8" s="1"/>
  <c r="X4" i="8" s="1"/>
  <c r="Y24" i="8"/>
  <c r="Y25" i="8"/>
  <c r="W25" i="8"/>
  <c r="X25" i="8" s="1"/>
  <c r="W7" i="8" s="1"/>
  <c r="Y19" i="8"/>
  <c r="W20" i="8"/>
  <c r="W18" i="8"/>
  <c r="Y20" i="8"/>
  <c r="Y18" i="8"/>
  <c r="W19" i="8"/>
  <c r="Y35" i="8"/>
  <c r="W33" i="8"/>
  <c r="Y34" i="8"/>
  <c r="W35" i="8"/>
  <c r="W34" i="8"/>
  <c r="Y33" i="8"/>
  <c r="W4" i="8"/>
  <c r="AD30" i="8"/>
  <c r="AE30" i="8" s="1"/>
  <c r="AD29" i="8"/>
  <c r="AE29" i="8" s="1"/>
  <c r="AD28" i="8"/>
  <c r="AE28" i="8" s="1"/>
  <c r="AD34" i="8"/>
  <c r="AE34" i="8" s="1"/>
  <c r="AD19" i="8"/>
  <c r="AD35" i="8"/>
  <c r="AE35" i="8" s="1"/>
  <c r="AD20" i="8"/>
  <c r="AD33" i="8"/>
  <c r="AE33" i="8" s="1"/>
  <c r="AD18" i="8"/>
  <c r="AD24" i="8"/>
  <c r="AE24" i="8" s="1"/>
  <c r="AD25" i="8"/>
  <c r="AD23" i="8"/>
  <c r="AE23" i="8" s="1"/>
  <c r="M20" i="8"/>
  <c r="AA6" i="8" s="1"/>
  <c r="M21" i="8"/>
  <c r="AA7" i="8" s="1"/>
  <c r="M19" i="8"/>
  <c r="AA5" i="8" s="1"/>
  <c r="M18" i="8"/>
  <c r="AA4" i="8" s="1"/>
  <c r="W6" i="8"/>
  <c r="Z20" i="8"/>
  <c r="X6" i="8" s="1"/>
  <c r="Z25" i="8" l="1"/>
  <c r="X7" i="8" s="1"/>
  <c r="Z24" i="8"/>
  <c r="X5" i="8" s="1"/>
  <c r="AE6" i="14"/>
  <c r="AE4" i="14"/>
  <c r="AE5" i="14"/>
  <c r="V5" i="11"/>
  <c r="V6" i="12"/>
  <c r="V7" i="12"/>
  <c r="V5" i="12"/>
  <c r="V6" i="10"/>
  <c r="V4" i="10"/>
  <c r="V5" i="10"/>
  <c r="V6" i="11"/>
  <c r="V6" i="13"/>
  <c r="V4" i="12"/>
  <c r="V4" i="13"/>
  <c r="V5" i="13"/>
  <c r="V7" i="13"/>
  <c r="V7" i="11"/>
  <c r="AE20" i="14"/>
  <c r="Z6" i="14" s="1"/>
  <c r="Y6" i="14"/>
  <c r="V7" i="10"/>
  <c r="V4" i="11"/>
  <c r="AE19" i="14"/>
  <c r="Z5" i="14" s="1"/>
  <c r="Y5" i="14"/>
  <c r="Y4" i="14"/>
  <c r="AE25" i="14"/>
  <c r="Z7" i="14" s="1"/>
  <c r="Y7" i="14"/>
  <c r="Z4" i="14"/>
  <c r="AE6" i="8"/>
  <c r="AE7" i="8"/>
  <c r="AE5" i="8"/>
  <c r="AE18" i="8"/>
  <c r="Z4" i="8" s="1"/>
  <c r="Y4" i="8"/>
  <c r="Y6" i="8"/>
  <c r="AE20" i="8"/>
  <c r="Z6" i="8" s="1"/>
  <c r="AE19" i="8"/>
  <c r="Z5" i="8" s="1"/>
  <c r="Y5" i="8"/>
  <c r="AE25" i="8"/>
  <c r="Z7" i="8" s="1"/>
  <c r="Y7" i="8"/>
  <c r="V12" i="13" l="1"/>
  <c r="V11" i="13"/>
  <c r="V12" i="12"/>
  <c r="V11" i="12"/>
  <c r="V12" i="11"/>
  <c r="V11" i="11"/>
  <c r="V11" i="10"/>
  <c r="V12" i="10"/>
  <c r="V5" i="14"/>
  <c r="V6" i="14"/>
  <c r="V14" i="12"/>
  <c r="V14" i="13"/>
  <c r="V13" i="13"/>
  <c r="V13" i="12"/>
  <c r="V7" i="14"/>
  <c r="V4" i="14"/>
  <c r="V14" i="11"/>
  <c r="V13" i="11"/>
  <c r="V13" i="10"/>
  <c r="V14" i="10"/>
  <c r="V4" i="8"/>
  <c r="V6" i="8"/>
  <c r="V7" i="8"/>
  <c r="V5" i="8"/>
  <c r="X11" i="13" l="1"/>
  <c r="X11" i="12"/>
  <c r="K8" i="30" s="1"/>
  <c r="X11" i="10"/>
  <c r="X11" i="11"/>
  <c r="H8" i="30" s="1"/>
  <c r="P14" i="12"/>
  <c r="U14" i="11"/>
  <c r="I24" i="23" s="1"/>
  <c r="U13" i="11"/>
  <c r="I23" i="23" s="1"/>
  <c r="U14" i="10"/>
  <c r="I16" i="23" s="1"/>
  <c r="U13" i="10"/>
  <c r="I15" i="23" s="1"/>
  <c r="V12" i="14"/>
  <c r="V11" i="14"/>
  <c r="P11" i="13"/>
  <c r="U11" i="13"/>
  <c r="I37" i="23" s="1"/>
  <c r="T11" i="13"/>
  <c r="H37" i="23" s="1"/>
  <c r="S11" i="13"/>
  <c r="F37" i="23" s="1"/>
  <c r="R11" i="13"/>
  <c r="E37" i="23" s="1"/>
  <c r="Q11" i="13"/>
  <c r="U12" i="13"/>
  <c r="I38" i="23" s="1"/>
  <c r="T12" i="13"/>
  <c r="S12" i="13"/>
  <c r="F38" i="23" s="1"/>
  <c r="R12" i="13"/>
  <c r="E38" i="23" s="1"/>
  <c r="Q12" i="13"/>
  <c r="P12" i="13"/>
  <c r="U11" i="12"/>
  <c r="I29" i="23" s="1"/>
  <c r="T11" i="12"/>
  <c r="S11" i="12"/>
  <c r="P11" i="12"/>
  <c r="R11" i="12"/>
  <c r="Q11" i="12"/>
  <c r="U12" i="12"/>
  <c r="I30" i="23" s="1"/>
  <c r="T12" i="12"/>
  <c r="S12" i="12"/>
  <c r="R12" i="12"/>
  <c r="Q12" i="12"/>
  <c r="P12" i="12"/>
  <c r="S12" i="11"/>
  <c r="U12" i="11"/>
  <c r="I22" i="23" s="1"/>
  <c r="Q12" i="11"/>
  <c r="T12" i="11"/>
  <c r="R12" i="11"/>
  <c r="P12" i="11"/>
  <c r="P11" i="11"/>
  <c r="T11" i="11"/>
  <c r="R11" i="11"/>
  <c r="S11" i="11"/>
  <c r="F21" i="23" s="1"/>
  <c r="U11" i="11"/>
  <c r="I21" i="23" s="1"/>
  <c r="Q11" i="11"/>
  <c r="U12" i="10"/>
  <c r="I14" i="23" s="1"/>
  <c r="T12" i="10"/>
  <c r="H14" i="23" s="1"/>
  <c r="S12" i="10"/>
  <c r="F14" i="23" s="1"/>
  <c r="R12" i="10"/>
  <c r="E14" i="23" s="1"/>
  <c r="Q12" i="10"/>
  <c r="P12" i="10"/>
  <c r="U11" i="10"/>
  <c r="I13" i="23" s="1"/>
  <c r="T11" i="10"/>
  <c r="H13" i="23" s="1"/>
  <c r="S11" i="10"/>
  <c r="F13" i="23" s="1"/>
  <c r="R11" i="10"/>
  <c r="E13" i="23" s="1"/>
  <c r="Q11" i="10"/>
  <c r="P11" i="10"/>
  <c r="T14" i="13"/>
  <c r="H40" i="23" s="1"/>
  <c r="U14" i="13"/>
  <c r="I40" i="23" s="1"/>
  <c r="P13" i="13"/>
  <c r="U13" i="13"/>
  <c r="I39" i="23" s="1"/>
  <c r="Q14" i="12"/>
  <c r="U14" i="12"/>
  <c r="I32" i="23" s="1"/>
  <c r="Q13" i="12"/>
  <c r="U13" i="12"/>
  <c r="I31" i="23" s="1"/>
  <c r="R14" i="12"/>
  <c r="S14" i="13"/>
  <c r="F40" i="23" s="1"/>
  <c r="R14" i="13"/>
  <c r="E40" i="23" s="1"/>
  <c r="Q14" i="13"/>
  <c r="T13" i="12"/>
  <c r="P13" i="12"/>
  <c r="T14" i="12"/>
  <c r="H38" i="23"/>
  <c r="R13" i="12"/>
  <c r="S14" i="12"/>
  <c r="S13" i="12"/>
  <c r="P14" i="13"/>
  <c r="V13" i="14"/>
  <c r="T13" i="13"/>
  <c r="Q13" i="13"/>
  <c r="S13" i="13"/>
  <c r="V14" i="14"/>
  <c r="R13" i="13"/>
  <c r="E8" i="27" s="1"/>
  <c r="T13" i="10"/>
  <c r="G5" i="27" s="1"/>
  <c r="S13" i="10"/>
  <c r="F15" i="23" s="1"/>
  <c r="Q13" i="10"/>
  <c r="R13" i="10"/>
  <c r="E15" i="23" s="1"/>
  <c r="P13" i="10"/>
  <c r="T13" i="11"/>
  <c r="S13" i="11"/>
  <c r="P13" i="11"/>
  <c r="R13" i="11"/>
  <c r="E23" i="23" s="1"/>
  <c r="Q13" i="11"/>
  <c r="S14" i="11"/>
  <c r="P14" i="11"/>
  <c r="Q14" i="11"/>
  <c r="T14" i="11"/>
  <c r="R14" i="11"/>
  <c r="E24" i="23" s="1"/>
  <c r="Q14" i="10"/>
  <c r="P14" i="10"/>
  <c r="S14" i="10"/>
  <c r="F16" i="23" s="1"/>
  <c r="R14" i="10"/>
  <c r="E16" i="23" s="1"/>
  <c r="T14" i="10"/>
  <c r="H16" i="23" s="1"/>
  <c r="V13" i="8"/>
  <c r="V11" i="8"/>
  <c r="V12" i="8"/>
  <c r="V14" i="8"/>
  <c r="X11" i="14" l="1"/>
  <c r="I5" i="30"/>
  <c r="I3" i="30"/>
  <c r="L6" i="30"/>
  <c r="D15" i="23"/>
  <c r="F5" i="30"/>
  <c r="Y39" i="23"/>
  <c r="N5" i="30"/>
  <c r="N48" i="30"/>
  <c r="D22" i="23"/>
  <c r="I4" i="30"/>
  <c r="D38" i="23"/>
  <c r="O4" i="30"/>
  <c r="C8" i="16"/>
  <c r="E8" i="16" s="1"/>
  <c r="N8" i="30"/>
  <c r="Y16" i="23"/>
  <c r="E6" i="30"/>
  <c r="E49" i="30"/>
  <c r="Y23" i="23"/>
  <c r="H5" i="30"/>
  <c r="H48" i="30"/>
  <c r="Y14" i="23"/>
  <c r="E4" i="30"/>
  <c r="E47" i="30"/>
  <c r="N44" i="22" s="1"/>
  <c r="J41" i="22" s="1"/>
  <c r="R54" i="30" s="1"/>
  <c r="Q64" i="30" s="1"/>
  <c r="R74" i="30" s="1"/>
  <c r="L3" i="30"/>
  <c r="D14" i="23"/>
  <c r="F4" i="30"/>
  <c r="Y37" i="23"/>
  <c r="N3" i="30"/>
  <c r="N46" i="30"/>
  <c r="N49" i="22" s="1"/>
  <c r="D40" i="23"/>
  <c r="O6" i="30"/>
  <c r="Y13" i="23"/>
  <c r="E3" i="30"/>
  <c r="E46" i="30"/>
  <c r="N43" i="22" s="1"/>
  <c r="I44" i="22" s="1"/>
  <c r="H54" i="30" s="1"/>
  <c r="I64" i="30" s="1"/>
  <c r="Y30" i="23"/>
  <c r="K4" i="30"/>
  <c r="K47" i="30"/>
  <c r="N48" i="22" s="1"/>
  <c r="Y29" i="23"/>
  <c r="K3" i="30"/>
  <c r="K46" i="30"/>
  <c r="N47" i="22" s="1"/>
  <c r="Y38" i="23"/>
  <c r="N4" i="30"/>
  <c r="N47" i="30"/>
  <c r="N50" i="22" s="1"/>
  <c r="J45" i="22" s="1"/>
  <c r="C54" i="30" s="1"/>
  <c r="C64" i="30" s="1"/>
  <c r="F74" i="30" s="1"/>
  <c r="D16" i="23"/>
  <c r="F6" i="30"/>
  <c r="I6" i="30"/>
  <c r="Y15" i="23"/>
  <c r="E5" i="30"/>
  <c r="E48" i="30"/>
  <c r="O5" i="30"/>
  <c r="L5" i="30"/>
  <c r="D13" i="23"/>
  <c r="F3" i="30"/>
  <c r="Y21" i="23"/>
  <c r="H3" i="30"/>
  <c r="H46" i="30"/>
  <c r="N45" i="22" s="1"/>
  <c r="L4" i="30"/>
  <c r="Y40" i="23"/>
  <c r="N6" i="30"/>
  <c r="N49" i="30"/>
  <c r="Y24" i="23"/>
  <c r="H6" i="30"/>
  <c r="H49" i="30"/>
  <c r="Y31" i="23"/>
  <c r="K5" i="30"/>
  <c r="K48" i="30"/>
  <c r="Y22" i="23"/>
  <c r="H4" i="30"/>
  <c r="H47" i="30"/>
  <c r="N46" i="22" s="1"/>
  <c r="D37" i="23"/>
  <c r="O3" i="30"/>
  <c r="E8" i="30"/>
  <c r="Y32" i="23"/>
  <c r="K6" i="30"/>
  <c r="K49" i="30"/>
  <c r="AB14" i="12"/>
  <c r="U14" i="14"/>
  <c r="I48" i="23" s="1"/>
  <c r="AC14" i="12"/>
  <c r="AE14" i="12"/>
  <c r="M32" i="23" s="1"/>
  <c r="Z14" i="12"/>
  <c r="AA14" i="12"/>
  <c r="U14" i="8"/>
  <c r="I8" i="23" s="1"/>
  <c r="U11" i="8"/>
  <c r="I5" i="23" s="1"/>
  <c r="U12" i="8"/>
  <c r="I6" i="23" s="1"/>
  <c r="AC14" i="13"/>
  <c r="AB14" i="13"/>
  <c r="AA14" i="13"/>
  <c r="Z14" i="13"/>
  <c r="AE14" i="13"/>
  <c r="M40" i="23" s="1"/>
  <c r="AB12" i="13"/>
  <c r="Z12" i="13"/>
  <c r="AC12" i="13"/>
  <c r="AA12" i="13"/>
  <c r="AE12" i="13"/>
  <c r="M38" i="23" s="1"/>
  <c r="AC11" i="13"/>
  <c r="AA11" i="13"/>
  <c r="AB11" i="13"/>
  <c r="Z11" i="13"/>
  <c r="AE11" i="13"/>
  <c r="M37" i="23" s="1"/>
  <c r="AA13" i="13"/>
  <c r="Z13" i="13"/>
  <c r="AC13" i="13"/>
  <c r="AB13" i="13"/>
  <c r="AE13" i="13"/>
  <c r="M39" i="23" s="1"/>
  <c r="AA13" i="12"/>
  <c r="Z13" i="12"/>
  <c r="AD13" i="12" s="1"/>
  <c r="AB13" i="12"/>
  <c r="AC13" i="12"/>
  <c r="AE13" i="12"/>
  <c r="M31" i="23" s="1"/>
  <c r="Z12" i="12"/>
  <c r="AD12" i="12" s="1"/>
  <c r="AA12" i="12"/>
  <c r="AB12" i="12"/>
  <c r="AC12" i="12"/>
  <c r="AE12" i="12"/>
  <c r="M30" i="23" s="1"/>
  <c r="Z11" i="12"/>
  <c r="AC11" i="12"/>
  <c r="AB11" i="12"/>
  <c r="AA11" i="12"/>
  <c r="AE11" i="12"/>
  <c r="M29" i="23" s="1"/>
  <c r="AB14" i="11"/>
  <c r="AA14" i="11"/>
  <c r="Z14" i="11"/>
  <c r="AC14" i="11"/>
  <c r="AE14" i="11"/>
  <c r="M24" i="23" s="1"/>
  <c r="AB11" i="11"/>
  <c r="AC11" i="11"/>
  <c r="AA11" i="11"/>
  <c r="Z11" i="11"/>
  <c r="AE11" i="11"/>
  <c r="M21" i="23" s="1"/>
  <c r="Z12" i="11"/>
  <c r="AA12" i="11"/>
  <c r="AC12" i="11"/>
  <c r="AB12" i="11"/>
  <c r="AE12" i="11"/>
  <c r="M22" i="23" s="1"/>
  <c r="AA13" i="11"/>
  <c r="AC13" i="11"/>
  <c r="Z13" i="11"/>
  <c r="AB13" i="11"/>
  <c r="AE13" i="11"/>
  <c r="M23" i="23" s="1"/>
  <c r="Z11" i="10"/>
  <c r="AC11" i="10"/>
  <c r="AB11" i="10"/>
  <c r="AA11" i="10"/>
  <c r="AE11" i="10"/>
  <c r="M13" i="23" s="1"/>
  <c r="Z12" i="10"/>
  <c r="AA12" i="10"/>
  <c r="AB12" i="10"/>
  <c r="AC12" i="10"/>
  <c r="AE12" i="10"/>
  <c r="M14" i="23" s="1"/>
  <c r="AA13" i="10"/>
  <c r="AB13" i="10"/>
  <c r="Z13" i="10"/>
  <c r="AC13" i="10"/>
  <c r="AE13" i="10"/>
  <c r="M15" i="23" s="1"/>
  <c r="AC14" i="10"/>
  <c r="AB14" i="10"/>
  <c r="AA14" i="10"/>
  <c r="Z14" i="10"/>
  <c r="AE14" i="10"/>
  <c r="M16" i="23" s="1"/>
  <c r="P11" i="14"/>
  <c r="U11" i="14"/>
  <c r="I45" i="23" s="1"/>
  <c r="T11" i="14"/>
  <c r="H45" i="23" s="1"/>
  <c r="S11" i="14"/>
  <c r="F45" i="23" s="1"/>
  <c r="Q11" i="14"/>
  <c r="R11" i="14"/>
  <c r="E45" i="23" s="1"/>
  <c r="T12" i="14"/>
  <c r="H46" i="23" s="1"/>
  <c r="S12" i="14"/>
  <c r="F46" i="23" s="1"/>
  <c r="R12" i="14"/>
  <c r="E46" i="23" s="1"/>
  <c r="P12" i="14"/>
  <c r="Q12" i="14"/>
  <c r="U12" i="14"/>
  <c r="I46" i="23" s="1"/>
  <c r="H15" i="23"/>
  <c r="S13" i="14"/>
  <c r="F47" i="23" s="1"/>
  <c r="U13" i="14"/>
  <c r="I47" i="23" s="1"/>
  <c r="C38" i="23"/>
  <c r="AA38" i="23" s="1"/>
  <c r="T13" i="14"/>
  <c r="G9" i="27" s="1"/>
  <c r="R13" i="14"/>
  <c r="E9" i="27" s="1"/>
  <c r="Q13" i="14"/>
  <c r="P13" i="14"/>
  <c r="R13" i="8"/>
  <c r="E4" i="27" s="1"/>
  <c r="U13" i="8"/>
  <c r="E5" i="27"/>
  <c r="C16" i="23"/>
  <c r="AB16" i="23" s="1"/>
  <c r="T14" i="14"/>
  <c r="H48" i="23" s="1"/>
  <c r="S14" i="14"/>
  <c r="F48" i="23" s="1"/>
  <c r="Q14" i="14"/>
  <c r="R14" i="14"/>
  <c r="E48" i="23" s="1"/>
  <c r="P14" i="14"/>
  <c r="C13" i="23"/>
  <c r="C15" i="23"/>
  <c r="V15" i="23" s="1"/>
  <c r="D5" i="27"/>
  <c r="C14" i="23"/>
  <c r="F5" i="27"/>
  <c r="C5" i="16"/>
  <c r="E5" i="16" s="1"/>
  <c r="F5" i="16" s="1"/>
  <c r="C5" i="27"/>
  <c r="L5" i="27" s="1"/>
  <c r="E6" i="27"/>
  <c r="F22" i="23"/>
  <c r="J42" i="22"/>
  <c r="L54" i="30" s="1"/>
  <c r="H22" i="23"/>
  <c r="E22" i="23"/>
  <c r="H24" i="23"/>
  <c r="D24" i="23"/>
  <c r="F24" i="23"/>
  <c r="D6" i="27"/>
  <c r="F23" i="23"/>
  <c r="E21" i="23"/>
  <c r="H21" i="23"/>
  <c r="C6" i="27"/>
  <c r="L6" i="27" s="1"/>
  <c r="H23" i="23"/>
  <c r="H32" i="23"/>
  <c r="E32" i="23"/>
  <c r="F32" i="23"/>
  <c r="H30" i="23"/>
  <c r="F30" i="23"/>
  <c r="E30" i="23"/>
  <c r="E29" i="23"/>
  <c r="F29" i="23"/>
  <c r="H29" i="23"/>
  <c r="C40" i="23"/>
  <c r="E39" i="23"/>
  <c r="C37" i="23"/>
  <c r="F8" i="16"/>
  <c r="H8" i="16"/>
  <c r="S13" i="8"/>
  <c r="Q13" i="8"/>
  <c r="P13" i="8"/>
  <c r="T13" i="8"/>
  <c r="P14" i="8"/>
  <c r="S14" i="8"/>
  <c r="F8" i="23" s="1"/>
  <c r="T14" i="8"/>
  <c r="H8" i="23" s="1"/>
  <c r="R14" i="8"/>
  <c r="E8" i="23" s="1"/>
  <c r="Q14" i="8"/>
  <c r="P12" i="8"/>
  <c r="T12" i="8"/>
  <c r="H6" i="23" s="1"/>
  <c r="R12" i="8"/>
  <c r="E6" i="23" s="1"/>
  <c r="Q12" i="8"/>
  <c r="S12" i="8"/>
  <c r="F6" i="23" s="1"/>
  <c r="R11" i="8"/>
  <c r="E5" i="23" s="1"/>
  <c r="P11" i="8"/>
  <c r="T11" i="8"/>
  <c r="H5" i="23" s="1"/>
  <c r="S11" i="8"/>
  <c r="F5" i="23" s="1"/>
  <c r="X11" i="8"/>
  <c r="B8" i="30" s="1"/>
  <c r="Q11" i="8"/>
  <c r="H39" i="23"/>
  <c r="G8" i="27"/>
  <c r="F39" i="23"/>
  <c r="F8" i="27"/>
  <c r="D39" i="23"/>
  <c r="D8" i="27"/>
  <c r="C8" i="27"/>
  <c r="C39" i="23"/>
  <c r="C6" i="30" l="1"/>
  <c r="Y7" i="23"/>
  <c r="B5" i="30"/>
  <c r="B48" i="30"/>
  <c r="D5" i="23"/>
  <c r="C3" i="30"/>
  <c r="Y48" i="23"/>
  <c r="W48" i="23" s="1"/>
  <c r="Q6" i="30"/>
  <c r="Q49" i="30"/>
  <c r="Y45" i="23"/>
  <c r="W45" i="23" s="1"/>
  <c r="Q3" i="30"/>
  <c r="Q46" i="30"/>
  <c r="N51" i="22" s="1"/>
  <c r="AE12" i="8"/>
  <c r="M6" i="23" s="1"/>
  <c r="B4" i="30"/>
  <c r="B47" i="30"/>
  <c r="N42" i="22" s="1"/>
  <c r="D4" i="27"/>
  <c r="C5" i="30"/>
  <c r="D48" i="23"/>
  <c r="R6" i="30"/>
  <c r="Y47" i="23"/>
  <c r="Q5" i="30"/>
  <c r="Q48" i="30"/>
  <c r="B3" i="30"/>
  <c r="B46" i="30"/>
  <c r="N41" i="22" s="1"/>
  <c r="D47" i="23"/>
  <c r="R5" i="30"/>
  <c r="C9" i="16"/>
  <c r="E9" i="16" s="1"/>
  <c r="H9" i="16" s="1"/>
  <c r="Q8" i="30"/>
  <c r="D46" i="23"/>
  <c r="R4" i="30"/>
  <c r="D45" i="23"/>
  <c r="R3" i="30"/>
  <c r="C4" i="30"/>
  <c r="AE14" i="8"/>
  <c r="M8" i="23" s="1"/>
  <c r="B6" i="30"/>
  <c r="B49" i="30"/>
  <c r="Y46" i="23"/>
  <c r="Q4" i="30"/>
  <c r="Q47" i="30"/>
  <c r="N52" i="22" s="1"/>
  <c r="J47" i="22" s="1"/>
  <c r="U54" i="30" s="1"/>
  <c r="AD14" i="12"/>
  <c r="Y8" i="23"/>
  <c r="W8" i="23" s="1"/>
  <c r="Y6" i="23"/>
  <c r="W6" i="23" s="1"/>
  <c r="AD11" i="13"/>
  <c r="L37" i="23" s="1"/>
  <c r="AD12" i="13"/>
  <c r="L38" i="23" s="1"/>
  <c r="AC14" i="14"/>
  <c r="Z14" i="14"/>
  <c r="AB14" i="14"/>
  <c r="AA14" i="14"/>
  <c r="AE14" i="14"/>
  <c r="M48" i="23" s="1"/>
  <c r="Z12" i="14"/>
  <c r="AD12" i="14" s="1"/>
  <c r="L46" i="23" s="1"/>
  <c r="AA12" i="14"/>
  <c r="AB12" i="14"/>
  <c r="AC12" i="14"/>
  <c r="AE12" i="14"/>
  <c r="M46" i="23" s="1"/>
  <c r="C45" i="23"/>
  <c r="AA45" i="23" s="1"/>
  <c r="AC11" i="14"/>
  <c r="Z11" i="14"/>
  <c r="AB11" i="14"/>
  <c r="AA11" i="14"/>
  <c r="AE11" i="14"/>
  <c r="M45" i="23" s="1"/>
  <c r="AA13" i="14"/>
  <c r="AB13" i="14"/>
  <c r="Z13" i="14"/>
  <c r="AD13" i="14" s="1"/>
  <c r="L47" i="23" s="1"/>
  <c r="AC13" i="14"/>
  <c r="AE13" i="14"/>
  <c r="M47" i="23" s="1"/>
  <c r="AD14" i="13"/>
  <c r="L40" i="23" s="1"/>
  <c r="AD13" i="13"/>
  <c r="L39" i="23" s="1"/>
  <c r="AD11" i="12"/>
  <c r="AD12" i="11"/>
  <c r="AD13" i="11"/>
  <c r="AD14" i="11"/>
  <c r="AD11" i="11"/>
  <c r="AD12" i="10"/>
  <c r="L14" i="23" s="1"/>
  <c r="AD13" i="10"/>
  <c r="L15" i="23" s="1"/>
  <c r="AD14" i="10"/>
  <c r="L16" i="23" s="1"/>
  <c r="AD11" i="10"/>
  <c r="L13" i="23" s="1"/>
  <c r="AE13" i="8"/>
  <c r="AE11" i="8"/>
  <c r="Y5" i="23"/>
  <c r="W5" i="23" s="1"/>
  <c r="H47" i="23"/>
  <c r="AB38" i="23"/>
  <c r="AC38" i="23"/>
  <c r="V38" i="23"/>
  <c r="V16" i="23"/>
  <c r="AA16" i="23"/>
  <c r="AC16" i="23"/>
  <c r="AD16" i="23"/>
  <c r="AD38" i="23"/>
  <c r="F9" i="27"/>
  <c r="D9" i="27"/>
  <c r="I7" i="23"/>
  <c r="E7" i="23"/>
  <c r="E47" i="23"/>
  <c r="C9" i="27"/>
  <c r="L9" i="27" s="1"/>
  <c r="C47" i="23"/>
  <c r="AD47" i="23" s="1"/>
  <c r="W46" i="23"/>
  <c r="W47" i="23"/>
  <c r="C46" i="23"/>
  <c r="AD46" i="23" s="1"/>
  <c r="C48" i="23"/>
  <c r="AD48" i="23" s="1"/>
  <c r="AC37" i="23"/>
  <c r="AB37" i="23"/>
  <c r="AA37" i="23"/>
  <c r="AD37" i="23"/>
  <c r="AA39" i="23"/>
  <c r="AD39" i="23"/>
  <c r="AC39" i="23"/>
  <c r="AB39" i="23"/>
  <c r="AD40" i="23"/>
  <c r="AC40" i="23"/>
  <c r="AB40" i="23"/>
  <c r="AA40" i="23"/>
  <c r="V39" i="23"/>
  <c r="W40" i="23"/>
  <c r="W38" i="23"/>
  <c r="W39" i="23"/>
  <c r="W37" i="23"/>
  <c r="W31" i="23"/>
  <c r="AC15" i="23"/>
  <c r="AD15" i="23"/>
  <c r="AA15" i="23"/>
  <c r="AB15" i="23"/>
  <c r="AA13" i="23"/>
  <c r="AB13" i="23"/>
  <c r="AD13" i="23"/>
  <c r="AC13" i="23"/>
  <c r="AD14" i="23"/>
  <c r="AB14" i="23"/>
  <c r="AA14" i="23"/>
  <c r="AC14" i="23"/>
  <c r="W15" i="23"/>
  <c r="W14" i="23"/>
  <c r="W13" i="23"/>
  <c r="W16" i="23"/>
  <c r="W7" i="23"/>
  <c r="V13" i="23"/>
  <c r="V14" i="23"/>
  <c r="K5" i="27"/>
  <c r="H5" i="27" s="1"/>
  <c r="H5" i="16"/>
  <c r="F9" i="16"/>
  <c r="C24" i="23"/>
  <c r="D23" i="23"/>
  <c r="W24" i="23"/>
  <c r="C22" i="23"/>
  <c r="W22" i="23"/>
  <c r="C6" i="16"/>
  <c r="E6" i="16" s="1"/>
  <c r="H6" i="16" s="1"/>
  <c r="K6" i="27"/>
  <c r="W23" i="23"/>
  <c r="F6" i="27"/>
  <c r="C23" i="23"/>
  <c r="G6" i="27"/>
  <c r="D21" i="23"/>
  <c r="W21" i="23"/>
  <c r="C21" i="23"/>
  <c r="I43" i="22"/>
  <c r="D30" i="23"/>
  <c r="F31" i="23"/>
  <c r="F7" i="27"/>
  <c r="C7" i="16"/>
  <c r="E7" i="16" s="1"/>
  <c r="E7" i="27"/>
  <c r="E31" i="23"/>
  <c r="I47" i="22"/>
  <c r="T54" i="30" s="1"/>
  <c r="U64" i="30" s="1"/>
  <c r="T74" i="30" s="1"/>
  <c r="N84" i="30" s="1"/>
  <c r="C29" i="23"/>
  <c r="W29" i="23"/>
  <c r="D32" i="23"/>
  <c r="D7" i="27"/>
  <c r="D31" i="23"/>
  <c r="D29" i="23"/>
  <c r="L31" i="23"/>
  <c r="C31" i="23"/>
  <c r="C7" i="27"/>
  <c r="L30" i="23"/>
  <c r="I45" i="22"/>
  <c r="B54" i="30" s="1"/>
  <c r="C30" i="23"/>
  <c r="W30" i="23"/>
  <c r="W32" i="23"/>
  <c r="C32" i="23"/>
  <c r="H31" i="23"/>
  <c r="G7" i="27"/>
  <c r="K8" i="27"/>
  <c r="L8" i="27"/>
  <c r="V40" i="23"/>
  <c r="V37" i="23"/>
  <c r="AC13" i="8"/>
  <c r="AB13" i="8"/>
  <c r="C7" i="23"/>
  <c r="AA13" i="8"/>
  <c r="D7" i="23"/>
  <c r="F4" i="27"/>
  <c r="F7" i="23"/>
  <c r="Z13" i="8"/>
  <c r="C4" i="27"/>
  <c r="L4" i="27" s="1"/>
  <c r="G4" i="27"/>
  <c r="H7" i="23"/>
  <c r="C4" i="16"/>
  <c r="C6" i="23"/>
  <c r="AB12" i="8"/>
  <c r="AC12" i="8"/>
  <c r="AA12" i="8"/>
  <c r="Z12" i="8"/>
  <c r="D8" i="23"/>
  <c r="AC11" i="8"/>
  <c r="C5" i="23"/>
  <c r="Z11" i="8"/>
  <c r="AB11" i="8"/>
  <c r="AA11" i="8"/>
  <c r="D6" i="23"/>
  <c r="AC14" i="8"/>
  <c r="AB14" i="8"/>
  <c r="C8" i="23"/>
  <c r="Z14" i="8"/>
  <c r="AA14" i="8"/>
  <c r="N54" i="30" l="1"/>
  <c r="M5" i="23"/>
  <c r="M7" i="23"/>
  <c r="AC45" i="23"/>
  <c r="AD45" i="23"/>
  <c r="AD49" i="23" s="1"/>
  <c r="V45" i="23"/>
  <c r="AB45" i="23"/>
  <c r="AD11" i="14"/>
  <c r="L45" i="23" s="1"/>
  <c r="AD14" i="14"/>
  <c r="L48" i="23" s="1"/>
  <c r="K9" i="27"/>
  <c r="H9" i="27" s="1"/>
  <c r="V48" i="23"/>
  <c r="V46" i="23"/>
  <c r="V47" i="23"/>
  <c r="AB46" i="23"/>
  <c r="AB47" i="23"/>
  <c r="AC47" i="23"/>
  <c r="AA47" i="23"/>
  <c r="AC46" i="23"/>
  <c r="AA46" i="23"/>
  <c r="AC48" i="23"/>
  <c r="AB48" i="23"/>
  <c r="AA48" i="23"/>
  <c r="AD41" i="23"/>
  <c r="AD30" i="23"/>
  <c r="AB30" i="23"/>
  <c r="AA30" i="23"/>
  <c r="AC30" i="23"/>
  <c r="AA29" i="23"/>
  <c r="AB29" i="23"/>
  <c r="AD29" i="23"/>
  <c r="AC29" i="23"/>
  <c r="AB32" i="23"/>
  <c r="AC32" i="23"/>
  <c r="AA32" i="23"/>
  <c r="AD32" i="23"/>
  <c r="AD31" i="23"/>
  <c r="AC31" i="23"/>
  <c r="AA31" i="23"/>
  <c r="AB31" i="23"/>
  <c r="AA17" i="23"/>
  <c r="AB17" i="23"/>
  <c r="AD22" i="23"/>
  <c r="AC22" i="23"/>
  <c r="AA22" i="23"/>
  <c r="AB22" i="23"/>
  <c r="AB24" i="23"/>
  <c r="AA24" i="23"/>
  <c r="AC24" i="23"/>
  <c r="AD24" i="23"/>
  <c r="AD23" i="23"/>
  <c r="AC23" i="23"/>
  <c r="AB23" i="23"/>
  <c r="AA23" i="23"/>
  <c r="AA21" i="23"/>
  <c r="AB21" i="23"/>
  <c r="AD21" i="23"/>
  <c r="AC21" i="23"/>
  <c r="V22" i="23"/>
  <c r="AA6" i="23"/>
  <c r="AB6" i="23"/>
  <c r="AC6" i="23"/>
  <c r="AD6" i="23"/>
  <c r="AA8" i="23"/>
  <c r="AB8" i="23"/>
  <c r="AC8" i="23"/>
  <c r="AD8" i="23"/>
  <c r="AD7" i="23"/>
  <c r="AA7" i="23"/>
  <c r="AC7" i="23"/>
  <c r="AB7" i="23"/>
  <c r="AC5" i="23"/>
  <c r="AD5" i="23"/>
  <c r="AA5" i="23"/>
  <c r="AB5" i="23"/>
  <c r="AC17" i="23"/>
  <c r="AD17" i="23"/>
  <c r="V24" i="23"/>
  <c r="L24" i="23"/>
  <c r="L23" i="23"/>
  <c r="L22" i="23"/>
  <c r="V23" i="23"/>
  <c r="F6" i="16"/>
  <c r="H6" i="27"/>
  <c r="AA41" i="23"/>
  <c r="L21" i="23"/>
  <c r="V21" i="23"/>
  <c r="V31" i="23"/>
  <c r="L29" i="23"/>
  <c r="F7" i="16"/>
  <c r="V29" i="23"/>
  <c r="V32" i="23"/>
  <c r="K7" i="27"/>
  <c r="L7" i="27"/>
  <c r="L32" i="23"/>
  <c r="V30" i="23"/>
  <c r="I41" i="22"/>
  <c r="I42" i="22"/>
  <c r="K54" i="30" s="1"/>
  <c r="K64" i="30" s="1"/>
  <c r="H74" i="30" s="1"/>
  <c r="L84" i="30" s="1"/>
  <c r="R84" i="30" s="1"/>
  <c r="AC41" i="23"/>
  <c r="H8" i="27"/>
  <c r="AB41" i="23"/>
  <c r="K4" i="27"/>
  <c r="E4" i="16"/>
  <c r="D4" i="16"/>
  <c r="B7" i="30" s="1"/>
  <c r="V7" i="23"/>
  <c r="AD13" i="8"/>
  <c r="L7" i="23" s="1"/>
  <c r="V5" i="23"/>
  <c r="AD14" i="8"/>
  <c r="L8" i="23" s="1"/>
  <c r="V6" i="23"/>
  <c r="V8" i="23"/>
  <c r="AD11" i="8"/>
  <c r="L5" i="23" s="1"/>
  <c r="AD12" i="8"/>
  <c r="L6" i="23" s="1"/>
  <c r="Q54" i="30" l="1"/>
  <c r="AB49" i="23"/>
  <c r="AA49" i="23"/>
  <c r="AC49" i="23"/>
  <c r="AF13" i="23" a="1"/>
  <c r="AH13" i="23" s="1"/>
  <c r="AE17" i="23" a="1"/>
  <c r="AE17" i="23" s="1"/>
  <c r="B11" i="23" s="1"/>
  <c r="AA25" i="23"/>
  <c r="AC25" i="23"/>
  <c r="AB25" i="23"/>
  <c r="AD25" i="23"/>
  <c r="H7" i="27"/>
  <c r="AD33" i="23"/>
  <c r="AB33" i="23"/>
  <c r="AC33" i="23"/>
  <c r="AA33" i="23"/>
  <c r="AF37" i="23" a="1"/>
  <c r="AG38" i="23" s="1"/>
  <c r="AE41" i="23" a="1"/>
  <c r="AE41" i="23" s="1"/>
  <c r="B35" i="23" s="1"/>
  <c r="F4" i="16"/>
  <c r="G5" i="16" s="1"/>
  <c r="H4" i="27"/>
  <c r="AA9" i="23"/>
  <c r="AB9" i="23"/>
  <c r="AC9" i="23"/>
  <c r="AD9" i="23"/>
  <c r="AE49" i="23" l="1" a="1"/>
  <c r="AE49" i="23" s="1"/>
  <c r="B43" i="23" s="1"/>
  <c r="AF45" i="23" a="1"/>
  <c r="AG46" i="23" s="1"/>
  <c r="AF14" i="23"/>
  <c r="P15" i="23" s="1"/>
  <c r="AH15" i="23"/>
  <c r="R16" i="23" s="1"/>
  <c r="AH14" i="23"/>
  <c r="R15" i="23" s="1"/>
  <c r="AF13" i="23"/>
  <c r="P14" i="23" s="1"/>
  <c r="AI15" i="23"/>
  <c r="T16" i="23" s="1"/>
  <c r="AG15" i="23"/>
  <c r="Q16" i="23" s="1"/>
  <c r="AF15" i="23"/>
  <c r="AI14" i="23"/>
  <c r="T15" i="23" s="1"/>
  <c r="AG14" i="23"/>
  <c r="Q15" i="23" s="1"/>
  <c r="AG13" i="23"/>
  <c r="Q14" i="23" s="1"/>
  <c r="AI13" i="23"/>
  <c r="T14" i="23" s="1"/>
  <c r="P13" i="23"/>
  <c r="R14" i="23"/>
  <c r="Q13" i="23"/>
  <c r="P16" i="23"/>
  <c r="T13" i="23"/>
  <c r="R13" i="23"/>
  <c r="AF21" i="23" a="1"/>
  <c r="AG21" i="23" s="1"/>
  <c r="AE25" i="23" a="1"/>
  <c r="AE25" i="23" s="1"/>
  <c r="H16" i="27"/>
  <c r="G16" i="27" s="1"/>
  <c r="P16" i="27" s="1"/>
  <c r="AF29" i="23" a="1"/>
  <c r="AE33" i="23" a="1"/>
  <c r="AE33" i="23" s="1"/>
  <c r="AF39" i="23"/>
  <c r="P39" i="23" s="1"/>
  <c r="AF37" i="23"/>
  <c r="P37" i="23" s="1"/>
  <c r="AH38" i="23"/>
  <c r="R40" i="23" s="1"/>
  <c r="AH37" i="23"/>
  <c r="R37" i="23" s="1"/>
  <c r="AG37" i="23"/>
  <c r="Q37" i="23" s="1"/>
  <c r="AG39" i="23"/>
  <c r="Q39" i="23" s="1"/>
  <c r="AI38" i="23"/>
  <c r="T40" i="23" s="1"/>
  <c r="AI39" i="23"/>
  <c r="T39" i="23" s="1"/>
  <c r="AF38" i="23"/>
  <c r="P40" i="23" s="1"/>
  <c r="AH39" i="23"/>
  <c r="R39" i="23" s="1"/>
  <c r="AI37" i="23"/>
  <c r="T37" i="23" s="1"/>
  <c r="Q38" i="23"/>
  <c r="R38" i="23"/>
  <c r="Q40" i="23"/>
  <c r="G7" i="16"/>
  <c r="G4" i="16"/>
  <c r="G8" i="16"/>
  <c r="G6" i="16"/>
  <c r="G9" i="16"/>
  <c r="H11" i="27"/>
  <c r="F11" i="27" s="1"/>
  <c r="N11" i="27" s="1"/>
  <c r="H12" i="27"/>
  <c r="F12" i="27" s="1"/>
  <c r="N12" i="27" s="1"/>
  <c r="H15" i="27"/>
  <c r="E15" i="27" s="1"/>
  <c r="H13" i="27"/>
  <c r="C13" i="27" s="1"/>
  <c r="H14" i="27"/>
  <c r="AF5" i="23" a="1"/>
  <c r="AE9" i="23" a="1"/>
  <c r="AE9" i="23" s="1"/>
  <c r="T48" i="30" l="1"/>
  <c r="H4" i="16"/>
  <c r="AF47" i="23"/>
  <c r="AH47" i="23"/>
  <c r="AH45" i="23"/>
  <c r="AF46" i="23"/>
  <c r="AI46" i="23"/>
  <c r="AF45" i="23"/>
  <c r="AG47" i="23"/>
  <c r="AH46" i="23"/>
  <c r="AI45" i="23"/>
  <c r="AI47" i="23"/>
  <c r="AG45" i="23"/>
  <c r="Q45" i="23" s="1"/>
  <c r="P38" i="23"/>
  <c r="T38" i="23"/>
  <c r="P45" i="23"/>
  <c r="Q47" i="23"/>
  <c r="R45" i="23"/>
  <c r="T45" i="23"/>
  <c r="H7" i="16"/>
  <c r="R47" i="23"/>
  <c r="T46" i="23"/>
  <c r="P47" i="23"/>
  <c r="R46" i="23"/>
  <c r="Q46" i="23"/>
  <c r="T47" i="23"/>
  <c r="Q48" i="23"/>
  <c r="P48" i="23"/>
  <c r="P46" i="23"/>
  <c r="T48" i="23"/>
  <c r="R48" i="23"/>
  <c r="C14" i="27"/>
  <c r="I21" i="27"/>
  <c r="AH23" i="23"/>
  <c r="R24" i="23" s="1"/>
  <c r="AF23" i="23"/>
  <c r="P24" i="23" s="1"/>
  <c r="AH22" i="23"/>
  <c r="R22" i="23" s="1"/>
  <c r="AF22" i="23"/>
  <c r="AI22" i="23"/>
  <c r="T22" i="23" s="1"/>
  <c r="AI21" i="23"/>
  <c r="AG23" i="23"/>
  <c r="Q24" i="23" s="1"/>
  <c r="AI23" i="23"/>
  <c r="T24" i="23" s="1"/>
  <c r="AF21" i="23"/>
  <c r="AG22" i="23"/>
  <c r="Q22" i="23" s="1"/>
  <c r="AH21" i="23"/>
  <c r="P22" i="23"/>
  <c r="B19" i="23"/>
  <c r="T21" i="23"/>
  <c r="D16" i="27"/>
  <c r="Q21" i="23"/>
  <c r="P21" i="23"/>
  <c r="C16" i="27"/>
  <c r="E16" i="27"/>
  <c r="F16" i="27"/>
  <c r="N16" i="27" s="1"/>
  <c r="I16" i="27"/>
  <c r="B27" i="23"/>
  <c r="AI31" i="23"/>
  <c r="AF29" i="23"/>
  <c r="AF31" i="23"/>
  <c r="AG31" i="23"/>
  <c r="AH30" i="23"/>
  <c r="R32" i="23" s="1"/>
  <c r="AI29" i="23"/>
  <c r="T29" i="23" s="1"/>
  <c r="AG29" i="23"/>
  <c r="AH31" i="23"/>
  <c r="AF30" i="23"/>
  <c r="P32" i="23" s="1"/>
  <c r="AH29" i="23"/>
  <c r="AI30" i="23"/>
  <c r="AG30" i="23"/>
  <c r="Q31" i="23" s="1"/>
  <c r="G15" i="27"/>
  <c r="P15" i="27" s="1"/>
  <c r="C15" i="27"/>
  <c r="I11" i="27"/>
  <c r="I15" i="27"/>
  <c r="F15" i="27"/>
  <c r="N15" i="27" s="1"/>
  <c r="E11" i="27"/>
  <c r="F14" i="27"/>
  <c r="N14" i="27" s="1"/>
  <c r="I14" i="27"/>
  <c r="D14" i="27"/>
  <c r="G11" i="27"/>
  <c r="P11" i="27" s="1"/>
  <c r="D13" i="27"/>
  <c r="E14" i="27"/>
  <c r="F13" i="27"/>
  <c r="N13" i="27" s="1"/>
  <c r="C11" i="27"/>
  <c r="G14" i="27"/>
  <c r="P14" i="27" s="1"/>
  <c r="D11" i="27"/>
  <c r="D15" i="27"/>
  <c r="I13" i="27"/>
  <c r="E13" i="27"/>
  <c r="D12" i="27"/>
  <c r="C12" i="27"/>
  <c r="E12" i="27"/>
  <c r="G12" i="27"/>
  <c r="P12" i="27" s="1"/>
  <c r="I12" i="27"/>
  <c r="G13" i="27"/>
  <c r="P13" i="27" s="1"/>
  <c r="B3" i="23"/>
  <c r="P8" i="23"/>
  <c r="R8" i="23"/>
  <c r="AI7" i="23"/>
  <c r="T7" i="23" s="1"/>
  <c r="AI6" i="23"/>
  <c r="AI5" i="23"/>
  <c r="T8" i="23" s="1"/>
  <c r="AH7" i="23"/>
  <c r="R7" i="23" s="1"/>
  <c r="AH5" i="23"/>
  <c r="AF7" i="23"/>
  <c r="P7" i="23" s="1"/>
  <c r="AF5" i="23"/>
  <c r="AG7" i="23"/>
  <c r="Q7" i="23" s="1"/>
  <c r="AG6" i="23"/>
  <c r="AH6" i="23"/>
  <c r="AG5" i="23"/>
  <c r="Q8" i="23" s="1"/>
  <c r="AF6" i="23"/>
  <c r="U47" i="30" l="1"/>
  <c r="U49" i="30"/>
  <c r="X48" i="30"/>
  <c r="U48" i="30"/>
  <c r="U46" i="30"/>
  <c r="Y48" i="30"/>
  <c r="V48" i="30"/>
  <c r="W48" i="30"/>
  <c r="V46" i="30"/>
  <c r="V47" i="30"/>
  <c r="V49" i="30"/>
  <c r="W49" i="30"/>
  <c r="I46" i="22"/>
  <c r="T46" i="30"/>
  <c r="T44" i="30"/>
  <c r="Y49" i="30"/>
  <c r="T47" i="30"/>
  <c r="X49" i="30"/>
  <c r="T49" i="30"/>
  <c r="H11" i="16"/>
  <c r="J4" i="16" s="1"/>
  <c r="P30" i="23"/>
  <c r="R23" i="23"/>
  <c r="P29" i="23"/>
  <c r="Q30" i="23"/>
  <c r="R30" i="23"/>
  <c r="R29" i="23"/>
  <c r="T30" i="23"/>
  <c r="Q23" i="23"/>
  <c r="Q29" i="23"/>
  <c r="T23" i="23"/>
  <c r="P23" i="23"/>
  <c r="R21" i="23"/>
  <c r="P31" i="23"/>
  <c r="T31" i="23"/>
  <c r="T32" i="23"/>
  <c r="R31" i="23"/>
  <c r="Q32" i="23"/>
  <c r="T6" i="23"/>
  <c r="R5" i="23"/>
  <c r="P5" i="23"/>
  <c r="Q5" i="23"/>
  <c r="P6" i="23"/>
  <c r="R6" i="23"/>
  <c r="Q6" i="23"/>
  <c r="T5" i="23"/>
  <c r="M16" i="27"/>
  <c r="M15" i="27"/>
  <c r="M14" i="27"/>
  <c r="M12" i="27"/>
  <c r="M13" i="27"/>
  <c r="M11" i="27"/>
  <c r="K11" i="27" a="1"/>
  <c r="K11" i="27" s="1"/>
  <c r="K13" i="27" a="1"/>
  <c r="K13" i="27" s="1"/>
  <c r="K12" i="27" a="1"/>
  <c r="K12" i="27" s="1"/>
  <c r="K14" i="27" a="1"/>
  <c r="K14" i="27" s="1"/>
  <c r="E54" i="30" l="1"/>
  <c r="L14" i="27"/>
  <c r="L13" i="27"/>
  <c r="L11" i="27"/>
  <c r="L12" i="27"/>
  <c r="I18" i="27" l="1"/>
  <c r="W46" i="30" s="1"/>
  <c r="N55" i="22" l="1"/>
  <c r="J48" i="22" s="1"/>
  <c r="X54" i="30" s="1"/>
  <c r="W64" i="30" s="1"/>
  <c r="N56" i="22"/>
  <c r="J46" i="22" s="1"/>
  <c r="N53" i="22"/>
  <c r="J44" i="22" s="1"/>
  <c r="I54" i="30" s="1"/>
  <c r="N54" i="22"/>
  <c r="J43" i="22" s="1"/>
  <c r="I48" i="22"/>
  <c r="W54" i="30" s="1"/>
  <c r="O54" i="30" l="1"/>
  <c r="O64" i="30" s="1"/>
  <c r="F54" i="30"/>
  <c r="E64" i="30" s="1"/>
</calcChain>
</file>

<file path=xl/sharedStrings.xml><?xml version="1.0" encoding="utf-8"?>
<sst xmlns="http://schemas.openxmlformats.org/spreadsheetml/2006/main" count="1819" uniqueCount="870">
  <si>
    <t>Portugal</t>
  </si>
  <si>
    <t>England</t>
  </si>
  <si>
    <t>1A</t>
  </si>
  <si>
    <t>1B</t>
  </si>
  <si>
    <t>1C</t>
  </si>
  <si>
    <t>1D</t>
  </si>
  <si>
    <t>1E</t>
  </si>
  <si>
    <t>1F</t>
  </si>
  <si>
    <t>2A</t>
  </si>
  <si>
    <t>2B</t>
  </si>
  <si>
    <t>2C</t>
  </si>
  <si>
    <t>2D</t>
  </si>
  <si>
    <t>2E</t>
  </si>
  <si>
    <t>2F</t>
  </si>
  <si>
    <t>3A</t>
  </si>
  <si>
    <t>3B</t>
  </si>
  <si>
    <t>3C</t>
  </si>
  <si>
    <t>3D</t>
  </si>
  <si>
    <t>3E</t>
  </si>
  <si>
    <t>3F</t>
  </si>
  <si>
    <t>4A</t>
  </si>
  <si>
    <t>4B</t>
  </si>
  <si>
    <t>4C</t>
  </si>
  <si>
    <t>4D</t>
  </si>
  <si>
    <t>4E</t>
  </si>
  <si>
    <t>4F</t>
  </si>
  <si>
    <t>B</t>
  </si>
  <si>
    <t>C</t>
  </si>
  <si>
    <t>E</t>
  </si>
  <si>
    <t>F</t>
  </si>
  <si>
    <t>A</t>
  </si>
  <si>
    <t>D</t>
  </si>
  <si>
    <t>1.</t>
  </si>
  <si>
    <t>2.</t>
  </si>
  <si>
    <t>3.</t>
  </si>
  <si>
    <t>4.</t>
  </si>
  <si>
    <t>-</t>
  </si>
  <si>
    <t>Fair play</t>
  </si>
  <si>
    <t>H</t>
  </si>
  <si>
    <t>I</t>
  </si>
  <si>
    <t>K</t>
  </si>
  <si>
    <t>L</t>
  </si>
  <si>
    <t>N</t>
  </si>
  <si>
    <t>O</t>
  </si>
  <si>
    <t>Q</t>
  </si>
  <si>
    <t>R</t>
  </si>
  <si>
    <t>Position</t>
  </si>
  <si>
    <t>Belgium</t>
  </si>
  <si>
    <t>Germany</t>
  </si>
  <si>
    <t>Spain</t>
  </si>
  <si>
    <t>France</t>
  </si>
  <si>
    <t>Poland</t>
  </si>
  <si>
    <t>Croatia</t>
  </si>
  <si>
    <t>Russia</t>
  </si>
  <si>
    <t>Denmark</t>
  </si>
  <si>
    <t>Sweden</t>
  </si>
  <si>
    <t>Final table</t>
  </si>
  <si>
    <t>Round of 16 - 5</t>
  </si>
  <si>
    <t>Round of 16 - 6</t>
  </si>
  <si>
    <t>Round of 16 - 2</t>
  </si>
  <si>
    <t>Round of 16 - 4</t>
  </si>
  <si>
    <t>Round of 16 - 1</t>
  </si>
  <si>
    <t>Round of 16 - 3</t>
  </si>
  <si>
    <t>Round of 16 - 7</t>
  </si>
  <si>
    <t>Round of 16 - 8</t>
  </si>
  <si>
    <t>Semi-Final 1</t>
  </si>
  <si>
    <t>Semi-Final 2</t>
  </si>
  <si>
    <t>Final</t>
  </si>
  <si>
    <t>Hints</t>
  </si>
  <si>
    <t>Switzerland</t>
  </si>
  <si>
    <t>Suiza</t>
  </si>
  <si>
    <t>Dinamarca</t>
  </si>
  <si>
    <t>Bélgica</t>
  </si>
  <si>
    <t>Rusia</t>
  </si>
  <si>
    <t>Inglaterra</t>
  </si>
  <si>
    <t>Croacia</t>
  </si>
  <si>
    <t>Polonia</t>
  </si>
  <si>
    <t>España</t>
  </si>
  <si>
    <t>Suecia</t>
  </si>
  <si>
    <t>Francia</t>
  </si>
  <si>
    <t>Alemania</t>
  </si>
  <si>
    <t>Svizzera</t>
  </si>
  <si>
    <t>Suisse</t>
  </si>
  <si>
    <t>Danimarca</t>
  </si>
  <si>
    <t>Danemark</t>
  </si>
  <si>
    <t>Belgio</t>
  </si>
  <si>
    <t>Belgique</t>
  </si>
  <si>
    <t>Russie</t>
  </si>
  <si>
    <t>Inghilterra</t>
  </si>
  <si>
    <t>Angleterre</t>
  </si>
  <si>
    <t>Croazia</t>
  </si>
  <si>
    <t>Croatie</t>
  </si>
  <si>
    <t>Pologne</t>
  </si>
  <si>
    <t>Spagna</t>
  </si>
  <si>
    <t>Espagne</t>
  </si>
  <si>
    <t>Svezia</t>
  </si>
  <si>
    <t>Suède</t>
  </si>
  <si>
    <t>Portogallo</t>
  </si>
  <si>
    <t>Germania</t>
  </si>
  <si>
    <t>Allemagne</t>
  </si>
  <si>
    <t>english</t>
  </si>
  <si>
    <t>spanish</t>
  </si>
  <si>
    <t>italian</t>
  </si>
  <si>
    <t>french</t>
  </si>
  <si>
    <t>my language</t>
  </si>
  <si>
    <t>Polen</t>
  </si>
  <si>
    <t>Frankreich</t>
  </si>
  <si>
    <t>Deutschland</t>
  </si>
  <si>
    <t>Spanien</t>
  </si>
  <si>
    <t>Schweden</t>
  </si>
  <si>
    <t>Schweiz</t>
  </si>
  <si>
    <t>Dänemark</t>
  </si>
  <si>
    <t>Belgien</t>
  </si>
  <si>
    <t>Russland</t>
  </si>
  <si>
    <t>Kroatien</t>
  </si>
  <si>
    <t>german</t>
  </si>
  <si>
    <t>Venues</t>
  </si>
  <si>
    <t>Choose language</t>
  </si>
  <si>
    <t>Click here and choose language:</t>
  </si>
  <si>
    <t>UTC+4</t>
  </si>
  <si>
    <t>UTC+5</t>
  </si>
  <si>
    <t>UTC+6</t>
  </si>
  <si>
    <t>UTC+7</t>
  </si>
  <si>
    <t>UTC+8</t>
  </si>
  <si>
    <t>UTC+9</t>
  </si>
  <si>
    <t>UTC+10</t>
  </si>
  <si>
    <t>UTC+11</t>
  </si>
  <si>
    <t>UTC+12</t>
  </si>
  <si>
    <t>UTC+13</t>
  </si>
  <si>
    <t>UTC+14</t>
  </si>
  <si>
    <t>IDLW</t>
  </si>
  <si>
    <t>HAST</t>
  </si>
  <si>
    <t>AKST</t>
  </si>
  <si>
    <t>PST</t>
  </si>
  <si>
    <t>MST</t>
  </si>
  <si>
    <t>CST</t>
  </si>
  <si>
    <t>EST</t>
  </si>
  <si>
    <t>AST</t>
  </si>
  <si>
    <t>NST</t>
  </si>
  <si>
    <t>WET</t>
  </si>
  <si>
    <t>CET</t>
  </si>
  <si>
    <t>AST/EAT</t>
  </si>
  <si>
    <t>ICT</t>
  </si>
  <si>
    <t>CNST</t>
  </si>
  <si>
    <t>JST</t>
  </si>
  <si>
    <t>IDLE/NZST</t>
  </si>
  <si>
    <t>UTC+12:45</t>
  </si>
  <si>
    <t>UTC+10:30</t>
  </si>
  <si>
    <t>ACST</t>
  </si>
  <si>
    <t>UTC+9:30</t>
  </si>
  <si>
    <t>UTC+6:30</t>
  </si>
  <si>
    <t>UTC+5:30</t>
  </si>
  <si>
    <t>IST</t>
  </si>
  <si>
    <t>UTC+5:45</t>
  </si>
  <si>
    <t>UTC+4:30</t>
  </si>
  <si>
    <t>UTC+3:30</t>
  </si>
  <si>
    <t>IRT</t>
  </si>
  <si>
    <t>UTC</t>
  </si>
  <si>
    <t>1/8 finals</t>
  </si>
  <si>
    <t>1/4 finals</t>
  </si>
  <si>
    <t>1/2 finals</t>
  </si>
  <si>
    <t>UTC + 1</t>
  </si>
  <si>
    <t>UTC - 3:30</t>
  </si>
  <si>
    <t>UTC - 12</t>
  </si>
  <si>
    <t>UTC - 11</t>
  </si>
  <si>
    <t>UTC - 10</t>
  </si>
  <si>
    <t>UTC - 9</t>
  </si>
  <si>
    <t>UTC - 8</t>
  </si>
  <si>
    <t>UTC - 7</t>
  </si>
  <si>
    <t>UTC - 6</t>
  </si>
  <si>
    <t>UTC - 5</t>
  </si>
  <si>
    <t>UTC - 4</t>
  </si>
  <si>
    <t>UTC - 3</t>
  </si>
  <si>
    <t>UTC - 2</t>
  </si>
  <si>
    <t>UTC - 1</t>
  </si>
  <si>
    <t>UTC + 2</t>
  </si>
  <si>
    <t>UTC + 3</t>
  </si>
  <si>
    <t>Captions</t>
  </si>
  <si>
    <t>Third place</t>
  </si>
  <si>
    <t>Schlusstabelle</t>
  </si>
  <si>
    <t>Achtelfinale 1</t>
  </si>
  <si>
    <t>Achtelfinale 2</t>
  </si>
  <si>
    <t>Achtelfinale 3</t>
  </si>
  <si>
    <t>Achtelfinale 4</t>
  </si>
  <si>
    <t>Achtelfinale 5</t>
  </si>
  <si>
    <t>Achtelfinale 6</t>
  </si>
  <si>
    <t>Achtelfinale 7</t>
  </si>
  <si>
    <t>Achtelfinale 8</t>
  </si>
  <si>
    <t>Viertelfinale 1</t>
  </si>
  <si>
    <t>Viertelfinale 2</t>
  </si>
  <si>
    <t>Viertelfinale 3</t>
  </si>
  <si>
    <t>Viertelfinale 4</t>
  </si>
  <si>
    <t>Halbfinale 1</t>
  </si>
  <si>
    <t>Halbfinale 2</t>
  </si>
  <si>
    <t>Dritter Platz</t>
  </si>
  <si>
    <t>Finale</t>
  </si>
  <si>
    <t>valid</t>
  </si>
  <si>
    <t>A1</t>
  </si>
  <si>
    <t>A2</t>
  </si>
  <si>
    <t>A3</t>
  </si>
  <si>
    <t>A4</t>
  </si>
  <si>
    <t>B1</t>
  </si>
  <si>
    <t>B2</t>
  </si>
  <si>
    <t>B3</t>
  </si>
  <si>
    <t>B4</t>
  </si>
  <si>
    <t>C1</t>
  </si>
  <si>
    <t>C2</t>
  </si>
  <si>
    <t>C3</t>
  </si>
  <si>
    <t>C4</t>
  </si>
  <si>
    <t>D1</t>
  </si>
  <si>
    <t>D2</t>
  </si>
  <si>
    <t>D3</t>
  </si>
  <si>
    <t>D4</t>
  </si>
  <si>
    <t>E1</t>
  </si>
  <si>
    <t>E2</t>
  </si>
  <si>
    <t>E3</t>
  </si>
  <si>
    <t>E4</t>
  </si>
  <si>
    <t>Sum:</t>
  </si>
  <si>
    <t>GD</t>
  </si>
  <si>
    <t>For</t>
  </si>
  <si>
    <t>Against</t>
  </si>
  <si>
    <t>Points</t>
  </si>
  <si>
    <t>Coefficient</t>
  </si>
  <si>
    <t>Dir. Comp. (3)</t>
  </si>
  <si>
    <t>Dir. Comp. (2)</t>
  </si>
  <si>
    <t>Match</t>
  </si>
  <si>
    <t>Score</t>
  </si>
  <si>
    <t>Pts/GD/For</t>
  </si>
  <si>
    <t>Row number teams</t>
  </si>
  <si>
    <t>Row number scores</t>
  </si>
  <si>
    <t>Goal difference</t>
  </si>
  <si>
    <t>Goals scored</t>
  </si>
  <si>
    <t>direct Comp. 3</t>
  </si>
  <si>
    <t>direct Comp. 2</t>
  </si>
  <si>
    <t>Message</t>
  </si>
  <si>
    <t>Full text:</t>
  </si>
  <si>
    <t>Text</t>
  </si>
  <si>
    <t>Number</t>
  </si>
  <si>
    <t>Distinctness</t>
  </si>
  <si>
    <t>Group</t>
  </si>
  <si>
    <t>Not clear</t>
  </si>
  <si>
    <t>Tableau final</t>
  </si>
  <si>
    <t>Tavolo finale</t>
  </si>
  <si>
    <t>Mesa final</t>
  </si>
  <si>
    <t>Octavos de final 1</t>
  </si>
  <si>
    <t>Octavos de final 2</t>
  </si>
  <si>
    <t>Octavos de final 3</t>
  </si>
  <si>
    <t>Octavos de final 4</t>
  </si>
  <si>
    <t>Octavos de final 5</t>
  </si>
  <si>
    <t>Octavos de final 6</t>
  </si>
  <si>
    <t>Octavos de final 7</t>
  </si>
  <si>
    <t>Octavos de final 8</t>
  </si>
  <si>
    <t>Ottavi di finale 1</t>
  </si>
  <si>
    <t>Ottavi di finale 2</t>
  </si>
  <si>
    <t>Ottavi di finale 3</t>
  </si>
  <si>
    <t>Ottavi di finale 4</t>
  </si>
  <si>
    <t>Ottavi di finale 5</t>
  </si>
  <si>
    <t>Ottavi di finale 6</t>
  </si>
  <si>
    <t>Ottavi di finale 7</t>
  </si>
  <si>
    <t>Ottavi di finale 8</t>
  </si>
  <si>
    <t>huitièmes de finale 1</t>
  </si>
  <si>
    <t>huitièmes de finale 2</t>
  </si>
  <si>
    <t>huitièmes de finale 3</t>
  </si>
  <si>
    <t>huitièmes de finale 4</t>
  </si>
  <si>
    <t>huitièmes de finale 5</t>
  </si>
  <si>
    <t>huitièmes de finale 6</t>
  </si>
  <si>
    <t>huitièmes de finale 7</t>
  </si>
  <si>
    <t>huitièmes de finale 8</t>
  </si>
  <si>
    <t>Quarts de finale 1</t>
  </si>
  <si>
    <t>Quarts de finale 2</t>
  </si>
  <si>
    <t>Quarts de finale 3</t>
  </si>
  <si>
    <t>Quarts de finale 4</t>
  </si>
  <si>
    <t>Quarti di finale 1</t>
  </si>
  <si>
    <t>Quarti di finale 2</t>
  </si>
  <si>
    <t>Quarti di finale 3</t>
  </si>
  <si>
    <t>Quarti di finale 4</t>
  </si>
  <si>
    <t>Cuartos de final 1</t>
  </si>
  <si>
    <t>Cuartos de final 2</t>
  </si>
  <si>
    <t>Cuartos de final 3</t>
  </si>
  <si>
    <t>Cuartos de final 4</t>
  </si>
  <si>
    <t>Semifinales 1</t>
  </si>
  <si>
    <t>Semifinales 2</t>
  </si>
  <si>
    <t>Semifinali 1</t>
  </si>
  <si>
    <t>Semifinali 2</t>
  </si>
  <si>
    <t>Demi-finales 1</t>
  </si>
  <si>
    <t>Demi-finales 2</t>
  </si>
  <si>
    <t>Troisième place</t>
  </si>
  <si>
    <t>Matches</t>
  </si>
  <si>
    <t>Island</t>
  </si>
  <si>
    <t>Serbien</t>
  </si>
  <si>
    <t>F1</t>
  </si>
  <si>
    <t>F2</t>
  </si>
  <si>
    <t>F3</t>
  </si>
  <si>
    <t>F4</t>
  </si>
  <si>
    <t>Unzulässiges Ergebnis!</t>
  </si>
  <si>
    <t>Invalid result!</t>
  </si>
  <si>
    <t>Risultato non valido</t>
  </si>
  <si>
    <t>¡Resultado no válido!</t>
  </si>
  <si>
    <t>Résultat invalide !</t>
  </si>
  <si>
    <t>Titles</t>
  </si>
  <si>
    <t>Bonus</t>
  </si>
  <si>
    <t>Die Platzierung ist in allen Gruppen geklärt.</t>
  </si>
  <si>
    <t>The placement has been clarified in all groups.</t>
  </si>
  <si>
    <t>Le placement a été clarifié dans tous les groupes.</t>
  </si>
  <si>
    <t>Il posizionamento è stato chiarito in tutti i gruppi.</t>
  </si>
  <si>
    <t>La ubicación se ha aclarado en todos los grupos.</t>
  </si>
  <si>
    <t>Team 1</t>
  </si>
  <si>
    <t>Team 2</t>
  </si>
  <si>
    <t>Click here and
choose time zone:</t>
  </si>
  <si>
    <t>Date   (local time)</t>
  </si>
  <si>
    <t>Direct comparisons</t>
  </si>
  <si>
    <t>Tore</t>
  </si>
  <si>
    <t>Buts</t>
  </si>
  <si>
    <t>Goals</t>
  </si>
  <si>
    <t>Gol</t>
  </si>
  <si>
    <t>Goles</t>
  </si>
  <si>
    <t>Total</t>
  </si>
  <si>
    <t>Direkte Vergleiche</t>
  </si>
  <si>
    <t>Comparaisons directes</t>
  </si>
  <si>
    <t>Comparaciones directas</t>
  </si>
  <si>
    <t>Confronti diretti</t>
  </si>
  <si>
    <t>Dir. Vergl.(2)</t>
  </si>
  <si>
    <t>Dir. Vergl.(3)</t>
  </si>
  <si>
    <t>Dir. Conp.(2)</t>
  </si>
  <si>
    <t>Dir. Comp.(3)</t>
  </si>
  <si>
    <t>Totale</t>
  </si>
  <si>
    <t>Confr. dir.(3)</t>
  </si>
  <si>
    <t>Confr. dir.(2)</t>
  </si>
  <si>
    <t>Comp. dir.(2)</t>
  </si>
  <si>
    <t>Comp. dir.(3)</t>
  </si>
  <si>
    <t>No es claro</t>
  </si>
  <si>
    <t>Non chiaro</t>
  </si>
  <si>
    <t>Pas clair</t>
  </si>
  <si>
    <t>Nicht klar</t>
  </si>
  <si>
    <t>Clear?</t>
  </si>
  <si>
    <t>Row numbers</t>
  </si>
  <si>
    <t>Col num</t>
  </si>
  <si>
    <t>Steps to use this Excel schedule</t>
  </si>
  <si>
    <t>Show hidden worksheets</t>
  </si>
  <si>
    <t>W49</t>
  </si>
  <si>
    <t>W50</t>
  </si>
  <si>
    <t>Teams</t>
  </si>
  <si>
    <t>Distinctness of the ranks within the groups</t>
  </si>
  <si>
    <t xml:space="preserve"> and </t>
  </si>
  <si>
    <t xml:space="preserve"> y </t>
  </si>
  <si>
    <t xml:space="preserve"> e </t>
  </si>
  <si>
    <t xml:space="preserve"> et </t>
  </si>
  <si>
    <t xml:space="preserve"> und </t>
  </si>
  <si>
    <t>Indicator</t>
  </si>
  <si>
    <t>match count &gt; 0</t>
  </si>
  <si>
    <t>Hinweise</t>
  </si>
  <si>
    <t>Erste Schritte zur Benutzung dieses Spielplans</t>
  </si>
  <si>
    <t>Ausgeblendete Tabellenblätter anzeigen</t>
  </si>
  <si>
    <t>Um die ausgeblendeten Tabellenblätter einzublenden:</t>
  </si>
  <si>
    <t>Show hidden worksheets:</t>
  </si>
  <si>
    <t>Rechtsklick auf eine der Registerkarten unten und die Option "Einblenden…" des Kontextmenüs wählen.</t>
  </si>
  <si>
    <t>Iceland</t>
  </si>
  <si>
    <t>Islandia</t>
  </si>
  <si>
    <t>Islanda</t>
  </si>
  <si>
    <t>Islande</t>
  </si>
  <si>
    <t>Serbia</t>
  </si>
  <si>
    <t>Serbie</t>
  </si>
  <si>
    <t xml:space="preserve"> : </t>
  </si>
  <si>
    <t xml:space="preserve"> - </t>
  </si>
  <si>
    <t>Sorted list</t>
  </si>
  <si>
    <t>Quarter final 1</t>
  </si>
  <si>
    <t>Quarter final 2</t>
  </si>
  <si>
    <t>Quarter final 3</t>
  </si>
  <si>
    <t>Quarter final 4</t>
  </si>
  <si>
    <t>References</t>
  </si>
  <si>
    <t>Choose time zone</t>
  </si>
  <si>
    <t>Wahl der Zeitzone</t>
  </si>
  <si>
    <t>Spiele</t>
  </si>
  <si>
    <t>Choix de langue</t>
  </si>
  <si>
    <t>Wahl der Sprache</t>
  </si>
  <si>
    <t>Matchs</t>
  </si>
  <si>
    <t>Choix du fuseau horaire</t>
  </si>
  <si>
    <t>Selezione del fuso orario</t>
  </si>
  <si>
    <t>Selección de zona horaria</t>
  </si>
  <si>
    <t>Partidos</t>
  </si>
  <si>
    <t>Partite</t>
  </si>
  <si>
    <t>Scelta della lingua</t>
  </si>
  <si>
    <t>Elección de la lengua</t>
  </si>
  <si>
    <t>Hier klicken und
Zeitzone wählen:</t>
  </si>
  <si>
    <t>Hier klicken und Sprache wählen:</t>
  </si>
  <si>
    <t>Seleccione
la zona horaria:</t>
  </si>
  <si>
    <t>Haga clic aquí y elija el idioma:</t>
  </si>
  <si>
    <t>Clicca qui e scegli la lingua:</t>
  </si>
  <si>
    <t>Cliquez ici et choisissez la langue :</t>
  </si>
  <si>
    <t>Sélectionnez le fuseau horaire :</t>
  </si>
  <si>
    <t>Seleziona il
fuso orario:</t>
  </si>
  <si>
    <t>Venue
no.</t>
  </si>
  <si>
    <t>Venue</t>
  </si>
  <si>
    <t>Match No.</t>
  </si>
  <si>
    <t>Prime</t>
  </si>
  <si>
    <t>Prima</t>
  </si>
  <si>
    <t>Tercer lugar</t>
  </si>
  <si>
    <t>Terzo posto</t>
  </si>
  <si>
    <t>Date   (local time host)</t>
  </si>
  <si>
    <t>Per l'ora legale, il fuso orario deve essere aumentato di 1 (ad esempio UTC+2 invece di UTC+1)</t>
  </si>
  <si>
    <t>Para el horario de verano, la zona horaria debe incrementarse en 1 (por ejemplo, UTC+2 en lugar de UTC+1)</t>
  </si>
  <si>
    <t>For summer time, the time zone must be increased by 1 (e.g. UTC+2 instead of UTC+1)</t>
  </si>
  <si>
    <t>Pour l'heure d'été, le fuseau horaire doit être augmenté
de 1 (par exemple, UTC+2 au lieu de UTC+1)</t>
  </si>
  <si>
    <t>Bei Sommerzeit muss die Zeitzone um 1 erhöht werden
(z. B. UTC+2 statt UTC+1)</t>
  </si>
  <si>
    <t>Order of headings</t>
  </si>
  <si>
    <t>Name</t>
  </si>
  <si>
    <t>Team
no.</t>
  </si>
  <si>
    <t>Team</t>
  </si>
  <si>
    <t>Grupo</t>
  </si>
  <si>
    <t>Gruppo</t>
  </si>
  <si>
    <t>Groupe</t>
  </si>
  <si>
    <t>Gruppe</t>
  </si>
  <si>
    <t>Italy</t>
  </si>
  <si>
    <t>Netherlands</t>
  </si>
  <si>
    <t>Czechia</t>
  </si>
  <si>
    <t>Wales</t>
  </si>
  <si>
    <t>Ukraine</t>
  </si>
  <si>
    <t>Norway</t>
  </si>
  <si>
    <t>Hungary</t>
  </si>
  <si>
    <t>Austria</t>
  </si>
  <si>
    <t>Turkey</t>
  </si>
  <si>
    <t>Finland</t>
  </si>
  <si>
    <t>Greece</t>
  </si>
  <si>
    <t>Romania</t>
  </si>
  <si>
    <t>Slovakia</t>
  </si>
  <si>
    <t>Scotland</t>
  </si>
  <si>
    <t>Israel</t>
  </si>
  <si>
    <t>Ireland</t>
  </si>
  <si>
    <t>Slovenia</t>
  </si>
  <si>
    <t>Northern Ireland</t>
  </si>
  <si>
    <t>Albania</t>
  </si>
  <si>
    <t>North Macedonia</t>
  </si>
  <si>
    <t>Armenia</t>
  </si>
  <si>
    <t>Bulgaria</t>
  </si>
  <si>
    <t>Montenegro</t>
  </si>
  <si>
    <t>Kosovo</t>
  </si>
  <si>
    <t>Georgia</t>
  </si>
  <si>
    <t>Belarus</t>
  </si>
  <si>
    <t>Italia</t>
  </si>
  <si>
    <t>Italie</t>
  </si>
  <si>
    <t>Italien</t>
  </si>
  <si>
    <t>Países Bajos</t>
  </si>
  <si>
    <t>Paesi Bassi</t>
  </si>
  <si>
    <t>Pays-Bas</t>
  </si>
  <si>
    <t>Niederlande</t>
  </si>
  <si>
    <t>Groups</t>
  </si>
  <si>
    <t>Rép. tchèque</t>
  </si>
  <si>
    <t>Rep. Ceca</t>
  </si>
  <si>
    <t>Rep. Checa</t>
  </si>
  <si>
    <t>Pays de Galles</t>
  </si>
  <si>
    <t>Galles</t>
  </si>
  <si>
    <t>Gales</t>
  </si>
  <si>
    <t>Tschechien</t>
  </si>
  <si>
    <t>Ucraina</t>
  </si>
  <si>
    <t>Ucrania</t>
  </si>
  <si>
    <t>Noruega</t>
  </si>
  <si>
    <t>Norvegia</t>
  </si>
  <si>
    <t>Norvège</t>
  </si>
  <si>
    <t>Norwegen</t>
  </si>
  <si>
    <t>Hongrie</t>
  </si>
  <si>
    <t>Ungarn</t>
  </si>
  <si>
    <t>Ungheria</t>
  </si>
  <si>
    <t>Hungría</t>
  </si>
  <si>
    <t>Autriche</t>
  </si>
  <si>
    <t>Österreich</t>
  </si>
  <si>
    <t>Turquie</t>
  </si>
  <si>
    <t>Turchia</t>
  </si>
  <si>
    <t>Turquía</t>
  </si>
  <si>
    <t>Türkei</t>
  </si>
  <si>
    <t>Finlande</t>
  </si>
  <si>
    <t>Israele</t>
  </si>
  <si>
    <t>Finlandia</t>
  </si>
  <si>
    <t>Grèce</t>
  </si>
  <si>
    <t>Griechenland</t>
  </si>
  <si>
    <t>Grecia</t>
  </si>
  <si>
    <t>Roumanie</t>
  </si>
  <si>
    <t>Rumanía</t>
  </si>
  <si>
    <t>Rumänien</t>
  </si>
  <si>
    <t>Eslovaquia</t>
  </si>
  <si>
    <t>Slovacchia</t>
  </si>
  <si>
    <t>Slovaquie</t>
  </si>
  <si>
    <t>Slowakei</t>
  </si>
  <si>
    <t>Écosse</t>
  </si>
  <si>
    <t>Schottland</t>
  </si>
  <si>
    <t>Scozia</t>
  </si>
  <si>
    <t>Escocia</t>
  </si>
  <si>
    <t>Israël</t>
  </si>
  <si>
    <t>Bosnien/Herzeg.</t>
  </si>
  <si>
    <t>Bosnie-Herzég.</t>
  </si>
  <si>
    <t>Bosnia ed Erzeg.</t>
  </si>
  <si>
    <t>Bosnia y Herzeg.</t>
  </si>
  <si>
    <t>Bosnia a. Herzeg.</t>
  </si>
  <si>
    <t>Irlande</t>
  </si>
  <si>
    <t>Irland</t>
  </si>
  <si>
    <t>Irlanda</t>
  </si>
  <si>
    <t>Eslovenia</t>
  </si>
  <si>
    <t>Slovénie</t>
  </si>
  <si>
    <t>Slowenien</t>
  </si>
  <si>
    <t>Nordirland</t>
  </si>
  <si>
    <t>Irlande du Nord</t>
  </si>
  <si>
    <t>Irlanda del Nord</t>
  </si>
  <si>
    <t>Irlanda del Norte</t>
  </si>
  <si>
    <t>Albanie</t>
  </si>
  <si>
    <t>Albanien</t>
  </si>
  <si>
    <t>Nordmazedonien</t>
  </si>
  <si>
    <t>Macédoine Nord</t>
  </si>
  <si>
    <t>Nord Macedonia</t>
  </si>
  <si>
    <t>Macedonia Norte</t>
  </si>
  <si>
    <t>Arménie</t>
  </si>
  <si>
    <t>Armenien</t>
  </si>
  <si>
    <t>Bulgarie</t>
  </si>
  <si>
    <t>Bulgarien</t>
  </si>
  <si>
    <t>Monténégro</t>
  </si>
  <si>
    <t>Géorgie</t>
  </si>
  <si>
    <t>Georgien</t>
  </si>
  <si>
    <t>Bélarus</t>
  </si>
  <si>
    <t>Bielorussia</t>
  </si>
  <si>
    <t>Bielorrusia</t>
  </si>
  <si>
    <t>Weißrussland</t>
  </si>
  <si>
    <t>Results of direct encounters</t>
  </si>
  <si>
    <t>DC(2)</t>
  </si>
  <si>
    <t>Direct Comparison of 2</t>
  </si>
  <si>
    <t>Direct Comparison of 3</t>
  </si>
  <si>
    <t>Direct Comparison of 4</t>
  </si>
  <si>
    <t>DC(3)</t>
  </si>
  <si>
    <t>Penalty shootout</t>
  </si>
  <si>
    <t>DC(4.3)</t>
  </si>
  <si>
    <t>DC(4.3.2)</t>
  </si>
  <si>
    <t>DC(3.2)</t>
  </si>
  <si>
    <t>DC(4.2)</t>
  </si>
  <si>
    <t>direct Comp. 4.2</t>
  </si>
  <si>
    <t>Dir. Comp. (4.2)</t>
  </si>
  <si>
    <t>DC(2) ?</t>
  </si>
  <si>
    <t>DC(4.2) ?</t>
  </si>
  <si>
    <t>DC(3.2) ?</t>
  </si>
  <si>
    <t>DC(4.3.2) ?</t>
  </si>
  <si>
    <t>All Dir.C. (2)</t>
  </si>
  <si>
    <t>For showing direct comparisons of 2 on sheet "Direct comparisons"</t>
  </si>
  <si>
    <t>direct Comp. 4.3</t>
  </si>
  <si>
    <t>Dir. Comp. (4.3)</t>
  </si>
  <si>
    <t>Dir. Comp. (4.3.2)</t>
  </si>
  <si>
    <t>Goal difference zero</t>
  </si>
  <si>
    <t>Elfmeterschießen:</t>
  </si>
  <si>
    <t>Penalty shoot-out:</t>
  </si>
  <si>
    <t>Tiro de penalti:</t>
  </si>
  <si>
    <t>Tiro di rigore:</t>
  </si>
  <si>
    <t>Tirs au but :</t>
  </si>
  <si>
    <t>Gruppendritte</t>
  </si>
  <si>
    <t>TD</t>
  </si>
  <si>
    <t>5.</t>
  </si>
  <si>
    <t>6.</t>
  </si>
  <si>
    <t>:</t>
  </si>
  <si>
    <t>Gruppenkombination:</t>
  </si>
  <si>
    <t>Finnland</t>
  </si>
  <si>
    <t>Elfmeterschießen</t>
  </si>
  <si>
    <t>Penalty</t>
  </si>
  <si>
    <t>Luxembourg</t>
  </si>
  <si>
    <t>Cyprus</t>
  </si>
  <si>
    <t>Kazakhstan</t>
  </si>
  <si>
    <t>Azerbaijan</t>
  </si>
  <si>
    <t>Andorra</t>
  </si>
  <si>
    <t>Lithuania</t>
  </si>
  <si>
    <t>Estonia</t>
  </si>
  <si>
    <t>Faroe Islands</t>
  </si>
  <si>
    <t>Gibraltar</t>
  </si>
  <si>
    <t>Moldava</t>
  </si>
  <si>
    <t>Malta</t>
  </si>
  <si>
    <t>Latvia</t>
  </si>
  <si>
    <t>Liechtenstein</t>
  </si>
  <si>
    <t>San Marino</t>
  </si>
  <si>
    <t>Luxemburg</t>
  </si>
  <si>
    <t>Rank</t>
  </si>
  <si>
    <t>Luxemburgo</t>
  </si>
  <si>
    <t>Lussemburgo</t>
  </si>
  <si>
    <t>Chypre</t>
  </si>
  <si>
    <t>Zypern</t>
  </si>
  <si>
    <t>Cipro</t>
  </si>
  <si>
    <t>Chipre</t>
  </si>
  <si>
    <t>Kasachstan</t>
  </si>
  <si>
    <t>Kazakistan</t>
  </si>
  <si>
    <t>Kazajistán</t>
  </si>
  <si>
    <t>Azerbaiyán</t>
  </si>
  <si>
    <t>Azerbaïdjan</t>
  </si>
  <si>
    <t>Aserbaidschan</t>
  </si>
  <si>
    <t>Andorre</t>
  </si>
  <si>
    <t>Estonie</t>
  </si>
  <si>
    <t>Malte</t>
  </si>
  <si>
    <t>Lituania</t>
  </si>
  <si>
    <t>Lituanie</t>
  </si>
  <si>
    <t>Litauen</t>
  </si>
  <si>
    <t>Estland</t>
  </si>
  <si>
    <t>Islas Feroe</t>
  </si>
  <si>
    <t>Isole Faroe</t>
  </si>
  <si>
    <t>Îles Féroé</t>
  </si>
  <si>
    <t>Färöer Inseln</t>
  </si>
  <si>
    <t>Gibilterra</t>
  </si>
  <si>
    <t>Moldavie</t>
  </si>
  <si>
    <t>Moldavien</t>
  </si>
  <si>
    <t>Letonia</t>
  </si>
  <si>
    <t>Lettonia</t>
  </si>
  <si>
    <t>Lettonie</t>
  </si>
  <si>
    <t>Lettland</t>
  </si>
  <si>
    <t>Saint-Marin</t>
  </si>
  <si>
    <t>London</t>
  </si>
  <si>
    <t>Baku</t>
  </si>
  <si>
    <t>München</t>
  </si>
  <si>
    <t>Rom</t>
  </si>
  <si>
    <t>Glasgow</t>
  </si>
  <si>
    <t>Sankt Ptersburg</t>
  </si>
  <si>
    <t>Kopenhagen</t>
  </si>
  <si>
    <t>Sevilla</t>
  </si>
  <si>
    <t>Amsterdam</t>
  </si>
  <si>
    <t>Budapest</t>
  </si>
  <si>
    <t>Bukarest</t>
  </si>
  <si>
    <t>Grimbergen</t>
  </si>
  <si>
    <t>Bilbao</t>
  </si>
  <si>
    <t>Dublin</t>
  </si>
  <si>
    <t>Londra</t>
  </si>
  <si>
    <t>Londres</t>
  </si>
  <si>
    <t>Bakú</t>
  </si>
  <si>
    <t>Bakou</t>
  </si>
  <si>
    <t>Monaco</t>
  </si>
  <si>
    <t>Múnich</t>
  </si>
  <si>
    <t>Munich</t>
  </si>
  <si>
    <t>Rome</t>
  </si>
  <si>
    <t>Roma</t>
  </si>
  <si>
    <t>Saint Petersburg</t>
  </si>
  <si>
    <t>San Petersburgo</t>
  </si>
  <si>
    <t>San Pietroburgo</t>
  </si>
  <si>
    <t>Saint-Pétersbourg</t>
  </si>
  <si>
    <t>Copenhague</t>
  </si>
  <si>
    <t>Copenaghen</t>
  </si>
  <si>
    <t>Copenhagen</t>
  </si>
  <si>
    <t>Seville</t>
  </si>
  <si>
    <t>Siviglia</t>
  </si>
  <si>
    <t>Séville</t>
  </si>
  <si>
    <t>Bucarest</t>
  </si>
  <si>
    <t>Bucharest</t>
  </si>
  <si>
    <t>Dublín</t>
  </si>
  <si>
    <t>Dublino</t>
  </si>
  <si>
    <t>Ranking</t>
  </si>
  <si>
    <t>Gruppen mit Fair-Play-Wertung:</t>
  </si>
  <si>
    <t>Groupes avec valorisation fair-play :</t>
  </si>
  <si>
    <t>Gruppi con valutazione fair play:</t>
  </si>
  <si>
    <t>Grupos con valoración de fair play:</t>
  </si>
  <si>
    <t>Groups with fair play valuation:</t>
  </si>
  <si>
    <t>Entscheidet bei zwei Mannschaften die Fair-Play-Wertung über die bessere Platzierung in der Gruppe, so wird hier für die bessere Mannschaft eine "1" eingetragen.</t>
  </si>
  <si>
    <t>Si le classement fair-play décide de la meilleure position dans le groupe pour deux équipes, un "1" est inscrit ici pour la meilleure équipe.</t>
  </si>
  <si>
    <t>Se la classifica fair-play decide la migliore posizione nel gruppo per due squadre, un "1" viene inserito qui per la squadra migliore.</t>
  </si>
  <si>
    <t>Si la clasificación de juego limpio decide la mejor posición en el grupo para dos equipos, se introduce aquí un "1" para el mejor equipo.</t>
  </si>
  <si>
    <t>If the fair-play ranking decides the better position in the group for two teams, a "1" is entered here for the better team.</t>
  </si>
  <si>
    <t>Fair-Play</t>
  </si>
  <si>
    <t>Fair-play</t>
  </si>
  <si>
    <t>Grp</t>
  </si>
  <si>
    <t>Nicht qualifiziert:</t>
  </si>
  <si>
    <t>Tercero del grupo</t>
  </si>
  <si>
    <t>Third in the group</t>
  </si>
  <si>
    <t>Terzo nel gruppo</t>
  </si>
  <si>
    <t>Troisième du groupe</t>
  </si>
  <si>
    <t>Number of all games:</t>
  </si>
  <si>
    <t>Group combination:</t>
  </si>
  <si>
    <t>Combinación de grupos:</t>
  </si>
  <si>
    <t>Combinazione di gruppi:</t>
  </si>
  <si>
    <t>Combinaison de groupes :</t>
  </si>
  <si>
    <t>Non qualifié :</t>
  </si>
  <si>
    <t>Non qualificato:</t>
  </si>
  <si>
    <t>No está cualificado:</t>
  </si>
  <si>
    <t>Not qualified:</t>
  </si>
  <si>
    <t>3A/B/C</t>
  </si>
  <si>
    <t>3A/D/E/F</t>
  </si>
  <si>
    <t>3D/E/F</t>
  </si>
  <si>
    <t>3A/B/C/D</t>
  </si>
  <si>
    <t>A B C D</t>
  </si>
  <si>
    <t>A B C E</t>
  </si>
  <si>
    <t>A B C F</t>
  </si>
  <si>
    <t>A B D E</t>
  </si>
  <si>
    <t>A B D F</t>
  </si>
  <si>
    <t>A B E F</t>
  </si>
  <si>
    <t>A C D E</t>
  </si>
  <si>
    <t>A C D F</t>
  </si>
  <si>
    <t>A C E F</t>
  </si>
  <si>
    <t>A D E F</t>
  </si>
  <si>
    <t>B C D E</t>
  </si>
  <si>
    <t>B C D F</t>
  </si>
  <si>
    <t>B C E F</t>
  </si>
  <si>
    <t>B D E F</t>
  </si>
  <si>
    <t>C D E F</t>
  </si>
  <si>
    <t>W42</t>
  </si>
  <si>
    <t>W41</t>
  </si>
  <si>
    <t>W40</t>
  </si>
  <si>
    <t>W38</t>
  </si>
  <si>
    <t>W44</t>
  </si>
  <si>
    <t>W43</t>
  </si>
  <si>
    <t>W39</t>
  </si>
  <si>
    <t>W37</t>
  </si>
  <si>
    <t>W46</t>
  </si>
  <si>
    <t>W45</t>
  </si>
  <si>
    <t>W48</t>
  </si>
  <si>
    <t>W47</t>
  </si>
  <si>
    <t>European Championship 2020/2021</t>
  </si>
  <si>
    <t>Campeonato de Europa 2020/2021</t>
  </si>
  <si>
    <t>Campionato Europeo 2020/2021</t>
  </si>
  <si>
    <t>Championnat européen 2020/2021</t>
  </si>
  <si>
    <t>Europameister 2021:</t>
  </si>
  <si>
    <t>Champion d'Europe 2021 :</t>
  </si>
  <si>
    <t>Campione Europeo 2021:</t>
  </si>
  <si>
    <t>Campeón de Europa 2021:</t>
  </si>
  <si>
    <t>European Champion 2021:</t>
  </si>
  <si>
    <t>Attribution de la troisième place du groupe en huitième de finale</t>
  </si>
  <si>
    <t>Asignación del grupo tercero en los octavos de final</t>
  </si>
  <si>
    <t>Assegnazione del terzo gruppo agli ottavi di finale</t>
  </si>
  <si>
    <t>Assignment of the group third in the round of 16</t>
  </si>
  <si>
    <t>Zuordnung der Gruppendritten im Achtelfinale</t>
  </si>
  <si>
    <t>gegen Dritten der Gruppe</t>
  </si>
  <si>
    <t>against third of Group</t>
  </si>
  <si>
    <t>contra la tercera parte del Grupo</t>
  </si>
  <si>
    <t>contro il terzo del gruppo</t>
  </si>
  <si>
    <t>contre le troisième du groupe</t>
  </si>
  <si>
    <t>Premier du groupe</t>
  </si>
  <si>
    <t>Erster der Gruppe</t>
  </si>
  <si>
    <t>Primo nel gruppo</t>
  </si>
  <si>
    <t>Primero del Grupo</t>
  </si>
  <si>
    <t>First in Group</t>
  </si>
  <si>
    <t>Gruppen-kombination:</t>
  </si>
  <si>
    <t>Pts</t>
  </si>
  <si>
    <t>GF</t>
  </si>
  <si>
    <t>GA</t>
  </si>
  <si>
    <t>Coeffizient</t>
  </si>
  <si>
    <t>Pt</t>
  </si>
  <si>
    <t>Pkt</t>
  </si>
  <si>
    <t>Diff</t>
  </si>
  <si>
    <t>Dif</t>
  </si>
  <si>
    <r>
      <t xml:space="preserve">  </t>
    </r>
    <r>
      <rPr>
        <b/>
        <sz val="11"/>
        <color theme="1"/>
        <rFont val="Calibri"/>
        <family val="2"/>
        <scheme val="minor"/>
      </rPr>
      <t xml:space="preserve">Pts </t>
    </r>
    <r>
      <rPr>
        <sz val="11"/>
        <color theme="1"/>
        <rFont val="Calibri"/>
        <family val="2"/>
        <scheme val="minor"/>
      </rPr>
      <t xml:space="preserve">     Goals</t>
    </r>
  </si>
  <si>
    <r>
      <t xml:space="preserve">   </t>
    </r>
    <r>
      <rPr>
        <b/>
        <sz val="11"/>
        <color theme="1"/>
        <rFont val="Calibri"/>
        <family val="2"/>
        <scheme val="minor"/>
      </rPr>
      <t xml:space="preserve">Pt </t>
    </r>
    <r>
      <rPr>
        <sz val="11"/>
        <color theme="1"/>
        <rFont val="Calibri"/>
        <family val="2"/>
        <scheme val="minor"/>
      </rPr>
      <t xml:space="preserve">     Goles</t>
    </r>
  </si>
  <si>
    <r>
      <t xml:space="preserve">  </t>
    </r>
    <r>
      <rPr>
        <b/>
        <sz val="11"/>
        <color theme="1"/>
        <rFont val="Calibri"/>
        <family val="2"/>
        <scheme val="minor"/>
      </rPr>
      <t xml:space="preserve">Pt </t>
    </r>
    <r>
      <rPr>
        <sz val="11"/>
        <color theme="1"/>
        <rFont val="Calibri"/>
        <family val="2"/>
        <scheme val="minor"/>
      </rPr>
      <t xml:space="preserve">        Gol</t>
    </r>
  </si>
  <si>
    <r>
      <t xml:space="preserve">   </t>
    </r>
    <r>
      <rPr>
        <b/>
        <sz val="11"/>
        <color theme="1"/>
        <rFont val="Calibri"/>
        <family val="2"/>
        <scheme val="minor"/>
      </rPr>
      <t xml:space="preserve">Pt </t>
    </r>
    <r>
      <rPr>
        <sz val="11"/>
        <color theme="1"/>
        <rFont val="Calibri"/>
        <family val="2"/>
        <scheme val="minor"/>
      </rPr>
      <t xml:space="preserve">      Buts</t>
    </r>
  </si>
  <si>
    <r>
      <t xml:space="preserve">  </t>
    </r>
    <r>
      <rPr>
        <b/>
        <sz val="11"/>
        <color theme="1"/>
        <rFont val="Calibri"/>
        <family val="2"/>
        <scheme val="minor"/>
      </rPr>
      <t xml:space="preserve">Pkt </t>
    </r>
    <r>
      <rPr>
        <sz val="11"/>
        <color theme="1"/>
        <rFont val="Calibri"/>
        <family val="2"/>
        <scheme val="minor"/>
      </rPr>
      <t xml:space="preserve">     Tore</t>
    </r>
  </si>
  <si>
    <t>Gesamt</t>
  </si>
  <si>
    <t>Row</t>
  </si>
  <si>
    <t xml:space="preserve"> n.V.</t>
  </si>
  <si>
    <t>EET/CEST</t>
  </si>
  <si>
    <t>Factors</t>
  </si>
  <si>
    <t>Time zone of the
UEFA kick-off times:</t>
  </si>
  <si>
    <t>Elfmeterschießens ein. Rechts neben dem Spielergebnis kann der Vermerk "n.V." eingetragen werden.</t>
  </si>
  <si>
    <t>penalty shoot-out. The remark "a.e.t." can be entered to the right of the match result.</t>
  </si>
  <si>
    <t>Wenn der Rang zweier Teams in der Gruppentabelle nicht klar ist und es entscheidet Fair-Play oder Rangliste,</t>
  </si>
  <si>
    <t>If the rank of two teams is not clear in the group table and fair play or UEFA ranking decides,</t>
  </si>
  <si>
    <t>Right-click on one of the tabs below and select "Show..." from the context menu.</t>
  </si>
  <si>
    <t>Qualifikation zum Achtelfinale</t>
  </si>
  <si>
    <t>Qualification for the Round of 16</t>
  </si>
  <si>
    <t>Clasificación para los octavos de final</t>
  </si>
  <si>
    <t>Qualificazione per gli ottavi di finale</t>
  </si>
  <si>
    <t>Kriterien für die Platzierung innerhalb der Gruppen:</t>
  </si>
  <si>
    <t>Critères de placement dans les groupes :</t>
  </si>
  <si>
    <t>Criteri per il posizionamento all'interno dei gruppi:</t>
  </si>
  <si>
    <t>Criterios de colocación en los grupos:</t>
  </si>
  <si>
    <t>Criteria for placement within the groups:</t>
  </si>
  <si>
    <t xml:space="preserve">  1.  Punkte aus allen Gruppenspielen</t>
  </si>
  <si>
    <t xml:space="preserve">  2.  Punkte der direkten Begegnungen</t>
  </si>
  <si>
    <t xml:space="preserve">  3.  Tordifferenz aus den Direkt-Begegnungen</t>
  </si>
  <si>
    <t xml:space="preserve">  4.  Anzahl der in den Direkt-Begegnungen erzielten Tore</t>
  </si>
  <si>
    <t xml:space="preserve">  6.  Tordifferenz aus allen Gruppenspielen</t>
  </si>
  <si>
    <t xml:space="preserve">  7.  Anzahl der erzielten Tore aus allen Gruppenspielen</t>
  </si>
  <si>
    <t xml:space="preserve">  8.  Anzahl der Siege aus allen Gruppenspielen</t>
  </si>
  <si>
    <t xml:space="preserve">  1.  points de tous les matches de groupe</t>
  </si>
  <si>
    <t xml:space="preserve">  2.  les points des rencontres directes</t>
  </si>
  <si>
    <t xml:space="preserve">  4.  nombre de buts marqués dans les rencontres directes</t>
  </si>
  <si>
    <t xml:space="preserve">  6.  différence de buts de tous les matches de groupe</t>
  </si>
  <si>
    <t xml:space="preserve">  7.  nombre de buts marqués lors de tous les matches de groupe</t>
  </si>
  <si>
    <t xml:space="preserve">  8.  nombre de victoires sur l'ensemble des matches de groupe</t>
  </si>
  <si>
    <t xml:space="preserve">  1.  punti da tutte le partite del gruppo</t>
  </si>
  <si>
    <t xml:space="preserve">  2.  punti degli incontri diretti</t>
  </si>
  <si>
    <t xml:space="preserve">  4.  numero di gol segnati negli scontri diretti</t>
  </si>
  <si>
    <t xml:space="preserve">  6.  differenza di gol di tutte le partite del gruppo</t>
  </si>
  <si>
    <t xml:space="preserve">  7.  numero di gol segnati in tutte le partite del gruppo</t>
  </si>
  <si>
    <t xml:space="preserve">  9.  classifica fair-play o rigori nell'ultima partita del gruppo</t>
  </si>
  <si>
    <t xml:space="preserve">  1.  puntos de todos los partidos del grupo</t>
  </si>
  <si>
    <t xml:space="preserve">  2.  puntos de los encuentros directos</t>
  </si>
  <si>
    <t xml:space="preserve">  4.  número de goles marcados en los encuentros directos</t>
  </si>
  <si>
    <t xml:space="preserve">  6.  diferencia de goles en todos los partidos del grupo</t>
  </si>
  <si>
    <t xml:space="preserve">  7.  número de goles marcados en todos los partidos del grupo</t>
  </si>
  <si>
    <t xml:space="preserve">  8.  número de victorias de todos los partidos del grupo</t>
  </si>
  <si>
    <t xml:space="preserve">  4.  number of goals scored in the direct encounters</t>
  </si>
  <si>
    <t xml:space="preserve">  5.  Nochmalige Anwendung der Krit. 2 - 4 nur auf die Mannschaften,</t>
  </si>
  <si>
    <t xml:space="preserve">       die beim 1. Durchlauf nicht unterscheidbar waren</t>
  </si>
  <si>
    <t xml:space="preserve">  5.  Réapplication des critères 2 - 4 uniquement aux équipes qui</t>
  </si>
  <si>
    <t xml:space="preserve">       n'ont pas pu être distinguées lors du 1er passage.</t>
  </si>
  <si>
    <t xml:space="preserve">  5.  riapplicazione del criterio 2 - 4 solo alle squadre che non erano</t>
  </si>
  <si>
    <t xml:space="preserve">       distinguibili nella 1a manche.</t>
  </si>
  <si>
    <t xml:space="preserve">  5.  volver a aplicar el criterio 2 - 4 sólo a los equipos que no se</t>
  </si>
  <si>
    <t xml:space="preserve">       distinguieron en la 1ª vuelta.</t>
  </si>
  <si>
    <t xml:space="preserve">       distinguishable in the 1st run.</t>
  </si>
  <si>
    <t xml:space="preserve">  9.  clasificación de juego limpio o tanda de penaltis en el último</t>
  </si>
  <si>
    <t xml:space="preserve">       if the conditions for this apply</t>
  </si>
  <si>
    <t xml:space="preserve">  9.  classement fair-play ou séance de tirs au but lors du dernier</t>
  </si>
  <si>
    <t xml:space="preserve">       wenn die Bedingungen dafür zutreffen</t>
  </si>
  <si>
    <t xml:space="preserve">  9.  Fair-Play-Wertung bzw. Elfmeterschießen im letzten Gruppenspiel,</t>
  </si>
  <si>
    <t xml:space="preserve">  8.  numero di vittorie di tutte le partite del gruppo,</t>
  </si>
  <si>
    <t xml:space="preserve">       se ci sono le condizioni per questo</t>
  </si>
  <si>
    <t xml:space="preserve">  9.  fair-play ranking or penalty shoot-out in the last group match,</t>
  </si>
  <si>
    <t xml:space="preserve">       match de groupe, si les conditions pour cela sont réunies</t>
  </si>
  <si>
    <t xml:space="preserve">       partido de la fase de grupos, si se dan las condiciones para ello</t>
  </si>
  <si>
    <t>Qualification pour les 16èmes de finale</t>
  </si>
  <si>
    <t>Wins</t>
  </si>
  <si>
    <t>Forced</t>
  </si>
  <si>
    <t>Accepted</t>
  </si>
  <si>
    <t>Rank Col. V</t>
  </si>
  <si>
    <t>Referenced columns</t>
  </si>
  <si>
    <t>Siege</t>
  </si>
  <si>
    <t>gagné</t>
  </si>
  <si>
    <t>vinto</t>
  </si>
  <si>
    <t>ganó</t>
  </si>
  <si>
    <t>wins</t>
  </si>
  <si>
    <t xml:space="preserve">  5.  reapplication of criterion 2 to 4 only to the teams that were not</t>
  </si>
  <si>
    <t xml:space="preserve">  6.  goal difference in all group matches</t>
  </si>
  <si>
    <t xml:space="preserve">  7.  number of goals scored in all group matches</t>
  </si>
  <si>
    <t xml:space="preserve">  8.  number of wins in all group matches</t>
  </si>
  <si>
    <t>10.  Position in the overall European Qualifiers Rankings</t>
  </si>
  <si>
    <t>10.  Position in der Schlussrangliste der European Qualifiers</t>
  </si>
  <si>
    <t xml:space="preserve">  1.  points in all group matches</t>
  </si>
  <si>
    <t xml:space="preserve">  3.  goal difference in the direct encounters</t>
  </si>
  <si>
    <t xml:space="preserve">  2.  points in the direct encounters</t>
  </si>
  <si>
    <t xml:space="preserve">  3.  différence de buts dans les rencontres directes</t>
  </si>
  <si>
    <t xml:space="preserve">  3.  differenza di gol negli scontri diretti</t>
  </si>
  <si>
    <t xml:space="preserve">  3.  diferencia de goles en los encuentros directos</t>
  </si>
  <si>
    <t>Übersetzung in die eigene Landessprache</t>
  </si>
  <si>
    <t>Translation into your own language</t>
  </si>
  <si>
    <t>eigene Sprache einzutragen.</t>
  </si>
  <si>
    <r>
      <t>Klicke auf das Tabellenblatt "</t>
    </r>
    <r>
      <rPr>
        <b/>
        <sz val="11"/>
        <color theme="1"/>
        <rFont val="Calibri"/>
        <family val="2"/>
        <scheme val="minor"/>
      </rPr>
      <t>Language</t>
    </r>
    <r>
      <rPr>
        <sz val="11"/>
        <color theme="1"/>
        <rFont val="Calibri"/>
        <family val="2"/>
        <scheme val="minor"/>
      </rPr>
      <t>" und wähle eine Sprache aus.</t>
    </r>
  </si>
  <si>
    <r>
      <t>Klicke auf das Tabellenblatt "</t>
    </r>
    <r>
      <rPr>
        <b/>
        <sz val="11"/>
        <color theme="1"/>
        <rFont val="Calibri"/>
        <family val="2"/>
        <scheme val="minor"/>
      </rPr>
      <t>TimeZone</t>
    </r>
    <r>
      <rPr>
        <sz val="11"/>
        <color theme="1"/>
        <rFont val="Calibri"/>
        <family val="2"/>
        <scheme val="minor"/>
      </rPr>
      <t>" und wähle deine Zeitzone aus.</t>
    </r>
  </si>
  <si>
    <r>
      <t>klicke auf das Tabellenblatt "</t>
    </r>
    <r>
      <rPr>
        <b/>
        <sz val="11"/>
        <color theme="1"/>
        <rFont val="Calibri"/>
        <family val="2"/>
        <scheme val="minor"/>
      </rPr>
      <t>FairPlay</t>
    </r>
    <r>
      <rPr>
        <sz val="11"/>
        <color theme="1"/>
        <rFont val="Calibri"/>
        <family val="2"/>
        <scheme val="minor"/>
      </rPr>
      <t>" und trage eine "1" für das bessere Team ein.</t>
    </r>
  </si>
  <si>
    <r>
      <t xml:space="preserve">Trage im Fall eines </t>
    </r>
    <r>
      <rPr>
        <b/>
        <sz val="11"/>
        <color theme="1"/>
        <rFont val="Calibri"/>
        <family val="2"/>
        <scheme val="minor"/>
      </rPr>
      <t>Elfmeterschießens</t>
    </r>
    <r>
      <rPr>
        <sz val="11"/>
        <color theme="1"/>
        <rFont val="Calibri"/>
        <family val="2"/>
        <scheme val="minor"/>
      </rPr>
      <t xml:space="preserve"> das Ergebnis nach 120 Minuten und das Ergebnis des</t>
    </r>
  </si>
  <si>
    <r>
      <t>Es ist möglich, auf dem Tabellenblatt "Language" in der Spalte "</t>
    </r>
    <r>
      <rPr>
        <b/>
        <sz val="11"/>
        <color theme="1"/>
        <rFont val="Calibri"/>
        <family val="2"/>
        <scheme val="minor"/>
      </rPr>
      <t>my language</t>
    </r>
    <r>
      <rPr>
        <sz val="11"/>
        <color theme="1"/>
        <rFont val="Calibri"/>
        <family val="2"/>
        <scheme val="minor"/>
      </rPr>
      <t>" die Übersetzungen in die</t>
    </r>
  </si>
  <si>
    <r>
      <t>Click on the sheet "</t>
    </r>
    <r>
      <rPr>
        <b/>
        <sz val="11"/>
        <color theme="1"/>
        <rFont val="Calibri"/>
        <family val="2"/>
        <scheme val="minor"/>
      </rPr>
      <t>Language</t>
    </r>
    <r>
      <rPr>
        <sz val="11"/>
        <color theme="1"/>
        <rFont val="Calibri"/>
        <family val="2"/>
        <scheme val="minor"/>
      </rPr>
      <t>" and select a language.</t>
    </r>
  </si>
  <si>
    <r>
      <t>Click on the sheet "</t>
    </r>
    <r>
      <rPr>
        <b/>
        <sz val="11"/>
        <color theme="1"/>
        <rFont val="Calibri"/>
        <family val="2"/>
        <scheme val="minor"/>
      </rPr>
      <t>TimeZone</t>
    </r>
    <r>
      <rPr>
        <sz val="11"/>
        <color theme="1"/>
        <rFont val="Calibri"/>
        <family val="2"/>
        <scheme val="minor"/>
      </rPr>
      <t>" and select your time zone.</t>
    </r>
  </si>
  <si>
    <r>
      <t xml:space="preserve">In case of a </t>
    </r>
    <r>
      <rPr>
        <b/>
        <sz val="11"/>
        <color theme="1"/>
        <rFont val="Calibri"/>
        <family val="2"/>
        <scheme val="minor"/>
      </rPr>
      <t>penalty shoot-out</t>
    </r>
    <r>
      <rPr>
        <sz val="11"/>
        <color theme="1"/>
        <rFont val="Calibri"/>
        <family val="2"/>
        <scheme val="minor"/>
      </rPr>
      <t>, enter the result after 120 minutes and the result of the</t>
    </r>
  </si>
  <si>
    <r>
      <t>It is possible to enter the translations into one's own language in the column "</t>
    </r>
    <r>
      <rPr>
        <b/>
        <sz val="11"/>
        <color theme="1"/>
        <rFont val="Calibri"/>
        <family val="2"/>
        <scheme val="minor"/>
      </rPr>
      <t>my language</t>
    </r>
    <r>
      <rPr>
        <sz val="11"/>
        <color theme="1"/>
        <rFont val="Calibri"/>
        <family val="2"/>
        <scheme val="minor"/>
      </rPr>
      <t>"</t>
    </r>
  </si>
  <si>
    <r>
      <t>on the spreadsheet "</t>
    </r>
    <r>
      <rPr>
        <b/>
        <sz val="11"/>
        <color theme="1"/>
        <rFont val="Calibri"/>
        <family val="2"/>
        <scheme val="minor"/>
      </rPr>
      <t>Language</t>
    </r>
    <r>
      <rPr>
        <sz val="11"/>
        <color theme="1"/>
        <rFont val="Calibri"/>
        <family val="2"/>
        <scheme val="minor"/>
      </rPr>
      <t>".</t>
    </r>
  </si>
  <si>
    <t>Pen</t>
  </si>
  <si>
    <t>Elfm</t>
  </si>
  <si>
    <t>C.d.r.</t>
  </si>
  <si>
    <t>T.a.b.</t>
  </si>
  <si>
    <t>Penalty (?)</t>
  </si>
  <si>
    <t>10.  Posición en la clasificación final de la clasificación europea</t>
  </si>
  <si>
    <t>10.  Posizione nella classifica finale delle qualificazioni europee</t>
  </si>
  <si>
    <t>10.  Position dans le classement final des qualifications européennes</t>
  </si>
  <si>
    <t>If a red dot appears above the group name, the ranking order within the group is not clear. Fair play or the overall European Qualifiers Rankings will then decide. In this case, enter Fair Play!</t>
  </si>
  <si>
    <t>Si aparece un punto rojo sobre el nombre del grupo, el orden de clasificación dentro del grupo no está claro. El juego limpio o la clasificación final de la clasificación europea decidirán entonces. En este caso, ¡entra el Juego Limpio!</t>
  </si>
  <si>
    <t>Se un punto rosso appare sopra il nome del gruppo, l'ordine di classifica all'interno del gruppo non è chiaro. Sarà poi la classifica del fair play o la classifica finale delle qualificazioni europee a decidere. In questo caso, inserite Fair Play!</t>
  </si>
  <si>
    <t>Si un point rouge apparaît au-dessus du nom du groupe, l'ordre de classement au sein du groupe n'est pas clair. Le classement du fair-play ou le classement final des qualifications européennes décidera alors. Dans ce cas, entrez Fair Play !</t>
  </si>
  <si>
    <t>Wenn über dem Gruppennamen ein roter Punkt erscheint, ist die Rangreihenfolge innerhalb der Gruppe nicht geklärt. Die Fair-Play-Wertung oder die Schlussrangliste der European Qualifiers entscheiden dann. In diesem Fall Fair-Play eintragen!</t>
  </si>
  <si>
    <t>Der rote Punkt   •</t>
  </si>
  <si>
    <t>Le point rouge   •</t>
  </si>
  <si>
    <t>Il punto rosso   •</t>
  </si>
  <si>
    <t>El punto rojo   •</t>
  </si>
  <si>
    <t>EURO 2020/2021</t>
  </si>
  <si>
    <t>EURO</t>
  </si>
  <si>
    <t>Grupos</t>
  </si>
  <si>
    <t>Gruppi</t>
  </si>
  <si>
    <t>Groupes</t>
  </si>
  <si>
    <t>Gruppen</t>
  </si>
  <si>
    <t>https://hermann-baum.de/excel/UEFA_EURO/de/</t>
  </si>
  <si>
    <t>Fair Play</t>
  </si>
  <si>
    <r>
      <t>click on the sheet "</t>
    </r>
    <r>
      <rPr>
        <b/>
        <sz val="11"/>
        <color theme="1"/>
        <rFont val="Calibri"/>
        <family val="2"/>
        <scheme val="minor"/>
      </rPr>
      <t>FairPlay</t>
    </r>
    <r>
      <rPr>
        <sz val="11"/>
        <color theme="1"/>
        <rFont val="Calibri"/>
        <family val="2"/>
        <scheme val="minor"/>
      </rPr>
      <t>" and enter a "1" for the better team.</t>
    </r>
  </si>
  <si>
    <t>Category</t>
  </si>
  <si>
    <t>Hermann Baum,  2020 / 2021</t>
  </si>
  <si>
    <t>hb/vers. 2.1</t>
  </si>
  <si>
    <t>Red dot:</t>
  </si>
  <si>
    <t>Red dot</t>
  </si>
  <si>
    <t>The red dot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</si>
</sst>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407]ddd/\,\ d/mm/yy"/>
    <numFmt numFmtId="165" formatCode="ddd\,\ dd/mm/yyyy\ \ \ \ \ \ hh:mm"/>
    <numFmt numFmtId="166" formatCode="ddd\,\ dd/mm/yyyy\ \ \ \ \ \ \ \ \ hh:mm"/>
    <numFmt numFmtId="167" formatCode=";;;"/>
    <numFmt numFmtId="168" formatCode="#,##0.000000"/>
    <numFmt numFmtId="169" formatCode="#,##0.00000000"/>
  </numFmts>
  <fonts count="89" x14ac:knownFonts="1">
    <font>
      <sz val="11"/>
      <color theme="1"/>
      <name val="Calibri"/>
      <family val="2"/>
      <scheme val="minor"/>
    </font>
    <font>
      <sz val="14"/>
      <color theme="1"/>
      <name val="Calibri"/>
      <family val="2"/>
      <scheme val="minor"/>
    </font>
    <font>
      <sz val="14"/>
      <color theme="1"/>
      <name val="Calibri"/>
      <family val="2"/>
      <scheme val="minor"/>
    </font>
    <font>
      <b/>
      <sz val="11"/>
      <color theme="1"/>
      <name val="Calibri"/>
      <family val="2"/>
      <scheme val="minor"/>
    </font>
    <font>
      <b/>
      <sz val="44"/>
      <color rgb="FFC00000"/>
      <name val="AR CENA"/>
    </font>
    <font>
      <b/>
      <sz val="14"/>
      <color theme="1"/>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9"/>
      <color theme="1"/>
      <name val="Calibri"/>
      <family val="2"/>
      <scheme val="minor"/>
    </font>
    <font>
      <sz val="8"/>
      <color theme="1" tint="0.34998626667073579"/>
      <name val="Calibri"/>
      <family val="2"/>
      <scheme val="minor"/>
    </font>
    <font>
      <sz val="8"/>
      <color theme="1"/>
      <name val="Calibri"/>
      <family val="2"/>
      <scheme val="minor"/>
    </font>
    <font>
      <sz val="10"/>
      <name val="Calibri"/>
      <family val="2"/>
    </font>
    <font>
      <b/>
      <sz val="10"/>
      <name val="Calibri"/>
      <family val="2"/>
    </font>
    <font>
      <sz val="10"/>
      <color theme="2" tint="-0.749992370372631"/>
      <name val="Calibri"/>
      <family val="2"/>
      <scheme val="minor"/>
    </font>
    <font>
      <b/>
      <sz val="11"/>
      <color theme="1"/>
      <name val="Calibri"/>
      <family val="2"/>
    </font>
    <font>
      <sz val="10"/>
      <color rgb="FFC00000"/>
      <name val="Calibri"/>
      <family val="2"/>
      <scheme val="minor"/>
    </font>
    <font>
      <sz val="6"/>
      <color theme="9" tint="0.39997558519241921"/>
      <name val="Wingdings 2"/>
      <family val="1"/>
      <charset val="2"/>
    </font>
    <font>
      <sz val="6"/>
      <color rgb="FFC00000"/>
      <name val="Wingdings 2"/>
      <family val="1"/>
      <charset val="2"/>
    </font>
    <font>
      <sz val="11"/>
      <color rgb="FFC00000"/>
      <name val="Calibri"/>
      <family val="2"/>
      <scheme val="minor"/>
    </font>
    <font>
      <sz val="10"/>
      <color rgb="FF5786B1"/>
      <name val="Calibri"/>
      <family val="2"/>
      <scheme val="minor"/>
    </font>
    <font>
      <b/>
      <sz val="9"/>
      <color theme="1"/>
      <name val="Calibri"/>
      <family val="2"/>
      <scheme val="minor"/>
    </font>
    <font>
      <sz val="10"/>
      <color theme="1" tint="0.34998626667073579"/>
      <name val="Calibri"/>
      <family val="2"/>
      <scheme val="minor"/>
    </font>
    <font>
      <sz val="11"/>
      <color theme="7" tint="-0.249977111117893"/>
      <name val="Calibri"/>
      <family val="2"/>
      <scheme val="minor"/>
    </font>
    <font>
      <sz val="10"/>
      <color theme="5" tint="-0.249977111117893"/>
      <name val="Calibri"/>
      <family val="2"/>
      <scheme val="minor"/>
    </font>
    <font>
      <b/>
      <sz val="18"/>
      <color theme="8"/>
      <name val="Calibri"/>
      <family val="2"/>
      <scheme val="minor"/>
    </font>
    <font>
      <b/>
      <sz val="12"/>
      <color theme="7"/>
      <name val="Calibri"/>
      <family val="2"/>
      <scheme val="minor"/>
    </font>
    <font>
      <b/>
      <sz val="8"/>
      <color theme="7"/>
      <name val="Calibri"/>
      <family val="2"/>
      <scheme val="minor"/>
    </font>
    <font>
      <sz val="9"/>
      <color theme="5" tint="-0.249977111117893"/>
      <name val="Calibri"/>
      <family val="2"/>
      <scheme val="minor"/>
    </font>
    <font>
      <sz val="10"/>
      <color theme="9" tint="-0.249977111117893"/>
      <name val="Calibri"/>
      <family val="2"/>
      <scheme val="minor"/>
    </font>
    <font>
      <b/>
      <sz val="8"/>
      <color rgb="FFC00000"/>
      <name val="Calibri"/>
      <family val="2"/>
      <scheme val="minor"/>
    </font>
    <font>
      <b/>
      <sz val="12"/>
      <color rgb="FFC00000"/>
      <name val="Calibri"/>
      <family val="2"/>
      <scheme val="minor"/>
    </font>
    <font>
      <b/>
      <sz val="12"/>
      <color theme="1"/>
      <name val="Calibri"/>
      <family val="2"/>
      <scheme val="minor"/>
    </font>
    <font>
      <u/>
      <sz val="11"/>
      <color theme="10"/>
      <name val="Calibri"/>
      <family val="2"/>
      <scheme val="minor"/>
    </font>
    <font>
      <b/>
      <sz val="22"/>
      <color theme="1"/>
      <name val="Calibri"/>
      <family val="2"/>
      <scheme val="minor"/>
    </font>
    <font>
      <sz val="22"/>
      <color theme="1"/>
      <name val="Calibri"/>
      <family val="2"/>
      <scheme val="minor"/>
    </font>
    <font>
      <b/>
      <sz val="9"/>
      <name val="Calibri"/>
      <family val="2"/>
      <scheme val="minor"/>
    </font>
    <font>
      <b/>
      <sz val="9"/>
      <name val="Calibri"/>
      <family val="2"/>
    </font>
    <font>
      <b/>
      <sz val="14"/>
      <color theme="0"/>
      <name val="Calibri"/>
      <family val="2"/>
      <scheme val="minor"/>
    </font>
    <font>
      <b/>
      <sz val="11"/>
      <color theme="0"/>
      <name val="Calibri"/>
      <family val="2"/>
      <scheme val="minor"/>
    </font>
    <font>
      <sz val="11"/>
      <color theme="0" tint="-0.249977111117893"/>
      <name val="Calibri"/>
      <family val="2"/>
      <scheme val="minor"/>
    </font>
    <font>
      <sz val="11"/>
      <color rgb="FFFF0000"/>
      <name val="Calibri"/>
      <family val="2"/>
      <scheme val="minor"/>
    </font>
    <font>
      <sz val="10"/>
      <color rgb="FF27776C"/>
      <name val="Calibri"/>
      <family val="2"/>
    </font>
    <font>
      <b/>
      <sz val="11"/>
      <color rgb="FF329A8B"/>
      <name val="Calibri"/>
      <family val="2"/>
      <scheme val="minor"/>
    </font>
    <font>
      <sz val="11"/>
      <color theme="2" tint="-0.499984740745262"/>
      <name val="Calibri"/>
      <family val="2"/>
      <scheme val="minor"/>
    </font>
    <font>
      <sz val="11"/>
      <color theme="1"/>
      <name val="Wingdings 2"/>
      <family val="1"/>
      <charset val="2"/>
    </font>
    <font>
      <b/>
      <sz val="14"/>
      <color rgb="FF0070C0"/>
      <name val="Calibri"/>
      <family val="2"/>
      <scheme val="minor"/>
    </font>
    <font>
      <sz val="9"/>
      <color rgb="FF8C1737"/>
      <name val="Calibri"/>
      <family val="2"/>
      <scheme val="minor"/>
    </font>
    <font>
      <sz val="24"/>
      <color rgb="FF8C1737"/>
      <name val="Arial Black"/>
      <family val="2"/>
    </font>
    <font>
      <sz val="12"/>
      <color theme="1"/>
      <name val="Calibri"/>
      <family val="2"/>
      <scheme val="minor"/>
    </font>
    <font>
      <b/>
      <sz val="24"/>
      <color theme="0"/>
      <name val="Calibri"/>
      <family val="2"/>
      <scheme val="minor"/>
    </font>
    <font>
      <b/>
      <sz val="11"/>
      <color rgb="FF3762AF"/>
      <name val="Calibri"/>
      <family val="2"/>
      <scheme val="minor"/>
    </font>
    <font>
      <sz val="11"/>
      <name val="Calibri"/>
      <family val="2"/>
      <scheme val="minor"/>
    </font>
    <font>
      <b/>
      <sz val="10"/>
      <color theme="5" tint="-0.249977111117893"/>
      <name val="Calibri"/>
      <family val="2"/>
      <scheme val="minor"/>
    </font>
    <font>
      <sz val="10"/>
      <color theme="8"/>
      <name val="Calibri"/>
      <family val="2"/>
      <scheme val="minor"/>
    </font>
    <font>
      <sz val="11"/>
      <color theme="4" tint="-0.249977111117893"/>
      <name val="Calibri"/>
      <family val="2"/>
      <scheme val="minor"/>
    </font>
    <font>
      <b/>
      <sz val="11"/>
      <color rgb="FF800000"/>
      <name val="Calibri"/>
      <family val="2"/>
      <scheme val="minor"/>
    </font>
    <font>
      <sz val="11"/>
      <color theme="0" tint="-0.34998626667073579"/>
      <name val="Calibri"/>
      <family val="2"/>
      <scheme val="minor"/>
    </font>
    <font>
      <sz val="10"/>
      <color rgb="FF5786B1"/>
      <name val="Calibri"/>
      <family val="2"/>
    </font>
    <font>
      <sz val="11"/>
      <color rgb="FF5786B1"/>
      <name val="Calibri"/>
      <family val="2"/>
      <scheme val="minor"/>
    </font>
    <font>
      <sz val="10"/>
      <color theme="1"/>
      <name val="Calibri"/>
      <family val="2"/>
    </font>
    <font>
      <b/>
      <sz val="16"/>
      <color rgb="FFC00000"/>
      <name val="Calibri"/>
      <family val="2"/>
    </font>
    <font>
      <b/>
      <sz val="16"/>
      <color rgb="FFC00000"/>
      <name val="Calibri"/>
      <family val="2"/>
      <scheme val="minor"/>
    </font>
    <font>
      <sz val="10"/>
      <color theme="2" tint="-0.499984740745262"/>
      <name val="Calibri"/>
      <family val="2"/>
    </font>
    <font>
      <sz val="10"/>
      <name val="Calibri"/>
      <family val="2"/>
      <scheme val="minor"/>
    </font>
    <font>
      <b/>
      <sz val="10"/>
      <color theme="2" tint="-0.749992370372631"/>
      <name val="Calibri"/>
      <family val="2"/>
      <scheme val="minor"/>
    </font>
    <font>
      <b/>
      <sz val="12"/>
      <color theme="1" tint="0.34998626667073579"/>
      <name val="Times New Roman"/>
      <family val="1"/>
    </font>
    <font>
      <b/>
      <sz val="12"/>
      <color theme="1" tint="0.34998626667073579"/>
      <name val="Calibri"/>
      <family val="2"/>
      <scheme val="minor"/>
    </font>
    <font>
      <sz val="8"/>
      <color rgb="FF928E8E"/>
      <name val="Calibri"/>
      <family val="2"/>
      <scheme val="minor"/>
    </font>
    <font>
      <b/>
      <sz val="44"/>
      <color rgb="FFDE500A"/>
      <name val="AR CENA"/>
    </font>
    <font>
      <sz val="11"/>
      <color rgb="FFDE500A"/>
      <name val="Calibri"/>
      <family val="2"/>
      <scheme val="minor"/>
    </font>
    <font>
      <sz val="10"/>
      <color rgb="FF087094"/>
      <name val="Calibri"/>
      <family val="2"/>
    </font>
    <font>
      <b/>
      <sz val="12"/>
      <color rgb="FFDE500A"/>
      <name val="Calibri"/>
      <family val="2"/>
      <scheme val="minor"/>
    </font>
    <font>
      <b/>
      <sz val="16"/>
      <color rgb="FFDE500A"/>
      <name val="Arial"/>
      <family val="2"/>
    </font>
    <font>
      <sz val="24"/>
      <color rgb="FFDE500A"/>
      <name val="Arial Black"/>
      <family val="2"/>
    </font>
    <font>
      <sz val="11"/>
      <color rgb="FF087094"/>
      <name val="Calibri"/>
      <family val="2"/>
      <scheme val="minor"/>
    </font>
    <font>
      <sz val="8"/>
      <color rgb="FFC02000"/>
      <name val="Calibri"/>
      <family val="2"/>
      <scheme val="minor"/>
    </font>
    <font>
      <b/>
      <sz val="20"/>
      <color rgb="FFDE500A"/>
      <name val="Calibri"/>
      <family val="2"/>
      <scheme val="minor"/>
    </font>
    <font>
      <sz val="14"/>
      <color rgb="FF0D98C9"/>
      <name val="Wingdings 2"/>
      <family val="1"/>
      <charset val="2"/>
    </font>
    <font>
      <b/>
      <sz val="22"/>
      <color rgb="FF0D98C9"/>
      <name val="Calibri"/>
      <family val="2"/>
      <scheme val="minor"/>
    </font>
    <font>
      <b/>
      <sz val="22"/>
      <color rgb="FFDE500A"/>
      <name val="Calibri"/>
      <family val="2"/>
      <scheme val="minor"/>
    </font>
    <font>
      <b/>
      <sz val="22"/>
      <color rgb="FFED7D31"/>
      <name val="Calibri"/>
      <family val="2"/>
      <scheme val="minor"/>
    </font>
    <font>
      <b/>
      <sz val="12"/>
      <color rgb="FF0A749A"/>
      <name val="Calibri"/>
      <family val="2"/>
      <scheme val="minor"/>
    </font>
    <font>
      <b/>
      <sz val="11"/>
      <color rgb="FF0A749A"/>
      <name val="Calibri"/>
      <family val="2"/>
      <scheme val="minor"/>
    </font>
    <font>
      <b/>
      <sz val="18"/>
      <color rgb="FFED7D31"/>
      <name val="Calibri"/>
      <family val="2"/>
      <scheme val="minor"/>
    </font>
    <font>
      <b/>
      <sz val="11"/>
      <color theme="1" tint="0.34998626667073579"/>
      <name val="Calibri"/>
      <family val="2"/>
      <scheme val="minor"/>
    </font>
    <font>
      <b/>
      <sz val="16"/>
      <color rgb="FFED7D31"/>
      <name val="Calibri"/>
      <family val="2"/>
      <scheme val="minor"/>
    </font>
    <font>
      <b/>
      <sz val="22"/>
      <color theme="8"/>
      <name val="Calibri"/>
      <family val="2"/>
      <scheme val="minor"/>
    </font>
    <font>
      <b/>
      <sz val="17"/>
      <color rgb="FFED7D31"/>
      <name val="Calibri"/>
      <family val="2"/>
    </font>
  </fonts>
  <fills count="22">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99"/>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8F8F8"/>
        <bgColor indexed="64"/>
      </patternFill>
    </fill>
    <fill>
      <patternFill patternType="solid">
        <fgColor rgb="FFFBF7C9"/>
        <bgColor indexed="64"/>
      </patternFill>
    </fill>
    <fill>
      <patternFill patternType="solid">
        <fgColor rgb="FFF9F9F9"/>
        <bgColor indexed="64"/>
      </patternFill>
    </fill>
    <fill>
      <patternFill patternType="solid">
        <fgColor theme="0"/>
        <bgColor indexed="64"/>
      </patternFill>
    </fill>
    <fill>
      <patternFill patternType="solid">
        <fgColor rgb="FFECECEC"/>
        <bgColor indexed="64"/>
      </patternFill>
    </fill>
    <fill>
      <patternFill patternType="solid">
        <fgColor rgb="FFEDFBC1"/>
        <bgColor indexed="64"/>
      </patternFill>
    </fill>
    <fill>
      <patternFill patternType="solid">
        <fgColor rgb="FF0D98C9"/>
        <bgColor indexed="64"/>
      </patternFill>
    </fill>
    <fill>
      <patternFill patternType="solid">
        <fgColor rgb="FFDE500A"/>
        <bgColor indexed="64"/>
      </patternFill>
    </fill>
    <fill>
      <patternFill patternType="solid">
        <fgColor rgb="FF789A0A"/>
        <bgColor indexed="64"/>
      </patternFill>
    </fill>
    <fill>
      <patternFill patternType="solid">
        <fgColor rgb="FFFEE9D6"/>
        <bgColor indexed="64"/>
      </patternFill>
    </fill>
  </fills>
  <borders count="255">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medium">
        <color theme="1" tint="0.499984740745262"/>
      </bottom>
      <diagonal/>
    </border>
    <border>
      <left style="thin">
        <color theme="0"/>
      </left>
      <right style="thin">
        <color theme="1" tint="0.499984740745262"/>
      </right>
      <top/>
      <bottom style="medium">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bottom style="thin">
        <color theme="2" tint="-0.499984740745262"/>
      </bottom>
      <diagonal/>
    </border>
    <border>
      <left/>
      <right style="thick">
        <color theme="7"/>
      </right>
      <top/>
      <bottom style="thick">
        <color theme="7"/>
      </bottom>
      <diagonal/>
    </border>
    <border>
      <left/>
      <right/>
      <top/>
      <bottom style="thick">
        <color theme="7"/>
      </bottom>
      <diagonal/>
    </border>
    <border>
      <left style="thick">
        <color theme="7"/>
      </left>
      <right/>
      <top/>
      <bottom style="thick">
        <color theme="7"/>
      </bottom>
      <diagonal/>
    </border>
    <border>
      <left/>
      <right style="thick">
        <color theme="7"/>
      </right>
      <top/>
      <bottom/>
      <diagonal/>
    </border>
    <border>
      <left style="thick">
        <color theme="7"/>
      </left>
      <right/>
      <top/>
      <bottom/>
      <diagonal/>
    </border>
    <border>
      <left/>
      <right style="thick">
        <color theme="7"/>
      </right>
      <top style="thick">
        <color theme="7"/>
      </top>
      <bottom/>
      <diagonal/>
    </border>
    <border>
      <left/>
      <right/>
      <top style="thick">
        <color theme="7"/>
      </top>
      <bottom/>
      <diagonal/>
    </border>
    <border>
      <left style="thick">
        <color theme="7"/>
      </left>
      <right/>
      <top style="thick">
        <color theme="7"/>
      </top>
      <bottom/>
      <diagonal/>
    </border>
    <border>
      <left style="thin">
        <color theme="7"/>
      </left>
      <right style="thin">
        <color theme="7"/>
      </right>
      <top style="thin">
        <color theme="7"/>
      </top>
      <bottom style="thin">
        <color theme="7"/>
      </bottom>
      <diagonal/>
    </border>
    <border>
      <left/>
      <right/>
      <top/>
      <bottom style="thin">
        <color indexed="64"/>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style="thick">
        <color theme="4"/>
      </left>
      <right/>
      <top style="thick">
        <color theme="4"/>
      </top>
      <bottom/>
      <diagonal/>
    </border>
    <border>
      <left/>
      <right/>
      <top style="thick">
        <color theme="4"/>
      </top>
      <bottom/>
      <diagonal/>
    </border>
    <border>
      <left style="thick">
        <color theme="4"/>
      </left>
      <right/>
      <top/>
      <bottom/>
      <diagonal/>
    </border>
    <border>
      <left style="thick">
        <color theme="4"/>
      </left>
      <right/>
      <top style="thin">
        <color theme="0" tint="-0.14996795556505021"/>
      </top>
      <bottom style="thin">
        <color theme="0" tint="-0.14996795556505021"/>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3743705557422"/>
      </left>
      <right style="medium">
        <color theme="0" tint="-0.14993743705557422"/>
      </right>
      <top style="thin">
        <color theme="0" tint="-0.14996795556505021"/>
      </top>
      <bottom style="thick">
        <color theme="4"/>
      </bottom>
      <diagonal/>
    </border>
    <border>
      <left style="medium">
        <color theme="4"/>
      </left>
      <right style="medium">
        <color theme="4"/>
      </right>
      <top style="medium">
        <color theme="4"/>
      </top>
      <bottom style="medium">
        <color theme="4"/>
      </bottom>
      <diagonal/>
    </border>
    <border>
      <left/>
      <right style="medium">
        <color theme="4"/>
      </right>
      <top/>
      <bottom/>
      <diagonal/>
    </border>
    <border>
      <left style="medium">
        <color theme="0" tint="-0.14996795556505021"/>
      </left>
      <right style="thick">
        <color theme="4"/>
      </right>
      <top/>
      <bottom/>
      <diagonal/>
    </border>
    <border>
      <left style="medium">
        <color theme="0" tint="-0.14996795556505021"/>
      </left>
      <right style="thick">
        <color theme="4"/>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top style="thin">
        <color theme="0" tint="-0.24994659260841701"/>
      </top>
      <bottom style="thin">
        <color theme="0" tint="-0.24994659260841701"/>
      </bottom>
      <diagonal/>
    </border>
    <border>
      <left style="thick">
        <color theme="7"/>
      </left>
      <right style="thick">
        <color theme="7"/>
      </right>
      <top style="thick">
        <color theme="7"/>
      </top>
      <bottom/>
      <diagonal/>
    </border>
    <border>
      <left style="thick">
        <color theme="7"/>
      </left>
      <right style="thick">
        <color theme="7"/>
      </right>
      <top/>
      <bottom/>
      <diagonal/>
    </border>
    <border>
      <left style="thick">
        <color theme="7"/>
      </left>
      <right style="thick">
        <color theme="7"/>
      </right>
      <top/>
      <bottom style="thick">
        <color theme="7"/>
      </bottom>
      <diagonal/>
    </border>
    <border>
      <left style="thick">
        <color theme="5" tint="0.39994506668294322"/>
      </left>
      <right style="thick">
        <color theme="5" tint="0.39994506668294322"/>
      </right>
      <top style="thick">
        <color theme="5" tint="0.39994506668294322"/>
      </top>
      <bottom style="thick">
        <color theme="5" tint="0.39994506668294322"/>
      </bottom>
      <diagonal/>
    </border>
    <border>
      <left/>
      <right style="thick">
        <color theme="4"/>
      </right>
      <top style="thick">
        <color theme="4"/>
      </top>
      <bottom/>
      <diagonal/>
    </border>
    <border>
      <left/>
      <right style="thick">
        <color theme="4"/>
      </right>
      <top/>
      <bottom/>
      <diagonal/>
    </border>
    <border>
      <left style="medium">
        <color theme="0" tint="-0.14993743705557422"/>
      </left>
      <right style="medium">
        <color theme="0" tint="-0.14993743705557422"/>
      </right>
      <top/>
      <bottom/>
      <diagonal/>
    </border>
    <border>
      <left style="thin">
        <color theme="0" tint="-0.24994659260841701"/>
      </left>
      <right style="thin">
        <color theme="0" tint="-0.24994659260841701"/>
      </right>
      <top style="thin">
        <color theme="0" tint="-0.24994659260841701"/>
      </top>
      <bottom style="thick">
        <color theme="0" tint="-0.14996795556505021"/>
      </bottom>
      <diagonal/>
    </border>
    <border>
      <left style="thin">
        <color theme="0" tint="-0.24994659260841701"/>
      </left>
      <right/>
      <top/>
      <bottom style="thick">
        <color theme="0" tint="-0.14996795556505021"/>
      </bottom>
      <diagonal/>
    </border>
    <border>
      <left style="thick">
        <color theme="0" tint="-0.14993743705557422"/>
      </left>
      <right/>
      <top/>
      <bottom/>
      <diagonal/>
    </border>
    <border>
      <left style="medium">
        <color rgb="FF8C1737"/>
      </left>
      <right/>
      <top style="medium">
        <color rgb="FF8C1737"/>
      </top>
      <bottom style="medium">
        <color rgb="FF8C1737"/>
      </bottom>
      <diagonal/>
    </border>
    <border>
      <left/>
      <right/>
      <top style="medium">
        <color auto="1"/>
      </top>
      <bottom/>
      <diagonal/>
    </border>
    <border>
      <left/>
      <right style="medium">
        <color rgb="FF329A8B"/>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medium">
        <color theme="7"/>
      </right>
      <top/>
      <bottom/>
      <diagonal/>
    </border>
    <border>
      <left style="thick">
        <color theme="0" tint="-0.14993743705557422"/>
      </left>
      <right style="medium">
        <color theme="0" tint="-0.14990691854609822"/>
      </right>
      <top style="thin">
        <color theme="0" tint="-0.14990691854609822"/>
      </top>
      <bottom style="thin">
        <color theme="0" tint="-0.14990691854609822"/>
      </bottom>
      <diagonal/>
    </border>
    <border>
      <left style="thick">
        <color theme="0" tint="-0.14993743705557422"/>
      </left>
      <right style="medium">
        <color theme="0" tint="-0.14990691854609822"/>
      </right>
      <top style="thin">
        <color theme="0" tint="-0.14990691854609822"/>
      </top>
      <bottom style="thick">
        <color theme="0" tint="-0.14990691854609822"/>
      </bottom>
      <diagonal/>
    </border>
    <border>
      <left style="thick">
        <color theme="4"/>
      </left>
      <right style="thick">
        <color theme="4"/>
      </right>
      <top style="thick">
        <color theme="4"/>
      </top>
      <bottom/>
      <diagonal/>
    </border>
    <border>
      <left style="thick">
        <color theme="4"/>
      </left>
      <right style="thick">
        <color theme="4"/>
      </right>
      <top/>
      <bottom/>
      <diagonal/>
    </border>
    <border>
      <left style="thick">
        <color theme="4"/>
      </left>
      <right style="thick">
        <color theme="4"/>
      </right>
      <top/>
      <bottom style="thin">
        <color theme="0" tint="-0.14996795556505021"/>
      </bottom>
      <diagonal/>
    </border>
    <border>
      <left style="thick">
        <color theme="4"/>
      </left>
      <right style="thick">
        <color theme="4"/>
      </right>
      <top style="thin">
        <color theme="0" tint="-0.14996795556505021"/>
      </top>
      <bottom style="thin">
        <color theme="0" tint="-0.14996795556505021"/>
      </bottom>
      <diagonal/>
    </border>
    <border>
      <left style="thick">
        <color theme="4"/>
      </left>
      <right style="thick">
        <color theme="4"/>
      </right>
      <top style="thin">
        <color theme="0" tint="-0.14996795556505021"/>
      </top>
      <bottom/>
      <diagonal/>
    </border>
    <border>
      <left style="thick">
        <color theme="4"/>
      </left>
      <right style="thick">
        <color theme="4"/>
      </right>
      <top style="thin">
        <color theme="0" tint="-0.14996795556505021"/>
      </top>
      <bottom style="thick">
        <color theme="4"/>
      </bottom>
      <diagonal/>
    </border>
    <border>
      <left/>
      <right/>
      <top style="thick">
        <color theme="0" tint="-0.14993743705557422"/>
      </top>
      <bottom style="medium">
        <color theme="0" tint="-0.14990691854609822"/>
      </bottom>
      <diagonal/>
    </border>
    <border>
      <left/>
      <right style="thick">
        <color theme="0" tint="-0.14990691854609822"/>
      </right>
      <top style="thick">
        <color theme="0" tint="-0.14993743705557422"/>
      </top>
      <bottom style="medium">
        <color theme="0" tint="-0.14990691854609822"/>
      </bottom>
      <diagonal/>
    </border>
    <border>
      <left/>
      <right style="thick">
        <color theme="0" tint="-0.14990691854609822"/>
      </right>
      <top/>
      <bottom/>
      <diagonal/>
    </border>
    <border>
      <left/>
      <right style="thick">
        <color theme="0" tint="-0.14990691854609822"/>
      </right>
      <top style="thin">
        <color theme="0" tint="-0.24994659260841701"/>
      </top>
      <bottom style="thin">
        <color theme="0" tint="-0.24994659260841701"/>
      </bottom>
      <diagonal/>
    </border>
    <border>
      <left style="medium">
        <color theme="0" tint="-0.24994659260841701"/>
      </left>
      <right style="thick">
        <color theme="0" tint="-0.14993743705557422"/>
      </right>
      <top style="thin">
        <color theme="0" tint="-0.24994659260841701"/>
      </top>
      <bottom style="thick">
        <color theme="0" tint="-0.14996795556505021"/>
      </bottom>
      <diagonal/>
    </border>
    <border>
      <left style="thin">
        <color theme="0" tint="-0.24994659260841701"/>
      </left>
      <right style="thick">
        <color theme="0" tint="-0.14996795556505021"/>
      </right>
      <top style="thin">
        <color theme="0" tint="-0.24994659260841701"/>
      </top>
      <bottom style="thin">
        <color theme="0" tint="-0.24994659260841701"/>
      </bottom>
      <diagonal/>
    </border>
    <border>
      <left/>
      <right style="thick">
        <color theme="0" tint="-0.14996795556505021"/>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ck">
        <color theme="0" tint="-0.14996795556505021"/>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0691854609822"/>
      </left>
      <right style="thin">
        <color theme="0" tint="-0.24994659260841701"/>
      </right>
      <top style="thin">
        <color theme="0" tint="-0.24994659260841701"/>
      </top>
      <bottom style="thin">
        <color theme="0" tint="-0.24994659260841701"/>
      </bottom>
      <diagonal/>
    </border>
    <border>
      <left style="medium">
        <color theme="0" tint="-0.14990691854609822"/>
      </left>
      <right style="thin">
        <color theme="0" tint="-0.24994659260841701"/>
      </right>
      <top style="thin">
        <color theme="0" tint="-0.24994659260841701"/>
      </top>
      <bottom style="thick">
        <color theme="0" tint="-0.14996795556505021"/>
      </bottom>
      <diagonal/>
    </border>
    <border>
      <left style="thick">
        <color theme="0" tint="-0.14993743705557422"/>
      </left>
      <right/>
      <top style="thick">
        <color theme="0" tint="-0.14993743705557422"/>
      </top>
      <bottom style="medium">
        <color theme="0" tint="-0.14990691854609822"/>
      </bottom>
      <diagonal/>
    </border>
    <border>
      <left style="medium">
        <color theme="4" tint="0.59996337778862885"/>
      </left>
      <right/>
      <top style="medium">
        <color theme="4" tint="0.59996337778862885"/>
      </top>
      <bottom/>
      <diagonal/>
    </border>
    <border>
      <left/>
      <right/>
      <top style="medium">
        <color theme="4" tint="0.59996337778862885"/>
      </top>
      <bottom/>
      <diagonal/>
    </border>
    <border>
      <left/>
      <right style="medium">
        <color theme="4" tint="0.59996337778862885"/>
      </right>
      <top style="medium">
        <color theme="4" tint="0.59996337778862885"/>
      </top>
      <bottom/>
      <diagonal/>
    </border>
    <border>
      <left style="medium">
        <color theme="4" tint="0.59996337778862885"/>
      </left>
      <right/>
      <top/>
      <bottom/>
      <diagonal/>
    </border>
    <border>
      <left/>
      <right style="medium">
        <color theme="4" tint="0.59996337778862885"/>
      </right>
      <top/>
      <bottom/>
      <diagonal/>
    </border>
    <border>
      <left style="medium">
        <color theme="4" tint="0.59996337778862885"/>
      </left>
      <right/>
      <top/>
      <bottom style="medium">
        <color theme="4" tint="0.59996337778862885"/>
      </bottom>
      <diagonal/>
    </border>
    <border>
      <left/>
      <right/>
      <top/>
      <bottom style="medium">
        <color theme="4" tint="0.59996337778862885"/>
      </bottom>
      <diagonal/>
    </border>
    <border>
      <left/>
      <right style="medium">
        <color theme="4" tint="0.59996337778862885"/>
      </right>
      <top/>
      <bottom style="medium">
        <color theme="4" tint="0.59996337778862885"/>
      </bottom>
      <diagonal/>
    </border>
    <border>
      <left style="medium">
        <color theme="0" tint="-0.14993743705557422"/>
      </left>
      <right style="medium">
        <color theme="0" tint="-0.14996795556505021"/>
      </right>
      <top style="thin">
        <color theme="0" tint="-0.14996795556505021"/>
      </top>
      <bottom style="thick">
        <color theme="4"/>
      </bottom>
      <diagonal/>
    </border>
    <border>
      <left style="medium">
        <color theme="4"/>
      </left>
      <right style="medium">
        <color theme="4"/>
      </right>
      <top style="medium">
        <color theme="4"/>
      </top>
      <bottom/>
      <diagonal/>
    </border>
    <border>
      <left style="medium">
        <color theme="4"/>
      </left>
      <right style="medium">
        <color theme="4"/>
      </right>
      <top/>
      <bottom style="medium">
        <color theme="4"/>
      </bottom>
      <diagonal/>
    </border>
    <border>
      <left/>
      <right/>
      <top style="thin">
        <color theme="2" tint="-0.24994659260841701"/>
      </top>
      <bottom style="thin">
        <color theme="2" tint="-0.24994659260841701"/>
      </bottom>
      <diagonal/>
    </border>
    <border>
      <left style="medium">
        <color theme="0" tint="-0.14993743705557422"/>
      </left>
      <right/>
      <top style="thin">
        <color theme="0" tint="-0.14996795556505021"/>
      </top>
      <bottom/>
      <diagonal/>
    </border>
    <border>
      <left style="thick">
        <color theme="4"/>
      </left>
      <right style="thick">
        <color theme="4"/>
      </right>
      <top style="thick">
        <color theme="4"/>
      </top>
      <bottom style="thin">
        <color theme="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ck">
        <color theme="4"/>
      </left>
      <right/>
      <top style="thick">
        <color theme="4"/>
      </top>
      <bottom style="thin">
        <color theme="0" tint="-0.14996795556505021"/>
      </bottom>
      <diagonal/>
    </border>
    <border>
      <left/>
      <right/>
      <top style="thick">
        <color theme="4"/>
      </top>
      <bottom style="thin">
        <color theme="0" tint="-0.14996795556505021"/>
      </bottom>
      <diagonal/>
    </border>
    <border>
      <left/>
      <right style="thick">
        <color theme="4"/>
      </right>
      <top style="thick">
        <color theme="4"/>
      </top>
      <bottom style="thin">
        <color theme="0" tint="-0.14996795556505021"/>
      </bottom>
      <diagonal/>
    </border>
    <border>
      <left style="thin">
        <color theme="0" tint="-0.24994659260841701"/>
      </left>
      <right/>
      <top style="thin">
        <color theme="0" tint="-0.24994659260841701"/>
      </top>
      <bottom style="thick">
        <color theme="0" tint="-0.14996795556505021"/>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style="thin">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0.499984740745262"/>
      </right>
      <top style="thin">
        <color theme="2" tint="-9.9948118533890809E-2"/>
      </top>
      <bottom style="thin">
        <color theme="2" tint="-9.9948118533890809E-2"/>
      </bottom>
      <diagonal/>
    </border>
    <border>
      <left style="thick">
        <color theme="4"/>
      </left>
      <right style="thick">
        <color theme="4"/>
      </right>
      <top style="thick">
        <color theme="4"/>
      </top>
      <bottom style="thin">
        <color theme="0" tint="-0.14996795556505021"/>
      </bottom>
      <diagonal/>
    </border>
    <border>
      <left style="thick">
        <color theme="4"/>
      </left>
      <right/>
      <top/>
      <bottom style="thin">
        <color theme="0" tint="-0.14996795556505021"/>
      </bottom>
      <diagonal/>
    </border>
    <border>
      <left style="thick">
        <color theme="4"/>
      </left>
      <right style="thin">
        <color theme="2" tint="-0.24994659260841701"/>
      </right>
      <top style="thick">
        <color theme="4"/>
      </top>
      <bottom/>
      <diagonal/>
    </border>
    <border>
      <left style="thick">
        <color theme="4"/>
      </left>
      <right style="thin">
        <color theme="2" tint="-0.24994659260841701"/>
      </right>
      <top/>
      <bottom/>
      <diagonal/>
    </border>
    <border>
      <left style="thick">
        <color theme="4"/>
      </left>
      <right style="thick">
        <color theme="4"/>
      </right>
      <top/>
      <bottom style="thin">
        <color theme="2" tint="-0.499984740745262"/>
      </bottom>
      <diagonal/>
    </border>
    <border>
      <left style="thin">
        <color theme="2" tint="-0.24994659260841701"/>
      </left>
      <right style="thin">
        <color theme="2" tint="-0.24994659260841701"/>
      </right>
      <top style="thick">
        <color theme="4"/>
      </top>
      <bottom/>
      <diagonal/>
    </border>
    <border>
      <left style="thin">
        <color theme="2" tint="-0.24994659260841701"/>
      </left>
      <right style="thick">
        <color theme="4"/>
      </right>
      <top style="thick">
        <color theme="4"/>
      </top>
      <bottom/>
      <diagonal/>
    </border>
    <border>
      <left style="thick">
        <color theme="4"/>
      </left>
      <right style="thin">
        <color theme="2" tint="-0.24994659260841701"/>
      </right>
      <top/>
      <bottom style="thin">
        <color theme="2" tint="-0.499984740745262"/>
      </bottom>
      <diagonal/>
    </border>
    <border>
      <left style="thin">
        <color theme="2" tint="-0.24994659260841701"/>
      </left>
      <right style="thin">
        <color theme="2" tint="-0.24994659260841701"/>
      </right>
      <top/>
      <bottom style="thin">
        <color theme="2" tint="-0.499984740745262"/>
      </bottom>
      <diagonal/>
    </border>
    <border>
      <left style="thin">
        <color theme="2" tint="-0.24994659260841701"/>
      </left>
      <right style="thick">
        <color theme="4"/>
      </right>
      <top/>
      <bottom style="thin">
        <color theme="2" tint="-0.499984740745262"/>
      </bottom>
      <diagonal/>
    </border>
    <border>
      <left style="thick">
        <color theme="4"/>
      </left>
      <right style="thick">
        <color theme="4"/>
      </right>
      <top/>
      <bottom style="thick">
        <color theme="4"/>
      </bottom>
      <diagonal/>
    </border>
    <border>
      <left style="thin">
        <color theme="7"/>
      </left>
      <right/>
      <top style="thin">
        <color indexed="64"/>
      </top>
      <bottom style="thin">
        <color theme="7"/>
      </bottom>
      <diagonal/>
    </border>
    <border>
      <left/>
      <right/>
      <top style="thin">
        <color indexed="64"/>
      </top>
      <bottom style="thin">
        <color theme="7"/>
      </bottom>
      <diagonal/>
    </border>
    <border>
      <left/>
      <right style="thin">
        <color theme="7"/>
      </right>
      <top style="thin">
        <color indexed="64"/>
      </top>
      <bottom style="thin">
        <color theme="7"/>
      </bottom>
      <diagonal/>
    </border>
    <border>
      <left style="thin">
        <color theme="7"/>
      </left>
      <right/>
      <top style="thin">
        <color theme="7"/>
      </top>
      <bottom style="thin">
        <color theme="7"/>
      </bottom>
      <diagonal/>
    </border>
    <border>
      <left/>
      <right/>
      <top style="thin">
        <color theme="7"/>
      </top>
      <bottom style="thin">
        <color theme="7"/>
      </bottom>
      <diagonal/>
    </border>
    <border>
      <left/>
      <right style="thin">
        <color theme="7"/>
      </right>
      <top style="thin">
        <color theme="7"/>
      </top>
      <bottom style="thin">
        <color theme="7"/>
      </bottom>
      <diagonal/>
    </border>
    <border>
      <left style="medium">
        <color theme="7"/>
      </left>
      <right/>
      <top style="medium">
        <color theme="7"/>
      </top>
      <bottom/>
      <diagonal/>
    </border>
    <border>
      <left/>
      <right/>
      <top style="medium">
        <color theme="7"/>
      </top>
      <bottom/>
      <diagonal/>
    </border>
    <border>
      <left/>
      <right style="medium">
        <color theme="7"/>
      </right>
      <top style="medium">
        <color theme="7"/>
      </top>
      <bottom/>
      <diagonal/>
    </border>
    <border>
      <left style="medium">
        <color theme="7"/>
      </left>
      <right/>
      <top/>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medium">
        <color theme="5" tint="0.39994506668294322"/>
      </left>
      <right style="medium">
        <color theme="5" tint="0.39994506668294322"/>
      </right>
      <top style="medium">
        <color theme="5" tint="0.39994506668294322"/>
      </top>
      <bottom style="medium">
        <color theme="5" tint="0.39994506668294322"/>
      </bottom>
      <diagonal/>
    </border>
    <border>
      <left style="thin">
        <color theme="2" tint="-0.24994659260841701"/>
      </left>
      <right/>
      <top style="thin">
        <color theme="2" tint="-0.24994659260841701"/>
      </top>
      <bottom/>
      <diagonal/>
    </border>
    <border>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top/>
      <bottom/>
      <diagonal/>
    </border>
    <border>
      <left/>
      <right style="thin">
        <color theme="2" tint="-0.24994659260841701"/>
      </right>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thick">
        <color theme="4" tint="-0.24994659260841701"/>
      </left>
      <right style="medium">
        <color theme="2" tint="-0.24994659260841701"/>
      </right>
      <top style="thick">
        <color theme="4" tint="-0.24994659260841701"/>
      </top>
      <bottom/>
      <diagonal/>
    </border>
    <border>
      <left style="thick">
        <color theme="4" tint="-0.24994659260841701"/>
      </left>
      <right style="medium">
        <color theme="2" tint="-0.24994659260841701"/>
      </right>
      <top/>
      <bottom/>
      <diagonal/>
    </border>
    <border>
      <left style="thick">
        <color theme="4" tint="-0.24994659260841701"/>
      </left>
      <right style="medium">
        <color theme="2" tint="-0.24994659260841701"/>
      </right>
      <top/>
      <bottom style="medium">
        <color theme="4" tint="-0.24994659260841701"/>
      </bottom>
      <diagonal/>
    </border>
    <border>
      <left style="thick">
        <color theme="4" tint="-0.24994659260841701"/>
      </left>
      <right style="medium">
        <color theme="2" tint="-0.24994659260841701"/>
      </right>
      <top/>
      <bottom style="thin">
        <color theme="2" tint="-9.9948118533890809E-2"/>
      </bottom>
      <diagonal/>
    </border>
    <border>
      <left style="thick">
        <color theme="4" tint="-0.24994659260841701"/>
      </left>
      <right style="medium">
        <color theme="2" tint="-0.24994659260841701"/>
      </right>
      <top style="thin">
        <color theme="2" tint="-9.9948118533890809E-2"/>
      </top>
      <bottom style="thick">
        <color theme="4" tint="-0.24994659260841701"/>
      </bottom>
      <diagonal/>
    </border>
    <border>
      <left style="medium">
        <color theme="2" tint="-0.24994659260841701"/>
      </left>
      <right style="thin">
        <color theme="2" tint="-0.24994659260841701"/>
      </right>
      <top style="thick">
        <color theme="4" tint="-0.24994659260841701"/>
      </top>
      <bottom/>
      <diagonal/>
    </border>
    <border>
      <left style="thin">
        <color theme="2" tint="-0.24994659260841701"/>
      </left>
      <right style="thin">
        <color theme="2" tint="-0.24994659260841701"/>
      </right>
      <top style="thick">
        <color theme="4" tint="-0.24994659260841701"/>
      </top>
      <bottom/>
      <diagonal/>
    </border>
    <border>
      <left style="thin">
        <color theme="2" tint="-0.24994659260841701"/>
      </left>
      <right style="thick">
        <color theme="4" tint="-0.24994659260841701"/>
      </right>
      <top style="thick">
        <color theme="4" tint="-0.24994659260841701"/>
      </top>
      <bottom/>
      <diagonal/>
    </border>
    <border>
      <left style="medium">
        <color theme="2" tint="-0.24994659260841701"/>
      </left>
      <right style="thin">
        <color theme="2" tint="-0.24994659260841701"/>
      </right>
      <top/>
      <bottom/>
      <diagonal/>
    </border>
    <border>
      <left style="thin">
        <color theme="2" tint="-0.24994659260841701"/>
      </left>
      <right style="thin">
        <color theme="2" tint="-0.24994659260841701"/>
      </right>
      <top/>
      <bottom/>
      <diagonal/>
    </border>
    <border>
      <left style="thin">
        <color theme="2" tint="-0.24994659260841701"/>
      </left>
      <right style="thick">
        <color theme="4" tint="-0.24994659260841701"/>
      </right>
      <top/>
      <bottom/>
      <diagonal/>
    </border>
    <border>
      <left style="medium">
        <color theme="2" tint="-0.24994659260841701"/>
      </left>
      <right style="thin">
        <color theme="2" tint="-0.24994659260841701"/>
      </right>
      <top/>
      <bottom style="medium">
        <color theme="4" tint="-0.24994659260841701"/>
      </bottom>
      <diagonal/>
    </border>
    <border>
      <left style="thin">
        <color theme="2" tint="-0.24994659260841701"/>
      </left>
      <right style="thin">
        <color theme="2" tint="-0.24994659260841701"/>
      </right>
      <top/>
      <bottom style="medium">
        <color theme="4" tint="-0.24994659260841701"/>
      </bottom>
      <diagonal/>
    </border>
    <border>
      <left style="thin">
        <color theme="2" tint="-0.24994659260841701"/>
      </left>
      <right style="thick">
        <color theme="4" tint="-0.24994659260841701"/>
      </right>
      <top/>
      <bottom style="medium">
        <color theme="4" tint="-0.24994659260841701"/>
      </bottom>
      <diagonal/>
    </border>
    <border>
      <left style="medium">
        <color theme="2" tint="-0.24994659260841701"/>
      </left>
      <right style="thin">
        <color theme="2" tint="-0.24994659260841701"/>
      </right>
      <top/>
      <bottom style="thin">
        <color theme="2" tint="-9.9948118533890809E-2"/>
      </bottom>
      <diagonal/>
    </border>
    <border>
      <left style="thin">
        <color theme="2" tint="-0.24994659260841701"/>
      </left>
      <right style="thin">
        <color theme="2" tint="-0.24994659260841701"/>
      </right>
      <top/>
      <bottom style="thin">
        <color theme="2" tint="-9.9948118533890809E-2"/>
      </bottom>
      <diagonal/>
    </border>
    <border>
      <left style="thin">
        <color theme="2" tint="-0.24994659260841701"/>
      </left>
      <right style="thick">
        <color theme="4" tint="-0.24994659260841701"/>
      </right>
      <top/>
      <bottom style="thin">
        <color theme="2" tint="-9.9948118533890809E-2"/>
      </bottom>
      <diagonal/>
    </border>
    <border>
      <left style="medium">
        <color theme="2" tint="-0.24994659260841701"/>
      </left>
      <right style="thin">
        <color theme="2" tint="-0.24994659260841701"/>
      </right>
      <top style="thin">
        <color theme="2" tint="-9.9948118533890809E-2"/>
      </top>
      <bottom style="thick">
        <color theme="4" tint="-0.24994659260841701"/>
      </bottom>
      <diagonal/>
    </border>
    <border>
      <left style="thin">
        <color theme="2" tint="-0.24994659260841701"/>
      </left>
      <right style="thin">
        <color theme="2" tint="-0.24994659260841701"/>
      </right>
      <top style="thin">
        <color theme="2" tint="-9.9948118533890809E-2"/>
      </top>
      <bottom style="thick">
        <color theme="4" tint="-0.24994659260841701"/>
      </bottom>
      <diagonal/>
    </border>
    <border>
      <left style="thin">
        <color theme="2" tint="-0.24994659260841701"/>
      </left>
      <right style="thick">
        <color theme="4" tint="-0.24994659260841701"/>
      </right>
      <top style="thin">
        <color theme="2" tint="-9.9948118533890809E-2"/>
      </top>
      <bottom style="thick">
        <color theme="4" tint="-0.24994659260841701"/>
      </bottom>
      <diagonal/>
    </border>
    <border>
      <left/>
      <right/>
      <top style="thick">
        <color theme="7"/>
      </top>
      <bottom style="thin">
        <color theme="2" tint="-0.24994659260841701"/>
      </bottom>
      <diagonal/>
    </border>
    <border>
      <left/>
      <right style="thick">
        <color theme="7"/>
      </right>
      <top style="thick">
        <color theme="7"/>
      </top>
      <bottom style="thin">
        <color theme="2" tint="-0.24994659260841701"/>
      </bottom>
      <diagonal/>
    </border>
    <border>
      <left/>
      <right style="thick">
        <color theme="7"/>
      </right>
      <top style="thin">
        <color theme="2" tint="-0.24994659260841701"/>
      </top>
      <bottom style="thin">
        <color theme="2" tint="-0.24994659260841701"/>
      </bottom>
      <diagonal/>
    </border>
    <border>
      <left/>
      <right/>
      <top style="thin">
        <color theme="2" tint="-0.24994659260841701"/>
      </top>
      <bottom style="thick">
        <color theme="7"/>
      </bottom>
      <diagonal/>
    </border>
    <border>
      <left/>
      <right style="thick">
        <color theme="7"/>
      </right>
      <top style="thin">
        <color theme="2" tint="-0.24994659260841701"/>
      </top>
      <bottom style="thick">
        <color theme="7"/>
      </bottom>
      <diagonal/>
    </border>
    <border>
      <left style="thick">
        <color theme="7"/>
      </left>
      <right style="thin">
        <color theme="2" tint="-0.24994659260841701"/>
      </right>
      <top style="thick">
        <color theme="7"/>
      </top>
      <bottom style="thin">
        <color theme="2" tint="-0.24994659260841701"/>
      </bottom>
      <diagonal/>
    </border>
    <border>
      <left style="thin">
        <color theme="2" tint="-0.24994659260841701"/>
      </left>
      <right style="thin">
        <color theme="2" tint="-0.24994659260841701"/>
      </right>
      <top style="thick">
        <color theme="7"/>
      </top>
      <bottom style="thin">
        <color theme="2" tint="-0.24994659260841701"/>
      </bottom>
      <diagonal/>
    </border>
    <border>
      <left style="thin">
        <color theme="2" tint="-0.24994659260841701"/>
      </left>
      <right style="thick">
        <color theme="7"/>
      </right>
      <top style="thick">
        <color theme="7"/>
      </top>
      <bottom style="thin">
        <color theme="2" tint="-0.24994659260841701"/>
      </bottom>
      <diagonal/>
    </border>
    <border>
      <left style="thick">
        <color theme="7"/>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7"/>
      </right>
      <top style="thin">
        <color theme="2" tint="-0.24994659260841701"/>
      </top>
      <bottom style="thin">
        <color theme="2" tint="-0.24994659260841701"/>
      </bottom>
      <diagonal/>
    </border>
    <border>
      <left style="thick">
        <color theme="7"/>
      </left>
      <right style="thin">
        <color theme="2" tint="-0.24994659260841701"/>
      </right>
      <top style="thin">
        <color theme="2" tint="-0.24994659260841701"/>
      </top>
      <bottom style="thick">
        <color theme="7"/>
      </bottom>
      <diagonal/>
    </border>
    <border>
      <left style="thin">
        <color theme="2" tint="-0.24994659260841701"/>
      </left>
      <right style="thin">
        <color theme="2" tint="-0.24994659260841701"/>
      </right>
      <top style="thin">
        <color theme="2" tint="-0.24994659260841701"/>
      </top>
      <bottom style="thick">
        <color theme="7"/>
      </bottom>
      <diagonal/>
    </border>
    <border>
      <left style="thin">
        <color theme="2" tint="-0.24994659260841701"/>
      </left>
      <right style="thick">
        <color theme="7"/>
      </right>
      <top style="thin">
        <color theme="2" tint="-0.24994659260841701"/>
      </top>
      <bottom style="thick">
        <color theme="7"/>
      </bottom>
      <diagonal/>
    </border>
    <border>
      <left style="thin">
        <color theme="2" tint="-0.24994659260841701"/>
      </left>
      <right/>
      <top style="thick">
        <color theme="7"/>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style="thin">
        <color theme="2" tint="-0.24994659260841701"/>
      </left>
      <right/>
      <top style="thin">
        <color theme="2" tint="-0.24994659260841701"/>
      </top>
      <bottom style="thick">
        <color theme="7"/>
      </bottom>
      <diagonal/>
    </border>
    <border>
      <left/>
      <right style="thin">
        <color theme="2" tint="-0.24994659260841701"/>
      </right>
      <top style="thick">
        <color theme="7"/>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7"/>
      </bottom>
      <diagonal/>
    </border>
    <border>
      <left style="thin">
        <color theme="1" tint="0.499984740745262"/>
      </left>
      <right style="thin">
        <color theme="0"/>
      </right>
      <top/>
      <bottom style="medium">
        <color theme="1" tint="0.499984740745262"/>
      </bottom>
      <diagonal/>
    </border>
    <border>
      <left/>
      <right/>
      <top style="medium">
        <color theme="1" tint="0.499984740745262"/>
      </top>
      <bottom/>
      <diagonal/>
    </border>
    <border>
      <left style="thin">
        <color theme="1" tint="0.499984740745262"/>
      </left>
      <right style="thin">
        <color theme="1" tint="0.499984740745262"/>
      </right>
      <top/>
      <bottom/>
      <diagonal/>
    </border>
    <border>
      <left style="thin">
        <color theme="2" tint="-0.499984740745262"/>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medium">
        <color theme="1" tint="0.499984740745262"/>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style="medium">
        <color theme="1" tint="0.499984740745262"/>
      </bottom>
      <diagonal/>
    </border>
    <border>
      <left/>
      <right style="medium">
        <color theme="1" tint="0.499984740745262"/>
      </right>
      <top/>
      <bottom style="medium">
        <color theme="1" tint="0.499984740745262"/>
      </bottom>
      <diagonal/>
    </border>
    <border>
      <left style="thin">
        <color theme="2" tint="-0.499984740745262"/>
      </left>
      <right style="thin">
        <color theme="2" tint="-0.499984740745262"/>
      </right>
      <top style="thin">
        <color theme="1" tint="0.499984740745262"/>
      </top>
      <bottom style="thin">
        <color theme="1" tint="0.499984740745262"/>
      </bottom>
      <diagonal/>
    </border>
    <border>
      <left style="thin">
        <color rgb="FFFCC99A"/>
      </left>
      <right/>
      <top style="thin">
        <color rgb="FFFCC99A"/>
      </top>
      <bottom/>
      <diagonal/>
    </border>
    <border>
      <left/>
      <right style="thin">
        <color rgb="FFFCC99A"/>
      </right>
      <top style="thin">
        <color rgb="FFFCC99A"/>
      </top>
      <bottom/>
      <diagonal/>
    </border>
    <border>
      <left style="thin">
        <color rgb="FFFCC99A"/>
      </left>
      <right/>
      <top/>
      <bottom/>
      <diagonal/>
    </border>
    <border>
      <left/>
      <right style="thin">
        <color rgb="FFFCC99A"/>
      </right>
      <top/>
      <bottom/>
      <diagonal/>
    </border>
    <border>
      <left style="thin">
        <color rgb="FFFCC99A"/>
      </left>
      <right/>
      <top/>
      <bottom style="thin">
        <color rgb="FFFCC99A"/>
      </bottom>
      <diagonal/>
    </border>
    <border>
      <left/>
      <right style="thin">
        <color rgb="FFFCC99A"/>
      </right>
      <top/>
      <bottom style="thin">
        <color rgb="FFFCC99A"/>
      </bottom>
      <diagonal/>
    </border>
    <border>
      <left style="medium">
        <color theme="1" tint="0.499984740745262"/>
      </left>
      <right/>
      <top/>
      <bottom/>
      <diagonal/>
    </border>
    <border>
      <left/>
      <right style="medium">
        <color rgb="FFDE500A"/>
      </right>
      <top style="medium">
        <color rgb="FFDE500A"/>
      </top>
      <bottom style="medium">
        <color rgb="FFDE500A"/>
      </bottom>
      <diagonal/>
    </border>
    <border>
      <left/>
      <right/>
      <top style="medium">
        <color rgb="FFDE500A"/>
      </top>
      <bottom style="medium">
        <color rgb="FFDE500A"/>
      </bottom>
      <diagonal/>
    </border>
    <border>
      <left/>
      <right/>
      <top style="medium">
        <color rgb="FF789A0A"/>
      </top>
      <bottom style="thin">
        <color theme="0" tint="-0.34998626667073579"/>
      </bottom>
      <diagonal/>
    </border>
    <border>
      <left/>
      <right style="medium">
        <color rgb="FF789A0A"/>
      </right>
      <top style="medium">
        <color rgb="FF789A0A"/>
      </top>
      <bottom style="thin">
        <color theme="0" tint="-0.34998626667073579"/>
      </bottom>
      <diagonal/>
    </border>
    <border>
      <left/>
      <right style="medium">
        <color rgb="FF789A0A"/>
      </right>
      <top style="thin">
        <color theme="0" tint="-0.34998626667073579"/>
      </top>
      <bottom style="thin">
        <color theme="0" tint="-0.34998626667073579"/>
      </bottom>
      <diagonal/>
    </border>
    <border>
      <left/>
      <right/>
      <top style="thin">
        <color theme="0" tint="-0.34998626667073579"/>
      </top>
      <bottom style="medium">
        <color rgb="FF789A0A"/>
      </bottom>
      <diagonal/>
    </border>
    <border>
      <left/>
      <right style="medium">
        <color rgb="FF789A0A"/>
      </right>
      <top style="thin">
        <color theme="0" tint="-0.34998626667073579"/>
      </top>
      <bottom style="medium">
        <color rgb="FF789A0A"/>
      </bottom>
      <diagonal/>
    </border>
    <border>
      <left style="medium">
        <color rgb="FF789A0A"/>
      </left>
      <right style="thin">
        <color rgb="FF789A0A"/>
      </right>
      <top style="medium">
        <color rgb="FF789A0A"/>
      </top>
      <bottom style="thin">
        <color theme="0" tint="-0.34998626667073579"/>
      </bottom>
      <diagonal/>
    </border>
    <border>
      <left style="thin">
        <color rgb="FF789A0A"/>
      </left>
      <right style="medium">
        <color rgb="FF789A0A"/>
      </right>
      <top style="medium">
        <color rgb="FF789A0A"/>
      </top>
      <bottom style="thin">
        <color theme="0" tint="-0.34998626667073579"/>
      </bottom>
      <diagonal/>
    </border>
    <border>
      <left style="medium">
        <color rgb="FF789A0A"/>
      </left>
      <right style="thin">
        <color rgb="FF789A0A"/>
      </right>
      <top style="thin">
        <color theme="0" tint="-0.34998626667073579"/>
      </top>
      <bottom style="thin">
        <color theme="0" tint="-0.34998626667073579"/>
      </bottom>
      <diagonal/>
    </border>
    <border>
      <left style="thin">
        <color rgb="FF789A0A"/>
      </left>
      <right style="medium">
        <color rgb="FF789A0A"/>
      </right>
      <top style="thin">
        <color theme="0" tint="-0.34998626667073579"/>
      </top>
      <bottom style="thin">
        <color theme="0" tint="-0.34998626667073579"/>
      </bottom>
      <diagonal/>
    </border>
    <border>
      <left style="medium">
        <color rgb="FF789A0A"/>
      </left>
      <right style="thin">
        <color rgb="FF789A0A"/>
      </right>
      <top style="thin">
        <color theme="0" tint="-0.34998626667073579"/>
      </top>
      <bottom style="medium">
        <color rgb="FF789A0A"/>
      </bottom>
      <diagonal/>
    </border>
    <border>
      <left style="thin">
        <color rgb="FF789A0A"/>
      </left>
      <right style="medium">
        <color rgb="FF789A0A"/>
      </right>
      <top style="thin">
        <color theme="0" tint="-0.34998626667073579"/>
      </top>
      <bottom style="medium">
        <color rgb="FF789A0A"/>
      </bottom>
      <diagonal/>
    </border>
    <border>
      <left style="thin">
        <color rgb="FF789A0A"/>
      </left>
      <right style="thin">
        <color rgb="FF789A0A"/>
      </right>
      <top style="medium">
        <color rgb="FF789A0A"/>
      </top>
      <bottom style="thin">
        <color theme="0" tint="-0.34998626667073579"/>
      </bottom>
      <diagonal/>
    </border>
    <border>
      <left style="thin">
        <color rgb="FF789A0A"/>
      </left>
      <right style="thin">
        <color rgb="FF789A0A"/>
      </right>
      <top style="thin">
        <color theme="0" tint="-0.34998626667073579"/>
      </top>
      <bottom style="thin">
        <color theme="0" tint="-0.34998626667073579"/>
      </bottom>
      <diagonal/>
    </border>
    <border>
      <left style="thin">
        <color rgb="FF789A0A"/>
      </left>
      <right style="thin">
        <color rgb="FF789A0A"/>
      </right>
      <top style="thin">
        <color theme="0" tint="-0.34998626667073579"/>
      </top>
      <bottom style="medium">
        <color rgb="FF789A0A"/>
      </bottom>
      <diagonal/>
    </border>
    <border>
      <left style="thin">
        <color rgb="FF789A0A"/>
      </left>
      <right/>
      <top style="medium">
        <color rgb="FF789A0A"/>
      </top>
      <bottom style="thin">
        <color theme="0" tint="-0.34998626667073579"/>
      </bottom>
      <diagonal/>
    </border>
    <border>
      <left style="thin">
        <color rgb="FF789A0A"/>
      </left>
      <right/>
      <top style="thin">
        <color theme="0" tint="-0.34998626667073579"/>
      </top>
      <bottom style="thin">
        <color theme="0" tint="-0.34998626667073579"/>
      </bottom>
      <diagonal/>
    </border>
    <border>
      <left style="thin">
        <color rgb="FF789A0A"/>
      </left>
      <right/>
      <top style="thin">
        <color theme="0" tint="-0.34998626667073579"/>
      </top>
      <bottom style="medium">
        <color rgb="FF789A0A"/>
      </bottom>
      <diagonal/>
    </border>
    <border>
      <left style="medium">
        <color theme="2" tint="-0.499984740745262"/>
      </left>
      <right style="thin">
        <color theme="2" tint="-0.499984740745262"/>
      </right>
      <top style="thin">
        <color theme="2" tint="-9.9948118533890809E-2"/>
      </top>
      <bottom style="thin">
        <color theme="2" tint="-9.9948118533890809E-2"/>
      </bottom>
      <diagonal/>
    </border>
    <border>
      <left style="thin">
        <color theme="2" tint="-0.499984740745262"/>
      </left>
      <right style="medium">
        <color theme="2" tint="-0.499984740745262"/>
      </right>
      <top style="thin">
        <color theme="2" tint="-9.9948118533890809E-2"/>
      </top>
      <bottom style="thin">
        <color theme="2" tint="-9.9948118533890809E-2"/>
      </bottom>
      <diagonal/>
    </border>
    <border>
      <left style="medium">
        <color theme="2" tint="-0.499984740745262"/>
      </left>
      <right style="thin">
        <color theme="2" tint="-0.499984740745262"/>
      </right>
      <top style="thin">
        <color theme="2" tint="-9.9948118533890809E-2"/>
      </top>
      <bottom style="medium">
        <color theme="2" tint="-0.499984740745262"/>
      </bottom>
      <diagonal/>
    </border>
    <border>
      <left style="thin">
        <color theme="2" tint="-0.499984740745262"/>
      </left>
      <right style="medium">
        <color theme="2" tint="-0.499984740745262"/>
      </right>
      <top style="thin">
        <color theme="2" tint="-9.9948118533890809E-2"/>
      </top>
      <bottom style="medium">
        <color theme="2" tint="-0.499984740745262"/>
      </bottom>
      <diagonal/>
    </border>
    <border>
      <left style="medium">
        <color theme="2" tint="-0.499984740745262"/>
      </left>
      <right style="thin">
        <color theme="2" tint="-0.499984740745262"/>
      </right>
      <top/>
      <bottom style="thin">
        <color theme="2" tint="-9.9948118533890809E-2"/>
      </bottom>
      <diagonal/>
    </border>
    <border>
      <left style="thin">
        <color theme="2" tint="-0.499984740745262"/>
      </left>
      <right style="medium">
        <color theme="2" tint="-0.499984740745262"/>
      </right>
      <top/>
      <bottom style="thin">
        <color theme="2" tint="-9.9948118533890809E-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thin">
        <color theme="2" tint="-9.9948118533890809E-2"/>
      </top>
      <bottom style="thin">
        <color theme="2" tint="-9.9948118533890809E-2"/>
      </bottom>
      <diagonal/>
    </border>
    <border>
      <left style="thin">
        <color theme="2" tint="-0.499984740745262"/>
      </left>
      <right style="thin">
        <color theme="2" tint="-0.499984740745262"/>
      </right>
      <top style="thin">
        <color theme="2" tint="-9.9948118533890809E-2"/>
      </top>
      <bottom style="medium">
        <color theme="2" tint="-0.499984740745262"/>
      </bottom>
      <diagonal/>
    </border>
    <border>
      <left style="thin">
        <color theme="2" tint="-0.499984740745262"/>
      </left>
      <right style="thin">
        <color theme="2" tint="-0.499984740745262"/>
      </right>
      <top/>
      <bottom style="thin">
        <color theme="2" tint="-9.9948118533890809E-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rgb="FFDE500A"/>
      </left>
      <right/>
      <top style="medium">
        <color rgb="FFDE500A"/>
      </top>
      <bottom style="medium">
        <color rgb="FFDE500A"/>
      </bottom>
      <diagonal/>
    </border>
    <border>
      <left/>
      <right style="thin">
        <color rgb="FFDE500A"/>
      </right>
      <top style="medium">
        <color rgb="FFDE500A"/>
      </top>
      <bottom style="medium">
        <color rgb="FFDE500A"/>
      </bottom>
      <diagonal/>
    </border>
    <border>
      <left style="medium">
        <color rgb="FF789A0A"/>
      </left>
      <right style="thin">
        <color rgb="FF789A0A"/>
      </right>
      <top style="medium">
        <color rgb="FF789A0A"/>
      </top>
      <bottom style="thin">
        <color theme="2" tint="-0.24994659260841701"/>
      </bottom>
      <diagonal/>
    </border>
    <border>
      <left style="thin">
        <color rgb="FF789A0A"/>
      </left>
      <right style="medium">
        <color rgb="FF789A0A"/>
      </right>
      <top style="medium">
        <color rgb="FF789A0A"/>
      </top>
      <bottom style="thin">
        <color theme="2" tint="-0.24994659260841701"/>
      </bottom>
      <diagonal/>
    </border>
    <border>
      <left style="medium">
        <color rgb="FF789A0A"/>
      </left>
      <right style="thin">
        <color rgb="FF789A0A"/>
      </right>
      <top style="thin">
        <color theme="2" tint="-0.24994659260841701"/>
      </top>
      <bottom style="thin">
        <color theme="2" tint="-0.24994659260841701"/>
      </bottom>
      <diagonal/>
    </border>
    <border>
      <left style="thin">
        <color rgb="FF789A0A"/>
      </left>
      <right style="medium">
        <color rgb="FF789A0A"/>
      </right>
      <top style="thin">
        <color theme="2" tint="-0.24994659260841701"/>
      </top>
      <bottom style="thin">
        <color theme="2" tint="-0.24994659260841701"/>
      </bottom>
      <diagonal/>
    </border>
    <border>
      <left style="medium">
        <color rgb="FF789A0A"/>
      </left>
      <right style="thin">
        <color rgb="FF789A0A"/>
      </right>
      <top style="thin">
        <color theme="2" tint="-0.24994659260841701"/>
      </top>
      <bottom style="medium">
        <color rgb="FF789A0A"/>
      </bottom>
      <diagonal/>
    </border>
    <border>
      <left style="thin">
        <color rgb="FF789A0A"/>
      </left>
      <right style="medium">
        <color rgb="FF789A0A"/>
      </right>
      <top style="thin">
        <color theme="2" tint="-0.24994659260841701"/>
      </top>
      <bottom style="medium">
        <color rgb="FF789A0A"/>
      </bottom>
      <diagonal/>
    </border>
  </borders>
  <cellStyleXfs count="2">
    <xf numFmtId="0" fontId="0" fillId="0" borderId="0"/>
    <xf numFmtId="0" fontId="33" fillId="0" borderId="0" applyNumberFormat="0" applyFill="0" applyBorder="0" applyAlignment="0" applyProtection="0"/>
  </cellStyleXfs>
  <cellXfs count="689">
    <xf numFmtId="0" fontId="0" fillId="0" borderId="0" xfId="0"/>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0" fillId="0" borderId="0" xfId="0" applyProtection="1"/>
    <xf numFmtId="0" fontId="12" fillId="0" borderId="0" xfId="0" applyFont="1" applyAlignment="1" applyProtection="1">
      <alignment horizontal="center" vertical="center"/>
    </xf>
    <xf numFmtId="0" fontId="0" fillId="0" borderId="0" xfId="0" applyFill="1" applyAlignment="1" applyProtection="1">
      <alignment horizontal="left"/>
    </xf>
    <xf numFmtId="164" fontId="6" fillId="0" borderId="5" xfId="0" applyNumberFormat="1" applyFont="1" applyFill="1" applyBorder="1" applyAlignment="1" applyProtection="1">
      <alignment horizontal="center"/>
    </xf>
    <xf numFmtId="0" fontId="7" fillId="0" borderId="5" xfId="0" applyFont="1" applyFill="1" applyBorder="1" applyAlignment="1" applyProtection="1">
      <alignment horizontal="center" vertical="center"/>
    </xf>
    <xf numFmtId="0" fontId="7" fillId="0" borderId="6" xfId="0" applyFont="1" applyFill="1" applyBorder="1" applyAlignment="1" applyProtection="1">
      <alignment horizontal="center" vertical="center"/>
    </xf>
    <xf numFmtId="0" fontId="9" fillId="0" borderId="0" xfId="0" applyFont="1" applyProtection="1"/>
    <xf numFmtId="0" fontId="10" fillId="0" borderId="0" xfId="0" applyFont="1" applyAlignment="1" applyProtection="1">
      <alignment horizontal="center" vertical="center"/>
    </xf>
    <xf numFmtId="0" fontId="0" fillId="0" borderId="14" xfId="0" applyBorder="1" applyProtection="1"/>
    <xf numFmtId="0" fontId="0" fillId="0" borderId="0" xfId="0" applyBorder="1" applyProtection="1"/>
    <xf numFmtId="0" fontId="0" fillId="0" borderId="15" xfId="0" applyFill="1" applyBorder="1" applyProtection="1"/>
    <xf numFmtId="0" fontId="10" fillId="0" borderId="0" xfId="0" applyFont="1" applyProtection="1"/>
    <xf numFmtId="0" fontId="11" fillId="0" borderId="0" xfId="0" applyFont="1" applyProtection="1"/>
    <xf numFmtId="0" fontId="6" fillId="0" borderId="0" xfId="0" applyFont="1" applyProtection="1"/>
    <xf numFmtId="0" fontId="0" fillId="0" borderId="0" xfId="0" applyFill="1" applyBorder="1" applyProtection="1"/>
    <xf numFmtId="164" fontId="6"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0" fillId="0" borderId="0" xfId="0" applyFont="1" applyBorder="1" applyAlignment="1" applyProtection="1">
      <alignment horizontal="center" vertical="center"/>
    </xf>
    <xf numFmtId="0" fontId="4" fillId="0" borderId="0" xfId="0" applyFont="1" applyAlignment="1" applyProtection="1">
      <alignment horizontal="center"/>
    </xf>
    <xf numFmtId="0" fontId="11" fillId="0" borderId="0" xfId="0" applyFont="1" applyAlignment="1" applyProtection="1">
      <alignment horizontal="center" vertical="center"/>
    </xf>
    <xf numFmtId="0" fontId="17" fillId="0" borderId="0" xfId="0" applyFont="1" applyAlignment="1" applyProtection="1">
      <alignment horizontal="center" vertical="center"/>
    </xf>
    <xf numFmtId="0" fontId="18" fillId="0" borderId="0" xfId="0" applyFont="1" applyAlignment="1" applyProtection="1">
      <alignment horizontal="center" vertical="center"/>
    </xf>
    <xf numFmtId="0" fontId="0" fillId="0" borderId="0" xfId="0" applyFill="1" applyBorder="1" applyAlignment="1" applyProtection="1">
      <alignment horizontal="center" vertical="center"/>
    </xf>
    <xf numFmtId="49" fontId="20" fillId="0" borderId="0" xfId="0" applyNumberFormat="1" applyFont="1" applyAlignment="1" applyProtection="1">
      <alignment horizontal="center" vertical="center"/>
    </xf>
    <xf numFmtId="0" fontId="0" fillId="0" borderId="0" xfId="0" applyProtection="1">
      <protection locked="0"/>
    </xf>
    <xf numFmtId="0" fontId="0" fillId="0" borderId="0" xfId="0" applyAlignment="1">
      <alignment horizontal="center"/>
    </xf>
    <xf numFmtId="0" fontId="0" fillId="0" borderId="0" xfId="0" applyBorder="1"/>
    <xf numFmtId="0" fontId="6" fillId="0" borderId="19" xfId="0" applyFont="1" applyBorder="1"/>
    <xf numFmtId="0" fontId="8" fillId="0" borderId="0" xfId="0" applyFont="1" applyFill="1" applyBorder="1" applyAlignment="1" applyProtection="1">
      <alignment horizontal="center" vertical="center"/>
    </xf>
    <xf numFmtId="0" fontId="0" fillId="0" borderId="0" xfId="0" applyFill="1" applyBorder="1" applyAlignment="1" applyProtection="1">
      <alignment horizontal="center"/>
    </xf>
    <xf numFmtId="0" fontId="23" fillId="0" borderId="0" xfId="0" applyFont="1"/>
    <xf numFmtId="0" fontId="0" fillId="0" borderId="0" xfId="0" applyAlignment="1">
      <alignment horizontal="left"/>
    </xf>
    <xf numFmtId="0" fontId="0" fillId="0" borderId="21" xfId="0" applyBorder="1" applyAlignment="1">
      <alignment horizontal="center"/>
    </xf>
    <xf numFmtId="0" fontId="0" fillId="0" borderId="21" xfId="0" applyBorder="1"/>
    <xf numFmtId="0" fontId="0" fillId="0" borderId="22"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6" xfId="0" applyBorder="1"/>
    <xf numFmtId="0" fontId="0" fillId="0" borderId="27" xfId="0" applyBorder="1" applyAlignment="1">
      <alignment horizontal="center"/>
    </xf>
    <xf numFmtId="0" fontId="0" fillId="0" borderId="0" xfId="0" applyAlignment="1">
      <alignment horizontal="right"/>
    </xf>
    <xf numFmtId="0" fontId="0" fillId="2" borderId="28" xfId="0" applyFill="1" applyBorder="1"/>
    <xf numFmtId="0" fontId="0" fillId="0" borderId="29" xfId="0" applyBorder="1"/>
    <xf numFmtId="0" fontId="0" fillId="0" borderId="29" xfId="0" applyBorder="1" applyAlignment="1">
      <alignment horizontal="center"/>
    </xf>
    <xf numFmtId="0" fontId="26" fillId="0" borderId="0" xfId="0" applyFont="1" applyAlignment="1">
      <alignment horizontal="center"/>
    </xf>
    <xf numFmtId="0" fontId="27" fillId="0" borderId="0" xfId="0" applyFont="1"/>
    <xf numFmtId="0" fontId="0" fillId="0" borderId="0" xfId="0" applyFill="1" applyBorder="1" applyAlignment="1">
      <alignment horizontal="right"/>
    </xf>
    <xf numFmtId="0" fontId="0" fillId="0" borderId="0" xfId="0" applyFill="1" applyBorder="1" applyAlignment="1">
      <alignment horizontal="center"/>
    </xf>
    <xf numFmtId="0" fontId="0" fillId="0" borderId="0" xfId="0" applyFill="1" applyBorder="1"/>
    <xf numFmtId="0" fontId="0" fillId="0" borderId="17" xfId="0" applyBorder="1" applyAlignment="1">
      <alignment horizontal="right" indent="1"/>
    </xf>
    <xf numFmtId="0" fontId="0" fillId="0" borderId="19" xfId="0" applyBorder="1" applyAlignment="1">
      <alignment horizontal="right" indent="1"/>
    </xf>
    <xf numFmtId="0" fontId="21" fillId="0" borderId="30" xfId="0" applyFont="1" applyBorder="1" applyAlignment="1">
      <alignment horizontal="center"/>
    </xf>
    <xf numFmtId="0" fontId="0" fillId="0" borderId="0" xfId="0" applyAlignment="1">
      <alignment horizontal="right" indent="1"/>
    </xf>
    <xf numFmtId="0" fontId="24" fillId="0" borderId="0" xfId="0" applyFont="1" applyAlignment="1">
      <alignment horizontal="center"/>
    </xf>
    <xf numFmtId="0" fontId="0" fillId="0" borderId="23" xfId="0" applyBorder="1" applyAlignment="1">
      <alignment horizontal="center"/>
    </xf>
    <xf numFmtId="0" fontId="0" fillId="8" borderId="28" xfId="0" applyFill="1" applyBorder="1" applyAlignment="1">
      <alignment horizontal="center"/>
    </xf>
    <xf numFmtId="0" fontId="24" fillId="0" borderId="0" xfId="0" applyFont="1" applyAlignment="1">
      <alignment horizontal="right"/>
    </xf>
    <xf numFmtId="0" fontId="0" fillId="0" borderId="0" xfId="0" applyAlignment="1" applyProtection="1">
      <alignment horizontal="center"/>
      <protection locked="0"/>
    </xf>
    <xf numFmtId="0" fontId="0" fillId="9" borderId="0" xfId="0" applyFill="1" applyAlignment="1">
      <alignment horizontal="center"/>
    </xf>
    <xf numFmtId="0" fontId="5" fillId="0" borderId="0" xfId="0" applyFont="1" applyFill="1" applyBorder="1" applyAlignment="1" applyProtection="1">
      <alignment horizontal="center"/>
    </xf>
    <xf numFmtId="0" fontId="0" fillId="0" borderId="0" xfId="0" applyFill="1" applyBorder="1" applyAlignment="1" applyProtection="1">
      <alignment horizontal="left"/>
    </xf>
    <xf numFmtId="0" fontId="7" fillId="12" borderId="5" xfId="0" applyFont="1" applyFill="1" applyBorder="1" applyAlignment="1" applyProtection="1">
      <alignment horizontal="center" vertical="center"/>
    </xf>
    <xf numFmtId="0" fontId="7" fillId="12" borderId="6" xfId="0" applyFont="1" applyFill="1" applyBorder="1" applyAlignment="1" applyProtection="1">
      <alignment horizontal="center" vertical="center"/>
    </xf>
    <xf numFmtId="0" fontId="24" fillId="0" borderId="0" xfId="0" quotePrefix="1" applyFont="1" applyAlignment="1">
      <alignment horizontal="center"/>
    </xf>
    <xf numFmtId="0" fontId="0" fillId="0" borderId="0" xfId="0" applyAlignment="1">
      <alignment horizontal="right" vertical="center"/>
    </xf>
    <xf numFmtId="0" fontId="0" fillId="0" borderId="0" xfId="0" applyAlignment="1">
      <alignment horizontal="left" vertical="center" indent="1"/>
    </xf>
    <xf numFmtId="0" fontId="35" fillId="0" borderId="0" xfId="0" applyFont="1" applyFill="1" applyBorder="1"/>
    <xf numFmtId="0" fontId="2" fillId="5" borderId="43" xfId="0" applyFont="1" applyFill="1" applyBorder="1" applyAlignment="1" applyProtection="1">
      <alignment horizontal="center" vertical="center"/>
      <protection locked="0"/>
    </xf>
    <xf numFmtId="0" fontId="0" fillId="0" borderId="0" xfId="0" applyFill="1" applyBorder="1" applyAlignment="1">
      <alignment horizontal="left" indent="1"/>
    </xf>
    <xf numFmtId="0" fontId="0" fillId="0" borderId="51" xfId="0" applyFill="1" applyBorder="1" applyAlignment="1">
      <alignment horizontal="left" indent="1"/>
    </xf>
    <xf numFmtId="0" fontId="0" fillId="7" borderId="0" xfId="0" applyFill="1" applyBorder="1" applyAlignment="1">
      <alignment horizontal="right" indent="2"/>
    </xf>
    <xf numFmtId="0" fontId="0" fillId="7" borderId="52" xfId="0" applyFill="1" applyBorder="1" applyAlignment="1">
      <alignment horizontal="left" indent="1"/>
    </xf>
    <xf numFmtId="0" fontId="0" fillId="0" borderId="53" xfId="0"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36" fillId="0" borderId="0" xfId="0" applyFont="1" applyAlignment="1">
      <alignment horizontal="center"/>
    </xf>
    <xf numFmtId="0" fontId="0" fillId="6" borderId="56" xfId="0" applyNumberFormat="1" applyFill="1" applyBorder="1" applyAlignment="1">
      <alignment horizontal="center"/>
    </xf>
    <xf numFmtId="0" fontId="0" fillId="0" borderId="0" xfId="0" applyBorder="1" applyAlignment="1">
      <alignment horizontal="left"/>
    </xf>
    <xf numFmtId="0" fontId="0" fillId="3" borderId="0" xfId="0" applyFill="1" applyBorder="1" applyAlignment="1">
      <alignment horizontal="left"/>
    </xf>
    <xf numFmtId="0" fontId="0" fillId="3" borderId="20" xfId="0" applyFill="1" applyBorder="1"/>
    <xf numFmtId="0" fontId="24" fillId="0" borderId="0" xfId="0" applyFont="1" applyBorder="1" applyAlignment="1">
      <alignment horizontal="center"/>
    </xf>
    <xf numFmtId="0" fontId="21" fillId="0" borderId="0" xfId="0" applyFont="1" applyBorder="1" applyAlignment="1"/>
    <xf numFmtId="0" fontId="21" fillId="0" borderId="0" xfId="0" applyFont="1" applyAlignment="1">
      <alignment horizontal="center"/>
    </xf>
    <xf numFmtId="0" fontId="21" fillId="0" borderId="0" xfId="0" applyFont="1" applyBorder="1" applyAlignment="1">
      <alignment horizontal="center"/>
    </xf>
    <xf numFmtId="0" fontId="0" fillId="0" borderId="0" xfId="0" applyFont="1" applyBorder="1" applyAlignment="1">
      <alignment horizontal="center"/>
    </xf>
    <xf numFmtId="0" fontId="16" fillId="0" borderId="0" xfId="0" applyFont="1" applyFill="1" applyBorder="1" applyAlignment="1">
      <alignment vertical="center"/>
    </xf>
    <xf numFmtId="0" fontId="19" fillId="0" borderId="0" xfId="0" applyFont="1" applyBorder="1" applyAlignment="1">
      <alignment vertical="center"/>
    </xf>
    <xf numFmtId="0" fontId="29" fillId="0" borderId="0" xfId="0" applyFont="1" applyAlignment="1"/>
    <xf numFmtId="0" fontId="25" fillId="0" borderId="0" xfId="0" applyFont="1" applyAlignment="1"/>
    <xf numFmtId="0" fontId="4" fillId="0" borderId="0" xfId="0" applyFont="1" applyAlignment="1" applyProtection="1"/>
    <xf numFmtId="0" fontId="34" fillId="0" borderId="0" xfId="0" applyFont="1" applyAlignment="1">
      <alignment horizontal="center"/>
    </xf>
    <xf numFmtId="0" fontId="37" fillId="0" borderId="0" xfId="0" applyFont="1" applyAlignment="1" applyProtection="1">
      <alignment horizontal="left" vertical="center"/>
    </xf>
    <xf numFmtId="0" fontId="12" fillId="0" borderId="0" xfId="0" applyFont="1" applyAlignment="1" applyProtection="1">
      <alignment horizontal="center" vertical="top"/>
    </xf>
    <xf numFmtId="0" fontId="0" fillId="0" borderId="0" xfId="0" applyAlignment="1" applyProtection="1">
      <alignment vertical="top"/>
    </xf>
    <xf numFmtId="0" fontId="11" fillId="0" borderId="0" xfId="0" applyFont="1" applyAlignment="1"/>
    <xf numFmtId="0" fontId="30" fillId="0" borderId="0" xfId="0" applyFont="1" applyAlignment="1"/>
    <xf numFmtId="0" fontId="11" fillId="0" borderId="0" xfId="0" applyFont="1" applyAlignment="1">
      <alignment vertical="top"/>
    </xf>
    <xf numFmtId="0" fontId="40" fillId="5" borderId="19" xfId="0" applyFont="1" applyFill="1" applyBorder="1" applyAlignment="1" applyProtection="1">
      <alignment horizontal="center"/>
      <protection locked="0"/>
    </xf>
    <xf numFmtId="0" fontId="40" fillId="5" borderId="17" xfId="0" applyFont="1" applyFill="1" applyBorder="1" applyAlignment="1" applyProtection="1">
      <alignment horizontal="center"/>
      <protection locked="0"/>
    </xf>
    <xf numFmtId="0" fontId="0" fillId="0" borderId="0" xfId="0" applyAlignment="1" applyProtection="1">
      <alignment vertical="top" wrapText="1"/>
      <protection locked="0"/>
    </xf>
    <xf numFmtId="0" fontId="0" fillId="0" borderId="0" xfId="0" applyAlignment="1" applyProtection="1">
      <alignment vertical="center" wrapText="1"/>
      <protection locked="0"/>
    </xf>
    <xf numFmtId="0" fontId="0" fillId="0" borderId="61" xfId="0" applyFill="1" applyBorder="1" applyAlignment="1">
      <alignment horizontal="left" indent="1"/>
    </xf>
    <xf numFmtId="165" fontId="0" fillId="0" borderId="0" xfId="0" applyNumberFormat="1" applyBorder="1" applyAlignment="1">
      <alignment horizontal="right" indent="2"/>
    </xf>
    <xf numFmtId="0" fontId="3" fillId="7" borderId="62" xfId="0" applyFont="1" applyFill="1" applyBorder="1"/>
    <xf numFmtId="0" fontId="41" fillId="0" borderId="0" xfId="0" applyFont="1" applyFill="1" applyBorder="1"/>
    <xf numFmtId="0" fontId="0" fillId="5" borderId="46" xfId="0" applyFill="1" applyBorder="1" applyAlignment="1" applyProtection="1">
      <alignment horizontal="left" indent="1"/>
      <protection locked="0"/>
    </xf>
    <xf numFmtId="0" fontId="0" fillId="5" borderId="48" xfId="0" applyFill="1" applyBorder="1" applyAlignment="1" applyProtection="1">
      <alignment horizontal="left" indent="1"/>
      <protection locked="0"/>
    </xf>
    <xf numFmtId="0" fontId="0" fillId="0" borderId="0" xfId="0" applyAlignment="1">
      <alignment horizontal="left" indent="1"/>
    </xf>
    <xf numFmtId="0" fontId="34" fillId="0" borderId="34" xfId="0" applyFont="1" applyFill="1" applyBorder="1" applyAlignment="1">
      <alignment horizontal="left" indent="1"/>
    </xf>
    <xf numFmtId="0" fontId="0" fillId="0" borderId="35" xfId="0" applyBorder="1" applyAlignment="1">
      <alignment horizontal="left" indent="1"/>
    </xf>
    <xf numFmtId="0" fontId="0" fillId="0" borderId="57" xfId="0" applyBorder="1" applyAlignment="1">
      <alignment horizontal="left" indent="1"/>
    </xf>
    <xf numFmtId="0" fontId="34" fillId="0" borderId="36" xfId="0" applyFont="1" applyFill="1" applyBorder="1" applyAlignment="1">
      <alignment horizontal="left" indent="1"/>
    </xf>
    <xf numFmtId="0" fontId="0" fillId="0" borderId="0" xfId="0" applyBorder="1" applyAlignment="1">
      <alignment horizontal="left" indent="1"/>
    </xf>
    <xf numFmtId="0" fontId="0" fillId="0" borderId="58" xfId="0" applyBorder="1" applyAlignment="1">
      <alignment horizontal="left" indent="1"/>
    </xf>
    <xf numFmtId="0" fontId="0" fillId="5" borderId="46" xfId="0" applyFill="1" applyBorder="1" applyAlignment="1" applyProtection="1">
      <alignment horizontal="left" vertical="center" wrapText="1" indent="1"/>
      <protection locked="0"/>
    </xf>
    <xf numFmtId="0" fontId="0" fillId="0" borderId="0" xfId="0" applyAlignment="1" applyProtection="1">
      <alignment vertical="center"/>
      <protection locked="0"/>
    </xf>
    <xf numFmtId="0" fontId="0" fillId="5" borderId="45" xfId="0" applyFill="1" applyBorder="1" applyAlignment="1" applyProtection="1">
      <alignment horizontal="left" vertical="center" indent="1"/>
      <protection locked="0"/>
    </xf>
    <xf numFmtId="0" fontId="13" fillId="0" borderId="0" xfId="0" applyFont="1" applyBorder="1" applyAlignment="1" applyProtection="1">
      <alignment horizontal="center" vertical="center"/>
    </xf>
    <xf numFmtId="0" fontId="13" fillId="0" borderId="0" xfId="0" applyFont="1" applyBorder="1" applyAlignment="1" applyProtection="1">
      <alignment horizontal="center" vertical="top"/>
    </xf>
    <xf numFmtId="0" fontId="12" fillId="0" borderId="0" xfId="0" applyFont="1" applyBorder="1" applyAlignment="1" applyProtection="1">
      <alignment horizontal="center" vertical="center"/>
    </xf>
    <xf numFmtId="0" fontId="12" fillId="0" borderId="0" xfId="0" applyFont="1" applyBorder="1" applyAlignment="1" applyProtection="1">
      <alignment horizontal="center" vertical="top"/>
    </xf>
    <xf numFmtId="0" fontId="43" fillId="0" borderId="0" xfId="0" applyFont="1" applyAlignment="1" applyProtection="1">
      <alignment horizontal="right"/>
    </xf>
    <xf numFmtId="0" fontId="44" fillId="0" borderId="0" xfId="0" applyFont="1" applyAlignment="1" applyProtection="1">
      <alignment horizontal="right"/>
    </xf>
    <xf numFmtId="0" fontId="0" fillId="0" borderId="0" xfId="0" applyAlignment="1">
      <alignment horizontal="center"/>
    </xf>
    <xf numFmtId="0" fontId="3" fillId="0" borderId="0" xfId="0" applyFont="1" applyAlignment="1">
      <alignment horizontal="center"/>
    </xf>
    <xf numFmtId="0" fontId="0" fillId="0" borderId="65" xfId="0" applyBorder="1"/>
    <xf numFmtId="0" fontId="0" fillId="0" borderId="66" xfId="0" applyBorder="1" applyAlignment="1">
      <alignment horizontal="right" indent="1"/>
    </xf>
    <xf numFmtId="0" fontId="0" fillId="0" borderId="67" xfId="0" applyBorder="1" applyAlignment="1">
      <alignment horizontal="center"/>
    </xf>
    <xf numFmtId="0" fontId="0" fillId="0" borderId="64" xfId="0" applyBorder="1" applyAlignment="1">
      <alignment horizontal="center"/>
    </xf>
    <xf numFmtId="0" fontId="0" fillId="3" borderId="27" xfId="0" applyFill="1" applyBorder="1"/>
    <xf numFmtId="0" fontId="0" fillId="0" borderId="25" xfId="0" applyBorder="1" applyAlignment="1">
      <alignment horizontal="center"/>
    </xf>
    <xf numFmtId="0" fontId="45" fillId="0" borderId="0" xfId="0" applyFont="1"/>
    <xf numFmtId="0" fontId="3" fillId="0" borderId="0" xfId="0" applyFont="1" applyAlignment="1">
      <alignment horizontal="center" wrapText="1"/>
    </xf>
    <xf numFmtId="0" fontId="3" fillId="0" borderId="0" xfId="0" applyFont="1"/>
    <xf numFmtId="0" fontId="3" fillId="7" borderId="0" xfId="0" applyFont="1" applyFill="1" applyBorder="1" applyAlignment="1">
      <alignment horizontal="center"/>
    </xf>
    <xf numFmtId="0" fontId="0" fillId="0" borderId="0" xfId="0" quotePrefix="1" applyAlignment="1">
      <alignment horizontal="center"/>
    </xf>
    <xf numFmtId="0" fontId="47" fillId="0" borderId="0" xfId="0" applyFont="1" applyProtection="1"/>
    <xf numFmtId="0" fontId="0" fillId="0" borderId="14" xfId="0" applyFill="1" applyBorder="1" applyProtection="1"/>
    <xf numFmtId="0" fontId="0" fillId="0" borderId="0" xfId="0" applyFill="1" applyAlignment="1">
      <alignment horizontal="center"/>
    </xf>
    <xf numFmtId="0" fontId="0" fillId="0" borderId="0" xfId="0" applyFill="1"/>
    <xf numFmtId="0" fontId="19" fillId="0" borderId="0" xfId="0" applyFont="1" applyAlignment="1">
      <alignment horizontal="center" vertical="center" wrapText="1"/>
    </xf>
    <xf numFmtId="0" fontId="1" fillId="5" borderId="43"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xf>
    <xf numFmtId="0" fontId="0" fillId="0" borderId="0" xfId="0" applyFill="1" applyAlignment="1">
      <alignment horizontal="left" indent="1"/>
    </xf>
    <xf numFmtId="0" fontId="3" fillId="0" borderId="77" xfId="0" applyFont="1" applyBorder="1" applyAlignment="1">
      <alignment horizontal="center"/>
    </xf>
    <xf numFmtId="0" fontId="21" fillId="0" borderId="78" xfId="0" applyFont="1" applyBorder="1" applyAlignment="1">
      <alignment horizontal="center" wrapText="1"/>
    </xf>
    <xf numFmtId="0" fontId="0" fillId="0" borderId="79" xfId="0" applyBorder="1"/>
    <xf numFmtId="0" fontId="0" fillId="7" borderId="80" xfId="0" applyFill="1" applyBorder="1" applyAlignment="1">
      <alignment horizontal="center" vertical="center"/>
    </xf>
    <xf numFmtId="0" fontId="0" fillId="0" borderId="81" xfId="0" applyFill="1" applyBorder="1" applyAlignment="1">
      <alignment horizontal="center" vertical="center"/>
    </xf>
    <xf numFmtId="0" fontId="0" fillId="7" borderId="83" xfId="0" applyFill="1" applyBorder="1" applyAlignment="1">
      <alignment horizontal="center" vertical="center"/>
    </xf>
    <xf numFmtId="0" fontId="11" fillId="0" borderId="0" xfId="0" applyFont="1" applyAlignment="1" applyProtection="1">
      <alignment vertical="center"/>
    </xf>
    <xf numFmtId="0" fontId="0" fillId="0" borderId="0" xfId="0" applyAlignment="1" applyProtection="1">
      <alignment vertical="center"/>
    </xf>
    <xf numFmtId="0" fontId="0" fillId="0" borderId="0" xfId="0" applyAlignment="1">
      <alignment horizontal="center"/>
    </xf>
    <xf numFmtId="0" fontId="0" fillId="5" borderId="86" xfId="0" applyFill="1" applyBorder="1" applyAlignment="1" applyProtection="1">
      <alignment horizontal="left" vertical="center" wrapText="1" indent="1"/>
      <protection locked="0"/>
    </xf>
    <xf numFmtId="0" fontId="0" fillId="0" borderId="0" xfId="0" applyAlignment="1">
      <alignment horizontal="center"/>
    </xf>
    <xf numFmtId="0" fontId="0" fillId="0" borderId="50" xfId="0" applyFill="1" applyBorder="1" applyAlignment="1">
      <alignment horizontal="left" indent="1"/>
    </xf>
    <xf numFmtId="0" fontId="0" fillId="0" borderId="84" xfId="0" applyFill="1" applyBorder="1" applyAlignment="1">
      <alignment horizontal="left" indent="1"/>
    </xf>
    <xf numFmtId="0" fontId="21" fillId="0" borderId="89" xfId="0" applyFont="1" applyBorder="1" applyAlignment="1">
      <alignment horizontal="center" wrapText="1"/>
    </xf>
    <xf numFmtId="0" fontId="28" fillId="0" borderId="0" xfId="0" applyFont="1" applyAlignment="1">
      <alignment vertical="top" wrapText="1"/>
    </xf>
    <xf numFmtId="0" fontId="49" fillId="0" borderId="0" xfId="0" applyFont="1" applyFill="1" applyAlignment="1">
      <alignment horizontal="center" vertical="center"/>
    </xf>
    <xf numFmtId="0" fontId="0" fillId="14" borderId="0" xfId="0" applyFill="1" applyBorder="1" applyAlignment="1">
      <alignment vertical="center"/>
    </xf>
    <xf numFmtId="0" fontId="0" fillId="14" borderId="90" xfId="0" applyFill="1" applyBorder="1"/>
    <xf numFmtId="0" fontId="0" fillId="14" borderId="92" xfId="0" applyFill="1" applyBorder="1"/>
    <xf numFmtId="0" fontId="0" fillId="14" borderId="93" xfId="0" applyFill="1" applyBorder="1"/>
    <xf numFmtId="0" fontId="0" fillId="14" borderId="0" xfId="0" applyFill="1" applyBorder="1"/>
    <xf numFmtId="0" fontId="0" fillId="14" borderId="94" xfId="0" applyFill="1" applyBorder="1"/>
    <xf numFmtId="0" fontId="46" fillId="14" borderId="0" xfId="0" applyFont="1" applyFill="1" applyBorder="1"/>
    <xf numFmtId="0" fontId="3" fillId="14" borderId="0" xfId="0" applyFont="1" applyFill="1" applyBorder="1"/>
    <xf numFmtId="0" fontId="0" fillId="14" borderId="95" xfId="0" applyFill="1" applyBorder="1"/>
    <xf numFmtId="0" fontId="0" fillId="14" borderId="96" xfId="0" applyFill="1" applyBorder="1"/>
    <xf numFmtId="0" fontId="0" fillId="14" borderId="97" xfId="0" applyFill="1" applyBorder="1"/>
    <xf numFmtId="0" fontId="0" fillId="14" borderId="91" xfId="0" applyFill="1" applyBorder="1"/>
    <xf numFmtId="0" fontId="0" fillId="5" borderId="47" xfId="0" applyFill="1" applyBorder="1" applyAlignment="1" applyProtection="1">
      <alignment horizontal="left" vertical="top" wrapText="1" indent="1"/>
      <protection locked="0"/>
    </xf>
    <xf numFmtId="0" fontId="0" fillId="5" borderId="48" xfId="0" applyFill="1" applyBorder="1" applyAlignment="1" applyProtection="1">
      <alignment horizontal="left" vertical="center" wrapText="1" indent="1"/>
      <protection locked="0"/>
    </xf>
    <xf numFmtId="0" fontId="0" fillId="0" borderId="0" xfId="0" applyAlignment="1">
      <alignment horizontal="center"/>
    </xf>
    <xf numFmtId="0" fontId="0" fillId="0" borderId="0" xfId="0" applyBorder="1" applyAlignment="1">
      <alignment horizontal="center"/>
    </xf>
    <xf numFmtId="0" fontId="32" fillId="4" borderId="73" xfId="0" applyFont="1" applyFill="1" applyBorder="1" applyAlignment="1" applyProtection="1">
      <alignment horizontal="center"/>
    </xf>
    <xf numFmtId="0" fontId="0" fillId="14" borderId="74" xfId="0" applyFill="1" applyBorder="1" applyAlignment="1" applyProtection="1">
      <alignment horizontal="center"/>
    </xf>
    <xf numFmtId="0" fontId="0" fillId="14" borderId="75" xfId="0" applyFill="1" applyBorder="1" applyAlignment="1" applyProtection="1">
      <alignment horizontal="center"/>
    </xf>
    <xf numFmtId="0" fontId="32" fillId="4" borderId="74" xfId="0" applyFont="1" applyFill="1" applyBorder="1" applyAlignment="1" applyProtection="1">
      <alignment horizontal="center"/>
    </xf>
    <xf numFmtId="0" fontId="0" fillId="14" borderId="76" xfId="0" applyFill="1" applyBorder="1" applyAlignment="1" applyProtection="1">
      <alignment horizontal="center"/>
    </xf>
    <xf numFmtId="0" fontId="0" fillId="10" borderId="38" xfId="0" applyFill="1" applyBorder="1" applyAlignment="1" applyProtection="1">
      <alignment horizontal="left" indent="1"/>
      <protection locked="0"/>
    </xf>
    <xf numFmtId="0" fontId="0" fillId="2" borderId="37" xfId="0" applyFill="1" applyBorder="1" applyAlignment="1" applyProtection="1">
      <alignment horizontal="left" indent="1"/>
      <protection locked="0"/>
    </xf>
    <xf numFmtId="0" fontId="0" fillId="6" borderId="38" xfId="0" applyFill="1" applyBorder="1" applyAlignment="1" applyProtection="1">
      <alignment horizontal="left" indent="1"/>
      <protection locked="0"/>
    </xf>
    <xf numFmtId="0" fontId="0" fillId="11" borderId="38" xfId="0" applyFill="1" applyBorder="1" applyAlignment="1" applyProtection="1">
      <alignment horizontal="left" indent="1"/>
      <protection locked="0"/>
    </xf>
    <xf numFmtId="0" fontId="0" fillId="2" borderId="41" xfId="0" applyFill="1" applyBorder="1" applyAlignment="1" applyProtection="1">
      <alignment horizontal="left" indent="1"/>
      <protection locked="0"/>
    </xf>
    <xf numFmtId="0" fontId="0" fillId="6" borderId="42" xfId="0" applyFill="1" applyBorder="1" applyAlignment="1" applyProtection="1">
      <alignment horizontal="left" indent="1"/>
      <protection locked="0"/>
    </xf>
    <xf numFmtId="0" fontId="0" fillId="10" borderId="42" xfId="0" applyFill="1" applyBorder="1" applyAlignment="1" applyProtection="1">
      <alignment horizontal="left" indent="1"/>
      <protection locked="0"/>
    </xf>
    <xf numFmtId="0" fontId="0" fillId="11" borderId="42" xfId="0" applyFill="1" applyBorder="1" applyAlignment="1" applyProtection="1">
      <alignment horizontal="left" indent="1"/>
      <protection locked="0"/>
    </xf>
    <xf numFmtId="0" fontId="0" fillId="2" borderId="37" xfId="0" applyFont="1" applyFill="1" applyBorder="1" applyAlignment="1" applyProtection="1">
      <alignment horizontal="left" vertical="center" indent="1"/>
      <protection locked="0"/>
    </xf>
    <xf numFmtId="0" fontId="0" fillId="6" borderId="38" xfId="0" applyFont="1" applyFill="1" applyBorder="1" applyAlignment="1" applyProtection="1">
      <alignment horizontal="left" vertical="center" indent="1"/>
      <protection locked="0"/>
    </xf>
    <xf numFmtId="0" fontId="0" fillId="10" borderId="38" xfId="0" applyFont="1" applyFill="1" applyBorder="1" applyAlignment="1" applyProtection="1">
      <alignment horizontal="left" vertical="center" indent="1"/>
      <protection locked="0"/>
    </xf>
    <xf numFmtId="0" fontId="0" fillId="11" borderId="38" xfId="0" applyFont="1" applyFill="1" applyBorder="1" applyAlignment="1" applyProtection="1">
      <alignment horizontal="left" vertical="center" indent="1"/>
      <protection locked="0"/>
    </xf>
    <xf numFmtId="0" fontId="0" fillId="2" borderId="37" xfId="0" applyFill="1" applyBorder="1" applyAlignment="1" applyProtection="1">
      <alignment horizontal="left" vertical="center" wrapText="1" indent="1"/>
      <protection locked="0"/>
    </xf>
    <xf numFmtId="0" fontId="0" fillId="6" borderId="38" xfId="0" applyFill="1" applyBorder="1" applyAlignment="1" applyProtection="1">
      <alignment horizontal="left" vertical="center" wrapText="1" indent="1"/>
      <protection locked="0"/>
    </xf>
    <xf numFmtId="0" fontId="0" fillId="10" borderId="38" xfId="0" applyFill="1" applyBorder="1" applyAlignment="1" applyProtection="1">
      <alignment horizontal="left" vertical="center" wrapText="1" indent="1"/>
      <protection locked="0"/>
    </xf>
    <xf numFmtId="0" fontId="0" fillId="11" borderId="38" xfId="0" applyFill="1" applyBorder="1" applyAlignment="1" applyProtection="1">
      <alignment horizontal="left" vertical="center" wrapText="1" indent="1"/>
      <protection locked="0"/>
    </xf>
    <xf numFmtId="0" fontId="0" fillId="2" borderId="37" xfId="0" applyFill="1" applyBorder="1" applyAlignment="1" applyProtection="1">
      <alignment horizontal="left" vertical="center" indent="1"/>
      <protection locked="0"/>
    </xf>
    <xf numFmtId="0" fontId="0" fillId="6" borderId="38" xfId="0" applyFill="1" applyBorder="1" applyAlignment="1" applyProtection="1">
      <alignment horizontal="left" vertical="center" indent="1"/>
      <protection locked="0"/>
    </xf>
    <xf numFmtId="0" fontId="0" fillId="10" borderId="38" xfId="0" applyFill="1" applyBorder="1" applyAlignment="1" applyProtection="1">
      <alignment horizontal="left" vertical="center" indent="1"/>
      <protection locked="0"/>
    </xf>
    <xf numFmtId="0" fontId="0" fillId="11" borderId="38" xfId="0" applyFill="1" applyBorder="1" applyAlignment="1" applyProtection="1">
      <alignment horizontal="left" vertical="center" indent="1"/>
      <protection locked="0"/>
    </xf>
    <xf numFmtId="0" fontId="0" fillId="10" borderId="85" xfId="0" applyFill="1" applyBorder="1" applyAlignment="1" applyProtection="1">
      <alignment horizontal="left" vertical="center" indent="1"/>
      <protection locked="0"/>
    </xf>
    <xf numFmtId="0" fontId="0" fillId="2" borderId="36" xfId="0" applyFill="1" applyBorder="1" applyAlignment="1" applyProtection="1">
      <alignment horizontal="left" vertical="center" indent="1"/>
      <protection locked="0"/>
    </xf>
    <xf numFmtId="0" fontId="0" fillId="6" borderId="59" xfId="0" applyFill="1" applyBorder="1" applyAlignment="1" applyProtection="1">
      <alignment horizontal="left" vertical="center" indent="1"/>
      <protection locked="0"/>
    </xf>
    <xf numFmtId="0" fontId="0" fillId="10" borderId="59" xfId="0" applyFill="1" applyBorder="1" applyAlignment="1" applyProtection="1">
      <alignment horizontal="left" vertical="center" indent="1"/>
      <protection locked="0"/>
    </xf>
    <xf numFmtId="0" fontId="0" fillId="11" borderId="59" xfId="0" applyFill="1" applyBorder="1" applyAlignment="1" applyProtection="1">
      <alignment horizontal="left" vertical="center" indent="1"/>
      <protection locked="0"/>
    </xf>
    <xf numFmtId="0" fontId="0" fillId="2" borderId="39" xfId="0" applyFill="1" applyBorder="1" applyAlignment="1" applyProtection="1">
      <alignment horizontal="left" vertical="top" wrapText="1" indent="1"/>
      <protection locked="0"/>
    </xf>
    <xf numFmtId="0" fontId="0" fillId="6" borderId="40" xfId="0" applyFill="1" applyBorder="1" applyAlignment="1" applyProtection="1">
      <alignment horizontal="left" vertical="top" wrapText="1" indent="1"/>
      <protection locked="0"/>
    </xf>
    <xf numFmtId="0" fontId="0" fillId="10" borderId="40" xfId="0" applyFill="1" applyBorder="1" applyAlignment="1" applyProtection="1">
      <alignment horizontal="left" vertical="top" wrapText="1" indent="1"/>
      <protection locked="0"/>
    </xf>
    <xf numFmtId="0" fontId="0" fillId="11" borderId="40" xfId="0" applyFill="1" applyBorder="1" applyAlignment="1" applyProtection="1">
      <alignment horizontal="left" vertical="top" wrapText="1" indent="1"/>
      <protection locked="0"/>
    </xf>
    <xf numFmtId="0" fontId="0" fillId="2" borderId="41" xfId="0" applyFill="1" applyBorder="1" applyAlignment="1" applyProtection="1">
      <alignment horizontal="left" vertical="center" indent="1"/>
      <protection locked="0"/>
    </xf>
    <xf numFmtId="0" fontId="0" fillId="6" borderId="42" xfId="0" applyFill="1" applyBorder="1" applyAlignment="1" applyProtection="1">
      <alignment horizontal="left" vertical="center" indent="1"/>
      <protection locked="0"/>
    </xf>
    <xf numFmtId="0" fontId="0" fillId="10" borderId="42" xfId="0" applyFill="1" applyBorder="1" applyAlignment="1" applyProtection="1">
      <alignment horizontal="left" vertical="center" indent="1"/>
      <protection locked="0"/>
    </xf>
    <xf numFmtId="0" fontId="0" fillId="11" borderId="42" xfId="0" applyFill="1" applyBorder="1" applyAlignment="1" applyProtection="1">
      <alignment horizontal="left" vertical="center" indent="1"/>
      <protection locked="0"/>
    </xf>
    <xf numFmtId="0" fontId="0" fillId="10" borderId="98" xfId="0" applyFill="1" applyBorder="1" applyAlignment="1" applyProtection="1">
      <alignment horizontal="left" vertical="center" indent="1"/>
      <protection locked="0"/>
    </xf>
    <xf numFmtId="0" fontId="0" fillId="0" borderId="0" xfId="0" applyAlignment="1" applyProtection="1">
      <alignment horizontal="right" indent="2"/>
    </xf>
    <xf numFmtId="0" fontId="0" fillId="0" borderId="0" xfId="0" applyNumberFormat="1" applyProtection="1"/>
    <xf numFmtId="2" fontId="0" fillId="0" borderId="0" xfId="0" applyNumberFormat="1" applyProtection="1"/>
    <xf numFmtId="22" fontId="3" fillId="0" borderId="0" xfId="0" applyNumberFormat="1" applyFont="1" applyFill="1" applyBorder="1" applyProtection="1"/>
    <xf numFmtId="22" fontId="0" fillId="0" borderId="0" xfId="0" applyNumberFormat="1" applyFill="1" applyBorder="1" applyProtection="1"/>
    <xf numFmtId="0" fontId="0" fillId="0" borderId="0" xfId="0" applyFill="1" applyBorder="1" applyAlignment="1" applyProtection="1">
      <alignment horizontal="right" indent="2"/>
    </xf>
    <xf numFmtId="165" fontId="0" fillId="0" borderId="0" xfId="0" applyNumberFormat="1" applyFill="1" applyBorder="1" applyAlignment="1" applyProtection="1">
      <alignment horizontal="right" indent="2"/>
    </xf>
    <xf numFmtId="0" fontId="0" fillId="0" borderId="0" xfId="0" applyFill="1" applyBorder="1" applyAlignment="1" applyProtection="1">
      <alignment horizontal="left" indent="1"/>
    </xf>
    <xf numFmtId="0" fontId="3" fillId="0" borderId="0" xfId="0" applyFont="1" applyFill="1" applyBorder="1" applyProtection="1"/>
    <xf numFmtId="0" fontId="24" fillId="0" borderId="0" xfId="0" applyFont="1" applyAlignment="1">
      <alignment horizontal="left"/>
    </xf>
    <xf numFmtId="0" fontId="0" fillId="2" borderId="37" xfId="0" applyFill="1" applyBorder="1" applyAlignment="1">
      <alignment horizontal="left" indent="1"/>
    </xf>
    <xf numFmtId="0" fontId="0" fillId="0" borderId="0" xfId="0" applyAlignment="1" applyProtection="1">
      <alignment vertical="center" wrapText="1"/>
    </xf>
    <xf numFmtId="0" fontId="0" fillId="0" borderId="0" xfId="0" applyFill="1" applyAlignment="1" applyProtection="1">
      <alignment horizontal="right"/>
    </xf>
    <xf numFmtId="0" fontId="25" fillId="0" borderId="0" xfId="0" applyFont="1" applyAlignment="1">
      <alignment horizontal="right"/>
    </xf>
    <xf numFmtId="0" fontId="25" fillId="0" borderId="0" xfId="0" applyFont="1" applyAlignment="1">
      <alignment horizontal="left" indent="1"/>
    </xf>
    <xf numFmtId="0" fontId="0" fillId="10" borderId="102" xfId="0" applyFill="1" applyBorder="1" applyAlignment="1" applyProtection="1">
      <alignment horizontal="left" vertical="top" wrapText="1" indent="1"/>
      <protection locked="0"/>
    </xf>
    <xf numFmtId="0" fontId="3" fillId="4" borderId="103" xfId="0" applyFont="1" applyFill="1" applyBorder="1" applyAlignment="1" applyProtection="1">
      <alignment horizontal="center" vertical="center" wrapText="1"/>
    </xf>
    <xf numFmtId="0" fontId="0" fillId="14" borderId="73" xfId="0" applyFill="1" applyBorder="1" applyAlignment="1" applyProtection="1">
      <alignment horizontal="center"/>
    </xf>
    <xf numFmtId="0" fontId="3" fillId="0" borderId="77" xfId="0" applyFont="1" applyBorder="1" applyAlignment="1">
      <alignment horizontal="center" vertical="center" wrapText="1"/>
    </xf>
    <xf numFmtId="0" fontId="0" fillId="7" borderId="52" xfId="0" applyNumberFormat="1" applyFill="1" applyBorder="1" applyAlignment="1">
      <alignment horizontal="center" vertical="center"/>
    </xf>
    <xf numFmtId="0" fontId="0" fillId="0" borderId="50" xfId="0" applyFill="1" applyBorder="1" applyAlignment="1" applyProtection="1">
      <alignment horizontal="left" indent="1"/>
    </xf>
    <xf numFmtId="0" fontId="0" fillId="7" borderId="52" xfId="0" applyFill="1" applyBorder="1" applyAlignment="1" applyProtection="1">
      <alignment horizontal="left" indent="1"/>
    </xf>
    <xf numFmtId="0" fontId="34" fillId="0" borderId="106" xfId="0" applyFont="1" applyFill="1" applyBorder="1" applyAlignment="1">
      <alignment horizontal="left" indent="1"/>
    </xf>
    <xf numFmtId="0" fontId="0" fillId="0" borderId="107" xfId="0" applyBorder="1" applyAlignment="1">
      <alignment horizontal="left" indent="1"/>
    </xf>
    <xf numFmtId="0" fontId="0" fillId="0" borderId="108" xfId="0" applyBorder="1" applyAlignment="1">
      <alignment horizontal="left" indent="1"/>
    </xf>
    <xf numFmtId="0" fontId="0" fillId="0" borderId="33" xfId="0" applyFill="1" applyBorder="1" applyAlignment="1" applyProtection="1">
      <alignment horizontal="left" indent="1"/>
    </xf>
    <xf numFmtId="0" fontId="0" fillId="2" borderId="87" xfId="0" applyFill="1" applyBorder="1" applyAlignment="1" applyProtection="1">
      <alignment horizontal="center"/>
      <protection locked="0"/>
    </xf>
    <xf numFmtId="0" fontId="0" fillId="2" borderId="50" xfId="0" applyFill="1" applyBorder="1" applyAlignment="1" applyProtection="1">
      <alignment horizontal="center"/>
      <protection locked="0"/>
    </xf>
    <xf numFmtId="0" fontId="0" fillId="2" borderId="88" xfId="0" applyFill="1" applyBorder="1" applyAlignment="1" applyProtection="1">
      <alignment horizontal="center"/>
      <protection locked="0"/>
    </xf>
    <xf numFmtId="0" fontId="0" fillId="2" borderId="60" xfId="0" applyFill="1" applyBorder="1" applyAlignment="1" applyProtection="1">
      <alignment horizontal="center"/>
      <protection locked="0"/>
    </xf>
    <xf numFmtId="0" fontId="0" fillId="0" borderId="69" xfId="0" applyFill="1" applyBorder="1" applyAlignment="1">
      <alignment horizontal="right" indent="2"/>
    </xf>
    <xf numFmtId="0" fontId="0" fillId="0" borderId="70" xfId="0" applyFill="1" applyBorder="1" applyAlignment="1">
      <alignment horizontal="right" indent="2"/>
    </xf>
    <xf numFmtId="165" fontId="0" fillId="0" borderId="109" xfId="0" applyNumberFormat="1" applyBorder="1" applyAlignment="1">
      <alignment horizontal="right" indent="2"/>
    </xf>
    <xf numFmtId="0" fontId="0" fillId="0" borderId="60" xfId="0" applyFill="1" applyBorder="1" applyAlignment="1" applyProtection="1">
      <alignment horizontal="left" indent="1"/>
    </xf>
    <xf numFmtId="0" fontId="0" fillId="0" borderId="110" xfId="0" applyFill="1" applyBorder="1" applyAlignment="1">
      <alignment horizontal="center"/>
    </xf>
    <xf numFmtId="0" fontId="0" fillId="0" borderId="111" xfId="0" applyFill="1" applyBorder="1" applyAlignment="1">
      <alignment horizontal="left" indent="1"/>
    </xf>
    <xf numFmtId="0" fontId="0" fillId="0" borderId="112" xfId="0" applyFill="1" applyBorder="1" applyAlignment="1">
      <alignment horizontal="center"/>
    </xf>
    <xf numFmtId="0" fontId="0" fillId="0" borderId="113" xfId="0" applyFill="1" applyBorder="1" applyAlignment="1">
      <alignment horizontal="left" indent="1"/>
    </xf>
    <xf numFmtId="0" fontId="0" fillId="0" borderId="114" xfId="0" applyFill="1" applyBorder="1" applyAlignment="1">
      <alignment horizontal="center"/>
    </xf>
    <xf numFmtId="0" fontId="0" fillId="0" borderId="115" xfId="0" applyFill="1" applyBorder="1" applyAlignment="1">
      <alignment horizontal="left" indent="1"/>
    </xf>
    <xf numFmtId="0" fontId="0" fillId="0" borderId="116" xfId="0" applyBorder="1" applyProtection="1"/>
    <xf numFmtId="0" fontId="0" fillId="0" borderId="117" xfId="0" applyBorder="1" applyProtection="1"/>
    <xf numFmtId="0" fontId="0" fillId="0" borderId="0" xfId="0" applyAlignment="1">
      <alignment horizontal="center"/>
    </xf>
    <xf numFmtId="0" fontId="0" fillId="14" borderId="118" xfId="0" applyFill="1" applyBorder="1" applyAlignment="1" applyProtection="1">
      <alignment horizontal="center"/>
    </xf>
    <xf numFmtId="0" fontId="0" fillId="0" borderId="0" xfId="0" applyFill="1" applyBorder="1" applyAlignment="1">
      <alignment vertical="center"/>
    </xf>
    <xf numFmtId="0" fontId="3" fillId="0" borderId="0" xfId="0" applyFont="1" applyFill="1" applyBorder="1"/>
    <xf numFmtId="0" fontId="52" fillId="0" borderId="0" xfId="0" applyFont="1" applyFill="1" applyBorder="1"/>
    <xf numFmtId="0" fontId="0" fillId="5" borderId="46" xfId="0" applyFill="1" applyBorder="1" applyAlignment="1" applyProtection="1">
      <alignment horizontal="left" indent="1"/>
    </xf>
    <xf numFmtId="0" fontId="0" fillId="0" borderId="0" xfId="0" applyBorder="1" applyProtection="1">
      <protection locked="0"/>
    </xf>
    <xf numFmtId="0" fontId="0" fillId="0" borderId="72" xfId="0" applyBorder="1" applyProtection="1">
      <protection locked="0"/>
    </xf>
    <xf numFmtId="0" fontId="0" fillId="14" borderId="128" xfId="0" applyFill="1" applyBorder="1" applyAlignment="1" applyProtection="1">
      <alignment horizontal="center"/>
    </xf>
    <xf numFmtId="0" fontId="32" fillId="4" borderId="119" xfId="0" applyFont="1" applyFill="1" applyBorder="1" applyAlignment="1" applyProtection="1"/>
    <xf numFmtId="0" fontId="32" fillId="4" borderId="49" xfId="0" applyFont="1" applyFill="1" applyBorder="1" applyAlignment="1" applyProtection="1">
      <alignment horizontal="left" indent="1"/>
    </xf>
    <xf numFmtId="0" fontId="3" fillId="0" borderId="26" xfId="0" applyFont="1" applyBorder="1" applyAlignment="1">
      <alignment horizontal="center"/>
    </xf>
    <xf numFmtId="0" fontId="3" fillId="0" borderId="0" xfId="0" applyFont="1" applyBorder="1" applyAlignment="1">
      <alignment horizontal="center"/>
    </xf>
    <xf numFmtId="0" fontId="3" fillId="0" borderId="21" xfId="0" applyFont="1" applyBorder="1" applyAlignment="1">
      <alignment horizontal="center"/>
    </xf>
    <xf numFmtId="167" fontId="0" fillId="0" borderId="0" xfId="0" applyNumberFormat="1" applyAlignment="1">
      <alignment horizontal="right"/>
    </xf>
    <xf numFmtId="0" fontId="0" fillId="2" borderId="129" xfId="0" applyFill="1" applyBorder="1"/>
    <xf numFmtId="0" fontId="0" fillId="2" borderId="130" xfId="0" applyFill="1" applyBorder="1" applyAlignment="1">
      <alignment horizontal="center"/>
    </xf>
    <xf numFmtId="0" fontId="0" fillId="2" borderId="131" xfId="0" applyFill="1" applyBorder="1"/>
    <xf numFmtId="0" fontId="0" fillId="2" borderId="132" xfId="0" applyFill="1" applyBorder="1"/>
    <xf numFmtId="0" fontId="0" fillId="2" borderId="133" xfId="0" applyFill="1" applyBorder="1" applyAlignment="1">
      <alignment horizontal="center"/>
    </xf>
    <xf numFmtId="0" fontId="0" fillId="2" borderId="134" xfId="0" applyFill="1" applyBorder="1"/>
    <xf numFmtId="0" fontId="0" fillId="2" borderId="131" xfId="0" applyFill="1" applyBorder="1" applyAlignment="1">
      <alignment horizontal="left"/>
    </xf>
    <xf numFmtId="0" fontId="0" fillId="2" borderId="134" xfId="0" applyFill="1" applyBorder="1" applyAlignment="1">
      <alignment horizontal="left"/>
    </xf>
    <xf numFmtId="0" fontId="0" fillId="0" borderId="0" xfId="0" applyAlignment="1">
      <alignment horizontal="center"/>
    </xf>
    <xf numFmtId="0" fontId="0" fillId="0" borderId="135" xfId="0" applyBorder="1" applyAlignment="1">
      <alignment horizontal="center"/>
    </xf>
    <xf numFmtId="0" fontId="0" fillId="0" borderId="136" xfId="0" applyBorder="1" applyAlignment="1">
      <alignment horizontal="center"/>
    </xf>
    <xf numFmtId="0" fontId="0" fillId="0" borderId="137" xfId="0" applyBorder="1" applyAlignment="1">
      <alignment horizontal="center"/>
    </xf>
    <xf numFmtId="0" fontId="0" fillId="0" borderId="138" xfId="0" applyBorder="1" applyAlignment="1">
      <alignment horizontal="center"/>
    </xf>
    <xf numFmtId="0" fontId="0" fillId="0" borderId="139" xfId="0" applyBorder="1" applyAlignment="1">
      <alignment horizontal="center"/>
    </xf>
    <xf numFmtId="0" fontId="0" fillId="0" borderId="140" xfId="0" applyBorder="1" applyAlignment="1">
      <alignment horizontal="center"/>
    </xf>
    <xf numFmtId="0" fontId="0" fillId="0" borderId="141" xfId="0" applyBorder="1" applyAlignment="1">
      <alignment horizontal="center"/>
    </xf>
    <xf numFmtId="0" fontId="54" fillId="0" borderId="19" xfId="0" applyFont="1" applyBorder="1"/>
    <xf numFmtId="0" fontId="54" fillId="0" borderId="17" xfId="0" applyFont="1" applyBorder="1"/>
    <xf numFmtId="0" fontId="0" fillId="5" borderId="0" xfId="0" applyFill="1" applyAlignment="1">
      <alignment horizontal="center"/>
    </xf>
    <xf numFmtId="0" fontId="0" fillId="5" borderId="0" xfId="0" applyFill="1"/>
    <xf numFmtId="0" fontId="0" fillId="5" borderId="0" xfId="0" applyFill="1" applyBorder="1" applyAlignment="1">
      <alignment horizontal="center"/>
    </xf>
    <xf numFmtId="0" fontId="0" fillId="5" borderId="138" xfId="0" applyFill="1" applyBorder="1" applyAlignment="1">
      <alignment horizontal="center"/>
    </xf>
    <xf numFmtId="0" fontId="0" fillId="5" borderId="68" xfId="0" applyFill="1" applyBorder="1" applyAlignment="1">
      <alignment horizontal="center"/>
    </xf>
    <xf numFmtId="0" fontId="0" fillId="5" borderId="0" xfId="0" applyFill="1" applyBorder="1"/>
    <xf numFmtId="168" fontId="0" fillId="0" borderId="0" xfId="0" applyNumberFormat="1"/>
    <xf numFmtId="3" fontId="0" fillId="0" borderId="0" xfId="0" applyNumberFormat="1"/>
    <xf numFmtId="0" fontId="0" fillId="0" borderId="0" xfId="0" applyAlignment="1">
      <alignment horizontal="center"/>
    </xf>
    <xf numFmtId="0" fontId="21" fillId="0" borderId="29" xfId="0" applyFont="1" applyBorder="1" applyAlignment="1">
      <alignment horizontal="center"/>
    </xf>
    <xf numFmtId="0" fontId="0" fillId="0" borderId="0" xfId="0" applyBorder="1" applyAlignment="1">
      <alignment horizontal="center"/>
    </xf>
    <xf numFmtId="0" fontId="0" fillId="0" borderId="68" xfId="0" applyBorder="1" applyAlignment="1">
      <alignment horizontal="center"/>
    </xf>
    <xf numFmtId="0" fontId="0" fillId="0" borderId="142" xfId="0" applyBorder="1"/>
    <xf numFmtId="0" fontId="0" fillId="0" borderId="143" xfId="0" applyBorder="1" applyAlignment="1">
      <alignment horizontal="center"/>
    </xf>
    <xf numFmtId="0" fontId="0" fillId="0" borderId="143" xfId="0" applyBorder="1"/>
    <xf numFmtId="0" fontId="0" fillId="0" borderId="145" xfId="0" applyBorder="1"/>
    <xf numFmtId="0" fontId="0" fillId="0" borderId="146" xfId="0" applyBorder="1"/>
    <xf numFmtId="0" fontId="0" fillId="0" borderId="147" xfId="0" applyBorder="1" applyAlignment="1">
      <alignment horizontal="center"/>
    </xf>
    <xf numFmtId="0" fontId="0" fillId="0" borderId="147" xfId="0" applyBorder="1"/>
    <xf numFmtId="0" fontId="0" fillId="6" borderId="149" xfId="0" applyFill="1" applyBorder="1"/>
    <xf numFmtId="3" fontId="0" fillId="0" borderId="0" xfId="0" applyNumberFormat="1" applyFont="1" applyBorder="1" applyAlignment="1">
      <alignment horizontal="center"/>
    </xf>
    <xf numFmtId="0" fontId="0" fillId="0" borderId="0" xfId="0" applyAlignment="1">
      <alignment horizontal="center"/>
    </xf>
    <xf numFmtId="0" fontId="21" fillId="0" borderId="29" xfId="0" applyFont="1" applyBorder="1" applyAlignment="1">
      <alignment horizontal="center"/>
    </xf>
    <xf numFmtId="0" fontId="0" fillId="0" borderId="0" xfId="0" applyBorder="1" applyAlignment="1">
      <alignment horizontal="center"/>
    </xf>
    <xf numFmtId="0" fontId="0" fillId="0" borderId="0" xfId="0" applyAlignment="1">
      <alignment horizontal="center"/>
    </xf>
    <xf numFmtId="0" fontId="21" fillId="0" borderId="29" xfId="0" applyFont="1" applyBorder="1" applyAlignment="1">
      <alignment horizontal="center"/>
    </xf>
    <xf numFmtId="0" fontId="42" fillId="0" borderId="0" xfId="0" applyFont="1" applyBorder="1" applyAlignment="1" applyProtection="1">
      <alignment vertical="center"/>
    </xf>
    <xf numFmtId="0" fontId="25" fillId="0" borderId="0" xfId="0" applyFont="1"/>
    <xf numFmtId="0" fontId="9" fillId="0" borderId="0" xfId="0" applyFont="1" applyAlignment="1">
      <alignment horizontal="center"/>
    </xf>
    <xf numFmtId="0" fontId="21" fillId="0" borderId="0" xfId="0" applyFont="1" applyFill="1" applyBorder="1" applyAlignment="1">
      <alignment horizontal="center"/>
    </xf>
    <xf numFmtId="0" fontId="0" fillId="0" borderId="0" xfId="0" applyFont="1" applyAlignment="1">
      <alignment horizontal="center"/>
    </xf>
    <xf numFmtId="0" fontId="24" fillId="0" borderId="0" xfId="0" applyFont="1"/>
    <xf numFmtId="0" fontId="0" fillId="8" borderId="28" xfId="0" applyNumberFormat="1" applyFill="1" applyBorder="1" applyAlignment="1">
      <alignment horizontal="center"/>
    </xf>
    <xf numFmtId="0" fontId="0" fillId="5" borderId="48" xfId="0" applyFill="1" applyBorder="1" applyAlignment="1" applyProtection="1">
      <alignment horizontal="left" indent="1"/>
    </xf>
    <xf numFmtId="0" fontId="38" fillId="0" borderId="0" xfId="0" applyFont="1" applyFill="1" applyBorder="1" applyProtection="1"/>
    <xf numFmtId="0" fontId="38" fillId="0" borderId="0" xfId="0" applyFont="1" applyFill="1" applyBorder="1" applyAlignment="1" applyProtection="1">
      <alignment horizontal="center" vertical="center"/>
    </xf>
    <xf numFmtId="0" fontId="6" fillId="0" borderId="0" xfId="0" applyFont="1" applyFill="1" applyBorder="1" applyProtection="1"/>
    <xf numFmtId="0" fontId="40" fillId="0" borderId="0" xfId="0" applyFont="1" applyFill="1" applyBorder="1" applyAlignment="1" applyProtection="1">
      <alignment horizontal="center"/>
    </xf>
    <xf numFmtId="0" fontId="42" fillId="0" borderId="0" xfId="0" applyFont="1" applyFill="1" applyBorder="1" applyAlignment="1" applyProtection="1">
      <alignment vertical="center"/>
    </xf>
    <xf numFmtId="0" fontId="0" fillId="0" borderId="0" xfId="0" applyFill="1" applyProtection="1"/>
    <xf numFmtId="0" fontId="11" fillId="0" borderId="0" xfId="0" applyFont="1" applyFill="1" applyBorder="1" applyAlignment="1" applyProtection="1">
      <alignment vertical="center"/>
    </xf>
    <xf numFmtId="0" fontId="52" fillId="10" borderId="158" xfId="0" applyFont="1" applyFill="1" applyBorder="1" applyAlignment="1">
      <alignment horizontal="center"/>
    </xf>
    <xf numFmtId="0" fontId="0" fillId="0" borderId="113" xfId="0" quotePrefix="1" applyFill="1" applyBorder="1" applyAlignment="1">
      <alignment horizontal="left" indent="1"/>
    </xf>
    <xf numFmtId="0" fontId="8" fillId="0" borderId="0" xfId="0" applyFont="1" applyFill="1" applyBorder="1" applyAlignment="1" applyProtection="1">
      <alignment vertical="center"/>
    </xf>
    <xf numFmtId="49" fontId="10" fillId="0" borderId="0" xfId="0" applyNumberFormat="1" applyFont="1" applyAlignment="1" applyProtection="1">
      <alignment horizontal="left" vertical="center"/>
    </xf>
    <xf numFmtId="49" fontId="11" fillId="0" borderId="0" xfId="0" applyNumberFormat="1" applyFont="1" applyProtection="1"/>
    <xf numFmtId="49" fontId="0" fillId="0" borderId="0" xfId="0" applyNumberFormat="1" applyProtection="1"/>
    <xf numFmtId="0" fontId="21" fillId="0" borderId="29" xfId="0" applyFont="1" applyBorder="1" applyAlignment="1">
      <alignment horizontal="center"/>
    </xf>
    <xf numFmtId="0" fontId="66" fillId="0" borderId="0" xfId="0" applyFont="1" applyBorder="1" applyAlignment="1">
      <alignment horizontal="center" vertical="center" wrapText="1"/>
    </xf>
    <xf numFmtId="0" fontId="49" fillId="0" borderId="162" xfId="0" applyFont="1" applyFill="1" applyBorder="1" applyAlignment="1">
      <alignment horizontal="center" vertical="center" wrapText="1"/>
    </xf>
    <xf numFmtId="0" fontId="49" fillId="0" borderId="163" xfId="0" applyFont="1" applyFill="1" applyBorder="1" applyAlignment="1">
      <alignment horizontal="center" vertical="center" wrapText="1"/>
    </xf>
    <xf numFmtId="0" fontId="67" fillId="0" borderId="164" xfId="0" applyFont="1" applyBorder="1" applyAlignment="1">
      <alignment horizontal="center" vertical="center" wrapText="1"/>
    </xf>
    <xf numFmtId="0" fontId="67" fillId="0" borderId="165" xfId="0" applyFont="1" applyBorder="1" applyAlignment="1">
      <alignment horizontal="center" vertical="center" wrapText="1"/>
    </xf>
    <xf numFmtId="0" fontId="67" fillId="0" borderId="166" xfId="0" applyFont="1" applyBorder="1" applyAlignment="1">
      <alignment horizontal="center" vertical="center" wrapText="1"/>
    </xf>
    <xf numFmtId="0" fontId="67" fillId="0" borderId="167" xfId="0" applyFont="1" applyBorder="1" applyAlignment="1">
      <alignment horizontal="center" vertical="center" wrapText="1"/>
    </xf>
    <xf numFmtId="0" fontId="67" fillId="0" borderId="168" xfId="0" applyFont="1" applyBorder="1" applyAlignment="1">
      <alignment horizontal="center" vertical="center" wrapText="1"/>
    </xf>
    <xf numFmtId="0" fontId="67" fillId="0" borderId="169" xfId="0" applyFont="1" applyBorder="1" applyAlignment="1">
      <alignment horizontal="center" vertical="center" wrapText="1"/>
    </xf>
    <xf numFmtId="0" fontId="67" fillId="0" borderId="170" xfId="0" applyFont="1" applyBorder="1" applyAlignment="1">
      <alignment horizontal="center" vertical="center" wrapText="1"/>
    </xf>
    <xf numFmtId="0" fontId="67" fillId="0" borderId="171" xfId="0" applyFont="1" applyBorder="1" applyAlignment="1">
      <alignment horizontal="center" vertical="center" wrapText="1"/>
    </xf>
    <xf numFmtId="0" fontId="67" fillId="0" borderId="172" xfId="0" applyFont="1" applyBorder="1" applyAlignment="1">
      <alignment horizontal="center" vertical="center" wrapText="1"/>
    </xf>
    <xf numFmtId="0" fontId="49" fillId="0" borderId="173" xfId="0" applyFont="1" applyFill="1" applyBorder="1" applyAlignment="1">
      <alignment horizontal="center" vertical="center" wrapText="1"/>
    </xf>
    <xf numFmtId="0" fontId="49" fillId="0" borderId="174" xfId="0" applyFont="1" applyFill="1" applyBorder="1" applyAlignment="1">
      <alignment horizontal="center" vertical="center" wrapText="1"/>
    </xf>
    <xf numFmtId="0" fontId="49" fillId="0" borderId="175" xfId="0" applyFont="1" applyFill="1" applyBorder="1" applyAlignment="1">
      <alignment horizontal="center" vertical="center" wrapText="1"/>
    </xf>
    <xf numFmtId="0" fontId="49" fillId="0" borderId="176" xfId="0" applyFont="1" applyFill="1" applyBorder="1" applyAlignment="1">
      <alignment horizontal="center" vertical="center" wrapText="1"/>
    </xf>
    <xf numFmtId="0" fontId="49" fillId="0" borderId="177" xfId="0" applyFont="1" applyFill="1" applyBorder="1" applyAlignment="1">
      <alignment horizontal="center" vertical="center" wrapText="1"/>
    </xf>
    <xf numFmtId="0" fontId="49" fillId="0" borderId="178" xfId="0" applyFont="1" applyFill="1" applyBorder="1" applyAlignment="1">
      <alignment horizontal="center" vertical="center" wrapText="1"/>
    </xf>
    <xf numFmtId="0" fontId="24" fillId="0" borderId="0" xfId="0" applyFont="1" applyAlignment="1">
      <alignment horizontal="right" indent="1"/>
    </xf>
    <xf numFmtId="0" fontId="6" fillId="15" borderId="179" xfId="0" applyFont="1" applyFill="1" applyBorder="1" applyAlignment="1">
      <alignment horizontal="center"/>
    </xf>
    <xf numFmtId="0" fontId="6" fillId="15" borderId="180" xfId="0" applyFont="1" applyFill="1" applyBorder="1" applyAlignment="1">
      <alignment horizontal="left"/>
    </xf>
    <xf numFmtId="0" fontId="6" fillId="15" borderId="101" xfId="0" applyFont="1" applyFill="1" applyBorder="1" applyAlignment="1">
      <alignment horizontal="center"/>
    </xf>
    <xf numFmtId="0" fontId="6" fillId="15" borderId="181" xfId="0" applyFont="1" applyFill="1" applyBorder="1" applyAlignment="1">
      <alignment horizontal="left"/>
    </xf>
    <xf numFmtId="0" fontId="6" fillId="15" borderId="182" xfId="0" applyFont="1" applyFill="1" applyBorder="1" applyAlignment="1">
      <alignment horizontal="center"/>
    </xf>
    <xf numFmtId="0" fontId="6" fillId="15" borderId="183" xfId="0" applyFont="1" applyFill="1" applyBorder="1" applyAlignment="1">
      <alignment horizontal="left"/>
    </xf>
    <xf numFmtId="0" fontId="7" fillId="0" borderId="0" xfId="0" applyFont="1" applyAlignment="1">
      <alignment horizontal="center"/>
    </xf>
    <xf numFmtId="0" fontId="7" fillId="0" borderId="0" xfId="0" applyFont="1"/>
    <xf numFmtId="0" fontId="0" fillId="0" borderId="184" xfId="0" applyBorder="1" applyAlignment="1">
      <alignment horizontal="center"/>
    </xf>
    <xf numFmtId="0" fontId="0" fillId="0" borderId="185" xfId="0" applyBorder="1"/>
    <xf numFmtId="0" fontId="0" fillId="0" borderId="185" xfId="0" applyBorder="1" applyAlignment="1">
      <alignment horizontal="center"/>
    </xf>
    <xf numFmtId="168" fontId="0" fillId="0" borderId="185" xfId="0" applyNumberFormat="1" applyBorder="1"/>
    <xf numFmtId="0" fontId="0" fillId="0" borderId="185" xfId="0" applyFont="1" applyBorder="1" applyAlignment="1">
      <alignment horizontal="center"/>
    </xf>
    <xf numFmtId="0" fontId="0" fillId="0" borderId="187" xfId="0" applyBorder="1" applyAlignment="1">
      <alignment horizontal="center"/>
    </xf>
    <xf numFmtId="0" fontId="0" fillId="0" borderId="188" xfId="0" applyBorder="1"/>
    <xf numFmtId="0" fontId="0" fillId="0" borderId="188" xfId="0" applyBorder="1" applyAlignment="1">
      <alignment horizontal="center"/>
    </xf>
    <xf numFmtId="168" fontId="0" fillId="0" borderId="188" xfId="0" applyNumberFormat="1" applyBorder="1"/>
    <xf numFmtId="0" fontId="0" fillId="0" borderId="188" xfId="0" applyFont="1" applyBorder="1" applyAlignment="1">
      <alignment horizontal="center"/>
    </xf>
    <xf numFmtId="0" fontId="0" fillId="0" borderId="190" xfId="0" applyBorder="1" applyAlignment="1">
      <alignment horizontal="center"/>
    </xf>
    <xf numFmtId="0" fontId="0" fillId="0" borderId="191" xfId="0" applyBorder="1"/>
    <xf numFmtId="0" fontId="0" fillId="0" borderId="191" xfId="0" applyBorder="1" applyAlignment="1">
      <alignment horizontal="center"/>
    </xf>
    <xf numFmtId="168" fontId="0" fillId="0" borderId="191" xfId="0" applyNumberFormat="1" applyBorder="1"/>
    <xf numFmtId="0" fontId="6" fillId="15" borderId="193" xfId="0" applyFont="1" applyFill="1" applyBorder="1"/>
    <xf numFmtId="0" fontId="6" fillId="15" borderId="194" xfId="0" applyFont="1" applyFill="1" applyBorder="1"/>
    <xf numFmtId="0" fontId="6" fillId="15" borderId="195" xfId="0" applyFont="1" applyFill="1" applyBorder="1"/>
    <xf numFmtId="0" fontId="0" fillId="0" borderId="193" xfId="0" applyBorder="1" applyAlignment="1">
      <alignment horizontal="center"/>
    </xf>
    <xf numFmtId="0" fontId="0" fillId="0" borderId="196" xfId="0" applyBorder="1" applyAlignment="1">
      <alignment horizontal="center"/>
    </xf>
    <xf numFmtId="0" fontId="0" fillId="0" borderId="194" xfId="0" applyBorder="1" applyAlignment="1">
      <alignment horizontal="center"/>
    </xf>
    <xf numFmtId="0" fontId="0" fillId="0" borderId="197" xfId="0" applyBorder="1" applyAlignment="1">
      <alignment horizontal="center"/>
    </xf>
    <xf numFmtId="0" fontId="0" fillId="0" borderId="195" xfId="0" applyBorder="1" applyAlignment="1">
      <alignment horizontal="center"/>
    </xf>
    <xf numFmtId="0" fontId="0" fillId="0" borderId="198" xfId="0" applyBorder="1" applyAlignment="1">
      <alignment horizontal="center"/>
    </xf>
    <xf numFmtId="0" fontId="56" fillId="15" borderId="185" xfId="0" applyFont="1" applyFill="1" applyBorder="1" applyAlignment="1">
      <alignment horizontal="center"/>
    </xf>
    <xf numFmtId="0" fontId="56" fillId="15" borderId="188" xfId="0" applyFont="1" applyFill="1" applyBorder="1" applyAlignment="1">
      <alignment horizontal="center"/>
    </xf>
    <xf numFmtId="0" fontId="56" fillId="15" borderId="191" xfId="0" applyFont="1" applyFill="1" applyBorder="1" applyAlignment="1">
      <alignment horizontal="center"/>
    </xf>
    <xf numFmtId="0" fontId="0" fillId="0" borderId="196" xfId="0" applyBorder="1"/>
    <xf numFmtId="0" fontId="0" fillId="0" borderId="186" xfId="0" applyBorder="1" applyAlignment="1">
      <alignment horizontal="center"/>
    </xf>
    <xf numFmtId="0" fontId="0" fillId="0" borderId="189" xfId="0" applyBorder="1" applyAlignment="1">
      <alignment horizontal="center"/>
    </xf>
    <xf numFmtId="0" fontId="0" fillId="0" borderId="192" xfId="0" applyBorder="1" applyAlignment="1">
      <alignment horizontal="center"/>
    </xf>
    <xf numFmtId="169" fontId="0" fillId="0" borderId="0" xfId="0" applyNumberFormat="1"/>
    <xf numFmtId="169" fontId="0" fillId="0" borderId="25" xfId="0" applyNumberFormat="1" applyBorder="1"/>
    <xf numFmtId="169" fontId="0" fillId="0" borderId="23" xfId="0" applyNumberFormat="1" applyBorder="1"/>
    <xf numFmtId="169" fontId="0" fillId="0" borderId="20" xfId="0" applyNumberFormat="1" applyBorder="1"/>
    <xf numFmtId="0" fontId="0" fillId="5" borderId="46" xfId="0" applyFill="1" applyBorder="1" applyAlignment="1" applyProtection="1">
      <alignment horizontal="left" vertical="center" indent="1"/>
      <protection locked="0"/>
    </xf>
    <xf numFmtId="0" fontId="57" fillId="16" borderId="199" xfId="0" applyFont="1" applyFill="1" applyBorder="1" applyAlignment="1" applyProtection="1">
      <alignment horizontal="center" vertical="center"/>
      <protection locked="0"/>
    </xf>
    <xf numFmtId="0" fontId="57" fillId="16" borderId="8" xfId="0" applyFont="1" applyFill="1" applyBorder="1" applyAlignment="1" applyProtection="1">
      <alignment horizontal="center" vertical="center"/>
      <protection locked="0"/>
    </xf>
    <xf numFmtId="0" fontId="57" fillId="16" borderId="7" xfId="0" applyFont="1" applyFill="1" applyBorder="1" applyAlignment="1" applyProtection="1">
      <alignment horizontal="center" vertical="center"/>
      <protection locked="0"/>
    </xf>
    <xf numFmtId="0" fontId="57" fillId="16" borderId="16" xfId="0" applyFont="1" applyFill="1" applyBorder="1" applyAlignment="1" applyProtection="1">
      <alignment horizontal="center" vertical="center"/>
      <protection locked="0"/>
    </xf>
    <xf numFmtId="0" fontId="48" fillId="0" borderId="0" xfId="0" applyFont="1" applyFill="1" applyAlignment="1" applyProtection="1">
      <alignment horizontal="center" vertical="center"/>
    </xf>
    <xf numFmtId="49" fontId="9" fillId="12" borderId="201" xfId="0" applyNumberFormat="1" applyFont="1" applyFill="1" applyBorder="1" applyAlignment="1" applyProtection="1">
      <alignment horizontal="left"/>
      <protection locked="0"/>
    </xf>
    <xf numFmtId="49" fontId="9" fillId="12" borderId="5" xfId="0" applyNumberFormat="1" applyFont="1" applyFill="1" applyBorder="1" applyAlignment="1" applyProtection="1">
      <alignment horizontal="left"/>
      <protection locked="0"/>
    </xf>
    <xf numFmtId="0" fontId="62" fillId="0" borderId="0" xfId="0" applyFont="1" applyAlignment="1"/>
    <xf numFmtId="0" fontId="59" fillId="0" borderId="0" xfId="0" applyFont="1" applyFill="1" applyBorder="1" applyAlignment="1">
      <alignment vertical="center" wrapText="1"/>
    </xf>
    <xf numFmtId="0" fontId="58" fillId="0" borderId="0" xfId="0" applyFont="1" applyFill="1" applyBorder="1" applyAlignment="1" applyProtection="1">
      <alignment vertical="center" wrapText="1"/>
    </xf>
    <xf numFmtId="0" fontId="61" fillId="0" borderId="0" xfId="0" applyFont="1" applyFill="1" applyBorder="1" applyAlignment="1" applyProtection="1"/>
    <xf numFmtId="0" fontId="63" fillId="0" borderId="0" xfId="0" applyFont="1" applyFill="1" applyBorder="1" applyAlignment="1" applyProtection="1">
      <alignment vertical="center" wrapText="1"/>
    </xf>
    <xf numFmtId="0" fontId="44" fillId="0" borderId="0" xfId="0" applyFont="1" applyFill="1" applyBorder="1" applyAlignment="1">
      <alignment vertical="center" wrapText="1"/>
    </xf>
    <xf numFmtId="0" fontId="70" fillId="0" borderId="0" xfId="0" applyFont="1" applyAlignment="1" applyProtection="1">
      <alignment horizontal="right" vertical="top"/>
    </xf>
    <xf numFmtId="0" fontId="12" fillId="17" borderId="209" xfId="0" applyFont="1" applyFill="1" applyBorder="1" applyAlignment="1" applyProtection="1">
      <alignment horizontal="center" vertical="center"/>
    </xf>
    <xf numFmtId="0" fontId="12" fillId="17" borderId="210" xfId="0" applyFont="1" applyFill="1" applyBorder="1" applyAlignment="1" applyProtection="1">
      <alignment horizontal="left" vertical="center"/>
    </xf>
    <xf numFmtId="0" fontId="12" fillId="17" borderId="211" xfId="0" applyFont="1" applyFill="1" applyBorder="1" applyAlignment="1" applyProtection="1">
      <alignment horizontal="center" vertical="center"/>
    </xf>
    <xf numFmtId="0" fontId="12" fillId="17" borderId="212" xfId="0" applyFont="1" applyFill="1" applyBorder="1" applyAlignment="1" applyProtection="1">
      <alignment horizontal="left" vertical="center"/>
    </xf>
    <xf numFmtId="0" fontId="12" fillId="21" borderId="211" xfId="0" applyFont="1" applyFill="1" applyBorder="1" applyAlignment="1" applyProtection="1">
      <alignment horizontal="center" vertical="center"/>
    </xf>
    <xf numFmtId="0" fontId="12" fillId="21" borderId="212" xfId="0" applyFont="1" applyFill="1" applyBorder="1" applyAlignment="1" applyProtection="1">
      <alignment horizontal="left" vertical="center"/>
    </xf>
    <xf numFmtId="0" fontId="12" fillId="21" borderId="213" xfId="0" applyFont="1" applyFill="1" applyBorder="1" applyAlignment="1" applyProtection="1">
      <alignment horizontal="center" vertical="center"/>
    </xf>
    <xf numFmtId="0" fontId="12" fillId="21" borderId="214" xfId="0" applyFont="1" applyFill="1" applyBorder="1" applyAlignment="1" applyProtection="1">
      <alignment horizontal="left" vertical="top"/>
    </xf>
    <xf numFmtId="0" fontId="15" fillId="0" borderId="215" xfId="0" applyFont="1" applyFill="1" applyBorder="1" applyAlignment="1" applyProtection="1">
      <alignment horizontal="center"/>
    </xf>
    <xf numFmtId="0" fontId="15" fillId="13" borderId="9" xfId="0" applyFont="1" applyFill="1" applyBorder="1" applyAlignment="1" applyProtection="1">
      <alignment horizontal="center"/>
    </xf>
    <xf numFmtId="0" fontId="64" fillId="13" borderId="9" xfId="0" applyFont="1" applyFill="1" applyBorder="1" applyAlignment="1" applyProtection="1">
      <alignment horizontal="center"/>
    </xf>
    <xf numFmtId="0" fontId="15" fillId="13" borderId="10" xfId="0" applyFont="1" applyFill="1" applyBorder="1" applyAlignment="1" applyProtection="1">
      <alignment horizontal="center"/>
    </xf>
    <xf numFmtId="0" fontId="64" fillId="13" borderId="208" xfId="0" applyFont="1" applyFill="1" applyBorder="1" applyAlignment="1" applyProtection="1">
      <alignment horizontal="center"/>
    </xf>
    <xf numFmtId="0" fontId="14" fillId="0" borderId="9" xfId="0" applyFont="1" applyFill="1" applyBorder="1" applyAlignment="1" applyProtection="1"/>
    <xf numFmtId="0" fontId="14" fillId="0" borderId="10" xfId="0" applyFont="1" applyFill="1" applyBorder="1" applyAlignment="1" applyProtection="1"/>
    <xf numFmtId="0" fontId="14" fillId="0" borderId="202" xfId="0" applyFont="1" applyFill="1" applyBorder="1" applyAlignment="1" applyProtection="1">
      <alignment horizontal="left" indent="1"/>
    </xf>
    <xf numFmtId="0" fontId="14" fillId="0" borderId="203" xfId="0" applyFont="1" applyFill="1" applyBorder="1" applyAlignment="1" applyProtection="1">
      <alignment horizontal="left"/>
    </xf>
    <xf numFmtId="0" fontId="38" fillId="19" borderId="18" xfId="0" applyFont="1" applyFill="1" applyBorder="1"/>
    <xf numFmtId="0" fontId="38" fillId="20" borderId="18" xfId="0" applyFont="1" applyFill="1" applyBorder="1" applyAlignment="1">
      <alignment horizontal="center" vertical="center"/>
    </xf>
    <xf numFmtId="0" fontId="38" fillId="19" borderId="63" xfId="0" applyFont="1" applyFill="1" applyBorder="1"/>
    <xf numFmtId="0" fontId="0" fillId="17" borderId="217" xfId="0" applyFill="1" applyBorder="1"/>
    <xf numFmtId="0" fontId="0" fillId="17" borderId="217" xfId="0" applyFill="1" applyBorder="1" applyAlignment="1">
      <alignment horizontal="center"/>
    </xf>
    <xf numFmtId="0" fontId="0" fillId="17" borderId="216" xfId="0" applyFill="1" applyBorder="1" applyAlignment="1">
      <alignment horizontal="center"/>
    </xf>
    <xf numFmtId="0" fontId="78" fillId="0" borderId="0" xfId="0" applyFont="1" applyAlignment="1">
      <alignment horizontal="right" vertical="center" indent="1"/>
    </xf>
    <xf numFmtId="0" fontId="70" fillId="0" borderId="0" xfId="0" applyFont="1" applyAlignment="1" applyProtection="1">
      <alignment horizontal="right" vertical="center" wrapText="1" indent="1"/>
    </xf>
    <xf numFmtId="0" fontId="0" fillId="21" borderId="40" xfId="0" applyFill="1" applyBorder="1" applyAlignment="1" applyProtection="1">
      <alignment horizontal="left" indent="1"/>
      <protection locked="0"/>
    </xf>
    <xf numFmtId="0" fontId="0" fillId="21" borderId="38" xfId="0" applyFill="1" applyBorder="1" applyAlignment="1" applyProtection="1">
      <alignment horizontal="left" indent="1"/>
      <protection locked="0"/>
    </xf>
    <xf numFmtId="0" fontId="0" fillId="21" borderId="42" xfId="0" applyFill="1" applyBorder="1" applyAlignment="1" applyProtection="1">
      <alignment horizontal="left" indent="1"/>
      <protection locked="0"/>
    </xf>
    <xf numFmtId="165" fontId="0" fillId="21" borderId="50" xfId="0" applyNumberFormat="1" applyFill="1" applyBorder="1" applyAlignment="1" applyProtection="1">
      <alignment horizontal="right" indent="2"/>
      <protection locked="0"/>
    </xf>
    <xf numFmtId="165" fontId="0" fillId="21" borderId="60" xfId="0" applyNumberFormat="1" applyFill="1" applyBorder="1" applyAlignment="1" applyProtection="1">
      <alignment horizontal="right" indent="2"/>
      <protection locked="0"/>
    </xf>
    <xf numFmtId="0" fontId="0" fillId="21" borderId="60" xfId="0" applyNumberFormat="1" applyFill="1" applyBorder="1" applyAlignment="1" applyProtection="1">
      <alignment horizontal="center" vertical="center"/>
      <protection locked="0"/>
    </xf>
    <xf numFmtId="0" fontId="0" fillId="21" borderId="104" xfId="0" applyNumberFormat="1" applyFill="1" applyBorder="1" applyAlignment="1" applyProtection="1">
      <alignment horizontal="center" vertical="center"/>
      <protection locked="0"/>
    </xf>
    <xf numFmtId="0" fontId="0" fillId="21" borderId="105" xfId="0" applyNumberFormat="1" applyFill="1" applyBorder="1" applyAlignment="1" applyProtection="1">
      <alignment horizontal="center" vertical="center"/>
      <protection locked="0"/>
    </xf>
    <xf numFmtId="0" fontId="0" fillId="21" borderId="50" xfId="0" applyNumberFormat="1" applyFill="1" applyBorder="1" applyAlignment="1" applyProtection="1">
      <alignment horizontal="center" vertical="center"/>
      <protection locked="0"/>
    </xf>
    <xf numFmtId="0" fontId="0" fillId="21" borderId="82" xfId="0" applyFill="1" applyBorder="1" applyAlignment="1" applyProtection="1">
      <alignment horizontal="left" indent="3"/>
      <protection locked="0"/>
    </xf>
    <xf numFmtId="0" fontId="0" fillId="21" borderId="82" xfId="0" applyFill="1" applyBorder="1" applyAlignment="1" applyProtection="1">
      <alignment horizontal="left" indent="1"/>
      <protection locked="0"/>
    </xf>
    <xf numFmtId="0" fontId="0" fillId="0" borderId="67" xfId="0" applyBorder="1"/>
    <xf numFmtId="0" fontId="0" fillId="0" borderId="218" xfId="0" applyBorder="1" applyAlignment="1">
      <alignment horizontal="center"/>
    </xf>
    <xf numFmtId="0" fontId="0" fillId="0" borderId="221" xfId="0" applyBorder="1" applyAlignment="1">
      <alignment horizontal="center"/>
    </xf>
    <xf numFmtId="0" fontId="3" fillId="0" borderId="223" xfId="0" applyFont="1" applyBorder="1" applyAlignment="1">
      <alignment horizontal="center"/>
    </xf>
    <xf numFmtId="0" fontId="0" fillId="0" borderId="229" xfId="0" applyBorder="1" applyAlignment="1">
      <alignment horizontal="center"/>
    </xf>
    <xf numFmtId="0" fontId="3" fillId="0" borderId="225" xfId="0" applyFont="1" applyBorder="1" applyAlignment="1">
      <alignment horizontal="center"/>
    </xf>
    <xf numFmtId="0" fontId="0" fillId="0" borderId="230" xfId="0" applyBorder="1" applyAlignment="1">
      <alignment horizontal="center"/>
    </xf>
    <xf numFmtId="0" fontId="3" fillId="0" borderId="227" xfId="0" applyFont="1" applyBorder="1" applyAlignment="1">
      <alignment horizontal="center"/>
    </xf>
    <xf numFmtId="0" fontId="0" fillId="0" borderId="231" xfId="0" applyBorder="1" applyAlignment="1">
      <alignment horizontal="center"/>
    </xf>
    <xf numFmtId="0" fontId="0" fillId="0" borderId="232" xfId="0" applyBorder="1"/>
    <xf numFmtId="0" fontId="0" fillId="0" borderId="233" xfId="0" applyBorder="1"/>
    <xf numFmtId="0" fontId="0" fillId="0" borderId="234" xfId="0" applyBorder="1"/>
    <xf numFmtId="0" fontId="0" fillId="0" borderId="0" xfId="0" applyBorder="1" applyAlignment="1">
      <alignment horizontal="center"/>
    </xf>
    <xf numFmtId="0" fontId="0" fillId="0" borderId="0" xfId="0" applyAlignment="1">
      <alignment horizontal="center"/>
    </xf>
    <xf numFmtId="0" fontId="21" fillId="0" borderId="29" xfId="0" applyFont="1" applyBorder="1" applyAlignment="1">
      <alignment horizontal="center"/>
    </xf>
    <xf numFmtId="0" fontId="0" fillId="0" borderId="68" xfId="0" applyBorder="1" applyAlignment="1">
      <alignment horizontal="center"/>
    </xf>
    <xf numFmtId="0" fontId="83" fillId="0" borderId="0" xfId="0" applyFont="1" applyAlignment="1">
      <alignment horizontal="center"/>
    </xf>
    <xf numFmtId="0" fontId="82" fillId="0" borderId="223" xfId="0" applyFont="1" applyBorder="1" applyAlignment="1">
      <alignment horizontal="center"/>
    </xf>
    <xf numFmtId="0" fontId="82" fillId="0" borderId="229" xfId="0" applyFont="1" applyBorder="1" applyAlignment="1">
      <alignment horizontal="center"/>
    </xf>
    <xf numFmtId="0" fontId="82" fillId="0" borderId="232" xfId="0" applyFont="1" applyBorder="1"/>
    <xf numFmtId="0" fontId="82" fillId="0" borderId="218" xfId="0" applyFont="1" applyBorder="1" applyAlignment="1">
      <alignment horizontal="center"/>
    </xf>
    <xf numFmtId="0" fontId="82" fillId="0" borderId="219" xfId="0" applyFont="1" applyBorder="1" applyAlignment="1">
      <alignment horizontal="left"/>
    </xf>
    <xf numFmtId="0" fontId="82" fillId="0" borderId="225" xfId="0" applyFont="1" applyBorder="1" applyAlignment="1">
      <alignment horizontal="center"/>
    </xf>
    <xf numFmtId="0" fontId="82" fillId="0" borderId="230" xfId="0" applyFont="1" applyBorder="1" applyAlignment="1">
      <alignment horizontal="center"/>
    </xf>
    <xf numFmtId="0" fontId="82" fillId="0" borderId="233" xfId="0" applyFont="1" applyBorder="1"/>
    <xf numFmtId="0" fontId="82" fillId="0" borderId="67" xfId="0" applyFont="1" applyBorder="1" applyAlignment="1">
      <alignment horizontal="center"/>
    </xf>
    <xf numFmtId="0" fontId="82" fillId="0" borderId="220" xfId="0" applyFont="1" applyBorder="1" applyAlignment="1">
      <alignment horizontal="left"/>
    </xf>
    <xf numFmtId="0" fontId="82" fillId="0" borderId="227" xfId="0" applyFont="1" applyBorder="1" applyAlignment="1">
      <alignment horizontal="center"/>
    </xf>
    <xf numFmtId="0" fontId="82" fillId="0" borderId="231" xfId="0" applyFont="1" applyBorder="1" applyAlignment="1">
      <alignment horizontal="center"/>
    </xf>
    <xf numFmtId="0" fontId="82" fillId="0" borderId="234" xfId="0" applyFont="1" applyBorder="1"/>
    <xf numFmtId="0" fontId="82" fillId="0" borderId="221" xfId="0" applyFont="1" applyBorder="1" applyAlignment="1">
      <alignment horizontal="center"/>
    </xf>
    <xf numFmtId="0" fontId="82" fillId="0" borderId="222" xfId="0" applyFont="1" applyBorder="1" applyAlignment="1">
      <alignment horizontal="left"/>
    </xf>
    <xf numFmtId="0" fontId="70" fillId="0" borderId="226" xfId="0" applyFont="1" applyBorder="1" applyAlignment="1">
      <alignment horizontal="center"/>
    </xf>
    <xf numFmtId="0" fontId="70" fillId="0" borderId="224" xfId="0" applyFont="1" applyBorder="1" applyAlignment="1">
      <alignment horizontal="center"/>
    </xf>
    <xf numFmtId="0" fontId="70" fillId="0" borderId="228" xfId="0" applyFont="1" applyBorder="1" applyAlignment="1">
      <alignment horizontal="center"/>
    </xf>
    <xf numFmtId="0" fontId="0" fillId="0" borderId="0" xfId="0" applyBorder="1" applyAlignment="1">
      <alignment horizontal="center"/>
    </xf>
    <xf numFmtId="0" fontId="0" fillId="0" borderId="0" xfId="0" applyAlignment="1">
      <alignment horizontal="center"/>
    </xf>
    <xf numFmtId="0" fontId="60" fillId="5" borderId="153" xfId="0" applyFont="1" applyFill="1" applyBorder="1" applyAlignment="1" applyProtection="1">
      <alignment vertical="center" wrapText="1"/>
    </xf>
    <xf numFmtId="0" fontId="60" fillId="5" borderId="0" xfId="0" applyFont="1" applyFill="1" applyBorder="1" applyAlignment="1" applyProtection="1">
      <alignment vertical="center" wrapText="1"/>
    </xf>
    <xf numFmtId="0" fontId="60" fillId="5" borderId="154" xfId="0" applyFont="1" applyFill="1" applyBorder="1" applyAlignment="1" applyProtection="1">
      <alignment vertical="center" wrapText="1"/>
    </xf>
    <xf numFmtId="0" fontId="60" fillId="5" borderId="155" xfId="0" applyFont="1" applyFill="1" applyBorder="1" applyAlignment="1" applyProtection="1">
      <alignment vertical="center" wrapText="1"/>
    </xf>
    <xf numFmtId="0" fontId="60" fillId="5" borderId="156" xfId="0" applyFont="1" applyFill="1" applyBorder="1" applyAlignment="1" applyProtection="1">
      <alignment vertical="center" wrapText="1"/>
    </xf>
    <xf numFmtId="0" fontId="60" fillId="5" borderId="157" xfId="0" applyFont="1" applyFill="1" applyBorder="1" applyAlignment="1" applyProtection="1">
      <alignment vertical="center" wrapText="1"/>
    </xf>
    <xf numFmtId="0" fontId="60" fillId="0" borderId="0" xfId="0" applyFont="1" applyFill="1" applyBorder="1" applyAlignment="1" applyProtection="1">
      <alignment vertical="center" wrapText="1"/>
    </xf>
    <xf numFmtId="0" fontId="0" fillId="5" borderId="153" xfId="0" applyFill="1" applyBorder="1" applyProtection="1"/>
    <xf numFmtId="0" fontId="0" fillId="5" borderId="0" xfId="0" applyFill="1" applyBorder="1" applyProtection="1"/>
    <xf numFmtId="0" fontId="0" fillId="5" borderId="154" xfId="0" applyFill="1" applyBorder="1" applyProtection="1"/>
    <xf numFmtId="0" fontId="86" fillId="0" borderId="0" xfId="0" applyFont="1" applyAlignment="1">
      <alignment horizontal="right" indent="2"/>
    </xf>
    <xf numFmtId="0" fontId="86" fillId="0" borderId="0" xfId="0" applyFont="1" applyAlignment="1" applyProtection="1">
      <alignment horizontal="left" indent="2"/>
    </xf>
    <xf numFmtId="0" fontId="0" fillId="0" borderId="0" xfId="0" applyAlignment="1">
      <alignment horizontal="center"/>
    </xf>
    <xf numFmtId="0" fontId="51" fillId="0" borderId="235" xfId="0" applyFont="1" applyBorder="1" applyAlignment="1">
      <alignment horizontal="center" vertical="center"/>
    </xf>
    <xf numFmtId="0" fontId="0" fillId="0" borderId="243" xfId="0" applyBorder="1" applyAlignment="1">
      <alignment horizontal="center" vertical="center"/>
    </xf>
    <xf numFmtId="0" fontId="0" fillId="0" borderId="236" xfId="0" applyBorder="1" applyAlignment="1">
      <alignment horizontal="center" vertical="center"/>
    </xf>
    <xf numFmtId="0" fontId="51" fillId="0" borderId="237" xfId="0" applyFont="1" applyBorder="1" applyAlignment="1">
      <alignment horizontal="center" vertical="center"/>
    </xf>
    <xf numFmtId="0" fontId="0" fillId="0" borderId="244" xfId="0" applyBorder="1" applyAlignment="1">
      <alignment horizontal="center" vertical="center"/>
    </xf>
    <xf numFmtId="0" fontId="0" fillId="0" borderId="238" xfId="0" applyBorder="1" applyAlignment="1">
      <alignment horizontal="center" vertical="center"/>
    </xf>
    <xf numFmtId="0" fontId="51" fillId="0" borderId="239" xfId="0" applyFont="1" applyBorder="1" applyAlignment="1">
      <alignment horizontal="center" vertical="center"/>
    </xf>
    <xf numFmtId="0" fontId="0" fillId="0" borderId="245" xfId="0" applyBorder="1" applyAlignment="1">
      <alignment horizontal="center" vertical="center"/>
    </xf>
    <xf numFmtId="0" fontId="0" fillId="0" borderId="240" xfId="0" applyBorder="1" applyAlignment="1">
      <alignment horizontal="center" vertical="center"/>
    </xf>
    <xf numFmtId="0" fontId="0" fillId="17" borderId="241" xfId="0" applyFill="1" applyBorder="1" applyAlignment="1">
      <alignment horizontal="center" vertical="center"/>
    </xf>
    <xf numFmtId="0" fontId="0" fillId="0" borderId="239" xfId="0" applyBorder="1" applyAlignment="1">
      <alignment horizontal="center" vertical="center"/>
    </xf>
    <xf numFmtId="0" fontId="0" fillId="0" borderId="235" xfId="0" applyBorder="1" applyAlignment="1">
      <alignment horizontal="center" vertical="center"/>
    </xf>
    <xf numFmtId="0" fontId="0" fillId="0" borderId="236" xfId="0" applyBorder="1" applyAlignment="1" applyProtection="1">
      <alignment horizontal="center" vertical="center"/>
      <protection locked="0"/>
    </xf>
    <xf numFmtId="0" fontId="0" fillId="0" borderId="236" xfId="0" applyFont="1" applyBorder="1" applyAlignment="1">
      <alignment horizontal="center" vertical="center"/>
    </xf>
    <xf numFmtId="0" fontId="21" fillId="0" borderId="236" xfId="0" applyFont="1" applyBorder="1" applyAlignment="1">
      <alignment horizontal="center" vertical="center"/>
    </xf>
    <xf numFmtId="0" fontId="0" fillId="0" borderId="237" xfId="0" applyBorder="1" applyAlignment="1">
      <alignment horizontal="center" vertical="center"/>
    </xf>
    <xf numFmtId="0" fontId="0" fillId="17" borderId="242" xfId="0" applyFill="1" applyBorder="1" applyAlignment="1">
      <alignment horizontal="center" vertical="center"/>
    </xf>
    <xf numFmtId="0" fontId="0" fillId="0" borderId="0" xfId="0" applyBorder="1" applyAlignment="1"/>
    <xf numFmtId="0" fontId="0" fillId="0" borderId="68" xfId="0" applyBorder="1" applyAlignment="1"/>
    <xf numFmtId="0" fontId="0" fillId="0" borderId="0" xfId="0" applyBorder="1" applyAlignment="1">
      <alignment horizontal="center"/>
    </xf>
    <xf numFmtId="0" fontId="0" fillId="0" borderId="0" xfId="0" applyAlignment="1">
      <alignment horizontal="center"/>
    </xf>
    <xf numFmtId="0" fontId="0" fillId="0" borderId="218" xfId="0" applyBorder="1" applyAlignment="1">
      <alignment horizontal="left"/>
    </xf>
    <xf numFmtId="0" fontId="0" fillId="0" borderId="67" xfId="0" applyBorder="1" applyAlignment="1">
      <alignment horizontal="left"/>
    </xf>
    <xf numFmtId="0" fontId="0" fillId="0" borderId="221" xfId="0" applyBorder="1" applyAlignment="1">
      <alignment horizontal="left"/>
    </xf>
    <xf numFmtId="0" fontId="0" fillId="0" borderId="224" xfId="0" applyBorder="1" applyAlignment="1">
      <alignment horizontal="center"/>
    </xf>
    <xf numFmtId="0" fontId="0" fillId="0" borderId="226" xfId="0" applyBorder="1" applyAlignment="1">
      <alignment horizontal="center"/>
    </xf>
    <xf numFmtId="0" fontId="0" fillId="0" borderId="228" xfId="0" applyBorder="1" applyAlignment="1">
      <alignment horizontal="center"/>
    </xf>
    <xf numFmtId="0" fontId="0" fillId="0" borderId="0" xfId="0" applyBorder="1" applyAlignment="1">
      <alignment horizontal="center"/>
    </xf>
    <xf numFmtId="0" fontId="0" fillId="0" borderId="0" xfId="0" applyAlignment="1">
      <alignment horizontal="center"/>
    </xf>
    <xf numFmtId="0" fontId="0" fillId="14" borderId="94" xfId="0" applyFill="1" applyBorder="1" applyAlignment="1">
      <alignment vertical="center"/>
    </xf>
    <xf numFmtId="0" fontId="3" fillId="14" borderId="96" xfId="0" applyFont="1" applyFill="1" applyBorder="1"/>
    <xf numFmtId="0" fontId="0" fillId="14" borderId="96" xfId="0" applyFill="1" applyBorder="1" applyAlignment="1">
      <alignment vertical="center"/>
    </xf>
    <xf numFmtId="0" fontId="0" fillId="14" borderId="97" xfId="0" applyFill="1" applyBorder="1" applyAlignment="1">
      <alignment vertical="center"/>
    </xf>
    <xf numFmtId="0" fontId="0" fillId="0" borderId="0" xfId="0" applyBorder="1" applyAlignment="1">
      <alignment horizontal="center"/>
    </xf>
    <xf numFmtId="0" fontId="0" fillId="0" borderId="0" xfId="0" applyAlignment="1">
      <alignment horizontal="center"/>
    </xf>
    <xf numFmtId="0" fontId="0" fillId="0" borderId="143" xfId="0" quotePrefix="1" applyBorder="1" applyAlignment="1">
      <alignment horizontal="center"/>
    </xf>
    <xf numFmtId="0" fontId="0" fillId="0" borderId="0" xfId="0" quotePrefix="1" applyBorder="1" applyAlignment="1">
      <alignment horizontal="center"/>
    </xf>
    <xf numFmtId="0" fontId="0" fillId="0" borderId="147" xfId="0" quotePrefix="1" applyBorder="1" applyAlignment="1">
      <alignment horizontal="center"/>
    </xf>
    <xf numFmtId="0" fontId="0" fillId="0" borderId="144" xfId="0" applyBorder="1" applyAlignment="1">
      <alignment horizontal="center"/>
    </xf>
    <xf numFmtId="0" fontId="0" fillId="0" borderId="44" xfId="0" applyBorder="1" applyAlignment="1">
      <alignment horizontal="center"/>
    </xf>
    <xf numFmtId="0" fontId="0" fillId="0" borderId="148" xfId="0" applyBorder="1" applyAlignment="1">
      <alignment horizontal="center"/>
    </xf>
    <xf numFmtId="0" fontId="82" fillId="0" borderId="249" xfId="0" applyFont="1" applyBorder="1" applyAlignment="1">
      <alignment horizontal="center"/>
    </xf>
    <xf numFmtId="0" fontId="82" fillId="0" borderId="250" xfId="0" applyFont="1" applyBorder="1" applyAlignment="1">
      <alignment horizontal="center"/>
    </xf>
    <xf numFmtId="0" fontId="82" fillId="0" borderId="251" xfId="0" applyFont="1" applyBorder="1" applyAlignment="1">
      <alignment horizontal="center"/>
    </xf>
    <xf numFmtId="0" fontId="82" fillId="0" borderId="252" xfId="0" applyFont="1" applyBorder="1" applyAlignment="1">
      <alignment horizontal="center"/>
    </xf>
    <xf numFmtId="0" fontId="82" fillId="0" borderId="253" xfId="0" applyFont="1" applyBorder="1" applyAlignment="1">
      <alignment horizontal="center"/>
    </xf>
    <xf numFmtId="0" fontId="82" fillId="0" borderId="254" xfId="0" applyFont="1" applyBorder="1" applyAlignment="1">
      <alignment horizontal="center"/>
    </xf>
    <xf numFmtId="0" fontId="40" fillId="0" borderId="223" xfId="0" applyFont="1" applyBorder="1" applyAlignment="1">
      <alignment horizontal="center"/>
    </xf>
    <xf numFmtId="0" fontId="40" fillId="0" borderId="225" xfId="0" applyFont="1" applyBorder="1" applyAlignment="1">
      <alignment horizontal="center"/>
    </xf>
    <xf numFmtId="0" fontId="40" fillId="0" borderId="227" xfId="0" applyFont="1" applyBorder="1" applyAlignment="1">
      <alignment horizontal="center"/>
    </xf>
    <xf numFmtId="0" fontId="0" fillId="6" borderId="0" xfId="0" applyFill="1"/>
    <xf numFmtId="0" fontId="0" fillId="0" borderId="0" xfId="0" applyFill="1" applyAlignment="1">
      <alignment vertical="center"/>
    </xf>
    <xf numFmtId="0" fontId="74" fillId="13" borderId="0" xfId="0" applyFont="1" applyFill="1" applyAlignment="1" applyProtection="1">
      <alignment horizontal="center" vertical="center"/>
    </xf>
    <xf numFmtId="0" fontId="68" fillId="12" borderId="3" xfId="0" applyFont="1" applyFill="1" applyBorder="1" applyAlignment="1" applyProtection="1">
      <alignment horizontal="center" vertical="center"/>
    </xf>
    <xf numFmtId="0" fontId="68" fillId="12" borderId="200" xfId="0" applyFont="1" applyFill="1" applyBorder="1" applyAlignment="1" applyProtection="1">
      <alignment horizontal="center" vertical="center"/>
    </xf>
    <xf numFmtId="0" fontId="68" fillId="12" borderId="4" xfId="0" applyFont="1" applyFill="1" applyBorder="1" applyAlignment="1" applyProtection="1">
      <alignment horizontal="center" vertical="center"/>
    </xf>
    <xf numFmtId="0" fontId="76" fillId="0" borderId="0" xfId="0" applyFont="1" applyAlignment="1" applyProtection="1">
      <alignment horizontal="center"/>
    </xf>
    <xf numFmtId="0" fontId="6" fillId="0" borderId="0" xfId="0" applyFont="1" applyAlignment="1" applyProtection="1">
      <alignment horizontal="right"/>
    </xf>
    <xf numFmtId="0" fontId="6" fillId="0" borderId="0" xfId="0" applyFont="1" applyAlignment="1">
      <alignment horizontal="right"/>
    </xf>
    <xf numFmtId="0" fontId="22" fillId="0" borderId="0" xfId="0" applyFont="1" applyAlignment="1" applyProtection="1"/>
    <xf numFmtId="0" fontId="22" fillId="0" borderId="0" xfId="0" applyFont="1" applyAlignment="1"/>
    <xf numFmtId="0" fontId="33" fillId="0" borderId="0" xfId="1" applyAlignment="1" applyProtection="1">
      <alignment horizontal="right"/>
      <protection locked="0"/>
    </xf>
    <xf numFmtId="0" fontId="75" fillId="0" borderId="0" xfId="0" applyFont="1" applyAlignment="1" applyProtection="1">
      <alignment horizontal="right"/>
      <protection locked="0"/>
    </xf>
    <xf numFmtId="0" fontId="50" fillId="20" borderId="1" xfId="0" applyFont="1" applyFill="1" applyBorder="1" applyAlignment="1" applyProtection="1">
      <alignment horizontal="center" vertical="center"/>
    </xf>
    <xf numFmtId="0" fontId="50" fillId="20" borderId="13" xfId="0" applyFont="1" applyFill="1" applyBorder="1" applyAlignment="1" applyProtection="1">
      <alignment horizontal="center" vertical="center"/>
    </xf>
    <xf numFmtId="0" fontId="50" fillId="20" borderId="2" xfId="0" applyFont="1" applyFill="1" applyBorder="1" applyAlignment="1" applyProtection="1">
      <alignment horizontal="center" vertical="center"/>
    </xf>
    <xf numFmtId="0" fontId="0" fillId="13" borderId="5" xfId="0" applyFill="1" applyBorder="1" applyAlignment="1" applyProtection="1">
      <alignment horizontal="center"/>
    </xf>
    <xf numFmtId="0" fontId="0" fillId="13" borderId="0" xfId="0" applyFill="1" applyBorder="1" applyAlignment="1" applyProtection="1">
      <alignment horizontal="center"/>
    </xf>
    <xf numFmtId="0" fontId="0" fillId="13" borderId="6" xfId="0" applyFill="1" applyBorder="1" applyAlignment="1" applyProtection="1">
      <alignment horizontal="center"/>
    </xf>
    <xf numFmtId="0" fontId="73" fillId="13" borderId="0" xfId="0" applyFont="1" applyFill="1" applyAlignment="1" applyProtection="1">
      <alignment horizontal="center" vertical="center"/>
    </xf>
    <xf numFmtId="166" fontId="6" fillId="12" borderId="5" xfId="0" applyNumberFormat="1" applyFont="1" applyFill="1" applyBorder="1" applyAlignment="1" applyProtection="1">
      <alignment horizontal="center"/>
    </xf>
    <xf numFmtId="166" fontId="6" fillId="12" borderId="0" xfId="0" applyNumberFormat="1" applyFont="1" applyFill="1" applyBorder="1" applyAlignment="1" applyProtection="1">
      <alignment horizontal="center"/>
    </xf>
    <xf numFmtId="166" fontId="6" fillId="12" borderId="6" xfId="0" applyNumberFormat="1" applyFont="1" applyFill="1" applyBorder="1" applyAlignment="1" applyProtection="1">
      <alignment horizontal="center"/>
    </xf>
    <xf numFmtId="0" fontId="8" fillId="20" borderId="13" xfId="0" applyFont="1" applyFill="1" applyBorder="1" applyAlignment="1" applyProtection="1">
      <alignment horizontal="center" vertical="center"/>
    </xf>
    <xf numFmtId="0" fontId="76" fillId="0" borderId="0" xfId="0" applyFont="1" applyBorder="1" applyAlignment="1" applyProtection="1">
      <alignment horizontal="center" vertical="center"/>
    </xf>
    <xf numFmtId="0" fontId="68" fillId="12" borderId="5" xfId="0" applyFont="1" applyFill="1" applyBorder="1" applyAlignment="1" applyProtection="1">
      <alignment horizontal="center" vertical="center"/>
    </xf>
    <xf numFmtId="0" fontId="68" fillId="12" borderId="6" xfId="0" applyFont="1" applyFill="1" applyBorder="1" applyAlignment="1" applyProtection="1">
      <alignment horizontal="center" vertical="center"/>
    </xf>
    <xf numFmtId="0" fontId="8" fillId="19" borderId="11" xfId="0" applyFont="1" applyFill="1" applyBorder="1" applyAlignment="1" applyProtection="1">
      <alignment horizontal="center" vertical="center"/>
    </xf>
    <xf numFmtId="0" fontId="8" fillId="19" borderId="12" xfId="0" applyFont="1" applyFill="1" applyBorder="1" applyAlignment="1" applyProtection="1">
      <alignment horizontal="center" vertical="center"/>
    </xf>
    <xf numFmtId="0" fontId="0" fillId="13" borderId="3" xfId="0" applyFill="1" applyBorder="1" applyAlignment="1" applyProtection="1">
      <alignment horizontal="center"/>
    </xf>
    <xf numFmtId="0" fontId="0" fillId="13" borderId="4" xfId="0" applyFill="1" applyBorder="1" applyAlignment="1" applyProtection="1">
      <alignment horizontal="center"/>
    </xf>
    <xf numFmtId="0" fontId="14" fillId="21" borderId="9" xfId="0" applyFont="1" applyFill="1" applyBorder="1" applyAlignment="1" applyProtection="1">
      <alignment horizontal="left" indent="1"/>
    </xf>
    <xf numFmtId="0" fontId="14" fillId="21" borderId="10" xfId="0" applyFont="1" applyFill="1" applyBorder="1" applyAlignment="1" applyProtection="1">
      <alignment horizontal="left" indent="1"/>
    </xf>
    <xf numFmtId="0" fontId="65" fillId="0" borderId="5" xfId="0" applyFont="1" applyFill="1" applyBorder="1" applyAlignment="1" applyProtection="1">
      <alignment horizontal="left" indent="1"/>
    </xf>
    <xf numFmtId="0" fontId="65" fillId="0" borderId="6" xfId="0" applyFont="1" applyFill="1" applyBorder="1" applyAlignment="1" applyProtection="1">
      <alignment horizontal="left" indent="1"/>
    </xf>
    <xf numFmtId="0" fontId="14" fillId="17" borderId="9" xfId="0" applyFont="1" applyFill="1" applyBorder="1" applyAlignment="1" applyProtection="1">
      <alignment horizontal="left" indent="1"/>
    </xf>
    <xf numFmtId="0" fontId="14" fillId="17" borderId="10" xfId="0" applyFont="1" applyFill="1" applyBorder="1" applyAlignment="1" applyProtection="1">
      <alignment horizontal="left" indent="1"/>
    </xf>
    <xf numFmtId="0" fontId="6" fillId="0" borderId="204" xfId="0" applyFont="1" applyFill="1" applyBorder="1" applyAlignment="1" applyProtection="1">
      <alignment horizontal="center"/>
    </xf>
    <xf numFmtId="0" fontId="6" fillId="0" borderId="205" xfId="0" applyFont="1" applyFill="1" applyBorder="1" applyAlignment="1" applyProtection="1">
      <alignment horizontal="center"/>
    </xf>
    <xf numFmtId="0" fontId="14" fillId="0" borderId="206" xfId="0" applyFont="1" applyFill="1" applyBorder="1" applyAlignment="1" applyProtection="1">
      <alignment horizontal="center" vertical="top"/>
    </xf>
    <xf numFmtId="0" fontId="14" fillId="0" borderId="207" xfId="0" applyFont="1" applyFill="1" applyBorder="1" applyAlignment="1" applyProtection="1">
      <alignment horizontal="center" vertical="top"/>
    </xf>
    <xf numFmtId="0" fontId="72" fillId="0" borderId="14" xfId="0" applyFont="1" applyBorder="1" applyAlignment="1" applyProtection="1">
      <alignment horizontal="center"/>
    </xf>
    <xf numFmtId="0" fontId="39" fillId="18" borderId="9" xfId="0" applyFont="1" applyFill="1" applyBorder="1" applyAlignment="1" applyProtection="1">
      <alignment horizontal="center"/>
    </xf>
    <xf numFmtId="0" fontId="39" fillId="18" borderId="10" xfId="0" applyFont="1" applyFill="1" applyBorder="1" applyAlignment="1" applyProtection="1">
      <alignment horizontal="center"/>
    </xf>
    <xf numFmtId="0" fontId="63" fillId="5" borderId="153" xfId="0" applyFont="1" applyFill="1" applyBorder="1" applyAlignment="1" applyProtection="1">
      <alignment horizontal="left" vertical="top" wrapText="1" indent="1"/>
    </xf>
    <xf numFmtId="0" fontId="63" fillId="5" borderId="0" xfId="0" applyFont="1" applyFill="1" applyBorder="1" applyAlignment="1" applyProtection="1">
      <alignment horizontal="left" vertical="top" wrapText="1" indent="1"/>
    </xf>
    <xf numFmtId="0" fontId="63" fillId="5" borderId="154" xfId="0" applyFont="1" applyFill="1" applyBorder="1" applyAlignment="1" applyProtection="1">
      <alignment horizontal="left" vertical="top" wrapText="1" indent="1"/>
    </xf>
    <xf numFmtId="0" fontId="63" fillId="5" borderId="155" xfId="0" applyFont="1" applyFill="1" applyBorder="1" applyAlignment="1" applyProtection="1">
      <alignment horizontal="left" vertical="top" wrapText="1" indent="1"/>
    </xf>
    <xf numFmtId="0" fontId="63" fillId="5" borderId="156" xfId="0" applyFont="1" applyFill="1" applyBorder="1" applyAlignment="1" applyProtection="1">
      <alignment horizontal="left" vertical="top" wrapText="1" indent="1"/>
    </xf>
    <xf numFmtId="0" fontId="63" fillId="5" borderId="157" xfId="0" applyFont="1" applyFill="1" applyBorder="1" applyAlignment="1" applyProtection="1">
      <alignment horizontal="left" vertical="top" wrapText="1" indent="1"/>
    </xf>
    <xf numFmtId="0" fontId="88" fillId="5" borderId="150" xfId="0" applyFont="1" applyFill="1" applyBorder="1" applyAlignment="1" applyProtection="1">
      <alignment horizontal="center" vertical="center" wrapText="1"/>
    </xf>
    <xf numFmtId="0" fontId="88" fillId="5" borderId="151" xfId="0" applyFont="1" applyFill="1" applyBorder="1" applyAlignment="1" applyProtection="1">
      <alignment horizontal="center" vertical="center" wrapText="1"/>
    </xf>
    <xf numFmtId="0" fontId="88" fillId="5" borderId="152" xfId="0" applyFont="1" applyFill="1" applyBorder="1" applyAlignment="1" applyProtection="1">
      <alignment horizontal="center" vertical="center" wrapText="1"/>
    </xf>
    <xf numFmtId="0" fontId="88" fillId="5" borderId="153" xfId="0" applyFont="1" applyFill="1" applyBorder="1" applyAlignment="1" applyProtection="1">
      <alignment horizontal="center" vertical="center" wrapText="1"/>
    </xf>
    <xf numFmtId="0" fontId="88" fillId="5" borderId="0" xfId="0" applyFont="1" applyFill="1" applyBorder="1" applyAlignment="1" applyProtection="1">
      <alignment horizontal="center" vertical="center" wrapText="1"/>
    </xf>
    <xf numFmtId="0" fontId="88" fillId="5" borderId="154" xfId="0" applyFont="1" applyFill="1" applyBorder="1" applyAlignment="1" applyProtection="1">
      <alignment horizontal="center" vertical="center" wrapText="1"/>
    </xf>
    <xf numFmtId="0" fontId="85" fillId="5" borderId="153" xfId="0" applyFont="1" applyFill="1" applyBorder="1" applyAlignment="1" applyProtection="1">
      <alignment horizontal="left" vertical="top" indent="2"/>
    </xf>
    <xf numFmtId="0" fontId="85" fillId="5" borderId="0" xfId="0" applyFont="1" applyFill="1" applyBorder="1" applyAlignment="1" applyProtection="1">
      <alignment horizontal="left" vertical="top" indent="2"/>
    </xf>
    <xf numFmtId="0" fontId="85" fillId="5" borderId="154" xfId="0" applyFont="1" applyFill="1" applyBorder="1" applyAlignment="1" applyProtection="1">
      <alignment horizontal="left" vertical="top" indent="2"/>
    </xf>
    <xf numFmtId="0" fontId="63" fillId="5" borderId="153" xfId="0" applyFont="1" applyFill="1" applyBorder="1" applyAlignment="1" applyProtection="1">
      <alignment horizontal="left" vertical="justify" wrapText="1" indent="1"/>
    </xf>
    <xf numFmtId="0" fontId="63" fillId="5" borderId="0" xfId="0" applyFont="1" applyFill="1" applyBorder="1" applyAlignment="1" applyProtection="1">
      <alignment horizontal="left" vertical="justify" wrapText="1" indent="1"/>
    </xf>
    <xf numFmtId="0" fontId="63" fillId="5" borderId="154" xfId="0" applyFont="1" applyFill="1" applyBorder="1" applyAlignment="1" applyProtection="1">
      <alignment horizontal="left" vertical="justify" wrapText="1" indent="1"/>
    </xf>
    <xf numFmtId="0" fontId="84" fillId="5" borderId="150" xfId="0" applyFont="1" applyFill="1" applyBorder="1" applyAlignment="1" applyProtection="1">
      <alignment horizontal="center"/>
    </xf>
    <xf numFmtId="0" fontId="84" fillId="5" borderId="151" xfId="0" applyFont="1" applyFill="1" applyBorder="1" applyAlignment="1" applyProtection="1">
      <alignment horizontal="center"/>
    </xf>
    <xf numFmtId="0" fontId="84" fillId="5" borderId="152" xfId="0" applyFont="1" applyFill="1" applyBorder="1" applyAlignment="1" applyProtection="1">
      <alignment horizontal="center"/>
    </xf>
    <xf numFmtId="0" fontId="84" fillId="5" borderId="153" xfId="0" applyFont="1" applyFill="1" applyBorder="1" applyAlignment="1" applyProtection="1">
      <alignment horizontal="center"/>
    </xf>
    <xf numFmtId="0" fontId="84" fillId="5" borderId="0" xfId="0" applyFont="1" applyFill="1" applyBorder="1" applyAlignment="1" applyProtection="1">
      <alignment horizontal="center"/>
    </xf>
    <xf numFmtId="0" fontId="84" fillId="5" borderId="154" xfId="0" applyFont="1" applyFill="1" applyBorder="1" applyAlignment="1" applyProtection="1">
      <alignment horizontal="center"/>
    </xf>
    <xf numFmtId="0" fontId="31" fillId="0" borderId="0" xfId="0" applyFont="1" applyFill="1" applyBorder="1" applyAlignment="1" applyProtection="1">
      <alignment horizontal="center" vertical="center"/>
    </xf>
    <xf numFmtId="0" fontId="38" fillId="18" borderId="1" xfId="0" applyFont="1" applyFill="1" applyBorder="1" applyAlignment="1" applyProtection="1">
      <alignment horizontal="center"/>
    </xf>
    <xf numFmtId="0" fontId="38" fillId="18" borderId="2" xfId="0" applyFont="1" applyFill="1" applyBorder="1" applyAlignment="1" applyProtection="1">
      <alignment horizontal="center"/>
    </xf>
    <xf numFmtId="0" fontId="69" fillId="0" borderId="0" xfId="0" applyFont="1" applyAlignment="1" applyProtection="1">
      <alignment horizontal="center"/>
    </xf>
    <xf numFmtId="0" fontId="71" fillId="0" borderId="0" xfId="0" applyFont="1" applyBorder="1" applyAlignment="1" applyProtection="1">
      <alignment horizontal="center" vertical="center"/>
    </xf>
    <xf numFmtId="0" fontId="72" fillId="0" borderId="14" xfId="0" applyFont="1" applyBorder="1" applyAlignment="1" applyProtection="1">
      <alignment horizontal="center" vertical="center"/>
    </xf>
    <xf numFmtId="0" fontId="72" fillId="0" borderId="14" xfId="0" applyFont="1" applyBorder="1" applyAlignment="1">
      <alignment horizontal="center" vertical="center"/>
    </xf>
    <xf numFmtId="0" fontId="77" fillId="0" borderId="0" xfId="0" applyFont="1" applyAlignment="1">
      <alignment horizontal="center" vertical="center"/>
    </xf>
    <xf numFmtId="0" fontId="70" fillId="0" borderId="0" xfId="0" applyFont="1" applyAlignment="1">
      <alignment vertical="center"/>
    </xf>
    <xf numFmtId="0" fontId="75" fillId="0" borderId="0" xfId="0" applyFont="1" applyAlignment="1">
      <alignment horizontal="center" vertical="center" wrapText="1"/>
    </xf>
    <xf numFmtId="0" fontId="0" fillId="0" borderId="0" xfId="0" applyBorder="1" applyAlignment="1">
      <alignment horizontal="center"/>
    </xf>
    <xf numFmtId="0" fontId="0" fillId="0" borderId="0" xfId="0" applyAlignment="1">
      <alignment horizontal="center"/>
    </xf>
    <xf numFmtId="0" fontId="0" fillId="17" borderId="217" xfId="0" applyFill="1" applyBorder="1" applyAlignment="1">
      <alignment horizontal="center"/>
    </xf>
    <xf numFmtId="0" fontId="0" fillId="17" borderId="247" xfId="0" applyFill="1" applyBorder="1" applyAlignment="1">
      <alignment horizontal="center"/>
    </xf>
    <xf numFmtId="0" fontId="0" fillId="17" borderId="248" xfId="0" applyFill="1" applyBorder="1" applyAlignment="1">
      <alignment horizontal="center"/>
    </xf>
    <xf numFmtId="0" fontId="79" fillId="0" borderId="0" xfId="0" applyFont="1" applyAlignment="1">
      <alignment horizontal="center"/>
    </xf>
    <xf numFmtId="0" fontId="67" fillId="0" borderId="159" xfId="0" applyFont="1" applyBorder="1" applyAlignment="1">
      <alignment horizontal="center" vertical="top" wrapText="1"/>
    </xf>
    <xf numFmtId="0" fontId="67" fillId="0" borderId="160" xfId="0" applyFont="1" applyBorder="1" applyAlignment="1">
      <alignment horizontal="center" vertical="top" wrapText="1"/>
    </xf>
    <xf numFmtId="0" fontId="67" fillId="0" borderId="161" xfId="0" applyFont="1" applyBorder="1" applyAlignment="1">
      <alignment horizontal="center" vertical="top" wrapText="1"/>
    </xf>
    <xf numFmtId="0" fontId="80" fillId="0" borderId="0" xfId="0" applyFont="1" applyAlignment="1">
      <alignment horizontal="center"/>
    </xf>
    <xf numFmtId="0" fontId="0" fillId="14" borderId="124" xfId="0" applyFont="1" applyFill="1" applyBorder="1" applyAlignment="1">
      <alignment horizontal="center" vertical="center" wrapText="1"/>
    </xf>
    <xf numFmtId="0" fontId="0" fillId="14" borderId="127" xfId="0" applyFont="1" applyFill="1" applyBorder="1" applyAlignment="1">
      <alignment horizontal="center" vertical="center"/>
    </xf>
    <xf numFmtId="0" fontId="70" fillId="0" borderId="0" xfId="0" applyFont="1" applyBorder="1" applyAlignment="1">
      <alignment horizontal="right" vertical="center" wrapText="1" indent="1"/>
    </xf>
    <xf numFmtId="0" fontId="70" fillId="0" borderId="44" xfId="0" applyFont="1" applyBorder="1" applyAlignment="1">
      <alignment horizontal="right" vertical="center" wrapText="1" indent="1"/>
    </xf>
    <xf numFmtId="0" fontId="19" fillId="0" borderId="0" xfId="0" applyFont="1" applyBorder="1" applyAlignment="1">
      <alignment horizontal="center" vertical="top"/>
    </xf>
    <xf numFmtId="0" fontId="3" fillId="14" borderId="71" xfId="0" applyFont="1" applyFill="1" applyBorder="1" applyAlignment="1" applyProtection="1">
      <alignment horizontal="center" vertical="center" wrapText="1"/>
    </xf>
    <xf numFmtId="0" fontId="3" fillId="14" borderId="122" xfId="0" applyFont="1" applyFill="1" applyBorder="1" applyAlignment="1" applyProtection="1">
      <alignment horizontal="center" vertical="center"/>
    </xf>
    <xf numFmtId="0" fontId="0" fillId="14" borderId="123" xfId="0" applyFill="1" applyBorder="1" applyAlignment="1">
      <alignment horizontal="center" vertical="center" wrapText="1"/>
    </xf>
    <xf numFmtId="0" fontId="0" fillId="14" borderId="126" xfId="0" applyFill="1" applyBorder="1" applyAlignment="1">
      <alignment horizontal="center" vertical="center"/>
    </xf>
    <xf numFmtId="0" fontId="0" fillId="0" borderId="72" xfId="0" applyBorder="1" applyAlignment="1" applyProtection="1">
      <alignment horizontal="center"/>
      <protection locked="0"/>
    </xf>
    <xf numFmtId="0" fontId="0" fillId="14" borderId="120" xfId="0" applyFill="1" applyBorder="1" applyAlignment="1">
      <alignment horizontal="center" vertical="center" wrapText="1"/>
    </xf>
    <xf numFmtId="0" fontId="0" fillId="14" borderId="125" xfId="0" applyFill="1" applyBorder="1" applyAlignment="1">
      <alignment horizontal="center" vertical="center"/>
    </xf>
    <xf numFmtId="0" fontId="0" fillId="14" borderId="123" xfId="0" applyFont="1" applyFill="1" applyBorder="1" applyAlignment="1">
      <alignment horizontal="center" vertical="center" wrapText="1"/>
    </xf>
    <xf numFmtId="0" fontId="0" fillId="14" borderId="126" xfId="0" applyFont="1" applyFill="1" applyBorder="1" applyAlignment="1">
      <alignment horizontal="center" vertical="center"/>
    </xf>
    <xf numFmtId="0" fontId="70" fillId="0" borderId="0" xfId="0" applyFont="1" applyAlignment="1" applyProtection="1">
      <alignment horizontal="right" vertical="center" wrapText="1" indent="1"/>
    </xf>
    <xf numFmtId="0" fontId="2" fillId="5" borderId="99" xfId="0" applyFont="1" applyFill="1" applyBorder="1" applyAlignment="1" applyProtection="1">
      <alignment horizontal="center" vertical="center"/>
      <protection locked="0"/>
    </xf>
    <xf numFmtId="0" fontId="2" fillId="5" borderId="100" xfId="0" applyFont="1" applyFill="1" applyBorder="1" applyAlignment="1" applyProtection="1">
      <alignment horizontal="center" vertical="center"/>
      <protection locked="0"/>
    </xf>
    <xf numFmtId="0" fontId="80" fillId="0" borderId="0" xfId="0" applyFont="1" applyAlignment="1" applyProtection="1">
      <alignment horizontal="center"/>
    </xf>
    <xf numFmtId="0" fontId="70" fillId="0" borderId="0" xfId="0" applyFont="1" applyBorder="1" applyAlignment="1" applyProtection="1">
      <alignment horizontal="left" vertical="center" wrapText="1"/>
    </xf>
    <xf numFmtId="0" fontId="77" fillId="14" borderId="91" xfId="0" applyFont="1" applyFill="1" applyBorder="1" applyAlignment="1">
      <alignment horizontal="center"/>
    </xf>
    <xf numFmtId="0" fontId="7" fillId="0" borderId="21" xfId="0" applyFont="1" applyBorder="1" applyAlignment="1">
      <alignment horizontal="center"/>
    </xf>
    <xf numFmtId="0" fontId="3" fillId="14" borderId="72" xfId="0" applyFont="1" applyFill="1" applyBorder="1" applyAlignment="1" applyProtection="1">
      <alignment horizontal="center" vertical="center"/>
    </xf>
    <xf numFmtId="0" fontId="3" fillId="14" borderId="120" xfId="0" applyFont="1" applyFill="1" applyBorder="1" applyAlignment="1" applyProtection="1">
      <alignment horizontal="center" vertical="center" wrapText="1"/>
    </xf>
    <xf numFmtId="0" fontId="3" fillId="14" borderId="121" xfId="0" applyFont="1" applyFill="1" applyBorder="1" applyAlignment="1" applyProtection="1">
      <alignment horizontal="center" vertical="center"/>
    </xf>
    <xf numFmtId="0" fontId="3" fillId="14" borderId="57" xfId="0" applyFont="1" applyFill="1" applyBorder="1" applyAlignment="1" applyProtection="1">
      <alignment horizontal="center" vertical="center" wrapText="1"/>
    </xf>
    <xf numFmtId="0" fontId="3" fillId="14" borderId="58" xfId="0" applyFont="1" applyFill="1" applyBorder="1" applyAlignment="1" applyProtection="1">
      <alignment horizontal="center" vertical="center"/>
    </xf>
    <xf numFmtId="0" fontId="21" fillId="0" borderId="77" xfId="0" applyFont="1" applyBorder="1" applyAlignment="1">
      <alignment horizontal="center" wrapText="1"/>
    </xf>
    <xf numFmtId="0" fontId="81" fillId="0" borderId="0" xfId="0" applyFont="1" applyAlignment="1">
      <alignment horizontal="center"/>
    </xf>
    <xf numFmtId="0" fontId="16" fillId="0" borderId="0" xfId="0" applyFont="1" applyFill="1" applyBorder="1" applyAlignment="1">
      <alignment horizontal="center" vertical="center"/>
    </xf>
    <xf numFmtId="0" fontId="19" fillId="0" borderId="0" xfId="0" applyFont="1" applyBorder="1" applyAlignment="1">
      <alignment horizontal="center" vertical="center"/>
    </xf>
    <xf numFmtId="0" fontId="29" fillId="0" borderId="0" xfId="0" applyFont="1" applyAlignment="1">
      <alignment horizontal="center"/>
    </xf>
    <xf numFmtId="0" fontId="0" fillId="0" borderId="31" xfId="0" applyBorder="1" applyAlignment="1">
      <alignment horizontal="left"/>
    </xf>
    <xf numFmtId="0" fontId="0" fillId="0" borderId="32" xfId="0" applyBorder="1" applyAlignment="1">
      <alignment horizontal="left"/>
    </xf>
    <xf numFmtId="0" fontId="0" fillId="17" borderId="246" xfId="0" applyFill="1" applyBorder="1" applyAlignment="1">
      <alignment horizontal="center" vertical="center"/>
    </xf>
    <xf numFmtId="0" fontId="0" fillId="17" borderId="242" xfId="0" applyFill="1" applyBorder="1" applyAlignment="1">
      <alignment horizontal="center" vertical="center"/>
    </xf>
    <xf numFmtId="0" fontId="87" fillId="0" borderId="0" xfId="0" applyFont="1" applyAlignment="1">
      <alignment horizontal="center"/>
    </xf>
    <xf numFmtId="0" fontId="53" fillId="0" borderId="0" xfId="0" applyFont="1" applyAlignment="1">
      <alignment horizontal="center" vertical="center"/>
    </xf>
    <xf numFmtId="0" fontId="28" fillId="0" borderId="0" xfId="0" applyFont="1" applyBorder="1" applyAlignment="1">
      <alignment horizontal="center"/>
    </xf>
    <xf numFmtId="0" fontId="0" fillId="0" borderId="22" xfId="0" applyBorder="1" applyAlignment="1">
      <alignment horizontal="right"/>
    </xf>
    <xf numFmtId="0" fontId="0" fillId="0" borderId="21" xfId="0" applyBorder="1" applyAlignment="1">
      <alignment horizontal="right"/>
    </xf>
    <xf numFmtId="0" fontId="21" fillId="0" borderId="29" xfId="0" applyFont="1" applyBorder="1" applyAlignment="1">
      <alignment horizontal="center"/>
    </xf>
    <xf numFmtId="0" fontId="0" fillId="0" borderId="27" xfId="0" applyBorder="1" applyAlignment="1">
      <alignment horizontal="right"/>
    </xf>
    <xf numFmtId="0" fontId="0" fillId="0" borderId="26" xfId="0" applyBorder="1" applyAlignment="1">
      <alignment horizontal="right"/>
    </xf>
    <xf numFmtId="0" fontId="0" fillId="0" borderId="24" xfId="0" applyBorder="1" applyAlignment="1">
      <alignment horizontal="right"/>
    </xf>
    <xf numFmtId="0" fontId="0" fillId="0" borderId="0" xfId="0" applyBorder="1" applyAlignment="1">
      <alignment horizontal="right"/>
    </xf>
    <xf numFmtId="0" fontId="53" fillId="0" borderId="0" xfId="0" quotePrefix="1" applyFont="1" applyAlignment="1">
      <alignment horizontal="center"/>
    </xf>
    <xf numFmtId="0" fontId="11" fillId="0" borderId="29" xfId="0" applyFont="1" applyBorder="1" applyAlignment="1">
      <alignment horizontal="center"/>
    </xf>
    <xf numFmtId="0" fontId="55" fillId="0" borderId="0" xfId="0" applyFont="1" applyAlignment="1">
      <alignment horizontal="center"/>
    </xf>
  </cellXfs>
  <cellStyles count="2">
    <cellStyle name="Link" xfId="1" builtinId="8"/>
    <cellStyle name="Standard" xfId="0" builtinId="0"/>
  </cellStyles>
  <dxfs count="222">
    <dxf>
      <font>
        <b/>
        <i val="0"/>
      </font>
    </dxf>
    <dxf>
      <font>
        <b/>
        <i val="0"/>
      </font>
    </dxf>
    <dxf>
      <font>
        <b/>
        <i val="0"/>
      </font>
    </dxf>
    <dxf>
      <fill>
        <patternFill>
          <bgColor rgb="FFEDFBC1"/>
        </patternFill>
      </fill>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auto="1"/>
      </font>
    </dxf>
    <dxf>
      <font>
        <b/>
        <i val="0"/>
        <color auto="1"/>
      </font>
    </dxf>
    <dxf>
      <font>
        <b/>
        <i val="0"/>
        <color auto="1"/>
      </font>
    </dxf>
    <dxf>
      <font>
        <b/>
        <i val="0"/>
        <color auto="1"/>
      </font>
    </dxf>
    <dxf>
      <font>
        <b/>
        <i val="0"/>
        <color auto="1"/>
      </font>
    </dxf>
    <dxf>
      <font>
        <b/>
        <i val="0"/>
        <color auto="1"/>
      </font>
    </dxf>
    <dxf>
      <font>
        <b/>
        <i val="0"/>
        <color auto="1"/>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b val="0"/>
        <i val="0"/>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rgb="FFC02000"/>
      </font>
    </dxf>
    <dxf>
      <font>
        <color theme="1"/>
      </font>
    </dxf>
    <dxf>
      <font>
        <color theme="1"/>
      </font>
    </dxf>
    <dxf>
      <font>
        <color rgb="FFC02000"/>
      </font>
    </dxf>
    <dxf>
      <font>
        <color theme="1"/>
      </font>
    </dxf>
    <dxf>
      <font>
        <color theme="1"/>
      </font>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ont>
        <b/>
        <i val="0"/>
        <color theme="1"/>
      </font>
      <fill>
        <patternFill patternType="solid">
          <bgColor rgb="FFFFFF00"/>
        </patternFill>
      </fill>
    </dxf>
    <dxf>
      <fill>
        <patternFill>
          <bgColor theme="7" tint="0.39994506668294322"/>
        </patternFill>
      </fill>
    </dxf>
    <dxf>
      <font>
        <b/>
        <i val="0"/>
        <color theme="1"/>
      </font>
      <fill>
        <patternFill patternType="solid">
          <bgColor rgb="FFFFFF00"/>
        </patternFill>
      </fill>
    </dxf>
    <dxf>
      <fill>
        <patternFill>
          <bgColor theme="7" tint="0.39994506668294322"/>
        </patternFill>
      </fill>
    </dxf>
    <dxf>
      <fill>
        <patternFill>
          <bgColor theme="7" tint="0.39994506668294322"/>
        </patternFill>
      </fill>
    </dxf>
    <dxf>
      <font>
        <b/>
        <i val="0"/>
        <color theme="1"/>
      </font>
      <fill>
        <patternFill patternType="solid">
          <bgColor rgb="FFFFFF00"/>
        </patternFill>
      </fill>
    </dxf>
    <dxf>
      <font>
        <b/>
        <i val="0"/>
        <color theme="1"/>
      </font>
      <fill>
        <patternFill patternType="solid">
          <bgColor rgb="FFFFFF00"/>
        </patternFill>
      </fill>
    </dxf>
  </dxfs>
  <tableStyles count="0" defaultTableStyle="TableStyleMedium2" defaultPivotStyle="PivotStyleLight16"/>
  <colors>
    <mruColors>
      <color rgb="FFED7D31"/>
      <color rgb="FFF9F9F9"/>
      <color rgb="FFEDFBC1"/>
      <color rgb="FFDE500A"/>
      <color rgb="FF0A749A"/>
      <color rgb="FF0B86B1"/>
      <color rgb="FF0D98C9"/>
      <color rgb="FFC02000"/>
      <color rgb="FF789A0A"/>
      <color rgb="FF0B80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314325</xdr:colOff>
      <xdr:row>0</xdr:row>
      <xdr:rowOff>228600</xdr:rowOff>
    </xdr:from>
    <xdr:to>
      <xdr:col>22</xdr:col>
      <xdr:colOff>676694</xdr:colOff>
      <xdr:row>7</xdr:row>
      <xdr:rowOff>133350</xdr:rowOff>
    </xdr:to>
    <xdr:pic>
      <xdr:nvPicPr>
        <xdr:cNvPr id="3" name="Grafik 2">
          <a:extLst>
            <a:ext uri="{FF2B5EF4-FFF2-40B4-BE49-F238E27FC236}">
              <a16:creationId xmlns:a16="http://schemas.microsoft.com/office/drawing/2014/main" id="{4FE2686E-4AA4-4799-9A59-08488DC0B9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335125" y="228600"/>
          <a:ext cx="1619669" cy="18383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hermann-baum.de/excel/UEFA_EURO/d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07E15-09C6-44CF-902F-0D1104C0DEBF}">
  <dimension ref="A1:Z93"/>
  <sheetViews>
    <sheetView showGridLines="0" showRowColHeaders="0" tabSelected="1" workbookViewId="0">
      <selection activeCell="B14" sqref="B14"/>
    </sheetView>
  </sheetViews>
  <sheetFormatPr baseColWidth="10" defaultRowHeight="15" x14ac:dyDescent="0.25"/>
  <cols>
    <col min="1" max="1" width="5.140625" style="4" customWidth="1"/>
    <col min="2" max="3" width="13.140625" style="4" customWidth="1"/>
    <col min="4" max="4" width="5.7109375" style="4" customWidth="1"/>
    <col min="5" max="6" width="13.140625" style="4" customWidth="1"/>
    <col min="7" max="7" width="5.7109375" style="4" customWidth="1"/>
    <col min="8" max="9" width="13.140625" style="4" customWidth="1"/>
    <col min="10" max="10" width="5.7109375" style="4" customWidth="1"/>
    <col min="11" max="12" width="13.140625" style="4" customWidth="1"/>
    <col min="13" max="13" width="5.7109375" style="4" customWidth="1"/>
    <col min="14" max="15" width="13.140625" style="4" customWidth="1"/>
    <col min="16" max="16" width="5.7109375" style="4" customWidth="1"/>
    <col min="17" max="18" width="13.140625" style="4" customWidth="1"/>
    <col min="19" max="19" width="5.7109375" style="4" customWidth="1"/>
    <col min="20" max="21" width="13.140625" style="4" customWidth="1"/>
    <col min="22" max="22" width="5.7109375" style="4" customWidth="1"/>
    <col min="23" max="24" width="13.140625" style="4" customWidth="1"/>
    <col min="25" max="25" width="5.7109375" style="4" customWidth="1"/>
    <col min="26" max="26" width="3" style="4" customWidth="1"/>
  </cols>
  <sheetData>
    <row r="1" spans="1:25" s="4" customFormat="1" ht="61.5" customHeight="1" x14ac:dyDescent="0.9">
      <c r="D1" s="92"/>
      <c r="E1" s="624" t="str">
        <f>Language!$E$84</f>
        <v>EURO 2020/2021</v>
      </c>
      <c r="F1" s="624"/>
      <c r="G1" s="624"/>
      <c r="H1" s="624"/>
      <c r="I1" s="624"/>
      <c r="J1" s="624"/>
      <c r="K1" s="624"/>
      <c r="L1" s="624"/>
      <c r="M1" s="624"/>
      <c r="N1" s="624"/>
      <c r="O1" s="624"/>
      <c r="P1" s="624"/>
      <c r="Q1" s="624"/>
      <c r="R1" s="624"/>
      <c r="S1" s="624"/>
      <c r="T1" s="624"/>
      <c r="U1" s="624"/>
      <c r="V1" s="92"/>
      <c r="W1" s="92"/>
      <c r="X1" s="416" t="s">
        <v>866</v>
      </c>
      <c r="Y1" s="27"/>
    </row>
    <row r="2" spans="1:25" s="4" customFormat="1" ht="14.25" customHeight="1" x14ac:dyDescent="0.9">
      <c r="B2" s="24"/>
      <c r="C2" s="94" t="str">
        <f>Language!$E$100</f>
        <v xml:space="preserve">  Pkt      Tore</v>
      </c>
      <c r="D2" s="22"/>
      <c r="E2" s="24"/>
      <c r="F2" s="94" t="str">
        <f>Language!$E$100</f>
        <v xml:space="preserve">  Pkt      Tore</v>
      </c>
      <c r="G2" s="22"/>
      <c r="H2" s="24"/>
      <c r="I2" s="94" t="str">
        <f>Language!$E$100</f>
        <v xml:space="preserve">  Pkt      Tore</v>
      </c>
      <c r="J2" s="22"/>
      <c r="K2" s="25"/>
      <c r="L2" s="94" t="str">
        <f>Language!$E$100</f>
        <v xml:space="preserve">  Pkt      Tore</v>
      </c>
      <c r="M2" s="22"/>
      <c r="N2" s="24"/>
      <c r="O2" s="94" t="str">
        <f>Language!$E$100</f>
        <v xml:space="preserve">  Pkt      Tore</v>
      </c>
      <c r="P2" s="22"/>
      <c r="Q2" s="24"/>
      <c r="R2" s="94" t="str">
        <f>Language!$E$100</f>
        <v xml:space="preserve">  Pkt      Tore</v>
      </c>
      <c r="S2" s="22"/>
      <c r="T2" s="412"/>
      <c r="U2" s="411"/>
      <c r="V2" s="411"/>
      <c r="W2" s="411"/>
      <c r="X2" s="411"/>
    </row>
    <row r="3" spans="1:25" s="4" customFormat="1" ht="15.95" customHeight="1" x14ac:dyDescent="0.25">
      <c r="A3" s="5"/>
      <c r="B3" s="417" t="str">
        <f ca="1">GrpA!P11</f>
        <v>Italien</v>
      </c>
      <c r="C3" s="418" t="str">
        <f ca="1">"   "&amp;GrpA!$Q11&amp;"        "&amp;GrpA!$S11&amp;Language!$E$142&amp;GrpA!$T11</f>
        <v xml:space="preserve">   9        5 : 0</v>
      </c>
      <c r="D3" s="120"/>
      <c r="E3" s="417" t="str">
        <f ca="1">GrpB!P11</f>
        <v>Belgien</v>
      </c>
      <c r="F3" s="418" t="str">
        <f ca="1">"   "&amp;GrpB!$Q11&amp;"        "&amp;GrpB!$S11&amp;Language!$E$142&amp;GrpB!$T11</f>
        <v xml:space="preserve">   9        7 : 1</v>
      </c>
      <c r="G3" s="120"/>
      <c r="H3" s="417" t="str">
        <f ca="1">GrpC!$P11</f>
        <v>Niederlande</v>
      </c>
      <c r="I3" s="418" t="str">
        <f ca="1">"   "&amp;GrpC!$Q11&amp;"        "&amp;GrpC!$S11&amp;Language!$E$142&amp;GrpC!$T11</f>
        <v xml:space="preserve">   9        8 : 2</v>
      </c>
      <c r="J3" s="122"/>
      <c r="K3" s="417" t="str">
        <f ca="1">GrpD!$P11</f>
        <v>England</v>
      </c>
      <c r="L3" s="418" t="str">
        <f ca="1">"   "&amp;GrpD!$Q11&amp;"        "&amp;GrpD!$S11&amp;Language!$E$142&amp;GrpD!$T11</f>
        <v xml:space="preserve">   7        2 : 0</v>
      </c>
      <c r="M3" s="122"/>
      <c r="N3" s="417" t="str">
        <f ca="1">GrpE!$P11</f>
        <v>Schweden</v>
      </c>
      <c r="O3" s="418" t="str">
        <f ca="1">"   "&amp;GrpE!$Q11&amp;"        "&amp;GrpE!$S11&amp;Language!$E$142&amp;GrpE!$T11</f>
        <v xml:space="preserve">   7        4 : 2</v>
      </c>
      <c r="P3" s="120"/>
      <c r="Q3" s="417" t="str">
        <f ca="1">GrpF!$P11</f>
        <v>Frankreich</v>
      </c>
      <c r="R3" s="418" t="str">
        <f ca="1">"   "&amp;GrpF!$Q11&amp;"        "&amp;GrpF!$S11&amp;Language!$E$142&amp;GrpF!$T11</f>
        <v xml:space="preserve">   5        4 : 3</v>
      </c>
      <c r="S3" s="122"/>
      <c r="T3" s="411"/>
      <c r="U3" s="411"/>
      <c r="V3" s="411"/>
      <c r="W3" s="411"/>
      <c r="X3" s="411"/>
      <c r="Y3" s="5"/>
    </row>
    <row r="4" spans="1:25" s="4" customFormat="1" ht="15.95" customHeight="1" x14ac:dyDescent="0.25">
      <c r="A4" s="5"/>
      <c r="B4" s="419" t="str">
        <f ca="1">GrpA!P12</f>
        <v>Schweiz</v>
      </c>
      <c r="C4" s="420" t="str">
        <f ca="1">"   "&amp;GrpA!$Q12&amp;"        "&amp;GrpA!$S12&amp;Language!$E$142&amp;GrpA!$T12</f>
        <v xml:space="preserve">   4        4 : 3</v>
      </c>
      <c r="D4" s="120"/>
      <c r="E4" s="419" t="str">
        <f ca="1">GrpB!P12</f>
        <v>Dänemark</v>
      </c>
      <c r="F4" s="420" t="str">
        <f ca="1">"   "&amp;GrpB!$Q12&amp;"        "&amp;GrpB!$S12&amp;Language!$E$142&amp;GrpB!$T12</f>
        <v xml:space="preserve">   3        5 : 4</v>
      </c>
      <c r="G4" s="120"/>
      <c r="H4" s="419" t="str">
        <f ca="1">GrpC!P12</f>
        <v>Österreich</v>
      </c>
      <c r="I4" s="420" t="str">
        <f ca="1">"   "&amp;GrpC!$Q12&amp;"        "&amp;GrpC!$S12&amp;Language!$E$142&amp;GrpC!$T12</f>
        <v xml:space="preserve">   6        4 : 3</v>
      </c>
      <c r="J4" s="122"/>
      <c r="K4" s="419" t="str">
        <f ca="1">GrpD!$P12</f>
        <v>Kroatien</v>
      </c>
      <c r="L4" s="420" t="str">
        <f ca="1">"   "&amp;GrpD!$Q12&amp;"        "&amp;GrpD!$S12&amp;Language!$E$142&amp;GrpD!$T12</f>
        <v xml:space="preserve">   4        4 : 3</v>
      </c>
      <c r="M4" s="122"/>
      <c r="N4" s="419" t="str">
        <f ca="1">GrpE!$P12</f>
        <v>Spanien</v>
      </c>
      <c r="O4" s="420" t="str">
        <f ca="1">"   "&amp;GrpE!$Q12&amp;"        "&amp;GrpE!$S12&amp;Language!$E$142&amp;GrpE!$T12</f>
        <v xml:space="preserve">   5        6 : 1</v>
      </c>
      <c r="P4" s="120"/>
      <c r="Q4" s="419" t="str">
        <f ca="1">GrpF!$P12</f>
        <v>Deutschland</v>
      </c>
      <c r="R4" s="420" t="str">
        <f ca="1">"   "&amp;GrpF!$Q12&amp;"        "&amp;GrpF!$S12&amp;Language!$E$142&amp;GrpF!$T12</f>
        <v xml:space="preserve">   4        6 : 5</v>
      </c>
      <c r="S4" s="122"/>
      <c r="T4" s="411"/>
      <c r="U4" s="411"/>
      <c r="V4" s="411"/>
      <c r="W4" s="411"/>
      <c r="X4" s="411"/>
      <c r="Y4" s="5"/>
    </row>
    <row r="5" spans="1:25" s="4" customFormat="1" ht="15.95" customHeight="1" x14ac:dyDescent="0.25">
      <c r="A5" s="5"/>
      <c r="B5" s="421" t="str">
        <f ca="1">GrpA!P13</f>
        <v>Wales</v>
      </c>
      <c r="C5" s="422" t="str">
        <f ca="1">"   "&amp;GrpA!$Q13&amp;"        "&amp;GrpA!$S13&amp;Language!$E$142&amp;GrpA!$T13</f>
        <v xml:space="preserve">   4        3 : 2</v>
      </c>
      <c r="D5" s="120"/>
      <c r="E5" s="421" t="str">
        <f ca="1">GrpB!P13</f>
        <v>Finnland</v>
      </c>
      <c r="F5" s="422" t="str">
        <f ca="1">"   "&amp;GrpB!$Q13&amp;"        "&amp;GrpB!$S13&amp;Language!$E$142&amp;GrpB!$T13</f>
        <v xml:space="preserve">   3        1 : 3</v>
      </c>
      <c r="G5" s="120"/>
      <c r="H5" s="421" t="str">
        <f ca="1">GrpC!P13</f>
        <v>Ukraine</v>
      </c>
      <c r="I5" s="422" t="str">
        <f ca="1">"   "&amp;GrpC!$Q13&amp;"        "&amp;GrpC!$S13&amp;Language!$E$142&amp;GrpC!$T13</f>
        <v xml:space="preserve">   3        4 : 5</v>
      </c>
      <c r="J5" s="122"/>
      <c r="K5" s="421" t="str">
        <f ca="1">GrpD!$P13</f>
        <v>Tschechien</v>
      </c>
      <c r="L5" s="422" t="str">
        <f ca="1">"   "&amp;GrpD!$Q13&amp;"        "&amp;GrpD!$S13&amp;Language!$E$142&amp;GrpD!$T13</f>
        <v xml:space="preserve">   4        3 : 2</v>
      </c>
      <c r="M5" s="122"/>
      <c r="N5" s="421" t="str">
        <f ca="1">GrpE!$P13</f>
        <v>Slowakei</v>
      </c>
      <c r="O5" s="422" t="str">
        <f ca="1">"   "&amp;GrpE!$Q13&amp;"        "&amp;GrpE!$S13&amp;Language!$E$142&amp;GrpE!$T13</f>
        <v xml:space="preserve">   3        2 : 7</v>
      </c>
      <c r="P5" s="120"/>
      <c r="Q5" s="421" t="str">
        <f ca="1">GrpF!$P13</f>
        <v>Portugal</v>
      </c>
      <c r="R5" s="422" t="str">
        <f ca="1">"   "&amp;GrpF!$Q13&amp;"        "&amp;GrpF!$S13&amp;Language!$E$142&amp;GrpF!$T13</f>
        <v xml:space="preserve">   4        7 : 6</v>
      </c>
      <c r="S5" s="122"/>
      <c r="T5" s="411"/>
      <c r="U5" s="411"/>
      <c r="V5" s="411"/>
      <c r="W5" s="411"/>
      <c r="X5" s="411"/>
      <c r="Y5" s="5"/>
    </row>
    <row r="6" spans="1:25" s="96" customFormat="1" ht="15.95" customHeight="1" x14ac:dyDescent="0.25">
      <c r="A6" s="95"/>
      <c r="B6" s="423" t="str">
        <f ca="1">GrpA!P14</f>
        <v>Türkei</v>
      </c>
      <c r="C6" s="424" t="str">
        <f ca="1">"   "&amp;GrpA!$Q14&amp;"        "&amp;GrpA!$S14&amp;Language!$E$142&amp;GrpA!$T14</f>
        <v xml:space="preserve">   0        1 : 8</v>
      </c>
      <c r="D6" s="121"/>
      <c r="E6" s="423" t="str">
        <f ca="1">GrpB!P14</f>
        <v>Russland</v>
      </c>
      <c r="F6" s="424" t="str">
        <f ca="1">"   "&amp;GrpB!$Q14&amp;"        "&amp;GrpB!$S14&amp;Language!$E$142&amp;GrpB!$T14</f>
        <v xml:space="preserve">   3        2 : 7</v>
      </c>
      <c r="G6" s="121"/>
      <c r="H6" s="423" t="str">
        <f ca="1">GrpC!P14</f>
        <v>Nordmazedonien</v>
      </c>
      <c r="I6" s="424" t="str">
        <f ca="1">"   "&amp;GrpC!$Q14&amp;"        "&amp;GrpC!$S14&amp;Language!$E$142&amp;GrpC!$T14</f>
        <v xml:space="preserve">   0        2 : 8</v>
      </c>
      <c r="J6" s="123"/>
      <c r="K6" s="423" t="str">
        <f ca="1">GrpD!$P14</f>
        <v>Schottland</v>
      </c>
      <c r="L6" s="424" t="str">
        <f ca="1">"   "&amp;GrpD!$Q14&amp;"        "&amp;GrpD!$S14&amp;Language!$E$142&amp;GrpD!$T14</f>
        <v xml:space="preserve">   1        1 : 5</v>
      </c>
      <c r="M6" s="123"/>
      <c r="N6" s="423" t="str">
        <f ca="1">GrpE!$P14</f>
        <v>Polen</v>
      </c>
      <c r="O6" s="424" t="str">
        <f ca="1">"   "&amp;GrpE!$Q14&amp;"        "&amp;GrpE!$S14&amp;Language!$E$142&amp;GrpE!$T14</f>
        <v xml:space="preserve">   1        4 : 6</v>
      </c>
      <c r="P6" s="121"/>
      <c r="Q6" s="423" t="str">
        <f ca="1">GrpF!$P14</f>
        <v>Ungarn</v>
      </c>
      <c r="R6" s="424" t="str">
        <f ca="1">"   "&amp;GrpF!$Q14&amp;"        "&amp;GrpF!$S14&amp;Language!$E$142&amp;GrpF!$T14</f>
        <v xml:space="preserve">   2        3 : 6</v>
      </c>
      <c r="S6" s="123"/>
      <c r="T6" s="411"/>
      <c r="U6" s="411"/>
      <c r="V6" s="411"/>
      <c r="W6" s="411"/>
      <c r="X6" s="411"/>
      <c r="Y6" s="95"/>
    </row>
    <row r="7" spans="1:25" s="4" customFormat="1" ht="13.5" customHeight="1" x14ac:dyDescent="0.25">
      <c r="A7" s="5"/>
      <c r="B7" s="625" t="str">
        <f ca="1">IF(GrpA!$M$10+GrpB!$M$10+GrpC!$M$10+GrpD!$M$10+GrpE!$M$10+GrpF!$M$10=0,"",IF(Distinctness!$D$4&gt;0,Distinctness!$J$4,Distinctness!$J$5))</f>
        <v>Die Platzierung ist in allen Gruppen geklärt.</v>
      </c>
      <c r="C7" s="625"/>
      <c r="D7" s="625"/>
      <c r="E7" s="625"/>
      <c r="F7" s="625"/>
      <c r="G7" s="625"/>
      <c r="H7" s="625"/>
      <c r="I7" s="625"/>
      <c r="J7" s="625"/>
      <c r="K7" s="625"/>
      <c r="L7" s="625"/>
      <c r="M7" s="625"/>
      <c r="N7" s="625"/>
      <c r="O7" s="625"/>
      <c r="P7" s="625"/>
      <c r="Q7" s="625"/>
      <c r="R7" s="625"/>
      <c r="S7" s="319"/>
      <c r="T7" s="331"/>
      <c r="U7" s="331"/>
      <c r="V7" s="331"/>
      <c r="W7" s="331"/>
      <c r="X7" s="331"/>
      <c r="Y7" s="5"/>
    </row>
    <row r="8" spans="1:25" s="4" customFormat="1" ht="11.25" customHeight="1" x14ac:dyDescent="0.25">
      <c r="B8" s="626" t="str">
        <f ca="1">IF(GrpA!$X$11&gt;0,"•","")</f>
        <v/>
      </c>
      <c r="C8" s="627"/>
      <c r="D8" s="153"/>
      <c r="E8" s="626" t="str">
        <f ca="1">IF(GrpB!$X$11&gt;0,"•","")</f>
        <v/>
      </c>
      <c r="F8" s="627"/>
      <c r="G8" s="153"/>
      <c r="H8" s="626" t="str">
        <f ca="1">IF(GrpC!$X$11&gt;0,"•","")</f>
        <v/>
      </c>
      <c r="I8" s="627"/>
      <c r="J8" s="153"/>
      <c r="K8" s="626" t="str">
        <f ca="1">IF(GrpD!$X$11&gt;0,"•","")</f>
        <v/>
      </c>
      <c r="L8" s="627"/>
      <c r="M8" s="23"/>
      <c r="N8" s="626" t="str">
        <f ca="1">IF(GrpE!$X$11&gt;0,"•","")</f>
        <v/>
      </c>
      <c r="O8" s="627"/>
      <c r="P8" s="153"/>
      <c r="Q8" s="626" t="str">
        <f ca="1">IF(GrpF!$X$11&gt;0,"•","")</f>
        <v/>
      </c>
      <c r="R8" s="627"/>
      <c r="S8" s="154"/>
      <c r="T8" s="621"/>
      <c r="U8" s="621"/>
      <c r="V8" s="333"/>
      <c r="W8" s="621"/>
      <c r="X8" s="621"/>
    </row>
    <row r="9" spans="1:25" s="4" customFormat="1" ht="19.5" customHeight="1" x14ac:dyDescent="0.35">
      <c r="B9" s="622" t="str">
        <f>Language!$E$93&amp;" A"</f>
        <v>Gruppe A</v>
      </c>
      <c r="C9" s="623"/>
      <c r="D9" s="6"/>
      <c r="E9" s="622" t="str">
        <f>Language!$E$93&amp;" B"</f>
        <v>Gruppe B</v>
      </c>
      <c r="F9" s="623"/>
      <c r="H9" s="622" t="str">
        <f>Language!$E$93&amp;" C"</f>
        <v>Gruppe C</v>
      </c>
      <c r="I9" s="623"/>
      <c r="K9" s="622" t="str">
        <f>Language!$E$93&amp;" D"</f>
        <v>Gruppe D</v>
      </c>
      <c r="L9" s="623"/>
      <c r="N9" s="622" t="str">
        <f>Language!$E$93&amp;" E"</f>
        <v>Gruppe E</v>
      </c>
      <c r="O9" s="623"/>
      <c r="Q9" s="622" t="str">
        <f>Language!$E$93&amp;" F"</f>
        <v>Gruppe F</v>
      </c>
      <c r="R9" s="623"/>
      <c r="T9" s="413"/>
      <c r="U9" s="410"/>
      <c r="V9" s="410"/>
      <c r="W9" s="410"/>
      <c r="X9" s="410"/>
    </row>
    <row r="10" spans="1:25" s="4" customFormat="1" ht="9.9499999999999993" customHeight="1" thickBot="1" x14ac:dyDescent="0.35">
      <c r="B10" s="62"/>
      <c r="C10" s="62"/>
      <c r="D10" s="63"/>
      <c r="E10" s="62"/>
      <c r="F10" s="62"/>
      <c r="G10" s="18"/>
      <c r="H10" s="62"/>
      <c r="I10" s="62"/>
      <c r="J10" s="18"/>
      <c r="K10" s="62"/>
      <c r="L10" s="62"/>
      <c r="M10" s="18"/>
      <c r="N10" s="62"/>
      <c r="O10" s="62"/>
      <c r="P10" s="18"/>
      <c r="Q10" s="62"/>
      <c r="R10" s="62"/>
      <c r="T10" s="62"/>
      <c r="U10" s="62"/>
      <c r="V10" s="18"/>
      <c r="W10" s="62"/>
      <c r="X10" s="62"/>
    </row>
    <row r="11" spans="1:25" s="4" customFormat="1" ht="15" customHeight="1" x14ac:dyDescent="0.25">
      <c r="A11" s="139">
        <v>1</v>
      </c>
      <c r="B11" s="582" t="str">
        <f>VLOOKUP(A11,Matches!$B$4:$K$58,7,0)</f>
        <v>London</v>
      </c>
      <c r="C11" s="583"/>
      <c r="D11" s="139">
        <v>3</v>
      </c>
      <c r="E11" s="582" t="str">
        <f>VLOOKUP(D11,Matches!$B$4:$K$58,7,0)</f>
        <v>Kopenhagen</v>
      </c>
      <c r="F11" s="583"/>
      <c r="G11" s="139">
        <v>5</v>
      </c>
      <c r="H11" s="582" t="str">
        <f>VLOOKUP(G11,Matches!$B$4:$K$58,7,0)</f>
        <v>Bukarest</v>
      </c>
      <c r="I11" s="583"/>
      <c r="J11" s="139">
        <v>7</v>
      </c>
      <c r="K11" s="582" t="str">
        <f>VLOOKUP(J11,Matches!$B$4:$K$58,7,0)</f>
        <v>London</v>
      </c>
      <c r="L11" s="583"/>
      <c r="M11" s="139">
        <v>9</v>
      </c>
      <c r="N11" s="582" t="str">
        <f>VLOOKUP(M11,Matches!$B$4:$K$58,7,0)</f>
        <v>Sankt Ptersburg</v>
      </c>
      <c r="O11" s="583"/>
      <c r="P11" s="139">
        <v>11</v>
      </c>
      <c r="Q11" s="582" t="str">
        <f>VLOOKUP(P11,Matches!$B$4:$K$58,7,0)</f>
        <v>Budapest</v>
      </c>
      <c r="R11" s="583"/>
      <c r="S11" s="139"/>
      <c r="T11" s="615" t="str">
        <f>Language!$E$144</f>
        <v>Qualifikation zum Achtelfinale</v>
      </c>
      <c r="U11" s="616"/>
      <c r="V11" s="616"/>
      <c r="W11" s="616"/>
      <c r="X11" s="617"/>
    </row>
    <row r="12" spans="1:25" s="4" customFormat="1" ht="15" customHeight="1" x14ac:dyDescent="0.25">
      <c r="B12" s="573">
        <f>VLOOKUP(A11,Matches!$B$4:$K$58,5,0)</f>
        <v>44358.875</v>
      </c>
      <c r="C12" s="575"/>
      <c r="E12" s="573">
        <f>VLOOKUP(D11,Matches!$B$4:$K$58,5,0)</f>
        <v>44359.75</v>
      </c>
      <c r="F12" s="575"/>
      <c r="H12" s="573">
        <f>VLOOKUP(G11,Matches!$B$4:$K$58,5,0)</f>
        <v>44360.75</v>
      </c>
      <c r="I12" s="575"/>
      <c r="K12" s="573">
        <f>VLOOKUP(J11,Matches!$B$4:$K$58,5,0)</f>
        <v>44360.625</v>
      </c>
      <c r="L12" s="575"/>
      <c r="N12" s="573">
        <f>VLOOKUP(M11,Matches!$B$4:$K$58,5,0)</f>
        <v>44361.75</v>
      </c>
      <c r="O12" s="575"/>
      <c r="Q12" s="573">
        <f>VLOOKUP(P11,Matches!$B$4:$K$58,5,0)</f>
        <v>44362.75</v>
      </c>
      <c r="R12" s="575"/>
      <c r="T12" s="618"/>
      <c r="U12" s="619"/>
      <c r="V12" s="619"/>
      <c r="W12" s="619"/>
      <c r="X12" s="620"/>
    </row>
    <row r="13" spans="1:25" s="4" customFormat="1" x14ac:dyDescent="0.25">
      <c r="B13" s="64" t="str">
        <f>VLOOKUP(A11,Matches!$B$4:$K$58,8,0)</f>
        <v>Türkei</v>
      </c>
      <c r="C13" s="65" t="str">
        <f>VLOOKUP(A11,Matches!$B$4:$K$58,9,0)</f>
        <v>Italien</v>
      </c>
      <c r="E13" s="64" t="str">
        <f>VLOOKUP(D11,Matches!$B$4:$K$58,8,0)</f>
        <v>Dänemark</v>
      </c>
      <c r="F13" s="65" t="str">
        <f>VLOOKUP(D11,Matches!$B$4:$K$58,9,0)</f>
        <v>Finnland</v>
      </c>
      <c r="H13" s="64" t="str">
        <f>VLOOKUP(G11,Matches!$B$4:$K$58,8,0)</f>
        <v>Niederlande</v>
      </c>
      <c r="I13" s="65" t="str">
        <f>VLOOKUP(G11,Matches!$B$4:$K$58,9,0)</f>
        <v>Ukraine</v>
      </c>
      <c r="K13" s="64" t="str">
        <f>VLOOKUP(J11,Matches!$B$4:$K$58,8,0)</f>
        <v>England</v>
      </c>
      <c r="L13" s="65" t="str">
        <f>VLOOKUP(J11,Matches!$B$4:$K$58,9,0)</f>
        <v>Kroatien</v>
      </c>
      <c r="N13" s="64" t="str">
        <f>VLOOKUP(M11,Matches!$B$4:$K$58,8,0)</f>
        <v>Spanien</v>
      </c>
      <c r="O13" s="65" t="str">
        <f>VLOOKUP(M11,Matches!$B$4:$K$58,9,0)</f>
        <v>Schweden</v>
      </c>
      <c r="Q13" s="64" t="str">
        <f>VLOOKUP(P11,Matches!$B$4:$K$58,8,0)</f>
        <v>Ungarn</v>
      </c>
      <c r="R13" s="65" t="str">
        <f>VLOOKUP(P11,Matches!$B$4:$K$58,9,0)</f>
        <v>Portugal</v>
      </c>
      <c r="T13" s="497"/>
      <c r="U13" s="498"/>
      <c r="V13" s="498"/>
      <c r="W13" s="498"/>
      <c r="X13" s="499"/>
    </row>
    <row r="14" spans="1:25" s="4" customFormat="1" ht="15.75" thickBot="1" x14ac:dyDescent="0.3">
      <c r="B14" s="1">
        <v>0</v>
      </c>
      <c r="C14" s="2">
        <v>3</v>
      </c>
      <c r="E14" s="1">
        <v>0</v>
      </c>
      <c r="F14" s="2">
        <v>1</v>
      </c>
      <c r="H14" s="1">
        <v>3</v>
      </c>
      <c r="I14" s="2">
        <v>2</v>
      </c>
      <c r="K14" s="1">
        <v>1</v>
      </c>
      <c r="L14" s="2">
        <v>0</v>
      </c>
      <c r="N14" s="1">
        <v>0</v>
      </c>
      <c r="O14" s="2">
        <v>0</v>
      </c>
      <c r="Q14" s="1">
        <v>0</v>
      </c>
      <c r="R14" s="2">
        <v>3</v>
      </c>
      <c r="T14" s="609" t="str">
        <f>Language!$E$145</f>
        <v>Kriterien für die Platzierung innerhalb der Gruppen:</v>
      </c>
      <c r="U14" s="610"/>
      <c r="V14" s="610"/>
      <c r="W14" s="610"/>
      <c r="X14" s="611"/>
    </row>
    <row r="15" spans="1:25" s="4" customFormat="1" ht="9.9499999999999993" customHeight="1" thickBot="1" x14ac:dyDescent="0.3">
      <c r="B15" s="26"/>
      <c r="C15" s="26"/>
      <c r="D15" s="18"/>
      <c r="E15" s="26"/>
      <c r="F15" s="26"/>
      <c r="G15" s="18"/>
      <c r="H15" s="26"/>
      <c r="I15" s="26"/>
      <c r="J15" s="18"/>
      <c r="K15" s="26"/>
      <c r="L15" s="26"/>
      <c r="M15" s="18"/>
      <c r="N15" s="26"/>
      <c r="O15" s="26"/>
      <c r="P15" s="18"/>
      <c r="Q15" s="26"/>
      <c r="R15" s="26"/>
      <c r="T15" s="609"/>
      <c r="U15" s="610"/>
      <c r="V15" s="610"/>
      <c r="W15" s="610"/>
      <c r="X15" s="611"/>
    </row>
    <row r="16" spans="1:25" s="4" customFormat="1" ht="15" customHeight="1" x14ac:dyDescent="0.25">
      <c r="A16" s="139">
        <v>2</v>
      </c>
      <c r="B16" s="582" t="str">
        <f>VLOOKUP(A16,Matches!$B$4:$K$58,7,0)</f>
        <v>Baku</v>
      </c>
      <c r="C16" s="583"/>
      <c r="D16" s="139">
        <v>4</v>
      </c>
      <c r="E16" s="582" t="str">
        <f>VLOOKUP(D16,Matches!$B$4:$K$58,7,0)</f>
        <v>Sankt Ptersburg</v>
      </c>
      <c r="F16" s="583"/>
      <c r="G16" s="139">
        <v>6</v>
      </c>
      <c r="H16" s="582" t="str">
        <f>VLOOKUP(G16,Matches!$B$4:$K$58,7,0)</f>
        <v>Amsterdam</v>
      </c>
      <c r="I16" s="583"/>
      <c r="J16" s="139">
        <v>8</v>
      </c>
      <c r="K16" s="582" t="str">
        <f>VLOOKUP(J16,Matches!$B$4:$K$58,7,0)</f>
        <v>Glasgow</v>
      </c>
      <c r="L16" s="583"/>
      <c r="M16" s="139">
        <v>10</v>
      </c>
      <c r="N16" s="582" t="str">
        <f>VLOOKUP(M16,Matches!$B$4:$K$58,7,0)</f>
        <v>Sevilla</v>
      </c>
      <c r="O16" s="583"/>
      <c r="P16" s="139">
        <v>12</v>
      </c>
      <c r="Q16" s="582" t="str">
        <f>VLOOKUP(P16,Matches!$B$4:$K$58,7,0)</f>
        <v>München</v>
      </c>
      <c r="R16" s="583"/>
      <c r="S16" s="139"/>
      <c r="T16" s="612" t="str">
        <f>Language!$E$146&amp;CHAR(10)&amp;Language!$E$147&amp;CHAR(10)&amp;Language!$E$148&amp;CHAR(10)&amp;Language!$E$149&amp;CHAR(10)&amp;Language!$E$150&amp;CHAR(10)&amp;Language!$E$151&amp;CHAR(10)&amp;Language!$E$152&amp;CHAR(10)&amp;Language!$E$153&amp;CHAR(10)&amp;Language!$E$154&amp;CHAR(10)&amp;Language!$E$155&amp;CHAR(10)&amp;Language!$E$156&amp;CHAR(10)&amp;Language!$E$157</f>
        <v xml:space="preserve">  1.  Punkte aus allen Gruppenspielen
  2.  Punkte der direkten Begegnungen
  3.  Tordifferenz aus den Direkt-Begegnungen
  4.  Anzahl der in den Direkt-Begegnungen erzielten Tore
  5.  Nochmalige Anwendung der Krit. 2 - 4 nur auf die Mannschaften,
       die beim 1. Durchlauf nicht unterscheidbar waren
  6.  Tordifferenz aus allen Gruppenspielen
  7.  Anzahl der erzielten Tore aus allen Gruppenspielen
  8.  Anzahl der Siege aus allen Gruppenspielen
  9.  Fair-Play-Wertung bzw. Elfmeterschießen im letzten Gruppenspiel,
       wenn die Bedingungen dafür zutreffen
10.  Position in der Schlussrangliste der European Qualifiers</v>
      </c>
      <c r="U16" s="613"/>
      <c r="V16" s="613"/>
      <c r="W16" s="613"/>
      <c r="X16" s="614"/>
    </row>
    <row r="17" spans="1:24" s="4" customFormat="1" x14ac:dyDescent="0.25">
      <c r="B17" s="573">
        <f>VLOOKUP(A16,Matches!$B$4:$K$58,5,0)</f>
        <v>44359.625</v>
      </c>
      <c r="C17" s="575"/>
      <c r="E17" s="573">
        <f>VLOOKUP(D16,Matches!$B$4:$K$58,5,0)</f>
        <v>44359.875</v>
      </c>
      <c r="F17" s="575"/>
      <c r="H17" s="573">
        <f>VLOOKUP(G16,Matches!$B$4:$K$58,5,0)</f>
        <v>44360.875</v>
      </c>
      <c r="I17" s="575"/>
      <c r="K17" s="573">
        <f>VLOOKUP(J16,Matches!$B$4:$K$58,5,0)</f>
        <v>44361.625</v>
      </c>
      <c r="L17" s="575"/>
      <c r="N17" s="573">
        <f>VLOOKUP(M16,Matches!$B$4:$K$58,5,0)</f>
        <v>44361.875</v>
      </c>
      <c r="O17" s="575"/>
      <c r="Q17" s="573">
        <f>VLOOKUP(P16,Matches!$B$4:$K$58,5,0)</f>
        <v>44362.875</v>
      </c>
      <c r="R17" s="575"/>
      <c r="T17" s="612"/>
      <c r="U17" s="613"/>
      <c r="V17" s="613"/>
      <c r="W17" s="613"/>
      <c r="X17" s="614"/>
    </row>
    <row r="18" spans="1:24" s="4" customFormat="1" x14ac:dyDescent="0.25">
      <c r="B18" s="64" t="str">
        <f>VLOOKUP(A16,Matches!$B$4:$K$58,8,0)</f>
        <v>Wales</v>
      </c>
      <c r="C18" s="65" t="str">
        <f>VLOOKUP(A16,Matches!$B$4:$K$58,9,0)</f>
        <v>Schweiz</v>
      </c>
      <c r="E18" s="64" t="str">
        <f>VLOOKUP(D16,Matches!$B$4:$K$58,8,0)</f>
        <v>Belgien</v>
      </c>
      <c r="F18" s="65" t="str">
        <f>VLOOKUP(D16,Matches!$B$4:$K$58,9,0)</f>
        <v>Russland</v>
      </c>
      <c r="H18" s="64" t="str">
        <f>VLOOKUP(G16,Matches!$B$4:$K$58,8,0)</f>
        <v>Österreich</v>
      </c>
      <c r="I18" s="65" t="str">
        <f>VLOOKUP(G16,Matches!$B$4:$K$58,9,0)</f>
        <v>Nordmazedonien</v>
      </c>
      <c r="K18" s="64" t="str">
        <f>VLOOKUP(J16,Matches!$B$4:$K$58,8,0)</f>
        <v>Schottland</v>
      </c>
      <c r="L18" s="65" t="str">
        <f>VLOOKUP(J16,Matches!$B$4:$K$58,9,0)</f>
        <v>Tschechien</v>
      </c>
      <c r="N18" s="64" t="str">
        <f>VLOOKUP(M16,Matches!$B$4:$K$58,8,0)</f>
        <v>Polen</v>
      </c>
      <c r="O18" s="65" t="str">
        <f>VLOOKUP(M16,Matches!$B$4:$K$58,9,0)</f>
        <v>Slowakei</v>
      </c>
      <c r="Q18" s="64" t="str">
        <f>VLOOKUP(P16,Matches!$B$4:$K$58,8,0)</f>
        <v>Frankreich</v>
      </c>
      <c r="R18" s="65" t="str">
        <f>VLOOKUP(P16,Matches!$B$4:$K$58,9,0)</f>
        <v>Deutschland</v>
      </c>
      <c r="T18" s="612"/>
      <c r="U18" s="613"/>
      <c r="V18" s="613"/>
      <c r="W18" s="613"/>
      <c r="X18" s="614"/>
    </row>
    <row r="19" spans="1:24" s="4" customFormat="1" ht="15.75" thickBot="1" x14ac:dyDescent="0.3">
      <c r="B19" s="1">
        <v>1</v>
      </c>
      <c r="C19" s="2">
        <v>1</v>
      </c>
      <c r="E19" s="1">
        <v>3</v>
      </c>
      <c r="F19" s="2">
        <v>0</v>
      </c>
      <c r="H19" s="1">
        <v>3</v>
      </c>
      <c r="I19" s="2">
        <v>1</v>
      </c>
      <c r="K19" s="1">
        <v>0</v>
      </c>
      <c r="L19" s="2">
        <v>2</v>
      </c>
      <c r="N19" s="1">
        <v>1</v>
      </c>
      <c r="O19" s="2">
        <v>2</v>
      </c>
      <c r="Q19" s="1">
        <v>1</v>
      </c>
      <c r="R19" s="2">
        <v>0</v>
      </c>
      <c r="T19" s="612"/>
      <c r="U19" s="613"/>
      <c r="V19" s="613"/>
      <c r="W19" s="613"/>
      <c r="X19" s="614"/>
    </row>
    <row r="20" spans="1:24" s="4" customFormat="1" ht="9.9499999999999993" customHeight="1" thickBot="1" x14ac:dyDescent="0.3">
      <c r="B20" s="26"/>
      <c r="C20" s="26"/>
      <c r="D20" s="18"/>
      <c r="E20" s="26"/>
      <c r="F20" s="26"/>
      <c r="G20" s="18"/>
      <c r="H20" s="26"/>
      <c r="I20" s="26"/>
      <c r="J20" s="18"/>
      <c r="K20" s="26"/>
      <c r="L20" s="26"/>
      <c r="M20" s="18"/>
      <c r="N20" s="26"/>
      <c r="O20" s="26"/>
      <c r="P20" s="18"/>
      <c r="Q20" s="26"/>
      <c r="R20" s="26"/>
      <c r="T20" s="612"/>
      <c r="U20" s="613"/>
      <c r="V20" s="613"/>
      <c r="W20" s="613"/>
      <c r="X20" s="614"/>
    </row>
    <row r="21" spans="1:24" s="4" customFormat="1" x14ac:dyDescent="0.25">
      <c r="A21" s="139">
        <v>13</v>
      </c>
      <c r="B21" s="582" t="str">
        <f>VLOOKUP(A21,Matches!$B$4:$K$58,7,0)</f>
        <v>Baku</v>
      </c>
      <c r="C21" s="583"/>
      <c r="D21" s="139">
        <v>15</v>
      </c>
      <c r="E21" s="582" t="str">
        <f>VLOOKUP(D21,Matches!$B$4:$K$58,7,0)</f>
        <v>Kopenhagen</v>
      </c>
      <c r="F21" s="583"/>
      <c r="G21" s="139">
        <v>17</v>
      </c>
      <c r="H21" s="582" t="str">
        <f>VLOOKUP(G21,Matches!$B$4:$K$58,7,0)</f>
        <v>Amsterdam</v>
      </c>
      <c r="I21" s="583"/>
      <c r="J21" s="139">
        <v>19</v>
      </c>
      <c r="K21" s="582" t="str">
        <f>VLOOKUP(J21,Matches!$B$4:$K$58,7,0)</f>
        <v>London</v>
      </c>
      <c r="L21" s="583"/>
      <c r="M21" s="139">
        <v>21</v>
      </c>
      <c r="N21" s="582" t="str">
        <f>VLOOKUP(M21,Matches!$B$4:$K$58,7,0)</f>
        <v>Sevilla</v>
      </c>
      <c r="O21" s="583"/>
      <c r="P21" s="139">
        <v>23</v>
      </c>
      <c r="Q21" s="582" t="str">
        <f>VLOOKUP(P21,Matches!$B$4:$K$58,7,0)</f>
        <v>Budapest</v>
      </c>
      <c r="R21" s="583"/>
      <c r="S21" s="139"/>
      <c r="T21" s="612"/>
      <c r="U21" s="613"/>
      <c r="V21" s="613"/>
      <c r="W21" s="613"/>
      <c r="X21" s="614"/>
    </row>
    <row r="22" spans="1:24" s="4" customFormat="1" x14ac:dyDescent="0.25">
      <c r="B22" s="573">
        <f>VLOOKUP(A21,Matches!$B$4:$K$58,5,0)</f>
        <v>44363.75</v>
      </c>
      <c r="C22" s="575"/>
      <c r="E22" s="573">
        <f>VLOOKUP(D21,Matches!$B$4:$K$58,5,0)</f>
        <v>44364.75</v>
      </c>
      <c r="F22" s="575"/>
      <c r="H22" s="573">
        <f>VLOOKUP(G21,Matches!$B$4:$K$58,5,0)</f>
        <v>44364.875</v>
      </c>
      <c r="I22" s="575"/>
      <c r="K22" s="573">
        <f>VLOOKUP(J21,Matches!$B$4:$K$58,5,0)</f>
        <v>44365.875</v>
      </c>
      <c r="L22" s="575"/>
      <c r="N22" s="573">
        <f>VLOOKUP(M21,Matches!$B$4:$K$58,5,0)</f>
        <v>44366.875</v>
      </c>
      <c r="O22" s="575"/>
      <c r="Q22" s="573">
        <f>VLOOKUP(P21,Matches!$B$4:$K$58,5,0)</f>
        <v>44366.625</v>
      </c>
      <c r="R22" s="575"/>
      <c r="T22" s="612"/>
      <c r="U22" s="613"/>
      <c r="V22" s="613"/>
      <c r="W22" s="613"/>
      <c r="X22" s="614"/>
    </row>
    <row r="23" spans="1:24" s="4" customFormat="1" x14ac:dyDescent="0.25">
      <c r="B23" s="64" t="str">
        <f>VLOOKUP(A21,Matches!$B$4:$K$58,8,0)</f>
        <v>Türkei</v>
      </c>
      <c r="C23" s="65" t="str">
        <f>VLOOKUP(A21,Matches!$B$4:$K$58,9,0)</f>
        <v>Wales</v>
      </c>
      <c r="E23" s="64" t="str">
        <f>VLOOKUP(D21,Matches!$B$4:$K$58,8,0)</f>
        <v>Dänemark</v>
      </c>
      <c r="F23" s="65" t="str">
        <f>VLOOKUP(D21,Matches!$B$4:$K$58,9,0)</f>
        <v>Belgien</v>
      </c>
      <c r="H23" s="64" t="str">
        <f>VLOOKUP(G21,Matches!$B$4:$K$58,8,0)</f>
        <v>Niederlande</v>
      </c>
      <c r="I23" s="65" t="str">
        <f>VLOOKUP(G21,Matches!$B$4:$K$58,9,0)</f>
        <v>Österreich</v>
      </c>
      <c r="K23" s="64" t="str">
        <f>VLOOKUP(J21,Matches!$B$4:$K$58,8,0)</f>
        <v>England</v>
      </c>
      <c r="L23" s="65" t="str">
        <f>VLOOKUP(J21,Matches!$B$4:$K$58,9,0)</f>
        <v>Schottland</v>
      </c>
      <c r="N23" s="64" t="str">
        <f>VLOOKUP(M21,Matches!$B$4:$K$58,8,0)</f>
        <v>Spanien</v>
      </c>
      <c r="O23" s="65" t="str">
        <f>VLOOKUP(M21,Matches!$B$4:$K$58,9,0)</f>
        <v>Polen</v>
      </c>
      <c r="Q23" s="64" t="str">
        <f>VLOOKUP(P21,Matches!$B$4:$K$58,8,0)</f>
        <v>Ungarn</v>
      </c>
      <c r="R23" s="65" t="str">
        <f>VLOOKUP(P21,Matches!$B$4:$K$58,9,0)</f>
        <v>Frankreich</v>
      </c>
      <c r="T23" s="612"/>
      <c r="U23" s="613"/>
      <c r="V23" s="613"/>
      <c r="W23" s="613"/>
      <c r="X23" s="614"/>
    </row>
    <row r="24" spans="1:24" s="4" customFormat="1" ht="15.75" thickBot="1" x14ac:dyDescent="0.3">
      <c r="B24" s="1">
        <v>0</v>
      </c>
      <c r="C24" s="2">
        <v>2</v>
      </c>
      <c r="E24" s="1">
        <v>1</v>
      </c>
      <c r="F24" s="2">
        <v>2</v>
      </c>
      <c r="H24" s="1">
        <v>2</v>
      </c>
      <c r="I24" s="2">
        <v>0</v>
      </c>
      <c r="K24" s="1">
        <v>0</v>
      </c>
      <c r="L24" s="2">
        <v>0</v>
      </c>
      <c r="N24" s="1">
        <v>1</v>
      </c>
      <c r="O24" s="2">
        <v>1</v>
      </c>
      <c r="Q24" s="1">
        <v>1</v>
      </c>
      <c r="R24" s="2">
        <v>1</v>
      </c>
      <c r="T24" s="612"/>
      <c r="U24" s="613"/>
      <c r="V24" s="613"/>
      <c r="W24" s="613"/>
      <c r="X24" s="614"/>
    </row>
    <row r="25" spans="1:24" s="4" customFormat="1" ht="9.9499999999999993" customHeight="1" thickBot="1" x14ac:dyDescent="0.3">
      <c r="B25" s="26"/>
      <c r="C25" s="26"/>
      <c r="D25" s="18"/>
      <c r="E25" s="26"/>
      <c r="F25" s="26"/>
      <c r="G25" s="18"/>
      <c r="H25" s="26"/>
      <c r="I25" s="26"/>
      <c r="J25" s="18"/>
      <c r="K25" s="26"/>
      <c r="L25" s="26"/>
      <c r="M25" s="18"/>
      <c r="N25" s="26"/>
      <c r="O25" s="26"/>
      <c r="P25" s="18"/>
      <c r="Q25" s="26"/>
      <c r="R25" s="26"/>
      <c r="T25" s="612"/>
      <c r="U25" s="613"/>
      <c r="V25" s="613"/>
      <c r="W25" s="613"/>
      <c r="X25" s="614"/>
    </row>
    <row r="26" spans="1:24" s="4" customFormat="1" x14ac:dyDescent="0.25">
      <c r="A26" s="139">
        <v>14</v>
      </c>
      <c r="B26" s="582" t="str">
        <f>VLOOKUP(A26,Matches!$B$4:$K$58,7,0)</f>
        <v>London</v>
      </c>
      <c r="C26" s="583"/>
      <c r="D26" s="139">
        <v>16</v>
      </c>
      <c r="E26" s="582" t="str">
        <f>VLOOKUP(D26,Matches!$B$4:$K$58,7,0)</f>
        <v>Sankt Ptersburg</v>
      </c>
      <c r="F26" s="583"/>
      <c r="G26" s="139">
        <v>18</v>
      </c>
      <c r="H26" s="582" t="str">
        <f>VLOOKUP(G26,Matches!$B$4:$K$58,7,0)</f>
        <v>Bukarest</v>
      </c>
      <c r="I26" s="583"/>
      <c r="J26" s="139">
        <v>20</v>
      </c>
      <c r="K26" s="582" t="str">
        <f>VLOOKUP(J26,Matches!$B$4:$K$58,7,0)</f>
        <v>Glasgow</v>
      </c>
      <c r="L26" s="583"/>
      <c r="M26" s="139">
        <v>22</v>
      </c>
      <c r="N26" s="582" t="str">
        <f>VLOOKUP(M26,Matches!$B$4:$K$58,7,0)</f>
        <v>Sankt Ptersburg</v>
      </c>
      <c r="O26" s="583"/>
      <c r="P26" s="139">
        <v>24</v>
      </c>
      <c r="Q26" s="582" t="str">
        <f>VLOOKUP(P26,Matches!$B$4:$K$58,7,0)</f>
        <v>München</v>
      </c>
      <c r="R26" s="583"/>
      <c r="S26" s="139"/>
      <c r="T26" s="612"/>
      <c r="U26" s="613"/>
      <c r="V26" s="613"/>
      <c r="W26" s="613"/>
      <c r="X26" s="614"/>
    </row>
    <row r="27" spans="1:24" s="4" customFormat="1" x14ac:dyDescent="0.25">
      <c r="B27" s="573">
        <f>VLOOKUP(A26,Matches!$B$4:$K$58,5,0)</f>
        <v>44363.875</v>
      </c>
      <c r="C27" s="575"/>
      <c r="E27" s="573">
        <f>VLOOKUP(D26,Matches!$B$4:$K$58,5,0)</f>
        <v>44363.625</v>
      </c>
      <c r="F27" s="575"/>
      <c r="H27" s="573">
        <f>VLOOKUP(G26,Matches!$B$4:$K$58,5,0)</f>
        <v>44364.625</v>
      </c>
      <c r="I27" s="575"/>
      <c r="K27" s="573">
        <f>VLOOKUP(J26,Matches!$B$4:$K$58,5,0)</f>
        <v>44365.75</v>
      </c>
      <c r="L27" s="575"/>
      <c r="N27" s="573">
        <f>VLOOKUP(M26,Matches!$B$4:$K$58,5,0)</f>
        <v>44365.625</v>
      </c>
      <c r="O27" s="575"/>
      <c r="Q27" s="573">
        <f>VLOOKUP(P26,Matches!$B$4:$K$58,5,0)</f>
        <v>44366.75</v>
      </c>
      <c r="R27" s="575"/>
      <c r="T27" s="612"/>
      <c r="U27" s="613"/>
      <c r="V27" s="613"/>
      <c r="W27" s="613"/>
      <c r="X27" s="614"/>
    </row>
    <row r="28" spans="1:24" s="4" customFormat="1" x14ac:dyDescent="0.25">
      <c r="B28" s="64" t="str">
        <f>VLOOKUP(A26,Matches!$B$4:$K$58,8,0)</f>
        <v>Italien</v>
      </c>
      <c r="C28" s="65" t="str">
        <f>VLOOKUP(A26,Matches!$B$4:$K$58,9,0)</f>
        <v>Schweiz</v>
      </c>
      <c r="E28" s="64" t="str">
        <f>VLOOKUP(D26,Matches!$B$4:$K$58,8,0)</f>
        <v>Finnland</v>
      </c>
      <c r="F28" s="65" t="str">
        <f>VLOOKUP(D26,Matches!$B$4:$K$58,9,0)</f>
        <v>Russland</v>
      </c>
      <c r="H28" s="64" t="str">
        <f>VLOOKUP(G26,Matches!$B$4:$K$58,8,0)</f>
        <v>Ukraine</v>
      </c>
      <c r="I28" s="65" t="str">
        <f>VLOOKUP(G26,Matches!$B$4:$K$58,9,0)</f>
        <v>Nordmazedonien</v>
      </c>
      <c r="K28" s="64" t="str">
        <f>VLOOKUP(J26,Matches!$B$4:$K$58,8,0)</f>
        <v>Kroatien</v>
      </c>
      <c r="L28" s="65" t="str">
        <f>VLOOKUP(J26,Matches!$B$4:$K$58,9,0)</f>
        <v>Tschechien</v>
      </c>
      <c r="N28" s="64" t="str">
        <f>VLOOKUP(M26,Matches!$B$4:$K$58,8,0)</f>
        <v>Schweden</v>
      </c>
      <c r="O28" s="65" t="str">
        <f>VLOOKUP(M26,Matches!$B$4:$K$58,9,0)</f>
        <v>Slowakei</v>
      </c>
      <c r="Q28" s="64" t="str">
        <f>VLOOKUP(P26,Matches!$B$4:$K$58,8,0)</f>
        <v>Portugal</v>
      </c>
      <c r="R28" s="65" t="str">
        <f>VLOOKUP(P26,Matches!$B$4:$K$58,9,0)</f>
        <v>Deutschland</v>
      </c>
      <c r="T28" s="490"/>
      <c r="U28" s="491"/>
      <c r="V28" s="491"/>
      <c r="W28" s="491"/>
      <c r="X28" s="492"/>
    </row>
    <row r="29" spans="1:24" s="4" customFormat="1" ht="15.75" thickBot="1" x14ac:dyDescent="0.3">
      <c r="B29" s="1">
        <v>1</v>
      </c>
      <c r="C29" s="2">
        <v>0</v>
      </c>
      <c r="E29" s="1">
        <v>0</v>
      </c>
      <c r="F29" s="2">
        <v>1</v>
      </c>
      <c r="H29" s="1">
        <v>2</v>
      </c>
      <c r="I29" s="2">
        <v>1</v>
      </c>
      <c r="K29" s="1">
        <v>1</v>
      </c>
      <c r="L29" s="2">
        <v>1</v>
      </c>
      <c r="N29" s="1">
        <v>1</v>
      </c>
      <c r="O29" s="2">
        <v>0</v>
      </c>
      <c r="Q29" s="1">
        <v>2</v>
      </c>
      <c r="R29" s="2">
        <v>4</v>
      </c>
      <c r="T29" s="493"/>
      <c r="U29" s="494"/>
      <c r="V29" s="494"/>
      <c r="W29" s="494"/>
      <c r="X29" s="495"/>
    </row>
    <row r="30" spans="1:24" s="4" customFormat="1" ht="9.9499999999999993" customHeight="1" thickBot="1" x14ac:dyDescent="0.3">
      <c r="B30" s="26"/>
      <c r="C30" s="26"/>
      <c r="D30" s="18"/>
      <c r="E30" s="26"/>
      <c r="F30" s="26"/>
      <c r="G30" s="18"/>
      <c r="H30" s="26"/>
      <c r="I30" s="26"/>
      <c r="J30" s="18"/>
      <c r="K30" s="26"/>
      <c r="L30" s="26"/>
      <c r="M30" s="18"/>
      <c r="N30" s="26"/>
      <c r="O30" s="26"/>
      <c r="P30" s="18"/>
      <c r="Q30" s="26"/>
      <c r="R30" s="26"/>
      <c r="T30" s="496"/>
      <c r="U30" s="496"/>
      <c r="V30" s="496"/>
      <c r="W30" s="496"/>
      <c r="X30" s="496"/>
    </row>
    <row r="31" spans="1:24" s="4" customFormat="1" x14ac:dyDescent="0.25">
      <c r="A31" s="139">
        <v>25</v>
      </c>
      <c r="B31" s="582" t="str">
        <f>VLOOKUP(A31,Matches!$B$4:$K$58,7,0)</f>
        <v>Baku</v>
      </c>
      <c r="C31" s="583"/>
      <c r="D31" s="139">
        <v>27</v>
      </c>
      <c r="E31" s="582" t="str">
        <f>VLOOKUP(D31,Matches!$B$4:$K$58,7,0)</f>
        <v>Kopenhagen</v>
      </c>
      <c r="F31" s="583"/>
      <c r="G31" s="139">
        <v>29</v>
      </c>
      <c r="H31" s="582" t="str">
        <f>VLOOKUP(G31,Matches!$B$4:$K$58,7,0)</f>
        <v>Bukarest</v>
      </c>
      <c r="I31" s="583"/>
      <c r="J31" s="139">
        <v>31</v>
      </c>
      <c r="K31" s="582" t="str">
        <f>VLOOKUP(J31,Matches!$B$4:$K$58,7,0)</f>
        <v>London</v>
      </c>
      <c r="L31" s="583"/>
      <c r="M31" s="139">
        <v>33</v>
      </c>
      <c r="N31" s="582" t="str">
        <f>VLOOKUP(M31,Matches!$B$4:$K$58,7,0)</f>
        <v>Sankt Ptersburg</v>
      </c>
      <c r="O31" s="583"/>
      <c r="P31" s="139">
        <v>35</v>
      </c>
      <c r="Q31" s="582" t="str">
        <f>VLOOKUP(P31,Matches!$B$4:$K$58,7,0)</f>
        <v>München</v>
      </c>
      <c r="R31" s="583"/>
      <c r="S31" s="139"/>
      <c r="T31" s="603" t="str">
        <f>Language!$E$132</f>
        <v>Der rote Punkt   •</v>
      </c>
      <c r="U31" s="604"/>
      <c r="V31" s="604"/>
      <c r="W31" s="604"/>
      <c r="X31" s="605"/>
    </row>
    <row r="32" spans="1:24" s="4" customFormat="1" x14ac:dyDescent="0.25">
      <c r="B32" s="573">
        <f>VLOOKUP(A31,Matches!$B$4:$K$58,5,0)</f>
        <v>44367.75</v>
      </c>
      <c r="C32" s="575"/>
      <c r="E32" s="573">
        <f>VLOOKUP(D31,Matches!$B$4:$K$58,5,0)</f>
        <v>44368.875</v>
      </c>
      <c r="F32" s="575"/>
      <c r="H32" s="573">
        <f>VLOOKUP(G31,Matches!$B$4:$K$58,5,0)</f>
        <v>44368.75</v>
      </c>
      <c r="I32" s="575"/>
      <c r="K32" s="573">
        <f>VLOOKUP(J31,Matches!$B$4:$K$58,5,0)</f>
        <v>44369.875</v>
      </c>
      <c r="L32" s="575"/>
      <c r="N32" s="573">
        <f>VLOOKUP(M31,Matches!$B$4:$K$58,5,0)</f>
        <v>44370.75</v>
      </c>
      <c r="O32" s="575"/>
      <c r="Q32" s="573">
        <f>VLOOKUP(P31,Matches!$B$4:$K$58,5,0)</f>
        <v>44370.875</v>
      </c>
      <c r="R32" s="575"/>
      <c r="T32" s="606"/>
      <c r="U32" s="607"/>
      <c r="V32" s="607"/>
      <c r="W32" s="607"/>
      <c r="X32" s="608"/>
    </row>
    <row r="33" spans="1:25" s="4" customFormat="1" ht="15" customHeight="1" x14ac:dyDescent="0.25">
      <c r="B33" s="64" t="str">
        <f>VLOOKUP(A31,Matches!$B$4:$K$58,8,0)</f>
        <v>Schweiz</v>
      </c>
      <c r="C33" s="65" t="str">
        <f>VLOOKUP(A31,Matches!$B$4:$K$58,9,0)</f>
        <v>Türkei</v>
      </c>
      <c r="E33" s="64" t="str">
        <f>VLOOKUP(D31,Matches!$B$4:$K$58,8,0)</f>
        <v>Russland</v>
      </c>
      <c r="F33" s="65" t="str">
        <f>VLOOKUP(D31,Matches!$B$4:$K$58,9,0)</f>
        <v>Dänemark</v>
      </c>
      <c r="H33" s="64" t="str">
        <f>VLOOKUP(G31,Matches!$B$4:$K$58,8,0)</f>
        <v>Nordmazedonien</v>
      </c>
      <c r="I33" s="65" t="str">
        <f>VLOOKUP(G31,Matches!$B$4:$K$58,9,0)</f>
        <v>Niederlande</v>
      </c>
      <c r="K33" s="64" t="str">
        <f>VLOOKUP(J31,Matches!$B$4:$K$58,8,0)</f>
        <v>Tschechien</v>
      </c>
      <c r="L33" s="65" t="str">
        <f>VLOOKUP(J31,Matches!$B$4:$K$58,9,0)</f>
        <v>England</v>
      </c>
      <c r="N33" s="64" t="str">
        <f>VLOOKUP(M31,Matches!$B$4:$K$58,8,0)</f>
        <v>Slowakei</v>
      </c>
      <c r="O33" s="65" t="str">
        <f>VLOOKUP(M31,Matches!$B$4:$K$58,9,0)</f>
        <v>Spanien</v>
      </c>
      <c r="Q33" s="64" t="str">
        <f>VLOOKUP(P31,Matches!$B$4:$K$58,8,0)</f>
        <v>Deutschland</v>
      </c>
      <c r="R33" s="65" t="str">
        <f>VLOOKUP(P31,Matches!$B$4:$K$58,9,0)</f>
        <v>Ungarn</v>
      </c>
      <c r="T33" s="597" t="str">
        <f>Language!$E$158</f>
        <v>Wenn über dem Gruppennamen ein roter Punkt erscheint, ist die Rangreihenfolge innerhalb der Gruppe nicht geklärt. Die Fair-Play-Wertung oder die Schlussrangliste der European Qualifiers entscheiden dann. In diesem Fall Fair-Play eintragen!</v>
      </c>
      <c r="U33" s="598"/>
      <c r="V33" s="598"/>
      <c r="W33" s="598"/>
      <c r="X33" s="599"/>
    </row>
    <row r="34" spans="1:25" s="4" customFormat="1" ht="15.75" thickBot="1" x14ac:dyDescent="0.3">
      <c r="B34" s="1">
        <v>3</v>
      </c>
      <c r="C34" s="2">
        <v>1</v>
      </c>
      <c r="E34" s="1">
        <v>1</v>
      </c>
      <c r="F34" s="2">
        <v>4</v>
      </c>
      <c r="H34" s="1">
        <v>0</v>
      </c>
      <c r="I34" s="2">
        <v>3</v>
      </c>
      <c r="K34" s="1">
        <v>0</v>
      </c>
      <c r="L34" s="2">
        <v>1</v>
      </c>
      <c r="N34" s="1">
        <v>0</v>
      </c>
      <c r="O34" s="2">
        <v>5</v>
      </c>
      <c r="Q34" s="1">
        <v>2</v>
      </c>
      <c r="R34" s="2">
        <v>2</v>
      </c>
      <c r="T34" s="597"/>
      <c r="U34" s="598"/>
      <c r="V34" s="598"/>
      <c r="W34" s="598"/>
      <c r="X34" s="599"/>
    </row>
    <row r="35" spans="1:25" s="4" customFormat="1" ht="9.9499999999999993" customHeight="1" x14ac:dyDescent="0.25">
      <c r="B35" s="578" t="str">
        <f>Language!$E$125</f>
        <v>Elfmeterschießen:</v>
      </c>
      <c r="C35" s="579"/>
      <c r="E35" s="556" t="str">
        <f>Language!$E$125</f>
        <v>Elfmeterschießen:</v>
      </c>
      <c r="F35" s="558"/>
      <c r="H35" s="578" t="str">
        <f>Language!$E$125</f>
        <v>Elfmeterschießen:</v>
      </c>
      <c r="I35" s="579"/>
      <c r="K35" s="578" t="str">
        <f>Language!$E$125</f>
        <v>Elfmeterschießen:</v>
      </c>
      <c r="L35" s="579"/>
      <c r="N35" s="578" t="str">
        <f>Language!$E$125</f>
        <v>Elfmeterschießen:</v>
      </c>
      <c r="O35" s="579"/>
      <c r="Q35" s="578" t="str">
        <f>Language!$E$125</f>
        <v>Elfmeterschießen:</v>
      </c>
      <c r="R35" s="579"/>
      <c r="T35" s="597"/>
      <c r="U35" s="598"/>
      <c r="V35" s="598"/>
      <c r="W35" s="598"/>
      <c r="X35" s="599"/>
    </row>
    <row r="36" spans="1:25" s="4" customFormat="1" ht="15.75" thickBot="1" x14ac:dyDescent="0.3">
      <c r="B36" s="403"/>
      <c r="C36" s="404"/>
      <c r="E36" s="403"/>
      <c r="F36" s="404"/>
      <c r="H36" s="403"/>
      <c r="I36" s="404"/>
      <c r="K36" s="403"/>
      <c r="L36" s="404"/>
      <c r="N36" s="403"/>
      <c r="O36" s="404"/>
      <c r="Q36" s="403"/>
      <c r="R36" s="404"/>
      <c r="T36" s="600"/>
      <c r="U36" s="601"/>
      <c r="V36" s="601"/>
      <c r="W36" s="601"/>
      <c r="X36" s="602"/>
    </row>
    <row r="37" spans="1:25" s="4" customFormat="1" ht="9.9499999999999993" customHeight="1" thickBot="1" x14ac:dyDescent="0.3">
      <c r="B37" s="577" t="str">
        <f>IF(AND(B34&lt;&gt;"",C34&lt;&gt;"",B34=C34,B36&lt;&gt;"",C36&lt;&gt;"",B36=C36),Language!$E$138,"")</f>
        <v/>
      </c>
      <c r="C37" s="577"/>
      <c r="D37" s="18"/>
      <c r="E37" s="577" t="str">
        <f>IF(AND(E34&lt;&gt;"",F34&lt;&gt;"",E34=F34,E36&lt;&gt;"",F36&lt;&gt;"",E36=F36),Language!$E$138,"")</f>
        <v/>
      </c>
      <c r="F37" s="577"/>
      <c r="G37" s="18"/>
      <c r="H37" s="577" t="str">
        <f>IF(AND(H34&lt;&gt;"",I34&lt;&gt;"",H34=I34,H36&lt;&gt;"",I36&lt;&gt;"",H36=I36),Language!$E$138,"")</f>
        <v/>
      </c>
      <c r="I37" s="577"/>
      <c r="J37" s="18"/>
      <c r="K37" s="577" t="str">
        <f>IF(AND(K34&lt;&gt;"",L34&lt;&gt;"",K34=L34,K36&lt;&gt;"",L36&lt;&gt;"",K36=L36),Language!$E$138,"")</f>
        <v/>
      </c>
      <c r="L37" s="577"/>
      <c r="M37" s="18"/>
      <c r="N37" s="577" t="str">
        <f>IF(AND(N34&lt;&gt;"",O34&lt;&gt;"",N34=O34,N36&lt;&gt;"",O36&lt;&gt;"",N36=O36),Language!$E$138,"")</f>
        <v/>
      </c>
      <c r="O37" s="577"/>
      <c r="P37" s="18"/>
      <c r="Q37" s="577" t="str">
        <f>IF(AND(Q34&lt;&gt;"",R34&lt;&gt;"",Q34=R34,Q36&lt;&gt;"",R36&lt;&gt;"",Q36=R36),Language!$E$138,"")</f>
        <v/>
      </c>
      <c r="R37" s="577"/>
      <c r="T37" s="414"/>
      <c r="U37" s="415"/>
      <c r="V37" s="415"/>
      <c r="W37" s="415"/>
      <c r="X37" s="415"/>
    </row>
    <row r="38" spans="1:25" s="4" customFormat="1" x14ac:dyDescent="0.25">
      <c r="A38" s="139">
        <v>26</v>
      </c>
      <c r="B38" s="582" t="str">
        <f>VLOOKUP(A38,Matches!$B$4:$K$58,7,0)</f>
        <v>London</v>
      </c>
      <c r="C38" s="583"/>
      <c r="D38" s="139">
        <v>28</v>
      </c>
      <c r="E38" s="582" t="str">
        <f>VLOOKUP(D38,Matches!$B$4:$K$58,7,0)</f>
        <v>Sankt Ptersburg</v>
      </c>
      <c r="F38" s="583"/>
      <c r="G38" s="139">
        <v>30</v>
      </c>
      <c r="H38" s="582" t="str">
        <f>VLOOKUP(G38,Matches!$B$4:$K$58,7,0)</f>
        <v>Amsterdam</v>
      </c>
      <c r="I38" s="583"/>
      <c r="J38" s="139">
        <v>32</v>
      </c>
      <c r="K38" s="582" t="str">
        <f>VLOOKUP(J38,Matches!$B$4:$K$58,7,0)</f>
        <v>Glasgow</v>
      </c>
      <c r="L38" s="583"/>
      <c r="M38" s="139">
        <v>34</v>
      </c>
      <c r="N38" s="582" t="str">
        <f>VLOOKUP(M38,Matches!$B$4:$K$58,7,0)</f>
        <v>Sevilla</v>
      </c>
      <c r="O38" s="583"/>
      <c r="P38" s="139">
        <v>36</v>
      </c>
      <c r="Q38" s="582" t="str">
        <f>VLOOKUP(P38,Matches!$B$4:$K$58,7,0)</f>
        <v>Budapest</v>
      </c>
      <c r="R38" s="583"/>
      <c r="S38" s="139"/>
      <c r="T38" s="415"/>
      <c r="U38" s="415"/>
      <c r="V38" s="415"/>
      <c r="W38" s="415"/>
      <c r="X38" s="415"/>
    </row>
    <row r="39" spans="1:25" s="4" customFormat="1" x14ac:dyDescent="0.25">
      <c r="B39" s="573">
        <f>VLOOKUP(A38,Matches!$B$4:$K$58,5,0)</f>
        <v>44367.75</v>
      </c>
      <c r="C39" s="575"/>
      <c r="E39" s="573">
        <f>VLOOKUP(D38,Matches!$B$4:$K$58,5,0)</f>
        <v>44368.875</v>
      </c>
      <c r="F39" s="575"/>
      <c r="H39" s="573">
        <f>VLOOKUP(G38,Matches!$B$4:$K$58,5,0)</f>
        <v>44368.75</v>
      </c>
      <c r="I39" s="575"/>
      <c r="K39" s="573">
        <f>VLOOKUP(J38,Matches!$B$4:$K$58,5,0)</f>
        <v>44369.875</v>
      </c>
      <c r="L39" s="575"/>
      <c r="N39" s="573">
        <f>VLOOKUP(M38,Matches!$B$4:$K$58,5,0)</f>
        <v>44370.75</v>
      </c>
      <c r="O39" s="575"/>
      <c r="Q39" s="573">
        <f>VLOOKUP(P38,Matches!$B$4:$K$58,5,0)</f>
        <v>44370.875</v>
      </c>
      <c r="R39" s="575"/>
      <c r="T39" s="415"/>
      <c r="U39" s="415"/>
      <c r="V39" s="415"/>
      <c r="W39" s="415"/>
      <c r="X39" s="415"/>
    </row>
    <row r="40" spans="1:25" s="4" customFormat="1" x14ac:dyDescent="0.25">
      <c r="B40" s="64" t="str">
        <f>VLOOKUP(A38,Matches!$B$4:$K$58,8,0)</f>
        <v>Italien</v>
      </c>
      <c r="C40" s="65" t="str">
        <f>VLOOKUP(A38,Matches!$B$4:$K$58,9,0)</f>
        <v>Wales</v>
      </c>
      <c r="E40" s="64" t="str">
        <f>VLOOKUP(D38,Matches!$B$4:$K$58,8,0)</f>
        <v>Finnland</v>
      </c>
      <c r="F40" s="65" t="str">
        <f>VLOOKUP(D38,Matches!$B$4:$K$58,9,0)</f>
        <v>Belgien</v>
      </c>
      <c r="H40" s="64" t="str">
        <f>VLOOKUP(G38,Matches!$B$4:$K$58,8,0)</f>
        <v>Ukraine</v>
      </c>
      <c r="I40" s="65" t="str">
        <f>VLOOKUP(G38,Matches!$B$4:$K$58,9,0)</f>
        <v>Österreich</v>
      </c>
      <c r="K40" s="64" t="str">
        <f>VLOOKUP(J38,Matches!$B$4:$K$58,8,0)</f>
        <v>Kroatien</v>
      </c>
      <c r="L40" s="65" t="str">
        <f>VLOOKUP(J38,Matches!$B$4:$K$58,9,0)</f>
        <v>Schottland</v>
      </c>
      <c r="N40" s="64" t="str">
        <f>VLOOKUP(M38,Matches!$B$4:$K$58,8,0)</f>
        <v>Schweden</v>
      </c>
      <c r="O40" s="65" t="str">
        <f>VLOOKUP(M38,Matches!$B$4:$K$58,9,0)</f>
        <v>Polen</v>
      </c>
      <c r="Q40" s="64" t="str">
        <f>VLOOKUP(P38,Matches!$B$4:$K$58,8,0)</f>
        <v>Portugal</v>
      </c>
      <c r="R40" s="65" t="str">
        <f>VLOOKUP(P38,Matches!$B$4:$K$58,9,0)</f>
        <v>Frankreich</v>
      </c>
      <c r="T40" s="415"/>
      <c r="U40" s="415"/>
      <c r="V40" s="415"/>
      <c r="W40" s="415"/>
      <c r="X40" s="415"/>
    </row>
    <row r="41" spans="1:25" s="4" customFormat="1" ht="15.75" thickBot="1" x14ac:dyDescent="0.3">
      <c r="B41" s="1">
        <v>1</v>
      </c>
      <c r="C41" s="2">
        <v>0</v>
      </c>
      <c r="E41" s="1">
        <v>0</v>
      </c>
      <c r="F41" s="2">
        <v>2</v>
      </c>
      <c r="H41" s="1">
        <v>0</v>
      </c>
      <c r="I41" s="2">
        <v>1</v>
      </c>
      <c r="K41" s="1">
        <v>3</v>
      </c>
      <c r="L41" s="2">
        <v>1</v>
      </c>
      <c r="N41" s="1">
        <v>3</v>
      </c>
      <c r="O41" s="2">
        <v>2</v>
      </c>
      <c r="Q41" s="1">
        <v>2</v>
      </c>
      <c r="R41" s="2">
        <v>2</v>
      </c>
      <c r="T41" s="415"/>
      <c r="U41" s="415"/>
      <c r="V41" s="415"/>
      <c r="W41" s="415"/>
      <c r="X41" s="415"/>
    </row>
    <row r="42" spans="1:25" s="4" customFormat="1" ht="9.9499999999999993" customHeight="1" x14ac:dyDescent="0.25">
      <c r="B42" s="556" t="str">
        <f>Language!$E$125</f>
        <v>Elfmeterschießen:</v>
      </c>
      <c r="C42" s="558"/>
      <c r="E42" s="556" t="str">
        <f>Language!$E$125</f>
        <v>Elfmeterschießen:</v>
      </c>
      <c r="F42" s="558"/>
      <c r="H42" s="556" t="str">
        <f>Language!$E$125</f>
        <v>Elfmeterschießen:</v>
      </c>
      <c r="I42" s="558"/>
      <c r="K42" s="556" t="str">
        <f>Language!$E$125</f>
        <v>Elfmeterschießen:</v>
      </c>
      <c r="L42" s="558"/>
      <c r="N42" s="556" t="str">
        <f>Language!$E$125</f>
        <v>Elfmeterschießen:</v>
      </c>
      <c r="O42" s="558"/>
      <c r="Q42" s="556" t="str">
        <f>Language!$E$125</f>
        <v>Elfmeterschießen:</v>
      </c>
      <c r="R42" s="558"/>
      <c r="T42" s="26"/>
      <c r="U42" s="26"/>
      <c r="V42" s="18"/>
      <c r="W42" s="26"/>
      <c r="X42" s="26"/>
    </row>
    <row r="43" spans="1:25" s="4" customFormat="1" ht="15.75" thickBot="1" x14ac:dyDescent="0.3">
      <c r="B43" s="403"/>
      <c r="C43" s="404"/>
      <c r="E43" s="403"/>
      <c r="F43" s="404"/>
      <c r="H43" s="403"/>
      <c r="I43" s="404"/>
      <c r="K43" s="403"/>
      <c r="L43" s="404"/>
      <c r="N43" s="403"/>
      <c r="O43" s="404"/>
      <c r="Q43" s="403"/>
      <c r="R43" s="404"/>
      <c r="T43" s="26"/>
      <c r="U43" s="26"/>
      <c r="V43" s="18"/>
      <c r="W43" s="26"/>
      <c r="X43" s="26"/>
    </row>
    <row r="44" spans="1:25" s="4" customFormat="1" ht="13.5" customHeight="1" thickBot="1" x14ac:dyDescent="0.3">
      <c r="B44" s="577" t="str">
        <f>IF(AND(B41&lt;&gt;"",C41&lt;&gt;"",B41=C41,B43&lt;&gt;"",C43&lt;&gt;"",B43=C43),Language!$E$138,"")</f>
        <v/>
      </c>
      <c r="C44" s="577"/>
      <c r="E44" s="577" t="str">
        <f>IF(AND(E41&lt;&gt;"",F41&lt;&gt;"",E41=F41,E43&lt;&gt;"",F43&lt;&gt;"",E43=F43),Language!$E$138,"")</f>
        <v/>
      </c>
      <c r="F44" s="577"/>
      <c r="H44" s="577" t="str">
        <f>IF(AND(H41&lt;&gt;"",I41&lt;&gt;"",H41=I41,H43&lt;&gt;"",I43&lt;&gt;"",H43=I43),Language!$E$138,"")</f>
        <v/>
      </c>
      <c r="I44" s="577"/>
      <c r="K44" s="577" t="str">
        <f>IF(AND(K41&lt;&gt;"",L41&lt;&gt;"",K41=L41,K43&lt;&gt;"",L43&lt;&gt;"",K43=L43),Language!$E$138,"")</f>
        <v/>
      </c>
      <c r="L44" s="577"/>
      <c r="N44" s="577" t="str">
        <f>IF(AND(N41&lt;&gt;"",O41&lt;&gt;"",N41=O41,N43&lt;&gt;"",O43&lt;&gt;"",N43=O43),Language!$E$138,"")</f>
        <v/>
      </c>
      <c r="O44" s="577"/>
      <c r="Q44" s="577" t="str">
        <f>IF(AND(Q41&lt;&gt;"",R41&lt;&gt;"",Q41=R41,Q43&lt;&gt;"",R43&lt;&gt;"",Q43=R43),Language!$E$138,"")</f>
        <v/>
      </c>
      <c r="R44" s="577"/>
      <c r="T44" s="594" t="str">
        <f ca="1">IF(ThirdOfGroup!$I$21&gt;0,"•","")</f>
        <v/>
      </c>
      <c r="U44" s="594"/>
      <c r="V44" s="18"/>
      <c r="W44" s="18"/>
      <c r="X44" s="18"/>
    </row>
    <row r="45" spans="1:25" s="4" customFormat="1" x14ac:dyDescent="0.25">
      <c r="B45" s="595" t="str">
        <f>Language!$E$106</f>
        <v>Schlusstabelle</v>
      </c>
      <c r="C45" s="596"/>
      <c r="E45" s="595" t="str">
        <f>Language!$E$106</f>
        <v>Schlusstabelle</v>
      </c>
      <c r="F45" s="596"/>
      <c r="H45" s="595" t="str">
        <f>Language!$E$106</f>
        <v>Schlusstabelle</v>
      </c>
      <c r="I45" s="596"/>
      <c r="K45" s="595" t="str">
        <f>Language!$E$106</f>
        <v>Schlusstabelle</v>
      </c>
      <c r="L45" s="596"/>
      <c r="N45" s="595" t="str">
        <f>Language!$E$106</f>
        <v>Schlusstabelle</v>
      </c>
      <c r="O45" s="596"/>
      <c r="Q45" s="595" t="str">
        <f>Language!$E$106</f>
        <v>Schlusstabelle</v>
      </c>
      <c r="R45" s="596"/>
      <c r="T45" s="595" t="str">
        <f>Language!$E$126</f>
        <v>Gruppendritte</v>
      </c>
      <c r="U45" s="596"/>
      <c r="V45" s="426" t="str">
        <f>Language!$E$94</f>
        <v>Grp</v>
      </c>
      <c r="W45" s="590" t="str">
        <f>Language!$E$127</f>
        <v>Gruppenkombination:</v>
      </c>
      <c r="X45" s="591"/>
      <c r="Y45" s="425"/>
    </row>
    <row r="46" spans="1:25" s="4" customFormat="1" ht="15.75" thickBot="1" x14ac:dyDescent="0.3">
      <c r="A46" s="124" t="s">
        <v>2</v>
      </c>
      <c r="B46" s="588" t="str">
        <f ca="1">IF(GrpA!$M$10&gt;0,GrpA!$P11,"")</f>
        <v>Italien</v>
      </c>
      <c r="C46" s="589"/>
      <c r="D46" s="124" t="s">
        <v>3</v>
      </c>
      <c r="E46" s="588" t="str">
        <f ca="1">IF(GrpB!$M$10&gt;0,GrpB!$P11,"")</f>
        <v>Belgien</v>
      </c>
      <c r="F46" s="589"/>
      <c r="G46" s="124" t="s">
        <v>4</v>
      </c>
      <c r="H46" s="588" t="str">
        <f ca="1">IF(GrpC!$M$10&gt;0,GrpC!$P11,"")</f>
        <v>Niederlande</v>
      </c>
      <c r="I46" s="589"/>
      <c r="J46" s="124" t="s">
        <v>5</v>
      </c>
      <c r="K46" s="588" t="str">
        <f ca="1">IF(GrpD!$M$10&gt;0,GrpD!$P11,"")</f>
        <v>England</v>
      </c>
      <c r="L46" s="589"/>
      <c r="M46" s="124" t="s">
        <v>6</v>
      </c>
      <c r="N46" s="588" t="str">
        <f ca="1">IF(GrpE!$M$10&gt;0,GrpE!$P11,"")</f>
        <v>Schweden</v>
      </c>
      <c r="O46" s="589"/>
      <c r="P46" s="124" t="s">
        <v>7</v>
      </c>
      <c r="Q46" s="588" t="str">
        <f ca="1">IF(GrpF!$M$10&gt;0,GrpF!$P11,"")</f>
        <v>Frankreich</v>
      </c>
      <c r="R46" s="589"/>
      <c r="S46" s="124"/>
      <c r="T46" s="430" t="str">
        <f ca="1">IF(Distinctness!$G$13&gt;0,ThirdOfGroup!$C11,"")</f>
        <v>Portugal</v>
      </c>
      <c r="U46" s="431" t="str">
        <f ca="1">IF(Distinctness!$G$13&gt;0,"   "&amp;ThirdOfGroup!$D11&amp;"        "&amp;ThirdOfGroup!$F11&amp;Language!$E$142&amp;ThirdOfGroup!$G11,"")</f>
        <v xml:space="preserve">   4        7 : 6</v>
      </c>
      <c r="V46" s="427" t="str">
        <f ca="1">IF(Distinctness!$G$13&gt;0,ThirdOfGroup!$I11,"")</f>
        <v>F</v>
      </c>
      <c r="W46" s="592" t="str">
        <f ca="1">IF(Distinctness!$G$13&gt;0,ThirdOfGroup!$I18,"")</f>
        <v>A C D F</v>
      </c>
      <c r="X46" s="593"/>
      <c r="Y46" s="332"/>
    </row>
    <row r="47" spans="1:25" s="4" customFormat="1" x14ac:dyDescent="0.25">
      <c r="A47" s="124" t="s">
        <v>8</v>
      </c>
      <c r="B47" s="588" t="str">
        <f ca="1">IF(GrpA!$M$10&gt;0,GrpA!$P12,"")</f>
        <v>Schweiz</v>
      </c>
      <c r="C47" s="589"/>
      <c r="D47" s="124" t="s">
        <v>9</v>
      </c>
      <c r="E47" s="588" t="str">
        <f ca="1">IF(GrpB!$M$10&gt;0,GrpB!$P12,"")</f>
        <v>Dänemark</v>
      </c>
      <c r="F47" s="589"/>
      <c r="G47" s="124" t="s">
        <v>10</v>
      </c>
      <c r="H47" s="588" t="str">
        <f ca="1">IF(GrpC!$M$10&gt;0,GrpC!$P12,"")</f>
        <v>Österreich</v>
      </c>
      <c r="I47" s="589"/>
      <c r="J47" s="124" t="s">
        <v>11</v>
      </c>
      <c r="K47" s="588" t="str">
        <f ca="1">IF(GrpD!$M$10&gt;0,GrpD!$P12,"")</f>
        <v>Kroatien</v>
      </c>
      <c r="L47" s="589"/>
      <c r="M47" s="124" t="s">
        <v>12</v>
      </c>
      <c r="N47" s="588" t="str">
        <f ca="1">IF(GrpE!$M$10&gt;0,GrpE!$P12,"")</f>
        <v>Spanien</v>
      </c>
      <c r="O47" s="589"/>
      <c r="P47" s="124" t="s">
        <v>13</v>
      </c>
      <c r="Q47" s="588" t="str">
        <f ca="1">IF(GrpF!$M$10&gt;0,GrpF!$P12,"")</f>
        <v>Deutschland</v>
      </c>
      <c r="R47" s="589"/>
      <c r="S47" s="124"/>
      <c r="T47" s="430" t="str">
        <f ca="1">IF(Distinctness!$G$13&gt;0,ThirdOfGroup!$C12,"")</f>
        <v>Tschechien</v>
      </c>
      <c r="U47" s="431" t="str">
        <f ca="1">IF(Distinctness!$G$13&gt;0,"   "&amp;ThirdOfGroup!$D12&amp;"        "&amp;ThirdOfGroup!$F12&amp;Language!$E$142&amp;ThirdOfGroup!$G12,"")</f>
        <v xml:space="preserve">   4        3 : 2</v>
      </c>
      <c r="V47" s="427" t="str">
        <f ca="1">IF(Distinctness!$G$13&gt;0,ThirdOfGroup!$I12,"")</f>
        <v>D</v>
      </c>
      <c r="W47" s="586" t="str">
        <f>Language!$E$128</f>
        <v>Nicht qualifiziert:</v>
      </c>
      <c r="X47" s="587"/>
      <c r="Y47" s="428" t="str">
        <f>Language!$E$94</f>
        <v>Grp</v>
      </c>
    </row>
    <row r="48" spans="1:25" s="4" customFormat="1" x14ac:dyDescent="0.25">
      <c r="A48" s="125" t="s">
        <v>14</v>
      </c>
      <c r="B48" s="584" t="str">
        <f ca="1">IF(GrpA!$M$10&gt;0,GrpA!$P13,"")</f>
        <v>Wales</v>
      </c>
      <c r="C48" s="585"/>
      <c r="D48" s="125" t="s">
        <v>15</v>
      </c>
      <c r="E48" s="584" t="str">
        <f ca="1">IF(GrpB!$M$10&gt;0,GrpB!$P13,"")</f>
        <v>Finnland</v>
      </c>
      <c r="F48" s="585"/>
      <c r="G48" s="125" t="s">
        <v>16</v>
      </c>
      <c r="H48" s="584" t="str">
        <f ca="1">IF(GrpC!$M$10&gt;0,GrpC!$P13,"")</f>
        <v>Ukraine</v>
      </c>
      <c r="I48" s="585"/>
      <c r="J48" s="125" t="s">
        <v>17</v>
      </c>
      <c r="K48" s="584" t="str">
        <f ca="1">IF(GrpD!$M$10&gt;0,GrpD!$P13,"")</f>
        <v>Tschechien</v>
      </c>
      <c r="L48" s="585"/>
      <c r="M48" s="125" t="s">
        <v>18</v>
      </c>
      <c r="N48" s="584" t="str">
        <f ca="1">IF(GrpE!$M$10&gt;0,GrpE!$P13,"")</f>
        <v>Slowakei</v>
      </c>
      <c r="O48" s="585"/>
      <c r="P48" s="125" t="s">
        <v>19</v>
      </c>
      <c r="Q48" s="584" t="str">
        <f ca="1">IF(GrpF!$M$10&gt;0,GrpF!$P13,"")</f>
        <v>Portugal</v>
      </c>
      <c r="R48" s="585"/>
      <c r="S48" s="125"/>
      <c r="T48" s="430" t="str">
        <f ca="1">IF(Distinctness!$G$13&gt;0,ThirdOfGroup!$C13,"")</f>
        <v>Wales</v>
      </c>
      <c r="U48" s="431" t="str">
        <f ca="1">IF(Distinctness!$G$13&gt;0,"   "&amp;ThirdOfGroup!$D13&amp;"        "&amp;ThirdOfGroup!$F13&amp;Language!$E$142&amp;ThirdOfGroup!$G13,"")</f>
        <v xml:space="preserve">   4        3 : 2</v>
      </c>
      <c r="V48" s="427" t="str">
        <f ca="1">IF(Distinctness!$G$13&gt;0,ThirdOfGroup!$I13,"")</f>
        <v>A</v>
      </c>
      <c r="W48" s="432" t="str">
        <f ca="1">IF(Distinctness!$G$13&gt;0,ThirdOfGroup!$C15,"")</f>
        <v>Finnland</v>
      </c>
      <c r="X48" s="433" t="str">
        <f ca="1">IF(Distinctness!$G$13&gt;0,"   "&amp;ThirdOfGroup!$D15&amp;"        "&amp;ThirdOfGroup!$F15&amp;Language!$E$142&amp;ThirdOfGroup!$G15,"")</f>
        <v xml:space="preserve">   3        1 : 3</v>
      </c>
      <c r="Y48" s="429" t="str">
        <f ca="1">IF(Distinctness!$G$13&gt;0,ThirdOfGroup!$I15,"")</f>
        <v>B</v>
      </c>
    </row>
    <row r="49" spans="1:26" s="4" customFormat="1" x14ac:dyDescent="0.25">
      <c r="A49" s="125" t="s">
        <v>20</v>
      </c>
      <c r="B49" s="584" t="str">
        <f ca="1">IF(GrpA!$M$10&gt;0,GrpA!$P14,"")</f>
        <v>Türkei</v>
      </c>
      <c r="C49" s="585"/>
      <c r="D49" s="125" t="s">
        <v>21</v>
      </c>
      <c r="E49" s="584" t="str">
        <f ca="1">IF(GrpB!$M$10&gt;0,GrpB!$P14,"")</f>
        <v>Russland</v>
      </c>
      <c r="F49" s="585"/>
      <c r="G49" s="125" t="s">
        <v>22</v>
      </c>
      <c r="H49" s="584" t="str">
        <f ca="1">IF(GrpC!$M$10&gt;0,GrpC!$P14,"")</f>
        <v>Nordmazedonien</v>
      </c>
      <c r="I49" s="585"/>
      <c r="J49" s="125" t="s">
        <v>23</v>
      </c>
      <c r="K49" s="584" t="str">
        <f ca="1">IF(GrpD!$M$10&gt;0,GrpD!$P14,"")</f>
        <v>Schottland</v>
      </c>
      <c r="L49" s="585"/>
      <c r="M49" s="125" t="s">
        <v>24</v>
      </c>
      <c r="N49" s="584" t="str">
        <f ca="1">IF(GrpE!$M$10&gt;0,GrpE!$P14,"")</f>
        <v>Polen</v>
      </c>
      <c r="O49" s="585"/>
      <c r="P49" s="125" t="s">
        <v>25</v>
      </c>
      <c r="Q49" s="584" t="str">
        <f ca="1">IF(GrpF!$M$10&gt;0,GrpF!$P14,"")</f>
        <v>Ungarn</v>
      </c>
      <c r="R49" s="585"/>
      <c r="S49" s="125"/>
      <c r="T49" s="430" t="str">
        <f ca="1">IF(Distinctness!$G$13&gt;0,ThirdOfGroup!$C14,"")</f>
        <v>Ukraine</v>
      </c>
      <c r="U49" s="431" t="str">
        <f ca="1">IF(Distinctness!$G$13&gt;0,"   "&amp;ThirdOfGroup!$D14&amp;"        "&amp;ThirdOfGroup!$F14&amp;Language!$E$142&amp;ThirdOfGroup!$G14,"")</f>
        <v xml:space="preserve">   3        4 : 5</v>
      </c>
      <c r="V49" s="427" t="str">
        <f ca="1">IF(Distinctness!$G$13&gt;0,ThirdOfGroup!$I14,"")</f>
        <v>C</v>
      </c>
      <c r="W49" s="432" t="str">
        <f ca="1">IF(Distinctness!$G$13&gt;0,ThirdOfGroup!$C16,"")</f>
        <v>Slowakei</v>
      </c>
      <c r="X49" s="433" t="str">
        <f ca="1">IF(Distinctness!$G$13&gt;0,"   "&amp;ThirdOfGroup!$D16&amp;"        "&amp;ThirdOfGroup!$F16&amp;Language!$E$142&amp;ThirdOfGroup!$G16,"")</f>
        <v xml:space="preserve">   3        2 : 7</v>
      </c>
      <c r="Y49" s="429" t="str">
        <f ca="1">IF(Distinctness!$G$13&gt;0,ThirdOfGroup!$I16,"")</f>
        <v>E</v>
      </c>
    </row>
    <row r="50" spans="1:26" s="4" customFormat="1" ht="35.25" customHeight="1" x14ac:dyDescent="0.25"/>
    <row r="51" spans="1:26" s="4" customFormat="1" ht="16.5" thickBot="1" x14ac:dyDescent="0.3">
      <c r="B51" s="580" t="str">
        <f>VLOOKUP(VLOOKUP(A52,Matches!$B$41:$K$48,10,0),Language!$D$108:$E$115,2,0)</f>
        <v>Achtelfinale 5</v>
      </c>
      <c r="C51" s="581"/>
      <c r="E51" s="580" t="str">
        <f>VLOOKUP(VLOOKUP(D52,Matches!$B$41:$K$48,10,0),Language!$D$108:$E$115,2,0)</f>
        <v>Achtelfinale 6</v>
      </c>
      <c r="F51" s="581"/>
      <c r="H51" s="580" t="str">
        <f>VLOOKUP(VLOOKUP(G52,Matches!$B$41:$K$48,10,0),Language!$D$108:$E$115,2,0)</f>
        <v>Achtelfinale 4</v>
      </c>
      <c r="I51" s="581"/>
      <c r="K51" s="580" t="str">
        <f>VLOOKUP(VLOOKUP(J52,Matches!$B$41:$K$48,10,0),Language!$D$108:$E$115,2,0)</f>
        <v>Achtelfinale 2</v>
      </c>
      <c r="L51" s="581"/>
      <c r="N51" s="580" t="str">
        <f>VLOOKUP(VLOOKUP(M52,Matches!$B$41:$K$48,10,0),Language!$D$108:$E$115,2,0)</f>
        <v>Achtelfinale 3</v>
      </c>
      <c r="O51" s="581"/>
      <c r="Q51" s="580" t="str">
        <f>VLOOKUP(VLOOKUP(P52,Matches!$B$41:$K$48,10,0),Language!$D$108:$E$115,2,0)</f>
        <v>Achtelfinale 1</v>
      </c>
      <c r="R51" s="581"/>
      <c r="T51" s="580" t="str">
        <f>VLOOKUP(VLOOKUP(S52,Matches!$B$41:$K$48,10,0),Language!$D$108:$E$115,2,0)</f>
        <v>Achtelfinale 7</v>
      </c>
      <c r="U51" s="581"/>
      <c r="W51" s="580" t="str">
        <f>VLOOKUP(VLOOKUP(V52,Matches!$B$41:$K$48,10,0),Language!$D$108:$E$115,2,0)</f>
        <v>Achtelfinale 8</v>
      </c>
      <c r="X51" s="581"/>
    </row>
    <row r="52" spans="1:26" s="4" customFormat="1" x14ac:dyDescent="0.25">
      <c r="A52" s="139">
        <v>41</v>
      </c>
      <c r="B52" s="582" t="str">
        <f>VLOOKUP(A52,Matches!$B$4:$K$58,7,0)</f>
        <v>Kopenhagen</v>
      </c>
      <c r="C52" s="583"/>
      <c r="D52" s="139">
        <v>42</v>
      </c>
      <c r="E52" s="582" t="str">
        <f>VLOOKUP(D52,Matches!$B$4:$K$58,7,0)</f>
        <v>Bukarest</v>
      </c>
      <c r="F52" s="583"/>
      <c r="G52" s="139">
        <v>40</v>
      </c>
      <c r="H52" s="582" t="str">
        <f>VLOOKUP(G52,Matches!$B$4:$K$58,7,0)</f>
        <v>Sevilla</v>
      </c>
      <c r="I52" s="583"/>
      <c r="J52" s="139">
        <v>38</v>
      </c>
      <c r="K52" s="582" t="str">
        <f>VLOOKUP(J52,Matches!$B$4:$K$58,7,0)</f>
        <v>London</v>
      </c>
      <c r="L52" s="583"/>
      <c r="M52" s="139">
        <v>39</v>
      </c>
      <c r="N52" s="582" t="str">
        <f>VLOOKUP(M52,Matches!$B$4:$K$58,7,0)</f>
        <v>Budapest</v>
      </c>
      <c r="O52" s="583"/>
      <c r="P52" s="139">
        <v>37</v>
      </c>
      <c r="Q52" s="582" t="str">
        <f>VLOOKUP(P52,Matches!$B$4:$K$58,7,0)</f>
        <v>Amsterdam</v>
      </c>
      <c r="R52" s="583"/>
      <c r="S52" s="139">
        <v>43</v>
      </c>
      <c r="T52" s="582" t="str">
        <f>VLOOKUP(S52,Matches!$B$4:$K$58,7,0)</f>
        <v>London</v>
      </c>
      <c r="U52" s="583"/>
      <c r="V52" s="139">
        <v>44</v>
      </c>
      <c r="W52" s="582" t="str">
        <f>VLOOKUP(V52,Matches!$B$4:$K$58,7,0)</f>
        <v>Glasgow</v>
      </c>
      <c r="X52" s="583"/>
    </row>
    <row r="53" spans="1:26" s="4" customFormat="1" x14ac:dyDescent="0.25">
      <c r="B53" s="573">
        <f>VLOOKUP(A52,Matches!$B$4:$K$58,5,0)</f>
        <v>44375.75</v>
      </c>
      <c r="C53" s="575"/>
      <c r="E53" s="573">
        <f>VLOOKUP(D52,Matches!$B$4:$K$58,5,0)</f>
        <v>44375.875</v>
      </c>
      <c r="F53" s="575"/>
      <c r="H53" s="573">
        <f>VLOOKUP(G52,Matches!$B$4:$K$58,5,0)</f>
        <v>44374.875</v>
      </c>
      <c r="I53" s="575"/>
      <c r="K53" s="573">
        <f>VLOOKUP(J52,Matches!$B$4:$K$58,5,0)</f>
        <v>44373.875</v>
      </c>
      <c r="L53" s="575"/>
      <c r="N53" s="573">
        <f>VLOOKUP(M52,Matches!$B$4:$K$58,5,0)</f>
        <v>44374.75</v>
      </c>
      <c r="O53" s="575"/>
      <c r="Q53" s="573">
        <f>VLOOKUP(P52,Matches!$B$4:$K$58,5,0)</f>
        <v>44373.75</v>
      </c>
      <c r="R53" s="575"/>
      <c r="T53" s="573">
        <f>VLOOKUP(S52,Matches!$B$4:$K$58,5,0)</f>
        <v>44376.75</v>
      </c>
      <c r="U53" s="575"/>
      <c r="V53" s="7"/>
      <c r="W53" s="573">
        <f>VLOOKUP(V52,Matches!$B$4:$K$58,5,0)</f>
        <v>44376.875</v>
      </c>
      <c r="X53" s="575"/>
    </row>
    <row r="54" spans="1:26" s="4" customFormat="1" x14ac:dyDescent="0.25">
      <c r="B54" s="64" t="str">
        <f ca="1">VLOOKUP(A52,Matches!$B$4:$K$58,8,0)</f>
        <v>Kroatien</v>
      </c>
      <c r="C54" s="65" t="str">
        <f ca="1">VLOOKUP(A52,Matches!$B$4:$K$58,9,0)</f>
        <v>Spanien</v>
      </c>
      <c r="E54" s="64" t="str">
        <f ca="1">VLOOKUP(D52,Matches!$B$4:$K$58,8,0)</f>
        <v>Frankreich</v>
      </c>
      <c r="F54" s="65" t="str">
        <f ca="1">VLOOKUP(D52,Matches!$B$4:$K$58,9,0)</f>
        <v>Wales</v>
      </c>
      <c r="H54" s="64" t="str">
        <f ca="1">VLOOKUP(G52,Matches!$B$4:$K$58,8,0)</f>
        <v>Belgien</v>
      </c>
      <c r="I54" s="65" t="str">
        <f ca="1">VLOOKUP(G52,Matches!$B$4:$K$58,9,0)</f>
        <v>Portugal</v>
      </c>
      <c r="K54" s="64" t="str">
        <f ca="1">VLOOKUP(J52,Matches!$B$4:$K$58,8,0)</f>
        <v>Italien</v>
      </c>
      <c r="L54" s="65" t="str">
        <f ca="1">VLOOKUP(J52,Matches!$B$4:$K$58,9,0)</f>
        <v>Österreich</v>
      </c>
      <c r="N54" s="64" t="str">
        <f ca="1">VLOOKUP(M52,Matches!$B$4:$K$58,8,0)</f>
        <v>Niederlande</v>
      </c>
      <c r="O54" s="65" t="str">
        <f ca="1">VLOOKUP(M52,Matches!$B$4:$K$58,9,0)</f>
        <v>Tschechien</v>
      </c>
      <c r="Q54" s="64" t="str">
        <f ca="1">VLOOKUP(P52,Matches!$B$4:$K$58,8,0)</f>
        <v>Schweiz</v>
      </c>
      <c r="R54" s="65" t="str">
        <f ca="1">VLOOKUP(P52,Matches!$B$4:$K$58,9,0)</f>
        <v>Dänemark</v>
      </c>
      <c r="T54" s="64" t="str">
        <f ca="1">VLOOKUP(S52,Matches!$B$4:$K$58,8,0)</f>
        <v>England</v>
      </c>
      <c r="U54" s="65" t="str">
        <f ca="1">VLOOKUP(S52,Matches!$B$4:$K$58,9,0)</f>
        <v>Deutschland</v>
      </c>
      <c r="W54" s="64" t="str">
        <f ca="1">VLOOKUP(V52,Matches!$B$4:$K$58,8,0)</f>
        <v>Schweden</v>
      </c>
      <c r="X54" s="65" t="str">
        <f ca="1">VLOOKUP(V52,Matches!$B$4:$K$58,9,0)</f>
        <v>Ukraine</v>
      </c>
    </row>
    <row r="55" spans="1:26" s="4" customFormat="1" ht="15.75" thickBot="1" x14ac:dyDescent="0.3">
      <c r="B55" s="1">
        <v>3</v>
      </c>
      <c r="C55" s="2">
        <v>5</v>
      </c>
      <c r="D55" s="408" t="s">
        <v>739</v>
      </c>
      <c r="E55" s="1">
        <v>3</v>
      </c>
      <c r="F55" s="2">
        <v>3</v>
      </c>
      <c r="G55" s="408" t="s">
        <v>739</v>
      </c>
      <c r="H55" s="1">
        <v>1</v>
      </c>
      <c r="I55" s="2">
        <v>0</v>
      </c>
      <c r="J55" s="408"/>
      <c r="K55" s="1">
        <v>2</v>
      </c>
      <c r="L55" s="2">
        <v>1</v>
      </c>
      <c r="M55" s="408"/>
      <c r="N55" s="1">
        <v>0</v>
      </c>
      <c r="O55" s="2">
        <v>2</v>
      </c>
      <c r="P55" s="408"/>
      <c r="Q55" s="1">
        <v>0</v>
      </c>
      <c r="R55" s="2">
        <v>4</v>
      </c>
      <c r="S55" s="408"/>
      <c r="T55" s="1">
        <v>2</v>
      </c>
      <c r="U55" s="2">
        <v>0</v>
      </c>
      <c r="V55" s="408"/>
      <c r="W55" s="1">
        <v>1</v>
      </c>
      <c r="X55" s="2">
        <v>2</v>
      </c>
      <c r="Y55" s="409" t="s">
        <v>739</v>
      </c>
      <c r="Z55" s="18"/>
    </row>
    <row r="56" spans="1:26" s="4" customFormat="1" ht="9.9499999999999993" customHeight="1" x14ac:dyDescent="0.25">
      <c r="B56" s="578" t="str">
        <f>Language!$E$125</f>
        <v>Elfmeterschießen:</v>
      </c>
      <c r="C56" s="579"/>
      <c r="E56" s="578" t="str">
        <f>Language!$E$125</f>
        <v>Elfmeterschießen:</v>
      </c>
      <c r="F56" s="579"/>
      <c r="H56" s="578" t="str">
        <f>Language!$E$125</f>
        <v>Elfmeterschießen:</v>
      </c>
      <c r="I56" s="579"/>
      <c r="K56" s="578" t="str">
        <f>Language!$E$125</f>
        <v>Elfmeterschießen:</v>
      </c>
      <c r="L56" s="579"/>
      <c r="N56" s="578" t="str">
        <f>Language!$E$125</f>
        <v>Elfmeterschießen:</v>
      </c>
      <c r="O56" s="579"/>
      <c r="Q56" s="578" t="str">
        <f>Language!$E$125</f>
        <v>Elfmeterschießen:</v>
      </c>
      <c r="R56" s="579"/>
      <c r="T56" s="578" t="str">
        <f>Language!$E$125</f>
        <v>Elfmeterschießen:</v>
      </c>
      <c r="U56" s="579"/>
      <c r="W56" s="578" t="str">
        <f>Language!$E$125</f>
        <v>Elfmeterschießen:</v>
      </c>
      <c r="X56" s="579"/>
    </row>
    <row r="57" spans="1:26" s="4" customFormat="1" ht="15.75" thickBot="1" x14ac:dyDescent="0.3">
      <c r="B57" s="403"/>
      <c r="C57" s="404"/>
      <c r="E57" s="403">
        <v>4</v>
      </c>
      <c r="F57" s="404">
        <v>5</v>
      </c>
      <c r="H57" s="403"/>
      <c r="I57" s="404"/>
      <c r="K57" s="403"/>
      <c r="L57" s="404"/>
      <c r="N57" s="403"/>
      <c r="O57" s="404"/>
      <c r="Q57" s="403"/>
      <c r="R57" s="404"/>
      <c r="T57" s="403"/>
      <c r="U57" s="404"/>
      <c r="W57" s="403"/>
      <c r="X57" s="404"/>
    </row>
    <row r="58" spans="1:26" s="10" customFormat="1" ht="12" x14ac:dyDescent="0.2">
      <c r="B58" s="21" t="str">
        <f>VLOOKUP(A52,Matches!$B$4:$K$58,2,0)</f>
        <v>2D</v>
      </c>
      <c r="C58" s="11" t="str">
        <f>VLOOKUP(A52,Matches!$B$4:$K$58,3,0)</f>
        <v>2E</v>
      </c>
      <c r="E58" s="21" t="str">
        <f>VLOOKUP(D52,Matches!$B$4:$K$58,2,0)</f>
        <v>1F</v>
      </c>
      <c r="F58" s="11" t="str">
        <f>VLOOKUP(D52,Matches!$B$4:$K$58,3,0)</f>
        <v>3A/B/C</v>
      </c>
      <c r="G58" s="337"/>
      <c r="H58" s="21" t="str">
        <f>VLOOKUP(G52,Matches!$B$4:$K$58,2,0)</f>
        <v>1B</v>
      </c>
      <c r="I58" s="11" t="str">
        <f>VLOOKUP(G52,Matches!$B$4:$K$58,3,0)</f>
        <v>3A/D/E/F</v>
      </c>
      <c r="J58" s="11"/>
      <c r="K58" s="21" t="str">
        <f>VLOOKUP(J52,Matches!$B$4:$K$58,2,0)</f>
        <v>1A</v>
      </c>
      <c r="L58" s="11" t="str">
        <f>VLOOKUP(J52,Matches!$B$4:$K$58,3,0)</f>
        <v>2C</v>
      </c>
      <c r="M58" s="11"/>
      <c r="N58" s="21" t="str">
        <f>VLOOKUP(M52,Matches!$B$4:$K$58,2,0)</f>
        <v>1C</v>
      </c>
      <c r="O58" s="11" t="str">
        <f>VLOOKUP(M52,Matches!$B$4:$K$58,3,0)</f>
        <v>3D/E/F</v>
      </c>
      <c r="P58" s="11"/>
      <c r="Q58" s="21" t="str">
        <f>VLOOKUP(P52,Matches!$B$4:$K$58,2,0)</f>
        <v>2A</v>
      </c>
      <c r="R58" s="11" t="str">
        <f>VLOOKUP(P52,Matches!$B$4:$K$58,3,0)</f>
        <v>2B</v>
      </c>
      <c r="S58" s="11"/>
      <c r="T58" s="21" t="str">
        <f>VLOOKUP(S52,Matches!$B$4:$K$58,2,0)</f>
        <v>1D</v>
      </c>
      <c r="U58" s="11" t="str">
        <f>VLOOKUP(S52,Matches!$B$4:$K$58,3,0)</f>
        <v>2F</v>
      </c>
      <c r="V58" s="11"/>
      <c r="W58" s="21" t="str">
        <f>VLOOKUP(V52,Matches!$B$4:$K$58,2,0)</f>
        <v>1E</v>
      </c>
      <c r="X58" s="11" t="str">
        <f>VLOOKUP(V52,Matches!$B$4:$K$58,3,0)</f>
        <v>3A/B/C/D</v>
      </c>
    </row>
    <row r="59" spans="1:26" s="10" customFormat="1" ht="12" x14ac:dyDescent="0.2">
      <c r="B59" s="577" t="str">
        <f>IF(AND(B55&lt;&gt;"",C55&lt;&gt;"",B55=C55,B57&lt;&gt;"",C57&lt;&gt;"",B57=C57),Language!$E$138,"")</f>
        <v/>
      </c>
      <c r="C59" s="577"/>
      <c r="D59" s="337"/>
      <c r="E59" s="577" t="str">
        <f>IF(AND(E55&lt;&gt;"",F55&lt;&gt;"",E55=F55,E57&lt;&gt;"",F57&lt;&gt;"",E57=F57),Language!$E$138,"")</f>
        <v/>
      </c>
      <c r="F59" s="577"/>
      <c r="G59" s="11"/>
      <c r="H59" s="577" t="str">
        <f>IF(AND(H55&lt;&gt;"",I55&lt;&gt;"",H55=I55,H57&lt;&gt;"",I57&lt;&gt;"",H57=I57),Language!$E$138,"")</f>
        <v/>
      </c>
      <c r="I59" s="577"/>
      <c r="J59" s="11"/>
      <c r="K59" s="577" t="str">
        <f>IF(AND(K55&lt;&gt;"",L55&lt;&gt;"",K55=L55,K57&lt;&gt;"",L57&lt;&gt;"",K57=L57),Language!$E$138,"")</f>
        <v/>
      </c>
      <c r="L59" s="577"/>
      <c r="M59" s="11"/>
      <c r="N59" s="577" t="str">
        <f>IF(AND(N55&lt;&gt;"",O55&lt;&gt;"",N55=O55,N57&lt;&gt;"",O57&lt;&gt;"",N57=O57),Language!$E$138,"")</f>
        <v/>
      </c>
      <c r="O59" s="577"/>
      <c r="P59" s="11"/>
      <c r="Q59" s="577" t="str">
        <f>IF(AND(Q55&lt;&gt;"",R55&lt;&gt;"",Q55=R55,Q57&lt;&gt;"",R57&lt;&gt;"",Q57=R57),Language!$E$138,"")</f>
        <v/>
      </c>
      <c r="R59" s="577"/>
      <c r="S59" s="11"/>
      <c r="T59" s="577" t="str">
        <f>IF(AND(T55&lt;&gt;"",U55&lt;&gt;"",T55=U55,T57&lt;&gt;"",U57&lt;&gt;"",T57=U57),Language!$E$138,"")</f>
        <v/>
      </c>
      <c r="U59" s="577"/>
      <c r="V59" s="11"/>
      <c r="W59" s="577" t="str">
        <f>IF(AND(W55&lt;&gt;"",X55&lt;&gt;"",W55=X55,W57&lt;&gt;"",X57&lt;&gt;"",W57=X57),Language!$E$138,"")</f>
        <v/>
      </c>
      <c r="X59" s="577"/>
    </row>
    <row r="60" spans="1:26" s="4" customFormat="1" x14ac:dyDescent="0.25">
      <c r="B60" s="13"/>
      <c r="C60" s="12"/>
      <c r="E60" s="12"/>
      <c r="F60" s="13"/>
      <c r="H60" s="13"/>
      <c r="L60" s="13"/>
      <c r="N60" s="13"/>
      <c r="R60" s="13"/>
      <c r="T60" s="13"/>
      <c r="X60" s="13"/>
    </row>
    <row r="61" spans="1:26" s="4" customFormat="1" ht="15.75" customHeight="1" x14ac:dyDescent="0.25">
      <c r="B61" s="13"/>
      <c r="C61" s="576" t="str">
        <f>VLOOKUP(VLOOKUP(B62,Matches!$B$50:$K$53,10,0),Language!$D$116:$E$119,2,0)</f>
        <v>Viertelfinale 1</v>
      </c>
      <c r="D61" s="576"/>
      <c r="E61" s="576"/>
      <c r="F61" s="13"/>
      <c r="H61" s="13"/>
      <c r="I61" s="576" t="str">
        <f>VLOOKUP(VLOOKUP(H62,Matches!$B$50:$K$53,10,0),Language!$D$116:$E$119,2,0)</f>
        <v>Viertelfinale 2</v>
      </c>
      <c r="J61" s="576"/>
      <c r="K61" s="576"/>
      <c r="L61" s="13"/>
      <c r="N61" s="13"/>
      <c r="O61" s="576" t="str">
        <f>VLOOKUP(VLOOKUP(N62,Matches!$B$50:$K$53,10,0),Language!$D$116:$E$119,2,0)</f>
        <v>Viertelfinale 3</v>
      </c>
      <c r="P61" s="576"/>
      <c r="Q61" s="576"/>
      <c r="R61" s="13"/>
      <c r="T61" s="13"/>
      <c r="U61" s="576" t="str">
        <f>VLOOKUP(VLOOKUP(T62,Matches!$B$50:$K$53,10,0),Language!$D$116:$E$119,2,0)</f>
        <v>Viertelfinale 4</v>
      </c>
      <c r="V61" s="576"/>
      <c r="W61" s="576"/>
      <c r="X61" s="13"/>
    </row>
    <row r="62" spans="1:26" s="4" customFormat="1" ht="15.75" customHeight="1" x14ac:dyDescent="0.25">
      <c r="B62" s="139">
        <v>45</v>
      </c>
      <c r="C62" s="569" t="str">
        <f>VLOOKUP(B62,Matches!$B$4:$K$58,7,0)</f>
        <v>Sankt Ptersburg</v>
      </c>
      <c r="D62" s="570"/>
      <c r="E62" s="571"/>
      <c r="H62" s="139">
        <v>46</v>
      </c>
      <c r="I62" s="569" t="str">
        <f>VLOOKUP(H62,Matches!$B$4:$K$58,7,0)</f>
        <v>München</v>
      </c>
      <c r="J62" s="570"/>
      <c r="K62" s="571"/>
      <c r="N62" s="139">
        <v>47</v>
      </c>
      <c r="O62" s="569" t="str">
        <f>VLOOKUP(N62,Matches!$B$4:$K$58,7,0)</f>
        <v>Baku</v>
      </c>
      <c r="P62" s="570"/>
      <c r="Q62" s="571"/>
      <c r="T62" s="139">
        <v>48</v>
      </c>
      <c r="U62" s="569" t="str">
        <f>VLOOKUP(T62,Matches!$B$4:$K$58,7,0)</f>
        <v>Rom</v>
      </c>
      <c r="V62" s="570"/>
      <c r="W62" s="571"/>
    </row>
    <row r="63" spans="1:26" s="4" customFormat="1" x14ac:dyDescent="0.25">
      <c r="C63" s="573">
        <f>VLOOKUP(B62,Matches!$B$4:$K$58,5,0)</f>
        <v>44379.75</v>
      </c>
      <c r="D63" s="574"/>
      <c r="E63" s="575"/>
      <c r="I63" s="573">
        <f>VLOOKUP(H62,Matches!$B$4:$K$58,5,0)</f>
        <v>44379.875</v>
      </c>
      <c r="J63" s="574"/>
      <c r="K63" s="575"/>
      <c r="O63" s="573">
        <f>VLOOKUP(N62,Matches!$B$4:$K$58,5,0)</f>
        <v>44380.75</v>
      </c>
      <c r="P63" s="574"/>
      <c r="Q63" s="575"/>
      <c r="U63" s="573">
        <f>VLOOKUP(T62,Matches!$B$4:$K$58,5,0)</f>
        <v>44380.875</v>
      </c>
      <c r="V63" s="574"/>
      <c r="W63" s="575"/>
    </row>
    <row r="64" spans="1:26" s="4" customFormat="1" x14ac:dyDescent="0.25">
      <c r="C64" s="8" t="str">
        <f ca="1">IF(AND(B55&lt;&gt;"",C55&lt;&gt;""),IF(B55&gt;C55,B54,IF(B55&lt;C55,C54,IF(AND(B57&lt;&gt;"",C57&lt;&gt;""),IF(B57&gt;C57,B54,IF(B57&lt;C57,C54,"")),""))),"")</f>
        <v>Spanien</v>
      </c>
      <c r="D64" s="13"/>
      <c r="E64" s="9" t="str">
        <f ca="1">IF(AND(E55&lt;&gt;"",F55&lt;&gt;""),IF(E55&gt;F55,E54,IF(E55&lt;F55,F54,IF(AND(E57&lt;&gt;"",F57&lt;&gt;""),IF(E57&gt;F57,E54,IF(E57&lt;F57,F54,"")),""))),"")</f>
        <v>Wales</v>
      </c>
      <c r="I64" s="8" t="str">
        <f ca="1">IF(AND(H55&lt;&gt;"",I55&lt;&gt;""),IF(H55&gt;I55,H54,IF(H55&lt;I55,I54,IF(AND(H57&lt;&gt;"",I57&lt;&gt;""),IF(H57&gt;I57,H54,IF(H57&lt;I57,I54,"")),""))),"")</f>
        <v>Belgien</v>
      </c>
      <c r="J64" s="13"/>
      <c r="K64" s="9" t="str">
        <f ca="1">IF(AND(K55&lt;&gt;"",L55&lt;&gt;""),IF(K55&gt;L55,K54,IF(K55&lt;L55,L54,IF(AND(K57&lt;&gt;"",L57&lt;&gt;""),IF(K57&gt;L57,K54,IF(K57&lt;L57,L54,"")),""))),"")</f>
        <v>Italien</v>
      </c>
      <c r="O64" s="8" t="str">
        <f ca="1">IF(AND(N55&lt;&gt;"",O55&lt;&gt;""),IF(N55&gt;O55,N54,IF(N55&lt;O55,O54,IF(AND(N57&lt;&gt;"",O57&lt;&gt;""),IF(N57&gt;O57,N54,IF(N57&lt;O57,O54,"")),""))),"")</f>
        <v>Tschechien</v>
      </c>
      <c r="P64" s="13"/>
      <c r="Q64" s="9" t="str">
        <f ca="1">IF(AND(Q55&lt;&gt;"",R55&lt;&gt;""),IF(Q55&gt;R55,Q54,IF(Q55&lt;R55,R54,IF(AND(Q57&lt;&gt;"",R57&lt;&gt;""),IF(Q57&gt;R57,Q54,IF(Q57&lt;R57,R54,"")),""))),"")</f>
        <v>Dänemark</v>
      </c>
      <c r="U64" s="8" t="str">
        <f ca="1">IF(AND(T55&lt;&gt;"",U55&lt;&gt;""),IF(T55&gt;U55,T54,IF(T55&lt;U55,U54,IF(AND(T57&lt;&gt;"",U57&lt;&gt;""),IF(T57&gt;U57,T54,IF(T57&lt;U57,U54,"")),""))),"")</f>
        <v>England</v>
      </c>
      <c r="V64" s="13"/>
      <c r="W64" s="9" t="str">
        <f ca="1">IF(AND(W55&lt;&gt;"",X55&lt;&gt;""),IF(W55&gt;X55,W54,IF(W55&lt;X55,X54,IF(AND(W57&lt;&gt;"",X57&lt;&gt;""),IF(W57&gt;X57,W54,IF(W57&lt;X57,X54,"")),""))),"")</f>
        <v>Ukraine</v>
      </c>
    </row>
    <row r="65" spans="3:24" s="4" customFormat="1" ht="15.75" thickBot="1" x14ac:dyDescent="0.3">
      <c r="C65" s="1">
        <v>1</v>
      </c>
      <c r="D65" s="14"/>
      <c r="E65" s="3">
        <v>1</v>
      </c>
      <c r="F65" s="409" t="s">
        <v>739</v>
      </c>
      <c r="I65" s="1">
        <v>1</v>
      </c>
      <c r="J65" s="14"/>
      <c r="K65" s="3">
        <v>2</v>
      </c>
      <c r="L65" s="409"/>
      <c r="O65" s="1">
        <v>1</v>
      </c>
      <c r="P65" s="14"/>
      <c r="Q65" s="3">
        <v>2</v>
      </c>
      <c r="R65" s="409"/>
      <c r="U65" s="1">
        <v>4</v>
      </c>
      <c r="V65" s="14"/>
      <c r="W65" s="3">
        <v>0</v>
      </c>
      <c r="X65" s="409"/>
    </row>
    <row r="66" spans="3:24" s="4" customFormat="1" ht="9.9499999999999993" customHeight="1" x14ac:dyDescent="0.25">
      <c r="C66" s="556" t="str">
        <f>Language!$E$125</f>
        <v>Elfmeterschießen:</v>
      </c>
      <c r="D66" s="557"/>
      <c r="E66" s="558"/>
      <c r="I66" s="556" t="str">
        <f>Language!$E$125</f>
        <v>Elfmeterschießen:</v>
      </c>
      <c r="J66" s="557"/>
      <c r="K66" s="558"/>
      <c r="O66" s="556" t="str">
        <f>Language!$E$125</f>
        <v>Elfmeterschießen:</v>
      </c>
      <c r="P66" s="557"/>
      <c r="Q66" s="558"/>
      <c r="U66" s="556" t="str">
        <f>Language!$E$125</f>
        <v>Elfmeterschießen:</v>
      </c>
      <c r="V66" s="557"/>
      <c r="W66" s="558"/>
    </row>
    <row r="67" spans="3:24" s="4" customFormat="1" ht="15.75" thickBot="1" x14ac:dyDescent="0.3">
      <c r="C67" s="405">
        <v>3</v>
      </c>
      <c r="D67" s="14"/>
      <c r="E67" s="406">
        <v>1</v>
      </c>
      <c r="I67" s="405"/>
      <c r="J67" s="14"/>
      <c r="K67" s="406"/>
      <c r="O67" s="405"/>
      <c r="P67" s="14"/>
      <c r="Q67" s="406"/>
      <c r="U67" s="405"/>
      <c r="V67" s="14"/>
      <c r="W67" s="406"/>
    </row>
    <row r="68" spans="3:24" s="10" customFormat="1" x14ac:dyDescent="0.25">
      <c r="C68" s="11" t="str">
        <f>VLOOKUP(B62,Matches!$B$50:$K$58,2,0)</f>
        <v>W41</v>
      </c>
      <c r="D68" s="15"/>
      <c r="E68" s="11" t="str">
        <f>VLOOKUP(B62,Matches!$B$50:$K$58,3,0)</f>
        <v>W42</v>
      </c>
      <c r="F68" s="338"/>
      <c r="G68" s="16"/>
      <c r="H68" s="16"/>
      <c r="I68" s="11" t="str">
        <f>VLOOKUP(H62,Matches!$B$50:$K$58,2,0)</f>
        <v>W40</v>
      </c>
      <c r="J68" s="15"/>
      <c r="K68" s="11" t="str">
        <f>VLOOKUP(H62,Matches!$B$50:$K$58,3,0)</f>
        <v>W38</v>
      </c>
      <c r="L68" s="16"/>
      <c r="M68" s="16"/>
      <c r="N68" s="16"/>
      <c r="O68" s="11" t="str">
        <f>VLOOKUP(N62,Matches!$B$50:$K$58,2,0)</f>
        <v>W39</v>
      </c>
      <c r="P68" s="4"/>
      <c r="Q68" s="11" t="str">
        <f>VLOOKUP(N62,Matches!$B$50:$K$58,3,0)</f>
        <v>W37</v>
      </c>
      <c r="R68" s="16"/>
      <c r="S68" s="16"/>
      <c r="T68" s="16"/>
      <c r="U68" s="11" t="str">
        <f>VLOOKUP(T62,Matches!$B$50:$K$58,2,0)</f>
        <v>W43</v>
      </c>
      <c r="V68" s="15"/>
      <c r="W68" s="11" t="str">
        <f>VLOOKUP(T62,Matches!$B$50:$K$58,3,0)</f>
        <v>W44</v>
      </c>
    </row>
    <row r="69" spans="3:24" s="4" customFormat="1" ht="12" customHeight="1" x14ac:dyDescent="0.25">
      <c r="C69" s="559" t="str">
        <f>IF(AND(C65&lt;&gt;"",E65&lt;&gt;"",C65=E65,C67&lt;&gt;"",E67&lt;&gt;"",C67=E67),Language!$E$138,"")</f>
        <v/>
      </c>
      <c r="D69" s="559"/>
      <c r="E69" s="559"/>
      <c r="F69" s="339"/>
      <c r="I69" s="559" t="str">
        <f>IF(AND(I65&lt;&gt;"",K65&lt;&gt;"",I65=K65,I67&lt;&gt;"",K67&lt;&gt;"",I67=K67),Language!$E$138,"")</f>
        <v/>
      </c>
      <c r="J69" s="559"/>
      <c r="K69" s="559"/>
      <c r="O69" s="559" t="str">
        <f>IF(AND(O65&lt;&gt;"",Q65&lt;&gt;"",O65=Q65,O67&lt;&gt;"",Q67&lt;&gt;"",O67=Q67),Language!$E$138,"")</f>
        <v/>
      </c>
      <c r="P69" s="559"/>
      <c r="Q69" s="559"/>
      <c r="U69" s="559" t="str">
        <f>IF(AND(U65&lt;&gt;"",W65&lt;&gt;"",U65=W65,U67&lt;&gt;"",W67&lt;&gt;"",U67=W67),Language!$E$138,"")</f>
        <v/>
      </c>
      <c r="V69" s="559"/>
      <c r="W69" s="559"/>
    </row>
    <row r="70" spans="3:24" s="4" customFormat="1" x14ac:dyDescent="0.25"/>
    <row r="71" spans="3:24" s="4" customFormat="1" ht="15.75" x14ac:dyDescent="0.25">
      <c r="F71" s="576" t="str">
        <f>VLOOKUP(E72,Matches!$B$50:$K$58,10,0)</f>
        <v>Halbfinale 1</v>
      </c>
      <c r="G71" s="576"/>
      <c r="H71" s="576"/>
      <c r="R71" s="576" t="str">
        <f>VLOOKUP(Q72,Matches!$B$50:$K$58,10,0)</f>
        <v>Halbfinale 2</v>
      </c>
      <c r="S71" s="576"/>
      <c r="T71" s="576"/>
    </row>
    <row r="72" spans="3:24" s="4" customFormat="1" x14ac:dyDescent="0.25">
      <c r="E72" s="139">
        <v>49</v>
      </c>
      <c r="F72" s="569" t="str">
        <f>VLOOKUP(E72,Matches!$B$4:$K$58,7,0)</f>
        <v>London</v>
      </c>
      <c r="G72" s="570"/>
      <c r="H72" s="571"/>
      <c r="Q72" s="139">
        <v>50</v>
      </c>
      <c r="R72" s="569" t="str">
        <f>VLOOKUP(Q72,Matches!$B$4:$K$58,7,0)</f>
        <v>London</v>
      </c>
      <c r="S72" s="570"/>
      <c r="T72" s="571"/>
    </row>
    <row r="73" spans="3:24" s="4" customFormat="1" ht="15.75" x14ac:dyDescent="0.25">
      <c r="F73" s="573">
        <f>VLOOKUP(E72,Matches!$B$4:$K$58,5,0)</f>
        <v>44383.875</v>
      </c>
      <c r="G73" s="574"/>
      <c r="H73" s="575"/>
      <c r="L73" s="32"/>
      <c r="M73" s="32"/>
      <c r="R73" s="573">
        <f>VLOOKUP(Q72,Matches!$B$4:$K$58,5,0)</f>
        <v>44384.875</v>
      </c>
      <c r="S73" s="574"/>
      <c r="T73" s="575"/>
    </row>
    <row r="74" spans="3:24" s="4" customFormat="1" x14ac:dyDescent="0.25">
      <c r="F74" s="8" t="str">
        <f ca="1">IF(AND(C65&lt;&gt;"",E65&lt;&gt;""),IF(C65&gt;E65,C64,IF(C65&lt;E65,E64,IF(AND(C67&lt;&gt;"",E67&lt;&gt;""),IF(C67&gt;E67,C64,IF(C67&lt;E67,E64,"")),""))),"")</f>
        <v>Spanien</v>
      </c>
      <c r="G74" s="13"/>
      <c r="H74" s="9" t="str">
        <f ca="1">IF(AND(I65&lt;&gt;"",K65&lt;&gt;""),IF(I65&gt;K65,I64,IF(I65&lt;K65,K64,IF(AND(I67&lt;&gt;"",K67&lt;&gt;""),IF(I67&gt;K67,I64,IF(I67&lt;K67,K64,"")),""))),"")</f>
        <v>Italien</v>
      </c>
      <c r="L74" s="33"/>
      <c r="M74" s="33"/>
      <c r="R74" s="8" t="str">
        <f ca="1">IF(AND(O65&lt;&gt;"",Q65&lt;&gt;""),IF(O65&gt;Q65,O64,IF(O65&lt;Q65,Q64,IF(AND(O67&lt;&gt;"",Q67&lt;&gt;""),IF(O67&gt;Q67,O64,IF(O67&lt;Q67,Q64,"")),""))),"")</f>
        <v>Dänemark</v>
      </c>
      <c r="S74" s="13"/>
      <c r="T74" s="9" t="str">
        <f ca="1">IF(AND(U65&lt;&gt;"",W65&lt;&gt;""),IF(U65&gt;W65,U64,IF(U65&lt;W65,W64,IF(AND(U67&lt;&gt;"",W67&lt;&gt;""),IF(U67&gt;W67,U64,IF(U67&lt;W67,W64,"")),""))),"")</f>
        <v>England</v>
      </c>
    </row>
    <row r="75" spans="3:24" s="4" customFormat="1" ht="15.75" thickBot="1" x14ac:dyDescent="0.3">
      <c r="F75" s="1">
        <v>1</v>
      </c>
      <c r="G75" s="14"/>
      <c r="H75" s="3">
        <v>1</v>
      </c>
      <c r="I75" s="409" t="s">
        <v>739</v>
      </c>
      <c r="L75" s="19"/>
      <c r="M75" s="18"/>
      <c r="R75" s="1">
        <v>1</v>
      </c>
      <c r="S75" s="14"/>
      <c r="T75" s="3">
        <v>2</v>
      </c>
      <c r="U75" s="409"/>
    </row>
    <row r="76" spans="3:24" s="4" customFormat="1" ht="9.9499999999999993" customHeight="1" x14ac:dyDescent="0.25">
      <c r="F76" s="556" t="str">
        <f>Language!$E$125</f>
        <v>Elfmeterschießen:</v>
      </c>
      <c r="G76" s="557"/>
      <c r="H76" s="558"/>
      <c r="L76" s="19"/>
      <c r="M76" s="18"/>
      <c r="R76" s="556" t="str">
        <f>Language!$E$125</f>
        <v>Elfmeterschießen:</v>
      </c>
      <c r="S76" s="557"/>
      <c r="T76" s="558"/>
    </row>
    <row r="77" spans="3:24" s="4" customFormat="1" ht="15.75" thickBot="1" x14ac:dyDescent="0.3">
      <c r="F77" s="405">
        <v>2</v>
      </c>
      <c r="G77" s="14"/>
      <c r="H77" s="406">
        <v>4</v>
      </c>
      <c r="L77" s="19"/>
      <c r="M77" s="18"/>
      <c r="R77" s="405"/>
      <c r="S77" s="14"/>
      <c r="T77" s="406"/>
    </row>
    <row r="78" spans="3:24" s="4" customFormat="1" x14ac:dyDescent="0.25">
      <c r="F78" s="11" t="str">
        <f>VLOOKUP(E72,Matches!$B$50:$K$58,2,0)</f>
        <v>W45</v>
      </c>
      <c r="G78" s="15"/>
      <c r="H78" s="11" t="str">
        <f>VLOOKUP(E72,Matches!$B$50:$K$58,3,0)</f>
        <v>W46</v>
      </c>
      <c r="I78" s="339"/>
      <c r="L78" s="20"/>
      <c r="M78" s="18"/>
      <c r="R78" s="11" t="str">
        <f>VLOOKUP(Q72,Matches!$B$50:$K$58,2,0)</f>
        <v>W47</v>
      </c>
      <c r="S78" s="15"/>
      <c r="T78" s="11" t="str">
        <f>VLOOKUP(Q72,Matches!$B$50:$K$58,3,0)</f>
        <v>W48</v>
      </c>
    </row>
    <row r="79" spans="3:24" s="4" customFormat="1" ht="12" customHeight="1" x14ac:dyDescent="0.25">
      <c r="F79" s="559" t="str">
        <f>IF(AND(F75&lt;&gt;"",H75&lt;&gt;"",F75=H75,F77&lt;&gt;"",H77&lt;&gt;"",F77=H77),Language!$E$138,"")</f>
        <v/>
      </c>
      <c r="G79" s="559"/>
      <c r="H79" s="559"/>
      <c r="K79" s="18"/>
      <c r="L79" s="336"/>
      <c r="M79" s="336"/>
      <c r="N79" s="336"/>
      <c r="R79" s="559" t="str">
        <f>IF(AND(R75&lt;&gt;"",T75&lt;&gt;"",R75=T75,R77&lt;&gt;"",T77&lt;&gt;"",R77=T77),Language!$E$138,"")</f>
        <v/>
      </c>
      <c r="S79" s="559"/>
      <c r="T79" s="559"/>
    </row>
    <row r="80" spans="3:24" s="4" customFormat="1" x14ac:dyDescent="0.25"/>
    <row r="81" spans="2:24" s="4" customFormat="1" ht="31.5" x14ac:dyDescent="0.25">
      <c r="L81" s="566" t="str">
        <f>VLOOKUP(K82,Matches!$B$50:$K$58,10,0)</f>
        <v>Finale</v>
      </c>
      <c r="M81" s="567"/>
      <c r="N81" s="568"/>
    </row>
    <row r="82" spans="2:24" s="4" customFormat="1" ht="15" customHeight="1" x14ac:dyDescent="0.25">
      <c r="K82" s="139">
        <v>51</v>
      </c>
      <c r="L82" s="569" t="str">
        <f>VLOOKUP(K82,Matches!$B$4:$K$58,7,0)</f>
        <v>London</v>
      </c>
      <c r="M82" s="570"/>
      <c r="N82" s="571"/>
      <c r="R82" s="572" t="str">
        <f>Language!$E$107</f>
        <v>Europameister 2021:</v>
      </c>
      <c r="S82" s="572"/>
      <c r="T82" s="572"/>
      <c r="U82" s="572"/>
      <c r="V82" s="572"/>
      <c r="W82" s="572"/>
    </row>
    <row r="83" spans="2:24" s="4" customFormat="1" ht="15" customHeight="1" x14ac:dyDescent="0.25">
      <c r="L83" s="573">
        <f>VLOOKUP(K82,Matches!$B$4:$K$58,5,0)</f>
        <v>44388.875</v>
      </c>
      <c r="M83" s="574"/>
      <c r="N83" s="575"/>
      <c r="R83" s="572"/>
      <c r="S83" s="572"/>
      <c r="T83" s="572"/>
      <c r="U83" s="572"/>
      <c r="V83" s="572"/>
      <c r="W83" s="572"/>
    </row>
    <row r="84" spans="2:24" s="4" customFormat="1" ht="15" customHeight="1" x14ac:dyDescent="0.25">
      <c r="L84" s="8" t="str">
        <f ca="1">IF(AND(F75&lt;&gt;"",H75&lt;&gt;""),IF(F75&gt;H75,F74,IF(F75&lt;H75,H74,IF(AND(F77&lt;&gt;"",H77&lt;&gt;""),IF(F77&gt;H77,F74,IF(F77&lt;H77,H74,"")),""))),"")</f>
        <v>Italien</v>
      </c>
      <c r="M84" s="13"/>
      <c r="N84" s="9" t="str">
        <f ca="1">IF(AND(R75&lt;&gt;"",T75&lt;&gt;""),IF(R75&gt;T75,R74,IF(R75&lt;T75,T74,IF(AND(R77&lt;&gt;"",T77&lt;&gt;""),IF(R77&gt;T77,R74,IF(R77&lt;T77,T74,"")),""))),"")</f>
        <v>England</v>
      </c>
      <c r="R84" s="555" t="str">
        <f ca="1">IF(AND(L85&lt;&gt;"",N85&lt;&gt;""),IF(L85&gt;N85,L84,IF(L85&lt;N85,N84,IF(AND(L87&lt;&gt;"",N87&lt;&gt;""),IF(L87&gt;N87,L84,IF(L87&lt;N87,N84,"")),""))),"")</f>
        <v>Italien</v>
      </c>
      <c r="S84" s="555"/>
      <c r="T84" s="555"/>
      <c r="U84" s="555"/>
      <c r="V84" s="555"/>
      <c r="W84" s="555"/>
    </row>
    <row r="85" spans="2:24" s="4" customFormat="1" ht="15" customHeight="1" thickBot="1" x14ac:dyDescent="0.3">
      <c r="B85" s="17"/>
      <c r="L85" s="1">
        <v>1</v>
      </c>
      <c r="M85" s="140"/>
      <c r="N85" s="3">
        <v>1</v>
      </c>
      <c r="O85" s="409" t="s">
        <v>739</v>
      </c>
      <c r="R85" s="555"/>
      <c r="S85" s="555"/>
      <c r="T85" s="555"/>
      <c r="U85" s="555"/>
      <c r="V85" s="555"/>
      <c r="W85" s="555"/>
    </row>
    <row r="86" spans="2:24" s="4" customFormat="1" ht="9.9499999999999993" customHeight="1" x14ac:dyDescent="0.25">
      <c r="B86" s="17"/>
      <c r="L86" s="556" t="str">
        <f>Language!$E$125</f>
        <v>Elfmeterschießen:</v>
      </c>
      <c r="M86" s="557"/>
      <c r="N86" s="558"/>
      <c r="R86" s="407"/>
      <c r="S86" s="407"/>
      <c r="T86" s="407"/>
      <c r="U86" s="407"/>
      <c r="V86" s="407"/>
      <c r="W86" s="407"/>
    </row>
    <row r="87" spans="2:24" s="4" customFormat="1" ht="15" customHeight="1" thickBot="1" x14ac:dyDescent="0.3">
      <c r="B87" s="17"/>
      <c r="L87" s="405">
        <v>3</v>
      </c>
      <c r="M87" s="14"/>
      <c r="N87" s="406">
        <v>2</v>
      </c>
      <c r="R87" s="407"/>
      <c r="S87" s="407"/>
      <c r="T87" s="407"/>
      <c r="U87" s="407"/>
      <c r="V87" s="407"/>
      <c r="W87" s="407"/>
    </row>
    <row r="88" spans="2:24" s="4" customFormat="1" x14ac:dyDescent="0.25">
      <c r="L88" s="11" t="str">
        <f>VLOOKUP(K82,Matches!$B$50:$K$58,2,0)</f>
        <v>W49</v>
      </c>
      <c r="M88" s="15"/>
      <c r="N88" s="11" t="str">
        <f>VLOOKUP(K82,Matches!$B$50:$K$58,3,0)</f>
        <v>W50</v>
      </c>
      <c r="O88" s="339"/>
    </row>
    <row r="89" spans="2:24" s="4" customFormat="1" ht="12" customHeight="1" x14ac:dyDescent="0.25">
      <c r="L89" s="559" t="str">
        <f>IF(AND(L85&lt;&gt;"",N85&lt;&gt;"",L85=N85,L87&lt;&gt;"",N87&lt;&gt;"",L87=N87),Language!$E$138,"")</f>
        <v/>
      </c>
      <c r="M89" s="559"/>
      <c r="N89" s="559"/>
    </row>
    <row r="90" spans="2:24" s="4" customFormat="1" x14ac:dyDescent="0.25"/>
    <row r="91" spans="2:24" s="4" customFormat="1" x14ac:dyDescent="0.25">
      <c r="U91" s="560"/>
      <c r="V91" s="561"/>
      <c r="W91" s="561"/>
      <c r="X91" s="561"/>
    </row>
    <row r="92" spans="2:24" s="4" customFormat="1" x14ac:dyDescent="0.25">
      <c r="B92" s="562" t="s">
        <v>865</v>
      </c>
      <c r="C92" s="563"/>
      <c r="D92" s="563"/>
      <c r="T92" s="564" t="s">
        <v>861</v>
      </c>
      <c r="U92" s="565"/>
      <c r="V92" s="565"/>
      <c r="W92" s="565"/>
      <c r="X92" s="565"/>
    </row>
    <row r="93" spans="2:24" s="4" customFormat="1" x14ac:dyDescent="0.25"/>
  </sheetData>
  <sheetProtection sheet="1" objects="1" scenarios="1" selectLockedCells="1"/>
  <mergeCells count="232">
    <mergeCell ref="W8:X8"/>
    <mergeCell ref="B9:C9"/>
    <mergeCell ref="E9:F9"/>
    <mergeCell ref="H9:I9"/>
    <mergeCell ref="K9:L9"/>
    <mergeCell ref="N9:O9"/>
    <mergeCell ref="Q9:R9"/>
    <mergeCell ref="E1:U1"/>
    <mergeCell ref="B7:R7"/>
    <mergeCell ref="B8:C8"/>
    <mergeCell ref="E8:F8"/>
    <mergeCell ref="H8:I8"/>
    <mergeCell ref="K8:L8"/>
    <mergeCell ref="N8:O8"/>
    <mergeCell ref="Q8:R8"/>
    <mergeCell ref="T8:U8"/>
    <mergeCell ref="T11:X12"/>
    <mergeCell ref="B12:C12"/>
    <mergeCell ref="E12:F12"/>
    <mergeCell ref="H12:I12"/>
    <mergeCell ref="K12:L12"/>
    <mergeCell ref="N12:O12"/>
    <mergeCell ref="Q12:R12"/>
    <mergeCell ref="B11:C11"/>
    <mergeCell ref="E11:F11"/>
    <mergeCell ref="H11:I11"/>
    <mergeCell ref="K11:L11"/>
    <mergeCell ref="N11:O11"/>
    <mergeCell ref="Q11:R11"/>
    <mergeCell ref="T14:X15"/>
    <mergeCell ref="B16:C16"/>
    <mergeCell ref="E16:F16"/>
    <mergeCell ref="H16:I16"/>
    <mergeCell ref="K16:L16"/>
    <mergeCell ref="N16:O16"/>
    <mergeCell ref="Q16:R16"/>
    <mergeCell ref="T16:X27"/>
    <mergeCell ref="B17:C17"/>
    <mergeCell ref="E17:F17"/>
    <mergeCell ref="B22:C22"/>
    <mergeCell ref="E22:F22"/>
    <mergeCell ref="H22:I22"/>
    <mergeCell ref="K22:L22"/>
    <mergeCell ref="N22:O22"/>
    <mergeCell ref="Q22:R22"/>
    <mergeCell ref="H17:I17"/>
    <mergeCell ref="K17:L17"/>
    <mergeCell ref="N17:O17"/>
    <mergeCell ref="Q17:R17"/>
    <mergeCell ref="B21:C21"/>
    <mergeCell ref="E21:F21"/>
    <mergeCell ref="H21:I21"/>
    <mergeCell ref="K21:L21"/>
    <mergeCell ref="N21:O21"/>
    <mergeCell ref="Q21:R21"/>
    <mergeCell ref="B27:C27"/>
    <mergeCell ref="E27:F27"/>
    <mergeCell ref="H27:I27"/>
    <mergeCell ref="K27:L27"/>
    <mergeCell ref="N27:O27"/>
    <mergeCell ref="Q27:R27"/>
    <mergeCell ref="B26:C26"/>
    <mergeCell ref="E26:F26"/>
    <mergeCell ref="H26:I26"/>
    <mergeCell ref="K26:L26"/>
    <mergeCell ref="N26:O26"/>
    <mergeCell ref="Q26:R26"/>
    <mergeCell ref="T33:X36"/>
    <mergeCell ref="B35:C35"/>
    <mergeCell ref="E35:F35"/>
    <mergeCell ref="H35:I35"/>
    <mergeCell ref="K35:L35"/>
    <mergeCell ref="N35:O35"/>
    <mergeCell ref="Q35:R35"/>
    <mergeCell ref="T31:X32"/>
    <mergeCell ref="B32:C32"/>
    <mergeCell ref="E32:F32"/>
    <mergeCell ref="H32:I32"/>
    <mergeCell ref="K32:L32"/>
    <mergeCell ref="N32:O32"/>
    <mergeCell ref="Q32:R32"/>
    <mergeCell ref="B31:C31"/>
    <mergeCell ref="E31:F31"/>
    <mergeCell ref="H31:I31"/>
    <mergeCell ref="K31:L31"/>
    <mergeCell ref="N31:O31"/>
    <mergeCell ref="Q31:R31"/>
    <mergeCell ref="B38:C38"/>
    <mergeCell ref="E38:F38"/>
    <mergeCell ref="H38:I38"/>
    <mergeCell ref="K38:L38"/>
    <mergeCell ref="N38:O38"/>
    <mergeCell ref="Q38:R38"/>
    <mergeCell ref="B37:C37"/>
    <mergeCell ref="E37:F37"/>
    <mergeCell ref="H37:I37"/>
    <mergeCell ref="K37:L37"/>
    <mergeCell ref="N37:O37"/>
    <mergeCell ref="Q37:R37"/>
    <mergeCell ref="B42:C42"/>
    <mergeCell ref="E42:F42"/>
    <mergeCell ref="H42:I42"/>
    <mergeCell ref="K42:L42"/>
    <mergeCell ref="N42:O42"/>
    <mergeCell ref="Q42:R42"/>
    <mergeCell ref="B39:C39"/>
    <mergeCell ref="E39:F39"/>
    <mergeCell ref="H39:I39"/>
    <mergeCell ref="K39:L39"/>
    <mergeCell ref="N39:O39"/>
    <mergeCell ref="Q39:R39"/>
    <mergeCell ref="W45:X45"/>
    <mergeCell ref="B46:C46"/>
    <mergeCell ref="E46:F46"/>
    <mergeCell ref="H46:I46"/>
    <mergeCell ref="K46:L46"/>
    <mergeCell ref="N46:O46"/>
    <mergeCell ref="Q46:R46"/>
    <mergeCell ref="W46:X46"/>
    <mergeCell ref="T44:U44"/>
    <mergeCell ref="B45:C45"/>
    <mergeCell ref="E45:F45"/>
    <mergeCell ref="H45:I45"/>
    <mergeCell ref="K45:L45"/>
    <mergeCell ref="N45:O45"/>
    <mergeCell ref="Q45:R45"/>
    <mergeCell ref="T45:U45"/>
    <mergeCell ref="B44:C44"/>
    <mergeCell ref="E44:F44"/>
    <mergeCell ref="H44:I44"/>
    <mergeCell ref="K44:L44"/>
    <mergeCell ref="N44:O44"/>
    <mergeCell ref="Q44:R44"/>
    <mergeCell ref="B49:C49"/>
    <mergeCell ref="E49:F49"/>
    <mergeCell ref="H49:I49"/>
    <mergeCell ref="K49:L49"/>
    <mergeCell ref="N49:O49"/>
    <mergeCell ref="Q49:R49"/>
    <mergeCell ref="W47:X47"/>
    <mergeCell ref="B48:C48"/>
    <mergeCell ref="E48:F48"/>
    <mergeCell ref="H48:I48"/>
    <mergeCell ref="K48:L48"/>
    <mergeCell ref="N48:O48"/>
    <mergeCell ref="Q48:R48"/>
    <mergeCell ref="B47:C47"/>
    <mergeCell ref="E47:F47"/>
    <mergeCell ref="H47:I47"/>
    <mergeCell ref="K47:L47"/>
    <mergeCell ref="N47:O47"/>
    <mergeCell ref="Q47:R47"/>
    <mergeCell ref="T51:U51"/>
    <mergeCell ref="W51:X51"/>
    <mergeCell ref="B52:C52"/>
    <mergeCell ref="E52:F52"/>
    <mergeCell ref="H52:I52"/>
    <mergeCell ref="K52:L52"/>
    <mergeCell ref="N52:O52"/>
    <mergeCell ref="Q52:R52"/>
    <mergeCell ref="T52:U52"/>
    <mergeCell ref="W52:X52"/>
    <mergeCell ref="B51:C51"/>
    <mergeCell ref="E51:F51"/>
    <mergeCell ref="H51:I51"/>
    <mergeCell ref="K51:L51"/>
    <mergeCell ref="N51:O51"/>
    <mergeCell ref="Q51:R51"/>
    <mergeCell ref="T53:U53"/>
    <mergeCell ref="W53:X53"/>
    <mergeCell ref="B56:C56"/>
    <mergeCell ref="E56:F56"/>
    <mergeCell ref="H56:I56"/>
    <mergeCell ref="K56:L56"/>
    <mergeCell ref="N56:O56"/>
    <mergeCell ref="Q56:R56"/>
    <mergeCell ref="T56:U56"/>
    <mergeCell ref="W56:X56"/>
    <mergeCell ref="B53:C53"/>
    <mergeCell ref="E53:F53"/>
    <mergeCell ref="H53:I53"/>
    <mergeCell ref="K53:L53"/>
    <mergeCell ref="N53:O53"/>
    <mergeCell ref="Q53:R53"/>
    <mergeCell ref="T59:U59"/>
    <mergeCell ref="W59:X59"/>
    <mergeCell ref="C61:E61"/>
    <mergeCell ref="I61:K61"/>
    <mergeCell ref="O61:Q61"/>
    <mergeCell ref="U61:W61"/>
    <mergeCell ref="B59:C59"/>
    <mergeCell ref="E59:F59"/>
    <mergeCell ref="H59:I59"/>
    <mergeCell ref="K59:L59"/>
    <mergeCell ref="N59:O59"/>
    <mergeCell ref="Q59:R59"/>
    <mergeCell ref="U66:W66"/>
    <mergeCell ref="C69:E69"/>
    <mergeCell ref="I69:K69"/>
    <mergeCell ref="O69:Q69"/>
    <mergeCell ref="U69:W69"/>
    <mergeCell ref="C62:E62"/>
    <mergeCell ref="I62:K62"/>
    <mergeCell ref="O62:Q62"/>
    <mergeCell ref="U62:W62"/>
    <mergeCell ref="C63:E63"/>
    <mergeCell ref="I63:K63"/>
    <mergeCell ref="O63:Q63"/>
    <mergeCell ref="U63:W63"/>
    <mergeCell ref="F71:H71"/>
    <mergeCell ref="R71:T71"/>
    <mergeCell ref="F72:H72"/>
    <mergeCell ref="R72:T72"/>
    <mergeCell ref="F73:H73"/>
    <mergeCell ref="R73:T73"/>
    <mergeCell ref="C66:E66"/>
    <mergeCell ref="I66:K66"/>
    <mergeCell ref="O66:Q66"/>
    <mergeCell ref="R84:W85"/>
    <mergeCell ref="L86:N86"/>
    <mergeCell ref="L89:N89"/>
    <mergeCell ref="U91:X91"/>
    <mergeCell ref="B92:D92"/>
    <mergeCell ref="T92:X92"/>
    <mergeCell ref="F76:H76"/>
    <mergeCell ref="R76:T76"/>
    <mergeCell ref="F79:H79"/>
    <mergeCell ref="R79:T79"/>
    <mergeCell ref="L81:N81"/>
    <mergeCell ref="L82:N82"/>
    <mergeCell ref="R82:W83"/>
    <mergeCell ref="L83:N83"/>
  </mergeCells>
  <conditionalFormatting sqref="B12">
    <cfRule type="expression" dxfId="221" priority="140">
      <formula>INT(B12)=TODAY()</formula>
    </cfRule>
  </conditionalFormatting>
  <conditionalFormatting sqref="L75:L77">
    <cfRule type="expression" dxfId="220" priority="139">
      <formula>AND(L75=TODAY())</formula>
    </cfRule>
  </conditionalFormatting>
  <conditionalFormatting sqref="C14 C34 F34 I34 L34 O34 R34 C41 F41 I41 L41 O41 R41">
    <cfRule type="expression" dxfId="219" priority="138">
      <formula>AND(B12&lt;TODAY(),C14="")</formula>
    </cfRule>
  </conditionalFormatting>
  <conditionalFormatting sqref="B14 B34 E34 H34 K34 N34 Q34 B41 E41 H41 K41 N41 Q41 C65 I65 O65 U65 R75 F75 L85">
    <cfRule type="expression" dxfId="218" priority="137">
      <formula>AND(B12&lt;TODAY(),B14="")</formula>
    </cfRule>
  </conditionalFormatting>
  <conditionalFormatting sqref="V53">
    <cfRule type="expression" dxfId="217" priority="136">
      <formula>AND(V53=TODAY())</formula>
    </cfRule>
  </conditionalFormatting>
  <conditionalFormatting sqref="E65 K65 Q65 W65 T75 H75 N85">
    <cfRule type="expression" dxfId="216" priority="135">
      <formula>AND(C63&lt;TODAY(),E65="")</formula>
    </cfRule>
  </conditionalFormatting>
  <conditionalFormatting sqref="C63">
    <cfRule type="expression" dxfId="215" priority="134">
      <formula>INT(C63)=TODAY()</formula>
    </cfRule>
  </conditionalFormatting>
  <conditionalFormatting sqref="B19">
    <cfRule type="expression" dxfId="214" priority="133">
      <formula>AND(B17&lt;TODAY(),B19="")</formula>
    </cfRule>
  </conditionalFormatting>
  <conditionalFormatting sqref="B24">
    <cfRule type="expression" dxfId="213" priority="132">
      <formula>AND(B22&lt;TODAY(),B24="")</formula>
    </cfRule>
  </conditionalFormatting>
  <conditionalFormatting sqref="B29">
    <cfRule type="expression" dxfId="212" priority="131">
      <formula>AND(B27&lt;TODAY(),B29="")</formula>
    </cfRule>
  </conditionalFormatting>
  <conditionalFormatting sqref="E29">
    <cfRule type="expression" dxfId="211" priority="130">
      <formula>AND(E27&lt;TODAY(),E29="")</formula>
    </cfRule>
  </conditionalFormatting>
  <conditionalFormatting sqref="E24">
    <cfRule type="expression" dxfId="210" priority="129">
      <formula>AND(E22&lt;TODAY(),E24="")</formula>
    </cfRule>
  </conditionalFormatting>
  <conditionalFormatting sqref="E19">
    <cfRule type="expression" dxfId="209" priority="128">
      <formula>AND(E17&lt;TODAY(),E19="")</formula>
    </cfRule>
  </conditionalFormatting>
  <conditionalFormatting sqref="E14">
    <cfRule type="expression" dxfId="208" priority="127">
      <formula>AND(E12&lt;TODAY(),E14="")</formula>
    </cfRule>
  </conditionalFormatting>
  <conditionalFormatting sqref="H14">
    <cfRule type="expression" dxfId="207" priority="126">
      <formula>AND(H12&lt;TODAY(),H14="")</formula>
    </cfRule>
  </conditionalFormatting>
  <conditionalFormatting sqref="H19">
    <cfRule type="expression" dxfId="206" priority="125">
      <formula>AND(H17&lt;TODAY(),H19="")</formula>
    </cfRule>
  </conditionalFormatting>
  <conditionalFormatting sqref="H24">
    <cfRule type="expression" dxfId="205" priority="124">
      <formula>AND(H22&lt;TODAY(),H24="")</formula>
    </cfRule>
  </conditionalFormatting>
  <conditionalFormatting sqref="H29">
    <cfRule type="expression" dxfId="204" priority="123">
      <formula>AND(H27&lt;TODAY(),H29="")</formula>
    </cfRule>
  </conditionalFormatting>
  <conditionalFormatting sqref="K29">
    <cfRule type="expression" dxfId="203" priority="122">
      <formula>AND(K27&lt;TODAY(),K29="")</formula>
    </cfRule>
  </conditionalFormatting>
  <conditionalFormatting sqref="K24">
    <cfRule type="expression" dxfId="202" priority="121">
      <formula>AND(K22&lt;TODAY(),K24="")</formula>
    </cfRule>
  </conditionalFormatting>
  <conditionalFormatting sqref="K19">
    <cfRule type="expression" dxfId="201" priority="120">
      <formula>AND(K17&lt;TODAY(),K19="")</formula>
    </cfRule>
  </conditionalFormatting>
  <conditionalFormatting sqref="K14">
    <cfRule type="expression" dxfId="200" priority="119">
      <formula>AND(K12&lt;TODAY(),K14="")</formula>
    </cfRule>
  </conditionalFormatting>
  <conditionalFormatting sqref="N14">
    <cfRule type="expression" dxfId="199" priority="118">
      <formula>AND(N12&lt;TODAY(),N14="")</formula>
    </cfRule>
  </conditionalFormatting>
  <conditionalFormatting sqref="N19">
    <cfRule type="expression" dxfId="198" priority="117">
      <formula>AND(N17&lt;TODAY(),N19="")</formula>
    </cfRule>
  </conditionalFormatting>
  <conditionalFormatting sqref="N24">
    <cfRule type="expression" dxfId="197" priority="116">
      <formula>AND(N22&lt;TODAY(),N24="")</formula>
    </cfRule>
  </conditionalFormatting>
  <conditionalFormatting sqref="N29">
    <cfRule type="expression" dxfId="196" priority="115">
      <formula>AND(N27&lt;TODAY(),N29="")</formula>
    </cfRule>
  </conditionalFormatting>
  <conditionalFormatting sqref="Q29">
    <cfRule type="expression" dxfId="195" priority="114">
      <formula>AND(Q27&lt;TODAY(),Q29="")</formula>
    </cfRule>
  </conditionalFormatting>
  <conditionalFormatting sqref="Q24">
    <cfRule type="expression" dxfId="194" priority="113">
      <formula>AND(Q22&lt;TODAY(),Q24="")</formula>
    </cfRule>
  </conditionalFormatting>
  <conditionalFormatting sqref="Q19">
    <cfRule type="expression" dxfId="193" priority="112">
      <formula>AND(Q17&lt;TODAY(),Q19="")</formula>
    </cfRule>
  </conditionalFormatting>
  <conditionalFormatting sqref="Q14">
    <cfRule type="expression" dxfId="192" priority="111">
      <formula>AND(Q12&lt;TODAY(),Q14="")</formula>
    </cfRule>
  </conditionalFormatting>
  <conditionalFormatting sqref="B55">
    <cfRule type="expression" dxfId="191" priority="110">
      <formula>AND(B53&lt;TODAY(),B55="")</formula>
    </cfRule>
  </conditionalFormatting>
  <conditionalFormatting sqref="E55">
    <cfRule type="expression" dxfId="190" priority="109">
      <formula>AND(E53&lt;TODAY(),E55="")</formula>
    </cfRule>
  </conditionalFormatting>
  <conditionalFormatting sqref="H55">
    <cfRule type="expression" dxfId="189" priority="108">
      <formula>AND(H53&lt;TODAY(),H55="")</formula>
    </cfRule>
  </conditionalFormatting>
  <conditionalFormatting sqref="K55">
    <cfRule type="expression" dxfId="188" priority="107">
      <formula>AND(K53&lt;TODAY(),K55="")</formula>
    </cfRule>
  </conditionalFormatting>
  <conditionalFormatting sqref="N55">
    <cfRule type="expression" dxfId="187" priority="106">
      <formula>AND(N53&lt;TODAY(),N55="")</formula>
    </cfRule>
  </conditionalFormatting>
  <conditionalFormatting sqref="Q55">
    <cfRule type="expression" dxfId="186" priority="105">
      <formula>AND(Q53&lt;TODAY(),Q55="")</formula>
    </cfRule>
  </conditionalFormatting>
  <conditionalFormatting sqref="T55">
    <cfRule type="expression" dxfId="185" priority="104">
      <formula>AND(T53&lt;TODAY(),T55="")</formula>
    </cfRule>
  </conditionalFormatting>
  <conditionalFormatting sqref="W55">
    <cfRule type="expression" dxfId="184" priority="103">
      <formula>AND(W53&lt;TODAY(),W55="")</formula>
    </cfRule>
  </conditionalFormatting>
  <conditionalFormatting sqref="C19">
    <cfRule type="expression" dxfId="183" priority="102">
      <formula>AND(B17&lt;TODAY(),C19="")</formula>
    </cfRule>
  </conditionalFormatting>
  <conditionalFormatting sqref="C24">
    <cfRule type="expression" dxfId="182" priority="101">
      <formula>AND(B22&lt;TODAY(),C24="")</formula>
    </cfRule>
  </conditionalFormatting>
  <conditionalFormatting sqref="C29">
    <cfRule type="expression" dxfId="181" priority="100">
      <formula>AND(B27&lt;TODAY(),C29="")</formula>
    </cfRule>
  </conditionalFormatting>
  <conditionalFormatting sqref="F29">
    <cfRule type="expression" dxfId="180" priority="99">
      <formula>AND(E27&lt;TODAY(),F29="")</formula>
    </cfRule>
  </conditionalFormatting>
  <conditionalFormatting sqref="F24">
    <cfRule type="expression" dxfId="179" priority="98">
      <formula>AND(E22&lt;TODAY(),F24="")</formula>
    </cfRule>
  </conditionalFormatting>
  <conditionalFormatting sqref="F19">
    <cfRule type="expression" dxfId="178" priority="97">
      <formula>AND(E17&lt;TODAY(),F19="")</formula>
    </cfRule>
  </conditionalFormatting>
  <conditionalFormatting sqref="F14">
    <cfRule type="expression" dxfId="177" priority="96">
      <formula>AND(E12&lt;TODAY(),F14="")</formula>
    </cfRule>
  </conditionalFormatting>
  <conditionalFormatting sqref="I14">
    <cfRule type="expression" dxfId="176" priority="95">
      <formula>AND(H12&lt;TODAY(),I14="")</formula>
    </cfRule>
  </conditionalFormatting>
  <conditionalFormatting sqref="I19">
    <cfRule type="expression" dxfId="175" priority="94">
      <formula>AND(H17&lt;TODAY(),I19="")</formula>
    </cfRule>
  </conditionalFormatting>
  <conditionalFormatting sqref="I24">
    <cfRule type="expression" dxfId="174" priority="93">
      <formula>AND(H22&lt;TODAY(),I24="")</formula>
    </cfRule>
  </conditionalFormatting>
  <conditionalFormatting sqref="I29">
    <cfRule type="expression" dxfId="173" priority="92">
      <formula>AND(H27&lt;TODAY(),I29="")</formula>
    </cfRule>
  </conditionalFormatting>
  <conditionalFormatting sqref="L29">
    <cfRule type="expression" dxfId="172" priority="91">
      <formula>AND(K27&lt;TODAY(),L29="")</formula>
    </cfRule>
  </conditionalFormatting>
  <conditionalFormatting sqref="L24">
    <cfRule type="expression" dxfId="171" priority="90">
      <formula>AND(K22&lt;TODAY(),L24="")</formula>
    </cfRule>
  </conditionalFormatting>
  <conditionalFormatting sqref="L19">
    <cfRule type="expression" dxfId="170" priority="89">
      <formula>AND(K17&lt;TODAY(),L19="")</formula>
    </cfRule>
  </conditionalFormatting>
  <conditionalFormatting sqref="L14">
    <cfRule type="expression" dxfId="169" priority="88">
      <formula>AND(K12&lt;TODAY(),L14="")</formula>
    </cfRule>
  </conditionalFormatting>
  <conditionalFormatting sqref="O14">
    <cfRule type="expression" dxfId="168" priority="87">
      <formula>AND(N12&lt;TODAY(),O14="")</formula>
    </cfRule>
  </conditionalFormatting>
  <conditionalFormatting sqref="O19">
    <cfRule type="expression" dxfId="167" priority="86">
      <formula>AND(N17&lt;TODAY(),O19="")</formula>
    </cfRule>
  </conditionalFormatting>
  <conditionalFormatting sqref="O24">
    <cfRule type="expression" dxfId="166" priority="85">
      <formula>AND(N22&lt;TODAY(),O24="")</formula>
    </cfRule>
  </conditionalFormatting>
  <conditionalFormatting sqref="O29">
    <cfRule type="expression" dxfId="165" priority="84">
      <formula>AND(N27&lt;TODAY(),O29="")</formula>
    </cfRule>
  </conditionalFormatting>
  <conditionalFormatting sqref="R29">
    <cfRule type="expression" dxfId="164" priority="83">
      <formula>AND(Q27&lt;TODAY(),R29="")</formula>
    </cfRule>
  </conditionalFormatting>
  <conditionalFormatting sqref="R24">
    <cfRule type="expression" dxfId="163" priority="82">
      <formula>AND(Q22&lt;TODAY(),R24="")</formula>
    </cfRule>
  </conditionalFormatting>
  <conditionalFormatting sqref="R19">
    <cfRule type="expression" dxfId="162" priority="81">
      <formula>AND(Q17&lt;TODAY(),R19="")</formula>
    </cfRule>
  </conditionalFormatting>
  <conditionalFormatting sqref="R14">
    <cfRule type="expression" dxfId="161" priority="80">
      <formula>AND(Q12&lt;TODAY(),R14="")</formula>
    </cfRule>
  </conditionalFormatting>
  <conditionalFormatting sqref="C55">
    <cfRule type="expression" dxfId="160" priority="79">
      <formula>AND(B53&lt;TODAY(),C55="")</formula>
    </cfRule>
  </conditionalFormatting>
  <conditionalFormatting sqref="F55">
    <cfRule type="expression" dxfId="159" priority="78">
      <formula>AND(E53&lt;TODAY(),F55="")</formula>
    </cfRule>
  </conditionalFormatting>
  <conditionalFormatting sqref="I55">
    <cfRule type="expression" dxfId="158" priority="77">
      <formula>AND(H53&lt;TODAY(),I55="")</formula>
    </cfRule>
  </conditionalFormatting>
  <conditionalFormatting sqref="L55">
    <cfRule type="expression" dxfId="157" priority="76">
      <formula>AND(K53&lt;TODAY(),L55="")</formula>
    </cfRule>
  </conditionalFormatting>
  <conditionalFormatting sqref="O55">
    <cfRule type="expression" dxfId="156" priority="75">
      <formula>AND(N53&lt;TODAY(),O55="")</formula>
    </cfRule>
  </conditionalFormatting>
  <conditionalFormatting sqref="R55">
    <cfRule type="expression" dxfId="155" priority="74">
      <formula>AND(Q53&lt;TODAY(),R55="")</formula>
    </cfRule>
  </conditionalFormatting>
  <conditionalFormatting sqref="U55">
    <cfRule type="expression" dxfId="154" priority="73">
      <formula>AND(T53&lt;TODAY(),U55="")</formula>
    </cfRule>
  </conditionalFormatting>
  <conditionalFormatting sqref="X55">
    <cfRule type="expression" dxfId="153" priority="72">
      <formula>AND(W53&lt;TODAY(),X55="")</formula>
    </cfRule>
  </conditionalFormatting>
  <conditionalFormatting sqref="E12">
    <cfRule type="expression" dxfId="152" priority="71">
      <formula>INT(E12)=TODAY()</formula>
    </cfRule>
  </conditionalFormatting>
  <conditionalFormatting sqref="K12 H12">
    <cfRule type="expression" dxfId="151" priority="70">
      <formula>INT(H12)=TODAY()</formula>
    </cfRule>
  </conditionalFormatting>
  <conditionalFormatting sqref="Q12 N12">
    <cfRule type="expression" dxfId="150" priority="69">
      <formula>INT(N12)=TODAY()</formula>
    </cfRule>
  </conditionalFormatting>
  <conditionalFormatting sqref="B17 E17 H17 K17 N17 Q17">
    <cfRule type="expression" dxfId="149" priority="68">
      <formula>INT(B17)=TODAY()</formula>
    </cfRule>
  </conditionalFormatting>
  <conditionalFormatting sqref="B27 E27 H27 K27 N27 Q27 Q22 N22 K22 H22 E22 B22">
    <cfRule type="expression" dxfId="148" priority="67">
      <formula>INT(B22)=TODAY()</formula>
    </cfRule>
  </conditionalFormatting>
  <conditionalFormatting sqref="Q39 N39 K39 H39 E39 B39 B32 E32 H32 K32 N32 Q32">
    <cfRule type="expression" dxfId="147" priority="66">
      <formula>INT(B32)=TODAY()</formula>
    </cfRule>
  </conditionalFormatting>
  <conditionalFormatting sqref="B53 E53 H53 K53 N53 Q53 T53 W53">
    <cfRule type="expression" dxfId="146" priority="65">
      <formula>INT(B53)=TODAY()</formula>
    </cfRule>
  </conditionalFormatting>
  <conditionalFormatting sqref="I63">
    <cfRule type="expression" dxfId="145" priority="64">
      <formula>INT(I63)=TODAY()</formula>
    </cfRule>
  </conditionalFormatting>
  <conditionalFormatting sqref="O63">
    <cfRule type="expression" dxfId="144" priority="63">
      <formula>INT(O63)=TODAY()</formula>
    </cfRule>
  </conditionalFormatting>
  <conditionalFormatting sqref="U63">
    <cfRule type="expression" dxfId="143" priority="62">
      <formula>INT(U63)=TODAY()</formula>
    </cfRule>
  </conditionalFormatting>
  <conditionalFormatting sqref="R73">
    <cfRule type="expression" dxfId="142" priority="61">
      <formula>INT(R73)=TODAY()</formula>
    </cfRule>
  </conditionalFormatting>
  <conditionalFormatting sqref="F73">
    <cfRule type="expression" dxfId="141" priority="60">
      <formula>INT(F73)=TODAY()</formula>
    </cfRule>
  </conditionalFormatting>
  <conditionalFormatting sqref="L83">
    <cfRule type="expression" dxfId="140" priority="59">
      <formula>INT(L83)=TODAY()</formula>
    </cfRule>
  </conditionalFormatting>
  <conditionalFormatting sqref="T16">
    <cfRule type="expression" dxfId="139" priority="58">
      <formula>AND(T16=TODAY())</formula>
    </cfRule>
  </conditionalFormatting>
  <conditionalFormatting sqref="C57">
    <cfRule type="expression" dxfId="138" priority="57">
      <formula>AND(B55=C55,B55&lt;&gt;"")</formula>
    </cfRule>
  </conditionalFormatting>
  <conditionalFormatting sqref="B57">
    <cfRule type="expression" dxfId="137" priority="56">
      <formula>AND(B55=C55,B55&lt;&gt;"")</formula>
    </cfRule>
  </conditionalFormatting>
  <conditionalFormatting sqref="C66:E66">
    <cfRule type="expression" dxfId="136" priority="55">
      <formula>AND(C65=E65,C65&lt;&gt;"",E65&lt;&gt;"")</formula>
    </cfRule>
  </conditionalFormatting>
  <conditionalFormatting sqref="C67">
    <cfRule type="expression" dxfId="135" priority="54">
      <formula>AND(C65=E65,C65&lt;&gt;"")</formula>
    </cfRule>
  </conditionalFormatting>
  <conditionalFormatting sqref="E67">
    <cfRule type="expression" dxfId="134" priority="53">
      <formula>AND(C65=E65,C65&lt;&gt;"")</formula>
    </cfRule>
  </conditionalFormatting>
  <conditionalFormatting sqref="Q56:R56">
    <cfRule type="expression" dxfId="133" priority="52">
      <formula>AND(Q55=R55,Q55&lt;&gt;"",R55&lt;&gt;"")</formula>
    </cfRule>
  </conditionalFormatting>
  <conditionalFormatting sqref="F57">
    <cfRule type="expression" dxfId="132" priority="51">
      <formula>AND(E55=F55,E55&lt;&gt;"")</formula>
    </cfRule>
  </conditionalFormatting>
  <conditionalFormatting sqref="E57">
    <cfRule type="expression" dxfId="131" priority="50">
      <formula>AND(E55=F55,E55&lt;&gt;"")</formula>
    </cfRule>
  </conditionalFormatting>
  <conditionalFormatting sqref="I57">
    <cfRule type="expression" dxfId="130" priority="49">
      <formula>AND(H55=I55,H55&lt;&gt;"")</formula>
    </cfRule>
  </conditionalFormatting>
  <conditionalFormatting sqref="H57">
    <cfRule type="expression" dxfId="129" priority="48">
      <formula>AND(H55=I55,H55&lt;&gt;"")</formula>
    </cfRule>
  </conditionalFormatting>
  <conditionalFormatting sqref="L57">
    <cfRule type="expression" dxfId="128" priority="47">
      <formula>AND(K55=L55,K55&lt;&gt;"")</formula>
    </cfRule>
  </conditionalFormatting>
  <conditionalFormatting sqref="K57">
    <cfRule type="expression" dxfId="127" priority="46">
      <formula>AND(K55=L55,K55&lt;&gt;"")</formula>
    </cfRule>
  </conditionalFormatting>
  <conditionalFormatting sqref="O57">
    <cfRule type="expression" dxfId="126" priority="45">
      <formula>AND(N55=O55,N55&lt;&gt;"")</formula>
    </cfRule>
  </conditionalFormatting>
  <conditionalFormatting sqref="N57">
    <cfRule type="expression" dxfId="125" priority="44">
      <formula>AND(N55=O55,N55&lt;&gt;"")</formula>
    </cfRule>
  </conditionalFormatting>
  <conditionalFormatting sqref="R57">
    <cfRule type="expression" dxfId="124" priority="43">
      <formula>AND(Q55=R55,Q55&lt;&gt;"")</formula>
    </cfRule>
  </conditionalFormatting>
  <conditionalFormatting sqref="Q57">
    <cfRule type="expression" dxfId="123" priority="42">
      <formula>AND(Q55=R55,Q55&lt;&gt;"")</formula>
    </cfRule>
  </conditionalFormatting>
  <conditionalFormatting sqref="U57">
    <cfRule type="expression" dxfId="122" priority="41">
      <formula>AND(T55=U55,T55&lt;&gt;"")</formula>
    </cfRule>
  </conditionalFormatting>
  <conditionalFormatting sqref="T57">
    <cfRule type="expression" dxfId="121" priority="40">
      <formula>AND(T55=U55,T55&lt;&gt;"")</formula>
    </cfRule>
  </conditionalFormatting>
  <conditionalFormatting sqref="X57">
    <cfRule type="expression" dxfId="120" priority="39">
      <formula>AND(W55=X55,W55&lt;&gt;"")</formula>
    </cfRule>
  </conditionalFormatting>
  <conditionalFormatting sqref="W57">
    <cfRule type="expression" dxfId="119" priority="38">
      <formula>AND(W55=X55,W55&lt;&gt;"")</formula>
    </cfRule>
  </conditionalFormatting>
  <conditionalFormatting sqref="I67">
    <cfRule type="expression" dxfId="118" priority="37">
      <formula>AND(I65=K65,I65&lt;&gt;"")</formula>
    </cfRule>
  </conditionalFormatting>
  <conditionalFormatting sqref="K67">
    <cfRule type="expression" dxfId="117" priority="36">
      <formula>AND(I65=K65,I65&lt;&gt;"")</formula>
    </cfRule>
  </conditionalFormatting>
  <conditionalFormatting sqref="O67">
    <cfRule type="expression" dxfId="116" priority="35">
      <formula>AND(O65=Q65,O65&lt;&gt;"")</formula>
    </cfRule>
  </conditionalFormatting>
  <conditionalFormatting sqref="Q67">
    <cfRule type="expression" dxfId="115" priority="34">
      <formula>AND(O65=Q65,O65&lt;&gt;"")</formula>
    </cfRule>
  </conditionalFormatting>
  <conditionalFormatting sqref="U67">
    <cfRule type="expression" dxfId="114" priority="33">
      <formula>AND(U65=W65,U65&lt;&gt;"")</formula>
    </cfRule>
  </conditionalFormatting>
  <conditionalFormatting sqref="W67">
    <cfRule type="expression" dxfId="113" priority="32">
      <formula>AND(U65=W65,U65&lt;&gt;"")</formula>
    </cfRule>
  </conditionalFormatting>
  <conditionalFormatting sqref="F77">
    <cfRule type="expression" dxfId="112" priority="31">
      <formula>AND(F75=H75,F75&lt;&gt;"")</formula>
    </cfRule>
  </conditionalFormatting>
  <conditionalFormatting sqref="H77">
    <cfRule type="expression" dxfId="111" priority="30">
      <formula>AND(F75=H75,F75&lt;&gt;"")</formula>
    </cfRule>
  </conditionalFormatting>
  <conditionalFormatting sqref="R77">
    <cfRule type="expression" dxfId="110" priority="29">
      <formula>AND(R75=T75,R75&lt;&gt;"")</formula>
    </cfRule>
  </conditionalFormatting>
  <conditionalFormatting sqref="T77">
    <cfRule type="expression" dxfId="109" priority="28">
      <formula>AND(R75=T75,R75&lt;&gt;"")</formula>
    </cfRule>
  </conditionalFormatting>
  <conditionalFormatting sqref="L87">
    <cfRule type="expression" dxfId="108" priority="27">
      <formula>AND(L85=N85,L85&lt;&gt;"")</formula>
    </cfRule>
  </conditionalFormatting>
  <conditionalFormatting sqref="N87">
    <cfRule type="expression" dxfId="107" priority="26">
      <formula>AND(L85=N85,L85&lt;&gt;"")</formula>
    </cfRule>
  </conditionalFormatting>
  <conditionalFormatting sqref="Q5:R5">
    <cfRule type="expression" dxfId="106" priority="25">
      <formula>OR($V$46="F",$V$47="F",$V$48="F",$V$49="F")</formula>
    </cfRule>
  </conditionalFormatting>
  <conditionalFormatting sqref="N5:O5">
    <cfRule type="expression" dxfId="105" priority="24">
      <formula>OR($V$46="E",$V$47="E",$V$48="E",$V$49="E")</formula>
    </cfRule>
  </conditionalFormatting>
  <conditionalFormatting sqref="K5:L5">
    <cfRule type="expression" dxfId="104" priority="23">
      <formula>OR($V$46="D",$V$47="d",$V$48="d",$V$49="d")</formula>
    </cfRule>
  </conditionalFormatting>
  <conditionalFormatting sqref="H5:I5">
    <cfRule type="expression" dxfId="103" priority="22">
      <formula>OR($V$46="c",$V$47="c",$V$48="c",$V$49="c")</formula>
    </cfRule>
  </conditionalFormatting>
  <conditionalFormatting sqref="E5:F5">
    <cfRule type="expression" dxfId="102" priority="21">
      <formula>OR($V$46="b",$V$47="b",$V$48="b",$V$49="b")</formula>
    </cfRule>
  </conditionalFormatting>
  <conditionalFormatting sqref="B5:C5">
    <cfRule type="expression" dxfId="101" priority="20">
      <formula>OR($V$46="a",$V$47="a",$V$48="a",$V$49="a")</formula>
    </cfRule>
  </conditionalFormatting>
  <conditionalFormatting sqref="B48:C48">
    <cfRule type="expression" dxfId="100" priority="19">
      <formula>OR($V$46="a",$V$47="a",$V$48="a",$V$49="a")</formula>
    </cfRule>
  </conditionalFormatting>
  <conditionalFormatting sqref="E48:F48">
    <cfRule type="expression" dxfId="99" priority="18">
      <formula>OR($V$46="b",$V$47="b",$V$48="b",$V$49="b")</formula>
    </cfRule>
  </conditionalFormatting>
  <conditionalFormatting sqref="H48:I48">
    <cfRule type="expression" dxfId="98" priority="17">
      <formula>OR($V$46="c",$V$47="c",$V$48="c",$V$49="c")</formula>
    </cfRule>
  </conditionalFormatting>
  <conditionalFormatting sqref="K48:L48">
    <cfRule type="expression" dxfId="97" priority="16">
      <formula>OR($V$46="d",$V$47="d",$V$48="d",$V$49="d")</formula>
    </cfRule>
  </conditionalFormatting>
  <conditionalFormatting sqref="N48:O48">
    <cfRule type="expression" dxfId="96" priority="15">
      <formula>OR($V$46="e",$V$47="e",$V$48="e",$V$49="e")</formula>
    </cfRule>
  </conditionalFormatting>
  <conditionalFormatting sqref="Q48:R48">
    <cfRule type="expression" dxfId="95" priority="14">
      <formula>OR($V$46="F",$V$47="F",$V$48="F",$V$49="F")</formula>
    </cfRule>
  </conditionalFormatting>
  <conditionalFormatting sqref="T56:U56">
    <cfRule type="expression" dxfId="94" priority="13">
      <formula>AND(T55=U55,T55&lt;&gt;"",U55&lt;&gt;"")</formula>
    </cfRule>
  </conditionalFormatting>
  <conditionalFormatting sqref="W56:X56">
    <cfRule type="expression" dxfId="93" priority="12">
      <formula>AND(W55=X55,W55&lt;&gt;"",X55&lt;&gt;"")</formula>
    </cfRule>
  </conditionalFormatting>
  <conditionalFormatting sqref="N56:O56">
    <cfRule type="expression" dxfId="92" priority="11">
      <formula>AND(N55=O55,N55&lt;&gt;"",O55&lt;&gt;"")</formula>
    </cfRule>
  </conditionalFormatting>
  <conditionalFormatting sqref="K56:L56">
    <cfRule type="expression" dxfId="91" priority="10">
      <formula>AND(K55=L55,K55&lt;&gt;"",L55&lt;&gt;"")</formula>
    </cfRule>
  </conditionalFormatting>
  <conditionalFormatting sqref="H56:I56">
    <cfRule type="expression" dxfId="90" priority="9">
      <formula>AND(H55=I55,H55&lt;&gt;"",I55&lt;&gt;"")</formula>
    </cfRule>
  </conditionalFormatting>
  <conditionalFormatting sqref="E56:F56">
    <cfRule type="expression" dxfId="89" priority="8">
      <formula>AND(E55=F55,E55&lt;&gt;"",F55&lt;&gt;"")</formula>
    </cfRule>
  </conditionalFormatting>
  <conditionalFormatting sqref="B56:C56">
    <cfRule type="expression" dxfId="88" priority="7">
      <formula>AND(B55=C55,B55&lt;&gt;"",C55&lt;&gt;"")</formula>
    </cfRule>
  </conditionalFormatting>
  <conditionalFormatting sqref="I66:K66">
    <cfRule type="expression" dxfId="87" priority="6">
      <formula>AND(I65=K65,I65&lt;&gt;"",K65&lt;&gt;"")</formula>
    </cfRule>
  </conditionalFormatting>
  <conditionalFormatting sqref="O66:Q66">
    <cfRule type="expression" dxfId="86" priority="5">
      <formula>AND(O65=Q65,O65&lt;&gt;"",Q65&lt;&gt;"")</formula>
    </cfRule>
  </conditionalFormatting>
  <conditionalFormatting sqref="U66:W66">
    <cfRule type="expression" dxfId="85" priority="4">
      <formula>AND(U65=W65,U65&lt;&gt;"",W65&lt;&gt;"")</formula>
    </cfRule>
  </conditionalFormatting>
  <conditionalFormatting sqref="R76:T76">
    <cfRule type="expression" dxfId="84" priority="3">
      <formula>AND(R75=T75,R75&lt;&gt;"",T75&lt;&gt;"")</formula>
    </cfRule>
  </conditionalFormatting>
  <conditionalFormatting sqref="F76:H76">
    <cfRule type="expression" dxfId="83" priority="2">
      <formula>AND(F75=H75,F75&lt;&gt;"",H75&lt;&gt;"")</formula>
    </cfRule>
  </conditionalFormatting>
  <conditionalFormatting sqref="L86:N86">
    <cfRule type="expression" dxfId="82" priority="1">
      <formula>AND(L85=N85,L85&lt;&gt;"",N85&lt;&gt;"")</formula>
    </cfRule>
  </conditionalFormatting>
  <dataValidations count="2">
    <dataValidation type="textLength" operator="lessThanOrEqual" allowBlank="1" showInputMessage="1" showErrorMessage="1" sqref="Y48:Y49 V46:V49" xr:uid="{CF2ABD1A-7AE6-4C16-A367-3816F0A8D7F8}">
      <formula1>1</formula1>
    </dataValidation>
    <dataValidation type="whole" allowBlank="1" showInputMessage="1" showErrorMessage="1" sqref="B14:C15 E14:F15 H14:I15 K14:L15 N14:O15 Q14:R15 Q19:R20 N19:O20 K19:L20 H19:I20 E19:F20 B19:C20 B24:C25 E24:F25 H24:I25 K24:L25 N24:O25 Q24:R25 Q29:R30 N29:O30 K29:L30 H29:I30 E29:F30 B29:C30 K43:L43 N43:O43 Q43:R43 T43:U43 N34:O34 N41:O41 K41:L41 Q34:R34 B34:C34 L87 W43:X43 B43:C43 N36:O36 H41:I41 E34:F34 K36:L36 H36:I36 E36:F36 B36:C36 H43:I43 E43:F43 N85 K57:L57 E57:F57 N57:O57 H57:I57 Q41:R41 B57:C57 Q57:R57 T57:U57 U67 Q67 O67 K67 I67 C67 W57:X57 E67 H75 W67 T75 H77 R77 E41:F41 B41:C41 H34:I34 K34:L34 B55:C55 E55:F55 H55:I55 K55:L55 N55:O55 Q55:R55 T55:U55 W55:X55 E65 C65 I65 K65 O65 Q65 U65 W65 F75 F77 R75 T77 L85 N87 Q36:R36" xr:uid="{D9718A9E-3A8D-448C-9BE8-0BFC5064DB80}">
      <formula1>0</formula1>
      <formula2>99</formula2>
    </dataValidation>
  </dataValidations>
  <hyperlinks>
    <hyperlink ref="T92" r:id="rId1" xr:uid="{4B688063-7800-4458-887E-6C9875C14E6B}"/>
  </hyperlinks>
  <pageMargins left="0.7" right="0.7" top="0.78740157499999996" bottom="0.78740157499999996" header="0.3" footer="0.3"/>
  <drawing r:id="rId2"/>
  <extLst>
    <ext xmlns:x14="http://schemas.microsoft.com/office/spreadsheetml/2009/9/main" uri="{78C0D931-6437-407d-A8EE-F0AAD7539E65}">
      <x14:conditionalFormattings>
        <x14:conditionalFormatting xmlns:xm="http://schemas.microsoft.com/office/excel/2006/main">
          <x14:cfRule type="expression" priority="141" id="{BA0E9F11-8877-49B2-BCE7-DF3934F954C6}">
            <xm:f>Distinctness!$D$4&gt;0</xm:f>
            <x14:dxf>
              <font>
                <b val="0"/>
                <i val="0"/>
                <color rgb="FFC02000"/>
              </font>
            </x14:dxf>
          </x14:cfRule>
          <xm:sqref>B7</xm:sqref>
        </x14:conditionalFormatting>
        <x14:conditionalFormatting xmlns:xm="http://schemas.microsoft.com/office/excel/2006/main">
          <x14:cfRule type="expression" priority="142" id="{78C6A9F8-03AB-4811-9016-42B5C435E695}">
            <xm:f>GrpA!$Y$11&gt;0</xm:f>
            <x14:dxf>
              <font>
                <color rgb="FFC02000"/>
              </font>
            </x14:dxf>
          </x14:cfRule>
          <xm:sqref>B35:C35</xm:sqref>
        </x14:conditionalFormatting>
        <x14:conditionalFormatting xmlns:xm="http://schemas.microsoft.com/office/excel/2006/main">
          <x14:cfRule type="expression" priority="143" id="{699DDD8E-45EC-48D5-A165-CE371DDBF2DB}">
            <xm:f>GrpA!$Y$12&gt;0</xm:f>
            <x14:dxf>
              <font>
                <color rgb="FFC02000"/>
              </font>
            </x14:dxf>
          </x14:cfRule>
          <xm:sqref>B42:C42</xm:sqref>
        </x14:conditionalFormatting>
        <x14:conditionalFormatting xmlns:xm="http://schemas.microsoft.com/office/excel/2006/main">
          <x14:cfRule type="expression" priority="144" id="{0E859C46-5F53-4049-BD2D-8B09F094573B}">
            <xm:f>GrpA!$Y$11&gt;0</xm:f>
            <x14:dxf>
              <font>
                <color theme="1"/>
              </font>
            </x14:dxf>
          </x14:cfRule>
          <xm:sqref>B36:C36</xm:sqref>
        </x14:conditionalFormatting>
        <x14:conditionalFormatting xmlns:xm="http://schemas.microsoft.com/office/excel/2006/main">
          <x14:cfRule type="expression" priority="145" id="{928B3DEC-0CE0-45A8-9FA0-91093AA2D4EE}">
            <xm:f>GrpA!$Y$12&gt;0</xm:f>
            <x14:dxf>
              <font>
                <color theme="1"/>
              </font>
            </x14:dxf>
          </x14:cfRule>
          <xm:sqref>B43:C43</xm:sqref>
        </x14:conditionalFormatting>
        <x14:conditionalFormatting xmlns:xm="http://schemas.microsoft.com/office/excel/2006/main">
          <x14:cfRule type="expression" priority="146" id="{9BA1E916-3D3C-48FE-9207-4C632102A095}">
            <xm:f>GrpB!$Y$11&gt;0</xm:f>
            <x14:dxf>
              <font>
                <color rgb="FFC02000"/>
              </font>
            </x14:dxf>
          </x14:cfRule>
          <xm:sqref>E35:F35</xm:sqref>
        </x14:conditionalFormatting>
        <x14:conditionalFormatting xmlns:xm="http://schemas.microsoft.com/office/excel/2006/main">
          <x14:cfRule type="expression" priority="147" id="{DB93E9D0-F931-425B-9A78-C743DDD9239F}">
            <xm:f>GrpB!$Y$12&gt;0</xm:f>
            <x14:dxf>
              <font>
                <color rgb="FFC02000"/>
              </font>
            </x14:dxf>
          </x14:cfRule>
          <xm:sqref>E42:F42</xm:sqref>
        </x14:conditionalFormatting>
        <x14:conditionalFormatting xmlns:xm="http://schemas.microsoft.com/office/excel/2006/main">
          <x14:cfRule type="expression" priority="148" id="{D072E1E1-27DE-4CCF-8429-2F3BE3CEB5E2}">
            <xm:f>GrpB!$Y$11&gt;0</xm:f>
            <x14:dxf>
              <font>
                <color theme="1"/>
              </font>
            </x14:dxf>
          </x14:cfRule>
          <xm:sqref>E36:F36</xm:sqref>
        </x14:conditionalFormatting>
        <x14:conditionalFormatting xmlns:xm="http://schemas.microsoft.com/office/excel/2006/main">
          <x14:cfRule type="expression" priority="149" id="{1BA04125-890B-4D12-86F1-F8ECDDD85911}">
            <xm:f>GrpB!$Y$12&gt;0</xm:f>
            <x14:dxf>
              <font>
                <color theme="1"/>
              </font>
            </x14:dxf>
          </x14:cfRule>
          <xm:sqref>E43:F43</xm:sqref>
        </x14:conditionalFormatting>
        <x14:conditionalFormatting xmlns:xm="http://schemas.microsoft.com/office/excel/2006/main">
          <x14:cfRule type="expression" priority="150" id="{2AED8ADC-EFD0-42EB-9AD0-764C52A08279}">
            <xm:f>GrpC!$Y$11&gt;0</xm:f>
            <x14:dxf>
              <font>
                <color rgb="FFC02000"/>
              </font>
            </x14:dxf>
          </x14:cfRule>
          <xm:sqref>H35:I35</xm:sqref>
        </x14:conditionalFormatting>
        <x14:conditionalFormatting xmlns:xm="http://schemas.microsoft.com/office/excel/2006/main">
          <x14:cfRule type="expression" priority="151" id="{38478CB6-AA85-45F5-95C9-854D8F050572}">
            <xm:f>GrpC!$Y$12&gt;0</xm:f>
            <x14:dxf>
              <font>
                <color rgb="FFC02000"/>
              </font>
            </x14:dxf>
          </x14:cfRule>
          <xm:sqref>H42:I42</xm:sqref>
        </x14:conditionalFormatting>
        <x14:conditionalFormatting xmlns:xm="http://schemas.microsoft.com/office/excel/2006/main">
          <x14:cfRule type="expression" priority="152" id="{C380462C-1EB9-4565-A375-F2806A1B73C2}">
            <xm:f>GrpC!$Y$11&gt;0</xm:f>
            <x14:dxf>
              <font>
                <color theme="1"/>
              </font>
            </x14:dxf>
          </x14:cfRule>
          <xm:sqref>H36:I36</xm:sqref>
        </x14:conditionalFormatting>
        <x14:conditionalFormatting xmlns:xm="http://schemas.microsoft.com/office/excel/2006/main">
          <x14:cfRule type="expression" priority="153" id="{FBDF0BC7-7AAD-40E2-82A0-1992E85EDBC7}">
            <xm:f>GrpC!$Y$12&gt;0</xm:f>
            <x14:dxf>
              <font>
                <color theme="1"/>
              </font>
            </x14:dxf>
          </x14:cfRule>
          <xm:sqref>H43:I43</xm:sqref>
        </x14:conditionalFormatting>
        <x14:conditionalFormatting xmlns:xm="http://schemas.microsoft.com/office/excel/2006/main">
          <x14:cfRule type="expression" priority="154" id="{893CCA74-60F9-4185-956C-AAD22C815F04}">
            <xm:f>GrpD!$Y$11&gt;0</xm:f>
            <x14:dxf>
              <font>
                <color rgb="FFC02000"/>
              </font>
            </x14:dxf>
          </x14:cfRule>
          <xm:sqref>K35:L35</xm:sqref>
        </x14:conditionalFormatting>
        <x14:conditionalFormatting xmlns:xm="http://schemas.microsoft.com/office/excel/2006/main">
          <x14:cfRule type="expression" priority="155" id="{C327A0E7-6C3A-4DED-9830-656744FD05C6}">
            <xm:f>GrpD!$Y$12&gt;0</xm:f>
            <x14:dxf>
              <font>
                <color rgb="FFC02000"/>
              </font>
            </x14:dxf>
          </x14:cfRule>
          <xm:sqref>K42:L42</xm:sqref>
        </x14:conditionalFormatting>
        <x14:conditionalFormatting xmlns:xm="http://schemas.microsoft.com/office/excel/2006/main">
          <x14:cfRule type="expression" priority="156" id="{FFDF0E3E-1213-4671-A46D-0390001E0294}">
            <xm:f>GrpD!$Y$11&gt;0</xm:f>
            <x14:dxf>
              <font>
                <color theme="1"/>
              </font>
            </x14:dxf>
          </x14:cfRule>
          <xm:sqref>K36:L36</xm:sqref>
        </x14:conditionalFormatting>
        <x14:conditionalFormatting xmlns:xm="http://schemas.microsoft.com/office/excel/2006/main">
          <x14:cfRule type="expression" priority="157" id="{9D4EB2DF-D860-4650-A8CA-C01DB59E2028}">
            <xm:f>GrpD!$Y$12&gt;0</xm:f>
            <x14:dxf>
              <font>
                <color theme="1"/>
              </font>
            </x14:dxf>
          </x14:cfRule>
          <xm:sqref>K43:L43</xm:sqref>
        </x14:conditionalFormatting>
        <x14:conditionalFormatting xmlns:xm="http://schemas.microsoft.com/office/excel/2006/main">
          <x14:cfRule type="expression" priority="158" id="{1D25F991-A5DF-429D-9DEC-B8B25556105D}">
            <xm:f>GrpE!$Y$11&gt;0</xm:f>
            <x14:dxf>
              <font>
                <color rgb="FFC02000"/>
              </font>
            </x14:dxf>
          </x14:cfRule>
          <xm:sqref>N35:O35</xm:sqref>
        </x14:conditionalFormatting>
        <x14:conditionalFormatting xmlns:xm="http://schemas.microsoft.com/office/excel/2006/main">
          <x14:cfRule type="expression" priority="159" id="{88B75318-178D-4984-89BC-16CD760EFBD9}">
            <xm:f>GrpE!$Y$12&gt;0</xm:f>
            <x14:dxf>
              <font>
                <color rgb="FFC02000"/>
              </font>
            </x14:dxf>
          </x14:cfRule>
          <xm:sqref>N42:O42</xm:sqref>
        </x14:conditionalFormatting>
        <x14:conditionalFormatting xmlns:xm="http://schemas.microsoft.com/office/excel/2006/main">
          <x14:cfRule type="expression" priority="160" id="{1C786981-0AB7-4811-A61F-8BB5710CCC78}">
            <xm:f>GrpE!$Y$11&gt;0</xm:f>
            <x14:dxf>
              <font>
                <color theme="1"/>
              </font>
            </x14:dxf>
          </x14:cfRule>
          <xm:sqref>N36:O36</xm:sqref>
        </x14:conditionalFormatting>
        <x14:conditionalFormatting xmlns:xm="http://schemas.microsoft.com/office/excel/2006/main">
          <x14:cfRule type="expression" priority="161" id="{76C06ED2-AD28-4F68-9743-A86120519851}">
            <xm:f>GrpE!$Y$12&gt;0</xm:f>
            <x14:dxf>
              <font>
                <color theme="1"/>
              </font>
            </x14:dxf>
          </x14:cfRule>
          <xm:sqref>N43:O43</xm:sqref>
        </x14:conditionalFormatting>
        <x14:conditionalFormatting xmlns:xm="http://schemas.microsoft.com/office/excel/2006/main">
          <x14:cfRule type="expression" priority="162" id="{F7B2EEF4-C5C3-4E01-B0A5-775F231BF5BE}">
            <xm:f>GrpF!$Y$11&gt;0</xm:f>
            <x14:dxf>
              <font>
                <color rgb="FFC02000"/>
              </font>
            </x14:dxf>
          </x14:cfRule>
          <xm:sqref>Q35:R35</xm:sqref>
        </x14:conditionalFormatting>
        <x14:conditionalFormatting xmlns:xm="http://schemas.microsoft.com/office/excel/2006/main">
          <x14:cfRule type="expression" priority="163" id="{D9B6AE18-D970-4B68-B019-B69802548C8F}">
            <xm:f>GrpF!$Y$12&gt;0</xm:f>
            <x14:dxf>
              <font>
                <color rgb="FFC02000"/>
              </font>
            </x14:dxf>
          </x14:cfRule>
          <xm:sqref>Q42:R42</xm:sqref>
        </x14:conditionalFormatting>
        <x14:conditionalFormatting xmlns:xm="http://schemas.microsoft.com/office/excel/2006/main">
          <x14:cfRule type="expression" priority="164" id="{E49852E7-30FC-455B-B112-E88D47599824}">
            <xm:f>GrpF!$Y$11&gt;0</xm:f>
            <x14:dxf>
              <font>
                <color theme="1"/>
              </font>
            </x14:dxf>
          </x14:cfRule>
          <xm:sqref>Q36:R36</xm:sqref>
        </x14:conditionalFormatting>
        <x14:conditionalFormatting xmlns:xm="http://schemas.microsoft.com/office/excel/2006/main">
          <x14:cfRule type="expression" priority="165" id="{2DA63603-9235-4189-A1D4-58AAD9173927}">
            <xm:f>GrpF!$Y$12&gt;0</xm:f>
            <x14:dxf>
              <font>
                <color theme="1"/>
              </font>
            </x14:dxf>
          </x14:cfRule>
          <xm:sqref>Q43:R43</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353BC-378C-43A6-B0AD-EB78E3ACE9D0}">
  <sheetPr codeName="Tabelle15"/>
  <dimension ref="A1:AA59"/>
  <sheetViews>
    <sheetView showGridLines="0" showRowColHeaders="0" workbookViewId="0">
      <selection activeCell="G4" sqref="G4"/>
    </sheetView>
  </sheetViews>
  <sheetFormatPr baseColWidth="10" defaultRowHeight="15" x14ac:dyDescent="0.25"/>
  <cols>
    <col min="2" max="2" width="9.28515625" customWidth="1"/>
    <col min="3" max="3" width="7.5703125" style="177" customWidth="1"/>
    <col min="4" max="4" width="9.28515625" style="177" customWidth="1"/>
    <col min="5" max="5" width="27.28515625" customWidth="1"/>
    <col min="6" max="6" width="26.7109375" customWidth="1"/>
    <col min="7" max="7" width="8.28515625" customWidth="1"/>
    <col min="8" max="8" width="21.5703125" customWidth="1"/>
    <col min="9" max="9" width="18" customWidth="1"/>
    <col min="10" max="10" width="19" customWidth="1"/>
    <col min="11" max="11" width="18.140625" customWidth="1"/>
    <col min="12" max="12" width="10.28515625" customWidth="1"/>
    <col min="13" max="13" width="11" style="177" customWidth="1"/>
    <col min="14" max="14" width="23" style="177" customWidth="1"/>
    <col min="15" max="26" width="4.7109375" style="177" customWidth="1"/>
    <col min="27" max="27" width="5.140625" customWidth="1"/>
  </cols>
  <sheetData>
    <row r="1" spans="1:26" ht="28.5" x14ac:dyDescent="0.45">
      <c r="A1" s="162"/>
      <c r="B1" s="636" t="str">
        <f>Language!$E$88</f>
        <v>Spiele</v>
      </c>
      <c r="C1" s="636"/>
      <c r="D1" s="636"/>
      <c r="E1" s="636"/>
      <c r="F1" s="636"/>
      <c r="G1" s="636"/>
      <c r="H1" s="636"/>
      <c r="I1" s="636"/>
      <c r="J1" s="636"/>
    </row>
    <row r="2" spans="1:26" ht="18.75" customHeight="1" thickBot="1" x14ac:dyDescent="0.5">
      <c r="A2" s="161"/>
      <c r="B2" s="93"/>
      <c r="C2" s="93"/>
      <c r="D2" s="93"/>
      <c r="E2" s="93"/>
      <c r="F2" s="93"/>
      <c r="G2" s="93"/>
      <c r="H2" s="93"/>
      <c r="I2" s="93"/>
      <c r="J2" s="93"/>
      <c r="M2" s="260"/>
      <c r="N2" s="260"/>
      <c r="O2" s="260"/>
      <c r="P2" s="260"/>
      <c r="Q2" s="260"/>
      <c r="R2" s="260"/>
      <c r="S2" s="260"/>
      <c r="T2" s="260"/>
      <c r="U2" s="260"/>
      <c r="V2" s="260"/>
      <c r="W2" s="260"/>
      <c r="X2" s="260"/>
      <c r="Y2" s="260"/>
      <c r="Z2" s="260"/>
    </row>
    <row r="3" spans="1:26" ht="30" customHeight="1" thickTop="1" thickBot="1" x14ac:dyDescent="0.3">
      <c r="A3" s="161"/>
      <c r="B3" s="160" t="s">
        <v>393</v>
      </c>
      <c r="C3" s="667" t="s">
        <v>341</v>
      </c>
      <c r="D3" s="667"/>
      <c r="E3" s="147" t="s">
        <v>398</v>
      </c>
      <c r="F3" s="147" t="s">
        <v>309</v>
      </c>
      <c r="G3" s="236" t="s">
        <v>391</v>
      </c>
      <c r="H3" s="147" t="s">
        <v>392</v>
      </c>
      <c r="I3" s="147" t="s">
        <v>306</v>
      </c>
      <c r="J3" s="147" t="s">
        <v>307</v>
      </c>
      <c r="K3" s="148" t="s">
        <v>404</v>
      </c>
    </row>
    <row r="4" spans="1:26" x14ac:dyDescent="0.25">
      <c r="B4" s="248">
        <v>1</v>
      </c>
      <c r="C4" s="244" t="s">
        <v>197</v>
      </c>
      <c r="D4" s="245" t="s">
        <v>198</v>
      </c>
      <c r="E4" s="445">
        <v>44358.875</v>
      </c>
      <c r="F4" s="105">
        <f>E4-VLOOKUP(TimeZone!$L$5,TimeZone!$C$4:$E$39,3,0)+VLOOKUP(TimeZone!$H$1,TimeZone!$C$4:$E$39,3,0)</f>
        <v>44358.875</v>
      </c>
      <c r="G4" s="448">
        <v>1</v>
      </c>
      <c r="H4" s="238" t="str">
        <f>_xlfn.IFNA(VLOOKUP($G4,Language!$D$66:$E$81,2,0),"")</f>
        <v>London</v>
      </c>
      <c r="I4" s="158" t="str">
        <f>VLOOKUP(C4,Groups!$B$7:$D$35,3,0)</f>
        <v>Türkei</v>
      </c>
      <c r="J4" s="158" t="str">
        <f>VLOOKUP(D4,Groups!$B$7:$D$35,3,0)</f>
        <v>Italien</v>
      </c>
      <c r="K4" s="149"/>
      <c r="N4" s="138"/>
    </row>
    <row r="5" spans="1:26" x14ac:dyDescent="0.25">
      <c r="B5" s="248">
        <v>2</v>
      </c>
      <c r="C5" s="244" t="s">
        <v>199</v>
      </c>
      <c r="D5" s="245" t="s">
        <v>200</v>
      </c>
      <c r="E5" s="445">
        <v>44359.625</v>
      </c>
      <c r="F5" s="105">
        <f>E5-VLOOKUP(TimeZone!$L$5,TimeZone!$C$4:$E$39,3,0)+VLOOKUP(TimeZone!$H$1,TimeZone!$C$4:$E$39,3,0)</f>
        <v>44359.625</v>
      </c>
      <c r="G5" s="450">
        <v>2</v>
      </c>
      <c r="H5" s="238" t="str">
        <f>_xlfn.IFNA(VLOOKUP($G5,Language!$D$66:$E$81,2,0),"")</f>
        <v>Baku</v>
      </c>
      <c r="I5" s="158" t="str">
        <f>VLOOKUP(C5,Groups!$B$7:$D$35,3,0)</f>
        <v>Wales</v>
      </c>
      <c r="J5" s="158" t="str">
        <f>VLOOKUP(D5,Groups!$B$7:$D$35,3,0)</f>
        <v>Schweiz</v>
      </c>
      <c r="K5" s="149"/>
    </row>
    <row r="6" spans="1:26" x14ac:dyDescent="0.25">
      <c r="B6" s="248">
        <v>3</v>
      </c>
      <c r="C6" s="244" t="s">
        <v>201</v>
      </c>
      <c r="D6" s="245" t="s">
        <v>202</v>
      </c>
      <c r="E6" s="445">
        <v>44359.75</v>
      </c>
      <c r="F6" s="105">
        <f>E6-VLOOKUP(TimeZone!$L$5,TimeZone!$C$4:$E$39,3,0)+VLOOKUP(TimeZone!$H$1,TimeZone!$C$4:$E$39,3,0)</f>
        <v>44359.75</v>
      </c>
      <c r="G6" s="450">
        <v>7</v>
      </c>
      <c r="H6" s="238" t="str">
        <f>_xlfn.IFNA(VLOOKUP($G6,Language!$D$66:$E$81,2,0),"")</f>
        <v>Kopenhagen</v>
      </c>
      <c r="I6" s="158" t="str">
        <f>VLOOKUP(C6,Groups!$B$7:$D$35,3,0)</f>
        <v>Dänemark</v>
      </c>
      <c r="J6" s="158" t="str">
        <f>VLOOKUP(D6,Groups!$B$7:$D$35,3,0)</f>
        <v>Finnland</v>
      </c>
      <c r="K6" s="149"/>
    </row>
    <row r="7" spans="1:26" x14ac:dyDescent="0.25">
      <c r="B7" s="248">
        <v>4</v>
      </c>
      <c r="C7" s="244" t="s">
        <v>203</v>
      </c>
      <c r="D7" s="245" t="s">
        <v>204</v>
      </c>
      <c r="E7" s="445">
        <v>44359.875</v>
      </c>
      <c r="F7" s="105">
        <f>E7-VLOOKUP(TimeZone!$L$5,TimeZone!$C$4:$E$39,3,0)+VLOOKUP(TimeZone!$H$1,TimeZone!$C$4:$E$39,3,0)</f>
        <v>44359.875</v>
      </c>
      <c r="G7" s="450">
        <v>6</v>
      </c>
      <c r="H7" s="238" t="str">
        <f>_xlfn.IFNA(VLOOKUP($G7,Language!$D$66:$E$81,2,0),"")</f>
        <v>Sankt Ptersburg</v>
      </c>
      <c r="I7" s="158" t="str">
        <f>VLOOKUP(C7,Groups!$B$7:$D$35,3,0)</f>
        <v>Belgien</v>
      </c>
      <c r="J7" s="158" t="str">
        <f>VLOOKUP(D7,Groups!$B$7:$D$35,3,0)</f>
        <v>Russland</v>
      </c>
      <c r="K7" s="149"/>
    </row>
    <row r="8" spans="1:26" x14ac:dyDescent="0.25">
      <c r="B8" s="248">
        <v>5</v>
      </c>
      <c r="C8" s="244" t="s">
        <v>205</v>
      </c>
      <c r="D8" s="245" t="s">
        <v>206</v>
      </c>
      <c r="E8" s="445">
        <v>44360.75</v>
      </c>
      <c r="F8" s="105">
        <f>E8-VLOOKUP(TimeZone!$L$5,TimeZone!$C$4:$E$39,3,0)+VLOOKUP(TimeZone!$H$1,TimeZone!$C$4:$E$39,3,0)</f>
        <v>44360.75</v>
      </c>
      <c r="G8" s="450">
        <v>11</v>
      </c>
      <c r="H8" s="238" t="str">
        <f>_xlfn.IFNA(VLOOKUP($G8,Language!$D$66:$E$81,2,0),"")</f>
        <v>Bukarest</v>
      </c>
      <c r="I8" s="158" t="str">
        <f>VLOOKUP(C8,Groups!$B$7:$D$35,3,0)</f>
        <v>Niederlande</v>
      </c>
      <c r="J8" s="158" t="str">
        <f>VLOOKUP(D8,Groups!$B$7:$D$35,3,0)</f>
        <v>Ukraine</v>
      </c>
      <c r="K8" s="149"/>
    </row>
    <row r="9" spans="1:26" x14ac:dyDescent="0.25">
      <c r="B9" s="248">
        <v>6</v>
      </c>
      <c r="C9" s="244" t="s">
        <v>207</v>
      </c>
      <c r="D9" s="245" t="s">
        <v>208</v>
      </c>
      <c r="E9" s="445">
        <v>44360.875</v>
      </c>
      <c r="F9" s="105">
        <f>E9-VLOOKUP(TimeZone!$L$5,TimeZone!$C$4:$E$39,3,0)+VLOOKUP(TimeZone!$H$1,TimeZone!$C$4:$E$39,3,0)</f>
        <v>44360.875</v>
      </c>
      <c r="G9" s="450">
        <v>9</v>
      </c>
      <c r="H9" s="238" t="str">
        <f>_xlfn.IFNA(VLOOKUP($G9,Language!$D$66:$E$81,2,0),"")</f>
        <v>Amsterdam</v>
      </c>
      <c r="I9" s="158" t="str">
        <f>VLOOKUP(C9,Groups!$B$7:$D$35,3,0)</f>
        <v>Österreich</v>
      </c>
      <c r="J9" s="158" t="str">
        <f>VLOOKUP(D9,Groups!$B$7:$D$35,3,0)</f>
        <v>Nordmazedonien</v>
      </c>
      <c r="K9" s="149"/>
    </row>
    <row r="10" spans="1:26" x14ac:dyDescent="0.25">
      <c r="B10" s="248">
        <v>7</v>
      </c>
      <c r="C10" s="244" t="s">
        <v>209</v>
      </c>
      <c r="D10" s="245" t="s">
        <v>210</v>
      </c>
      <c r="E10" s="445">
        <v>44360.625</v>
      </c>
      <c r="F10" s="105">
        <f>E10-VLOOKUP(TimeZone!$L$5,TimeZone!$C$4:$E$39,3,0)+VLOOKUP(TimeZone!$H$1,TimeZone!$C$4:$E$39,3,0)</f>
        <v>44360.625</v>
      </c>
      <c r="G10" s="450">
        <v>1</v>
      </c>
      <c r="H10" s="238" t="str">
        <f>_xlfn.IFNA(VLOOKUP($G10,Language!$D$66:$E$81,2,0),"")</f>
        <v>London</v>
      </c>
      <c r="I10" s="158" t="str">
        <f>VLOOKUP(C10,Groups!$B$7:$D$35,3,0)</f>
        <v>England</v>
      </c>
      <c r="J10" s="158" t="str">
        <f>VLOOKUP(D10,Groups!$B$7:$D$35,3,0)</f>
        <v>Kroatien</v>
      </c>
      <c r="K10" s="149"/>
    </row>
    <row r="11" spans="1:26" x14ac:dyDescent="0.25">
      <c r="B11" s="248">
        <v>8</v>
      </c>
      <c r="C11" s="244" t="s">
        <v>211</v>
      </c>
      <c r="D11" s="245" t="s">
        <v>212</v>
      </c>
      <c r="E11" s="445">
        <v>44361.625</v>
      </c>
      <c r="F11" s="105">
        <f>E11-VLOOKUP(TimeZone!$L$5,TimeZone!$C$4:$E$39,3,0)+VLOOKUP(TimeZone!$H$1,TimeZone!$C$4:$E$39,3,0)</f>
        <v>44361.625</v>
      </c>
      <c r="G11" s="450">
        <v>5</v>
      </c>
      <c r="H11" s="238" t="str">
        <f>_xlfn.IFNA(VLOOKUP($G11,Language!$D$66:$E$81,2,0),"")</f>
        <v>Glasgow</v>
      </c>
      <c r="I11" s="158" t="str">
        <f>VLOOKUP(C11,Groups!$B$7:$D$35,3,0)</f>
        <v>Schottland</v>
      </c>
      <c r="J11" s="158" t="str">
        <f>VLOOKUP(D11,Groups!$B$7:$D$35,3,0)</f>
        <v>Tschechien</v>
      </c>
      <c r="K11" s="149"/>
    </row>
    <row r="12" spans="1:26" x14ac:dyDescent="0.25">
      <c r="B12" s="248">
        <v>9</v>
      </c>
      <c r="C12" s="244" t="s">
        <v>213</v>
      </c>
      <c r="D12" s="245" t="s">
        <v>214</v>
      </c>
      <c r="E12" s="445">
        <v>44361.75</v>
      </c>
      <c r="F12" s="105">
        <f>E12-VLOOKUP(TimeZone!$L$5,TimeZone!$C$4:$E$39,3,0)+VLOOKUP(TimeZone!$H$1,TimeZone!$C$4:$E$39,3,0)</f>
        <v>44361.75</v>
      </c>
      <c r="G12" s="450">
        <v>6</v>
      </c>
      <c r="H12" s="238" t="str">
        <f>_xlfn.IFNA(VLOOKUP($G12,Language!$D$66:$E$81,2,0),"")</f>
        <v>Sankt Ptersburg</v>
      </c>
      <c r="I12" s="158" t="str">
        <f>VLOOKUP(C12,Groups!$B$7:$D$35,3,0)</f>
        <v>Spanien</v>
      </c>
      <c r="J12" s="158" t="str">
        <f>VLOOKUP(D12,Groups!$B$7:$D$35,3,0)</f>
        <v>Schweden</v>
      </c>
      <c r="K12" s="149"/>
    </row>
    <row r="13" spans="1:26" x14ac:dyDescent="0.25">
      <c r="B13" s="248">
        <v>10</v>
      </c>
      <c r="C13" s="244" t="s">
        <v>215</v>
      </c>
      <c r="D13" s="245" t="s">
        <v>216</v>
      </c>
      <c r="E13" s="445">
        <v>44361.875</v>
      </c>
      <c r="F13" s="105">
        <f>E13-VLOOKUP(TimeZone!$L$5,TimeZone!$C$4:$E$39,3,0)+VLOOKUP(TimeZone!$H$1,TimeZone!$C$4:$E$39,3,0)</f>
        <v>44361.875</v>
      </c>
      <c r="G13" s="450">
        <v>8</v>
      </c>
      <c r="H13" s="238" t="str">
        <f>_xlfn.IFNA(VLOOKUP($G13,Language!$D$66:$E$81,2,0),"")</f>
        <v>Sevilla</v>
      </c>
      <c r="I13" s="158" t="str">
        <f>VLOOKUP(C13,Groups!$B$7:$D$35,3,0)</f>
        <v>Polen</v>
      </c>
      <c r="J13" s="158" t="str">
        <f>VLOOKUP(D13,Groups!$B$7:$D$35,3,0)</f>
        <v>Slowakei</v>
      </c>
      <c r="K13" s="149"/>
    </row>
    <row r="14" spans="1:26" x14ac:dyDescent="0.25">
      <c r="B14" s="248">
        <v>11</v>
      </c>
      <c r="C14" s="244" t="s">
        <v>290</v>
      </c>
      <c r="D14" s="245" t="s">
        <v>291</v>
      </c>
      <c r="E14" s="445">
        <v>44362.75</v>
      </c>
      <c r="F14" s="105">
        <f>E14-VLOOKUP(TimeZone!$L$5,TimeZone!$C$4:$E$39,3,0)+VLOOKUP(TimeZone!$H$1,TimeZone!$C$4:$E$39,3,0)</f>
        <v>44362.75</v>
      </c>
      <c r="G14" s="450">
        <v>10</v>
      </c>
      <c r="H14" s="238" t="str">
        <f>_xlfn.IFNA(VLOOKUP($G14,Language!$D$66:$E$81,2,0),"")</f>
        <v>Budapest</v>
      </c>
      <c r="I14" s="158" t="str">
        <f>VLOOKUP(C14,Groups!$B$7:$D$35,3,0)</f>
        <v>Ungarn</v>
      </c>
      <c r="J14" s="158" t="str">
        <f>VLOOKUP(D14,Groups!$B$7:$D$35,3,0)</f>
        <v>Portugal</v>
      </c>
      <c r="K14" s="149"/>
    </row>
    <row r="15" spans="1:26" x14ac:dyDescent="0.25">
      <c r="B15" s="248">
        <v>12</v>
      </c>
      <c r="C15" s="244" t="s">
        <v>292</v>
      </c>
      <c r="D15" s="245" t="s">
        <v>293</v>
      </c>
      <c r="E15" s="445">
        <v>44362.875</v>
      </c>
      <c r="F15" s="105">
        <f>E15-VLOOKUP(TimeZone!$L$5,TimeZone!$C$4:$E$39,3,0)+VLOOKUP(TimeZone!$H$1,TimeZone!$C$4:$E$39,3,0)</f>
        <v>44362.875</v>
      </c>
      <c r="G15" s="450">
        <v>3</v>
      </c>
      <c r="H15" s="238" t="str">
        <f>_xlfn.IFNA(VLOOKUP($G15,Language!$D$66:$E$81,2,0),"")</f>
        <v>München</v>
      </c>
      <c r="I15" s="158" t="str">
        <f>VLOOKUP(C15,Groups!$B$7:$D$35,3,0)</f>
        <v>Frankreich</v>
      </c>
      <c r="J15" s="158" t="str">
        <f>VLOOKUP(D15,Groups!$B$7:$D$35,3,0)</f>
        <v>Deutschland</v>
      </c>
      <c r="K15" s="149"/>
    </row>
    <row r="16" spans="1:26" x14ac:dyDescent="0.25">
      <c r="B16" s="248">
        <v>13</v>
      </c>
      <c r="C16" s="244" t="s">
        <v>197</v>
      </c>
      <c r="D16" s="245" t="s">
        <v>199</v>
      </c>
      <c r="E16" s="445">
        <v>44363.75</v>
      </c>
      <c r="F16" s="105">
        <f>E16-VLOOKUP(TimeZone!$L$5,TimeZone!$C$4:$E$39,3,0)+VLOOKUP(TimeZone!$H$1,TimeZone!$C$4:$E$39,3,0)</f>
        <v>44363.75</v>
      </c>
      <c r="G16" s="450">
        <v>2</v>
      </c>
      <c r="H16" s="238" t="str">
        <f>_xlfn.IFNA(VLOOKUP($G16,Language!$D$66:$E$81,2,0),"")</f>
        <v>Baku</v>
      </c>
      <c r="I16" s="158" t="str">
        <f>VLOOKUP(C16,Groups!$B$7:$D$35,3,0)</f>
        <v>Türkei</v>
      </c>
      <c r="J16" s="158" t="str">
        <f>VLOOKUP(D16,Groups!$B$7:$D$35,3,0)</f>
        <v>Wales</v>
      </c>
      <c r="K16" s="149"/>
      <c r="M16" s="260"/>
      <c r="N16" s="260"/>
      <c r="O16" s="260"/>
      <c r="P16" s="260"/>
      <c r="Q16" s="260"/>
      <c r="R16" s="260"/>
      <c r="S16" s="260"/>
      <c r="T16" s="260"/>
      <c r="U16" s="260"/>
      <c r="V16" s="260"/>
      <c r="W16" s="260"/>
      <c r="X16" s="260"/>
      <c r="Y16" s="260"/>
      <c r="Z16" s="260"/>
    </row>
    <row r="17" spans="2:26" x14ac:dyDescent="0.25">
      <c r="B17" s="248">
        <v>14</v>
      </c>
      <c r="C17" s="244" t="s">
        <v>198</v>
      </c>
      <c r="D17" s="245" t="s">
        <v>200</v>
      </c>
      <c r="E17" s="445">
        <v>44363.875</v>
      </c>
      <c r="F17" s="105">
        <f>E17-VLOOKUP(TimeZone!$L$5,TimeZone!$C$4:$E$39,3,0)+VLOOKUP(TimeZone!$H$1,TimeZone!$C$4:$E$39,3,0)</f>
        <v>44363.875</v>
      </c>
      <c r="G17" s="450">
        <v>1</v>
      </c>
      <c r="H17" s="238" t="str">
        <f>_xlfn.IFNA(VLOOKUP($G17,Language!$D$66:$E$81,2,0),"")</f>
        <v>London</v>
      </c>
      <c r="I17" s="158" t="str">
        <f>VLOOKUP(C17,Groups!$B$7:$D$35,3,0)</f>
        <v>Italien</v>
      </c>
      <c r="J17" s="158" t="str">
        <f>VLOOKUP(D17,Groups!$B$7:$D$35,3,0)</f>
        <v>Schweiz</v>
      </c>
      <c r="K17" s="149"/>
      <c r="M17" s="260"/>
      <c r="N17" s="260"/>
      <c r="O17" s="260"/>
      <c r="P17" s="260"/>
      <c r="Q17" s="260"/>
      <c r="R17" s="260"/>
      <c r="S17" s="260"/>
      <c r="T17" s="260"/>
      <c r="U17" s="260"/>
      <c r="V17" s="260"/>
      <c r="W17" s="260"/>
      <c r="X17" s="260"/>
      <c r="Y17" s="260"/>
      <c r="Z17" s="260"/>
    </row>
    <row r="18" spans="2:26" x14ac:dyDescent="0.25">
      <c r="B18" s="248">
        <v>15</v>
      </c>
      <c r="C18" s="244" t="s">
        <v>201</v>
      </c>
      <c r="D18" s="245" t="s">
        <v>203</v>
      </c>
      <c r="E18" s="445">
        <v>44364.75</v>
      </c>
      <c r="F18" s="105">
        <f>E18-VLOOKUP(TimeZone!$L$5,TimeZone!$C$4:$E$39,3,0)+VLOOKUP(TimeZone!$H$1,TimeZone!$C$4:$E$39,3,0)</f>
        <v>44364.75</v>
      </c>
      <c r="G18" s="450">
        <v>7</v>
      </c>
      <c r="H18" s="238" t="str">
        <f>_xlfn.IFNA(VLOOKUP($G18,Language!$D$66:$E$81,2,0),"")</f>
        <v>Kopenhagen</v>
      </c>
      <c r="I18" s="158" t="str">
        <f>VLOOKUP(C18,Groups!$B$7:$D$35,3,0)</f>
        <v>Dänemark</v>
      </c>
      <c r="J18" s="158" t="str">
        <f>VLOOKUP(D18,Groups!$B$7:$D$35,3,0)</f>
        <v>Belgien</v>
      </c>
      <c r="K18" s="149"/>
      <c r="M18" s="260"/>
      <c r="N18" s="260"/>
      <c r="O18" s="260"/>
      <c r="P18" s="260"/>
      <c r="Q18" s="260"/>
      <c r="R18" s="260"/>
      <c r="S18" s="260"/>
      <c r="T18" s="260"/>
      <c r="U18" s="260"/>
      <c r="V18" s="260"/>
      <c r="W18" s="260"/>
      <c r="X18" s="260"/>
      <c r="Y18" s="260"/>
      <c r="Z18" s="260"/>
    </row>
    <row r="19" spans="2:26" x14ac:dyDescent="0.25">
      <c r="B19" s="248">
        <v>16</v>
      </c>
      <c r="C19" s="244" t="s">
        <v>202</v>
      </c>
      <c r="D19" s="245" t="s">
        <v>204</v>
      </c>
      <c r="E19" s="445">
        <v>44363.625</v>
      </c>
      <c r="F19" s="105">
        <f>E19-VLOOKUP(TimeZone!$L$5,TimeZone!$C$4:$E$39,3,0)+VLOOKUP(TimeZone!$H$1,TimeZone!$C$4:$E$39,3,0)</f>
        <v>44363.625</v>
      </c>
      <c r="G19" s="450">
        <v>6</v>
      </c>
      <c r="H19" s="238" t="str">
        <f>_xlfn.IFNA(VLOOKUP($G19,Language!$D$66:$E$81,2,0),"")</f>
        <v>Sankt Ptersburg</v>
      </c>
      <c r="I19" s="158" t="str">
        <f>VLOOKUP(C19,Groups!$B$7:$D$35,3,0)</f>
        <v>Finnland</v>
      </c>
      <c r="J19" s="158" t="str">
        <f>VLOOKUP(D19,Groups!$B$7:$D$35,3,0)</f>
        <v>Russland</v>
      </c>
      <c r="K19" s="149"/>
      <c r="M19" s="260"/>
      <c r="N19" s="260"/>
      <c r="O19" s="260"/>
      <c r="P19" s="260"/>
      <c r="Q19" s="260"/>
      <c r="R19" s="260"/>
      <c r="S19" s="260"/>
      <c r="T19" s="260"/>
      <c r="U19" s="260"/>
      <c r="V19" s="260"/>
      <c r="W19" s="260"/>
      <c r="X19" s="260"/>
      <c r="Y19" s="260"/>
      <c r="Z19" s="260"/>
    </row>
    <row r="20" spans="2:26" x14ac:dyDescent="0.25">
      <c r="B20" s="248">
        <v>17</v>
      </c>
      <c r="C20" s="244" t="s">
        <v>205</v>
      </c>
      <c r="D20" s="245" t="s">
        <v>207</v>
      </c>
      <c r="E20" s="445">
        <v>44364.875</v>
      </c>
      <c r="F20" s="105">
        <f>E20-VLOOKUP(TimeZone!$L$5,TimeZone!$C$4:$E$39,3,0)+VLOOKUP(TimeZone!$H$1,TimeZone!$C$4:$E$39,3,0)</f>
        <v>44364.875</v>
      </c>
      <c r="G20" s="450">
        <v>9</v>
      </c>
      <c r="H20" s="238" t="str">
        <f>_xlfn.IFNA(VLOOKUP($G20,Language!$D$66:$E$81,2,0),"")</f>
        <v>Amsterdam</v>
      </c>
      <c r="I20" s="158" t="str">
        <f>VLOOKUP(C20,Groups!$B$7:$D$35,3,0)</f>
        <v>Niederlande</v>
      </c>
      <c r="J20" s="158" t="str">
        <f>VLOOKUP(D20,Groups!$B$7:$D$35,3,0)</f>
        <v>Österreich</v>
      </c>
      <c r="K20" s="149"/>
      <c r="M20" s="260"/>
      <c r="N20" s="260"/>
      <c r="O20" s="260"/>
      <c r="P20" s="260"/>
      <c r="Q20" s="260"/>
      <c r="R20" s="260"/>
      <c r="S20" s="260"/>
      <c r="T20" s="260"/>
      <c r="U20" s="260"/>
      <c r="V20" s="260"/>
      <c r="W20" s="260"/>
      <c r="X20" s="260"/>
      <c r="Y20" s="260"/>
      <c r="Z20" s="260"/>
    </row>
    <row r="21" spans="2:26" x14ac:dyDescent="0.25">
      <c r="B21" s="248">
        <v>18</v>
      </c>
      <c r="C21" s="244" t="s">
        <v>206</v>
      </c>
      <c r="D21" s="245" t="s">
        <v>208</v>
      </c>
      <c r="E21" s="445">
        <v>44364.625</v>
      </c>
      <c r="F21" s="105">
        <f>E21-VLOOKUP(TimeZone!$L$5,TimeZone!$C$4:$E$39,3,0)+VLOOKUP(TimeZone!$H$1,TimeZone!$C$4:$E$39,3,0)</f>
        <v>44364.625</v>
      </c>
      <c r="G21" s="450">
        <v>11</v>
      </c>
      <c r="H21" s="238" t="str">
        <f>_xlfn.IFNA(VLOOKUP($G21,Language!$D$66:$E$81,2,0),"")</f>
        <v>Bukarest</v>
      </c>
      <c r="I21" s="158" t="str">
        <f>VLOOKUP(C21,Groups!$B$7:$D$35,3,0)</f>
        <v>Ukraine</v>
      </c>
      <c r="J21" s="158" t="str">
        <f>VLOOKUP(D21,Groups!$B$7:$D$35,3,0)</f>
        <v>Nordmazedonien</v>
      </c>
      <c r="K21" s="149"/>
      <c r="M21" s="260"/>
      <c r="N21" s="260"/>
      <c r="O21" s="260"/>
      <c r="P21" s="260"/>
      <c r="Q21" s="260"/>
      <c r="R21" s="260"/>
      <c r="S21" s="260"/>
      <c r="T21" s="260"/>
      <c r="U21" s="260"/>
      <c r="V21" s="260"/>
      <c r="W21" s="260"/>
      <c r="X21" s="260"/>
      <c r="Y21" s="260"/>
      <c r="Z21" s="260"/>
    </row>
    <row r="22" spans="2:26" x14ac:dyDescent="0.25">
      <c r="B22" s="248">
        <v>19</v>
      </c>
      <c r="C22" s="244" t="s">
        <v>209</v>
      </c>
      <c r="D22" s="245" t="s">
        <v>211</v>
      </c>
      <c r="E22" s="445">
        <v>44365.875</v>
      </c>
      <c r="F22" s="105">
        <f>E22-VLOOKUP(TimeZone!$L$5,TimeZone!$C$4:$E$39,3,0)+VLOOKUP(TimeZone!$H$1,TimeZone!$C$4:$E$39,3,0)</f>
        <v>44365.875</v>
      </c>
      <c r="G22" s="450">
        <v>1</v>
      </c>
      <c r="H22" s="238" t="str">
        <f>_xlfn.IFNA(VLOOKUP($G22,Language!$D$66:$E$81,2,0),"")</f>
        <v>London</v>
      </c>
      <c r="I22" s="158" t="str">
        <f>VLOOKUP(C22,Groups!$B$7:$D$35,3,0)</f>
        <v>England</v>
      </c>
      <c r="J22" s="158" t="str">
        <f>VLOOKUP(D22,Groups!$B$7:$D$35,3,0)</f>
        <v>Schottland</v>
      </c>
      <c r="K22" s="149"/>
      <c r="M22" s="260"/>
      <c r="N22" s="260"/>
      <c r="O22" s="260"/>
      <c r="P22" s="260"/>
      <c r="Q22" s="260"/>
      <c r="R22" s="260"/>
      <c r="S22" s="260"/>
      <c r="T22" s="260"/>
      <c r="U22" s="260"/>
      <c r="V22" s="260"/>
      <c r="W22" s="260"/>
      <c r="X22" s="260"/>
      <c r="Y22" s="260"/>
      <c r="Z22" s="260"/>
    </row>
    <row r="23" spans="2:26" x14ac:dyDescent="0.25">
      <c r="B23" s="248">
        <v>20</v>
      </c>
      <c r="C23" s="244" t="s">
        <v>210</v>
      </c>
      <c r="D23" s="245" t="s">
        <v>212</v>
      </c>
      <c r="E23" s="445">
        <v>44365.75</v>
      </c>
      <c r="F23" s="105">
        <f>E23-VLOOKUP(TimeZone!$L$5,TimeZone!$C$4:$E$39,3,0)+VLOOKUP(TimeZone!$H$1,TimeZone!$C$4:$E$39,3,0)</f>
        <v>44365.75</v>
      </c>
      <c r="G23" s="450">
        <v>5</v>
      </c>
      <c r="H23" s="238" t="str">
        <f>_xlfn.IFNA(VLOOKUP($G23,Language!$D$66:$E$81,2,0),"")</f>
        <v>Glasgow</v>
      </c>
      <c r="I23" s="158" t="str">
        <f>VLOOKUP(C23,Groups!$B$7:$D$35,3,0)</f>
        <v>Kroatien</v>
      </c>
      <c r="J23" s="158" t="str">
        <f>VLOOKUP(D23,Groups!$B$7:$D$35,3,0)</f>
        <v>Tschechien</v>
      </c>
      <c r="K23" s="149"/>
      <c r="M23" s="260"/>
      <c r="N23" s="260"/>
      <c r="O23" s="260"/>
      <c r="P23" s="260"/>
      <c r="Q23" s="260"/>
      <c r="R23" s="260"/>
      <c r="S23" s="260"/>
      <c r="T23" s="260"/>
      <c r="U23" s="260"/>
      <c r="V23" s="260"/>
      <c r="W23" s="260"/>
      <c r="X23" s="260"/>
      <c r="Y23" s="260"/>
      <c r="Z23" s="260"/>
    </row>
    <row r="24" spans="2:26" x14ac:dyDescent="0.25">
      <c r="B24" s="248">
        <v>21</v>
      </c>
      <c r="C24" s="244" t="s">
        <v>213</v>
      </c>
      <c r="D24" s="245" t="s">
        <v>215</v>
      </c>
      <c r="E24" s="445">
        <v>44366.875</v>
      </c>
      <c r="F24" s="105">
        <f>E24-VLOOKUP(TimeZone!$L$5,TimeZone!$C$4:$E$39,3,0)+VLOOKUP(TimeZone!$H$1,TimeZone!$C$4:$E$39,3,0)</f>
        <v>44366.875</v>
      </c>
      <c r="G24" s="450">
        <v>8</v>
      </c>
      <c r="H24" s="238" t="str">
        <f>_xlfn.IFNA(VLOOKUP($G24,Language!$D$66:$E$81,2,0),"")</f>
        <v>Sevilla</v>
      </c>
      <c r="I24" s="158" t="str">
        <f>VLOOKUP(C24,Groups!$B$7:$D$35,3,0)</f>
        <v>Spanien</v>
      </c>
      <c r="J24" s="158" t="str">
        <f>VLOOKUP(D24,Groups!$B$7:$D$35,3,0)</f>
        <v>Polen</v>
      </c>
      <c r="K24" s="149"/>
      <c r="M24" s="260"/>
      <c r="N24" s="260"/>
      <c r="O24" s="260"/>
      <c r="P24" s="260"/>
      <c r="Q24" s="260"/>
      <c r="R24" s="260"/>
      <c r="S24" s="260"/>
      <c r="T24" s="260"/>
      <c r="U24" s="260"/>
      <c r="V24" s="260"/>
      <c r="W24" s="260"/>
      <c r="X24" s="260"/>
      <c r="Y24" s="260"/>
      <c r="Z24" s="260"/>
    </row>
    <row r="25" spans="2:26" x14ac:dyDescent="0.25">
      <c r="B25" s="248">
        <v>22</v>
      </c>
      <c r="C25" s="244" t="s">
        <v>214</v>
      </c>
      <c r="D25" s="245" t="s">
        <v>216</v>
      </c>
      <c r="E25" s="445">
        <v>44365.625</v>
      </c>
      <c r="F25" s="105">
        <f>E25-VLOOKUP(TimeZone!$L$5,TimeZone!$C$4:$E$39,3,0)+VLOOKUP(TimeZone!$H$1,TimeZone!$C$4:$E$39,3,0)</f>
        <v>44365.625</v>
      </c>
      <c r="G25" s="450">
        <v>6</v>
      </c>
      <c r="H25" s="238" t="str">
        <f>_xlfn.IFNA(VLOOKUP($G25,Language!$D$66:$E$81,2,0),"")</f>
        <v>Sankt Ptersburg</v>
      </c>
      <c r="I25" s="158" t="str">
        <f>VLOOKUP(C25,Groups!$B$7:$D$35,3,0)</f>
        <v>Schweden</v>
      </c>
      <c r="J25" s="158" t="str">
        <f>VLOOKUP(D25,Groups!$B$7:$D$35,3,0)</f>
        <v>Slowakei</v>
      </c>
      <c r="K25" s="149"/>
      <c r="M25" s="260"/>
      <c r="N25" s="260"/>
      <c r="O25" s="260"/>
      <c r="P25" s="260"/>
      <c r="Q25" s="260"/>
      <c r="R25" s="260"/>
      <c r="S25" s="260"/>
      <c r="T25" s="260"/>
      <c r="U25" s="260"/>
      <c r="V25" s="260"/>
      <c r="W25" s="260"/>
      <c r="X25" s="260"/>
      <c r="Y25" s="260"/>
      <c r="Z25" s="260"/>
    </row>
    <row r="26" spans="2:26" x14ac:dyDescent="0.25">
      <c r="B26" s="248">
        <v>23</v>
      </c>
      <c r="C26" s="244" t="s">
        <v>290</v>
      </c>
      <c r="D26" s="245" t="s">
        <v>292</v>
      </c>
      <c r="E26" s="445">
        <v>44366.625</v>
      </c>
      <c r="F26" s="105">
        <f>E26-VLOOKUP(TimeZone!$L$5,TimeZone!$C$4:$E$39,3,0)+VLOOKUP(TimeZone!$H$1,TimeZone!$C$4:$E$39,3,0)</f>
        <v>44366.625</v>
      </c>
      <c r="G26" s="450">
        <v>10</v>
      </c>
      <c r="H26" s="238" t="str">
        <f>_xlfn.IFNA(VLOOKUP($G26,Language!$D$66:$E$81,2,0),"")</f>
        <v>Budapest</v>
      </c>
      <c r="I26" s="158" t="str">
        <f>VLOOKUP(C26,Groups!$B$7:$D$35,3,0)</f>
        <v>Ungarn</v>
      </c>
      <c r="J26" s="158" t="str">
        <f>VLOOKUP(D26,Groups!$B$7:$D$35,3,0)</f>
        <v>Frankreich</v>
      </c>
      <c r="K26" s="149"/>
      <c r="M26" s="260"/>
      <c r="N26" s="260"/>
      <c r="O26" s="260"/>
      <c r="P26" s="260"/>
      <c r="Q26" s="260"/>
      <c r="R26" s="260"/>
      <c r="S26" s="260"/>
      <c r="T26" s="260"/>
      <c r="U26" s="260"/>
      <c r="V26" s="260"/>
      <c r="W26" s="260"/>
      <c r="X26" s="260"/>
      <c r="Y26" s="260"/>
      <c r="Z26" s="260"/>
    </row>
    <row r="27" spans="2:26" x14ac:dyDescent="0.25">
      <c r="B27" s="248">
        <v>24</v>
      </c>
      <c r="C27" s="244" t="s">
        <v>291</v>
      </c>
      <c r="D27" s="245" t="s">
        <v>293</v>
      </c>
      <c r="E27" s="445">
        <v>44366.75</v>
      </c>
      <c r="F27" s="105">
        <f>E27-VLOOKUP(TimeZone!$L$5,TimeZone!$C$4:$E$39,3,0)+VLOOKUP(TimeZone!$H$1,TimeZone!$C$4:$E$39,3,0)</f>
        <v>44366.75</v>
      </c>
      <c r="G27" s="450">
        <v>3</v>
      </c>
      <c r="H27" s="238" t="str">
        <f>_xlfn.IFNA(VLOOKUP($G27,Language!$D$66:$E$81,2,0),"")</f>
        <v>München</v>
      </c>
      <c r="I27" s="158" t="str">
        <f>VLOOKUP(C27,Groups!$B$7:$D$35,3,0)</f>
        <v>Portugal</v>
      </c>
      <c r="J27" s="158" t="str">
        <f>VLOOKUP(D27,Groups!$B$7:$D$35,3,0)</f>
        <v>Deutschland</v>
      </c>
      <c r="K27" s="149"/>
      <c r="M27" s="260"/>
      <c r="N27" s="260"/>
      <c r="O27" s="260"/>
      <c r="P27" s="260"/>
      <c r="Q27" s="260"/>
      <c r="R27" s="260"/>
      <c r="S27" s="260"/>
      <c r="T27" s="260"/>
      <c r="U27" s="260"/>
      <c r="V27" s="260"/>
      <c r="W27" s="260"/>
      <c r="X27" s="260"/>
      <c r="Y27" s="260"/>
      <c r="Z27" s="260"/>
    </row>
    <row r="28" spans="2:26" x14ac:dyDescent="0.25">
      <c r="B28" s="248">
        <v>25</v>
      </c>
      <c r="C28" s="244" t="s">
        <v>200</v>
      </c>
      <c r="D28" s="245" t="s">
        <v>197</v>
      </c>
      <c r="E28" s="445">
        <v>44367.75</v>
      </c>
      <c r="F28" s="105">
        <f>E28-VLOOKUP(TimeZone!$L$5,TimeZone!$C$4:$E$39,3,0)+VLOOKUP(TimeZone!$H$1,TimeZone!$C$4:$E$39,3,0)</f>
        <v>44367.75</v>
      </c>
      <c r="G28" s="450">
        <v>2</v>
      </c>
      <c r="H28" s="238" t="str">
        <f>_xlfn.IFNA(VLOOKUP($G28,Language!$D$66:$E$81,2,0),"")</f>
        <v>Baku</v>
      </c>
      <c r="I28" s="158" t="str">
        <f>VLOOKUP(C28,Groups!$B$7:$D$35,3,0)</f>
        <v>Schweiz</v>
      </c>
      <c r="J28" s="158" t="str">
        <f>VLOOKUP(D28,Groups!$B$7:$D$35,3,0)</f>
        <v>Türkei</v>
      </c>
      <c r="K28" s="149"/>
    </row>
    <row r="29" spans="2:26" x14ac:dyDescent="0.25">
      <c r="B29" s="248">
        <v>26</v>
      </c>
      <c r="C29" s="244" t="s">
        <v>198</v>
      </c>
      <c r="D29" s="245" t="s">
        <v>199</v>
      </c>
      <c r="E29" s="445">
        <v>44367.75</v>
      </c>
      <c r="F29" s="105">
        <f>E29-VLOOKUP(TimeZone!$L$5,TimeZone!$C$4:$E$39,3,0)+VLOOKUP(TimeZone!$H$1,TimeZone!$C$4:$E$39,3,0)</f>
        <v>44367.75</v>
      </c>
      <c r="G29" s="450">
        <v>1</v>
      </c>
      <c r="H29" s="238" t="str">
        <f>_xlfn.IFNA(VLOOKUP($G29,Language!$D$66:$E$81,2,0),"")</f>
        <v>London</v>
      </c>
      <c r="I29" s="158" t="str">
        <f>VLOOKUP(C29,Groups!$B$7:$D$35,3,0)</f>
        <v>Italien</v>
      </c>
      <c r="J29" s="158" t="str">
        <f>VLOOKUP(D29,Groups!$B$7:$D$35,3,0)</f>
        <v>Wales</v>
      </c>
      <c r="K29" s="149"/>
    </row>
    <row r="30" spans="2:26" x14ac:dyDescent="0.25">
      <c r="B30" s="248">
        <v>27</v>
      </c>
      <c r="C30" s="244" t="s">
        <v>204</v>
      </c>
      <c r="D30" s="245" t="s">
        <v>201</v>
      </c>
      <c r="E30" s="445">
        <v>44368.875</v>
      </c>
      <c r="F30" s="105">
        <f>E30-VLOOKUP(TimeZone!$L$5,TimeZone!$C$4:$E$39,3,0)+VLOOKUP(TimeZone!$H$1,TimeZone!$C$4:$E$39,3,0)</f>
        <v>44368.875</v>
      </c>
      <c r="G30" s="450">
        <v>7</v>
      </c>
      <c r="H30" s="238" t="str">
        <f>_xlfn.IFNA(VLOOKUP($G30,Language!$D$66:$E$81,2,0),"")</f>
        <v>Kopenhagen</v>
      </c>
      <c r="I30" s="158" t="str">
        <f>VLOOKUP(C30,Groups!$B$7:$D$35,3,0)</f>
        <v>Russland</v>
      </c>
      <c r="J30" s="158" t="str">
        <f>VLOOKUP(D30,Groups!$B$7:$D$35,3,0)</f>
        <v>Dänemark</v>
      </c>
      <c r="K30" s="149"/>
    </row>
    <row r="31" spans="2:26" x14ac:dyDescent="0.25">
      <c r="B31" s="248">
        <v>28</v>
      </c>
      <c r="C31" s="244" t="s">
        <v>202</v>
      </c>
      <c r="D31" s="245" t="s">
        <v>203</v>
      </c>
      <c r="E31" s="445">
        <v>44368.875</v>
      </c>
      <c r="F31" s="105">
        <f>E31-VLOOKUP(TimeZone!$L$5,TimeZone!$C$4:$E$39,3,0)+VLOOKUP(TimeZone!$H$1,TimeZone!$C$4:$E$39,3,0)</f>
        <v>44368.875</v>
      </c>
      <c r="G31" s="450">
        <v>6</v>
      </c>
      <c r="H31" s="238" t="str">
        <f>_xlfn.IFNA(VLOOKUP($G31,Language!$D$66:$E$81,2,0),"")</f>
        <v>Sankt Ptersburg</v>
      </c>
      <c r="I31" s="158" t="str">
        <f>VLOOKUP(C31,Groups!$B$7:$D$35,3,0)</f>
        <v>Finnland</v>
      </c>
      <c r="J31" s="158" t="str">
        <f>VLOOKUP(D31,Groups!$B$7:$D$35,3,0)</f>
        <v>Belgien</v>
      </c>
      <c r="K31" s="149"/>
    </row>
    <row r="32" spans="2:26" x14ac:dyDescent="0.25">
      <c r="B32" s="248">
        <v>29</v>
      </c>
      <c r="C32" s="244" t="s">
        <v>208</v>
      </c>
      <c r="D32" s="245" t="s">
        <v>205</v>
      </c>
      <c r="E32" s="445">
        <v>44368.75</v>
      </c>
      <c r="F32" s="105">
        <f>E32-VLOOKUP(TimeZone!$L$5,TimeZone!$C$4:$E$39,3,0)+VLOOKUP(TimeZone!$H$1,TimeZone!$C$4:$E$39,3,0)</f>
        <v>44368.75</v>
      </c>
      <c r="G32" s="450">
        <v>11</v>
      </c>
      <c r="H32" s="238" t="str">
        <f>_xlfn.IFNA(VLOOKUP($G32,Language!$D$66:$E$81,2,0),"")</f>
        <v>Bukarest</v>
      </c>
      <c r="I32" s="158" t="str">
        <f>VLOOKUP(C32,Groups!$B$7:$D$35,3,0)</f>
        <v>Nordmazedonien</v>
      </c>
      <c r="J32" s="158" t="str">
        <f>VLOOKUP(D32,Groups!$B$7:$D$35,3,0)</f>
        <v>Niederlande</v>
      </c>
      <c r="K32" s="149"/>
    </row>
    <row r="33" spans="2:14" x14ac:dyDescent="0.25">
      <c r="B33" s="248">
        <v>30</v>
      </c>
      <c r="C33" s="244" t="s">
        <v>206</v>
      </c>
      <c r="D33" s="245" t="s">
        <v>207</v>
      </c>
      <c r="E33" s="445">
        <v>44368.75</v>
      </c>
      <c r="F33" s="105">
        <f>E33-VLOOKUP(TimeZone!$L$5,TimeZone!$C$4:$E$39,3,0)+VLOOKUP(TimeZone!$H$1,TimeZone!$C$4:$E$39,3,0)</f>
        <v>44368.75</v>
      </c>
      <c r="G33" s="450">
        <v>9</v>
      </c>
      <c r="H33" s="238" t="str">
        <f>_xlfn.IFNA(VLOOKUP($G33,Language!$D$66:$E$81,2,0),"")</f>
        <v>Amsterdam</v>
      </c>
      <c r="I33" s="158" t="str">
        <f>VLOOKUP(C33,Groups!$B$7:$D$35,3,0)</f>
        <v>Ukraine</v>
      </c>
      <c r="J33" s="158" t="str">
        <f>VLOOKUP(D33,Groups!$B$7:$D$35,3,0)</f>
        <v>Österreich</v>
      </c>
      <c r="K33" s="149"/>
    </row>
    <row r="34" spans="2:14" x14ac:dyDescent="0.25">
      <c r="B34" s="248">
        <v>31</v>
      </c>
      <c r="C34" s="244" t="s">
        <v>212</v>
      </c>
      <c r="D34" s="245" t="s">
        <v>209</v>
      </c>
      <c r="E34" s="445">
        <v>44369.875</v>
      </c>
      <c r="F34" s="105">
        <f>E34-VLOOKUP(TimeZone!$L$5,TimeZone!$C$4:$E$39,3,0)+VLOOKUP(TimeZone!$H$1,TimeZone!$C$4:$E$39,3,0)</f>
        <v>44369.875</v>
      </c>
      <c r="G34" s="450">
        <v>1</v>
      </c>
      <c r="H34" s="238" t="str">
        <f>_xlfn.IFNA(VLOOKUP($G34,Language!$D$66:$E$81,2,0),"")</f>
        <v>London</v>
      </c>
      <c r="I34" s="158" t="str">
        <f>VLOOKUP(C34,Groups!$B$7:$D$35,3,0)</f>
        <v>Tschechien</v>
      </c>
      <c r="J34" s="158" t="str">
        <f>VLOOKUP(D34,Groups!$B$7:$D$35,3,0)</f>
        <v>England</v>
      </c>
      <c r="K34" s="149"/>
    </row>
    <row r="35" spans="2:14" x14ac:dyDescent="0.25">
      <c r="B35" s="248">
        <v>32</v>
      </c>
      <c r="C35" s="244" t="s">
        <v>210</v>
      </c>
      <c r="D35" s="245" t="s">
        <v>211</v>
      </c>
      <c r="E35" s="445">
        <v>44369.875</v>
      </c>
      <c r="F35" s="105">
        <f>E35-VLOOKUP(TimeZone!$L$5,TimeZone!$C$4:$E$39,3,0)+VLOOKUP(TimeZone!$H$1,TimeZone!$C$4:$E$39,3,0)</f>
        <v>44369.875</v>
      </c>
      <c r="G35" s="450">
        <v>5</v>
      </c>
      <c r="H35" s="238" t="str">
        <f>_xlfn.IFNA(VLOOKUP($G35,Language!$D$66:$E$81,2,0),"")</f>
        <v>Glasgow</v>
      </c>
      <c r="I35" s="158" t="str">
        <f>VLOOKUP(C35,Groups!$B$7:$D$35,3,0)</f>
        <v>Kroatien</v>
      </c>
      <c r="J35" s="158" t="str">
        <f>VLOOKUP(D35,Groups!$B$7:$D$35,3,0)</f>
        <v>Schottland</v>
      </c>
      <c r="K35" s="149"/>
    </row>
    <row r="36" spans="2:14" x14ac:dyDescent="0.25">
      <c r="B36" s="248">
        <v>33</v>
      </c>
      <c r="C36" s="244" t="s">
        <v>216</v>
      </c>
      <c r="D36" s="245" t="s">
        <v>213</v>
      </c>
      <c r="E36" s="445">
        <v>44370.75</v>
      </c>
      <c r="F36" s="105">
        <f>E36-VLOOKUP(TimeZone!$L$5,TimeZone!$C$4:$E$39,3,0)+VLOOKUP(TimeZone!$H$1,TimeZone!$C$4:$E$39,3,0)</f>
        <v>44370.75</v>
      </c>
      <c r="G36" s="450">
        <v>6</v>
      </c>
      <c r="H36" s="238" t="str">
        <f>_xlfn.IFNA(VLOOKUP($G36,Language!$D$66:$E$81,2,0),"")</f>
        <v>Sankt Ptersburg</v>
      </c>
      <c r="I36" s="158" t="str">
        <f>VLOOKUP(C36,Groups!$B$7:$D$35,3,0)</f>
        <v>Slowakei</v>
      </c>
      <c r="J36" s="158" t="str">
        <f>VLOOKUP(D36,Groups!$B$7:$D$35,3,0)</f>
        <v>Spanien</v>
      </c>
      <c r="K36" s="149"/>
    </row>
    <row r="37" spans="2:14" x14ac:dyDescent="0.25">
      <c r="B37" s="248">
        <v>34</v>
      </c>
      <c r="C37" s="244" t="s">
        <v>214</v>
      </c>
      <c r="D37" s="245" t="s">
        <v>215</v>
      </c>
      <c r="E37" s="445">
        <v>44370.75</v>
      </c>
      <c r="F37" s="105">
        <f>E37-VLOOKUP(TimeZone!$L$5,TimeZone!$C$4:$E$39,3,0)+VLOOKUP(TimeZone!$H$1,TimeZone!$C$4:$E$39,3,0)</f>
        <v>44370.75</v>
      </c>
      <c r="G37" s="450">
        <v>8</v>
      </c>
      <c r="H37" s="238" t="str">
        <f>_xlfn.IFNA(VLOOKUP($G37,Language!$D$66:$E$81,2,0),"")</f>
        <v>Sevilla</v>
      </c>
      <c r="I37" s="158" t="str">
        <f>VLOOKUP(C37,Groups!$B$7:$D$35,3,0)</f>
        <v>Schweden</v>
      </c>
      <c r="J37" s="158" t="str">
        <f>VLOOKUP(D37,Groups!$B$7:$D$35,3,0)</f>
        <v>Polen</v>
      </c>
      <c r="K37" s="149"/>
    </row>
    <row r="38" spans="2:14" x14ac:dyDescent="0.25">
      <c r="B38" s="248">
        <v>35</v>
      </c>
      <c r="C38" s="244" t="s">
        <v>293</v>
      </c>
      <c r="D38" s="245" t="s">
        <v>290</v>
      </c>
      <c r="E38" s="445">
        <v>44370.875</v>
      </c>
      <c r="F38" s="105">
        <f>E38-VLOOKUP(TimeZone!$L$5,TimeZone!$C$4:$E$39,3,0)+VLOOKUP(TimeZone!$H$1,TimeZone!$C$4:$E$39,3,0)</f>
        <v>44370.875</v>
      </c>
      <c r="G38" s="450">
        <v>3</v>
      </c>
      <c r="H38" s="238" t="str">
        <f>_xlfn.IFNA(VLOOKUP($G38,Language!$D$66:$E$81,2,0),"")</f>
        <v>München</v>
      </c>
      <c r="I38" s="158" t="str">
        <f>VLOOKUP(C38,Groups!$B$7:$D$35,3,0)</f>
        <v>Deutschland</v>
      </c>
      <c r="J38" s="158" t="str">
        <f>VLOOKUP(D38,Groups!$B$7:$D$35,3,0)</f>
        <v>Ungarn</v>
      </c>
      <c r="K38" s="149"/>
    </row>
    <row r="39" spans="2:14" x14ac:dyDescent="0.25">
      <c r="B39" s="248">
        <v>36</v>
      </c>
      <c r="C39" s="244" t="s">
        <v>291</v>
      </c>
      <c r="D39" s="245" t="s">
        <v>292</v>
      </c>
      <c r="E39" s="445">
        <v>44370.875</v>
      </c>
      <c r="F39" s="105">
        <f>E39-VLOOKUP(TimeZone!$L$5,TimeZone!$C$4:$E$39,3,0)+VLOOKUP(TimeZone!$H$1,TimeZone!$C$4:$E$39,3,0)</f>
        <v>44370.875</v>
      </c>
      <c r="G39" s="450">
        <v>10</v>
      </c>
      <c r="H39" s="238" t="str">
        <f>_xlfn.IFNA(VLOOKUP($G39,Language!$D$66:$E$81,2,0),"")</f>
        <v>Budapest</v>
      </c>
      <c r="I39" s="158" t="str">
        <f>VLOOKUP(C39,Groups!$B$7:$D$35,3,0)</f>
        <v>Portugal</v>
      </c>
      <c r="J39" s="158" t="str">
        <f>VLOOKUP(D39,Groups!$B$7:$D$35,3,0)</f>
        <v>Frankreich</v>
      </c>
      <c r="K39" s="149"/>
    </row>
    <row r="40" spans="2:14" ht="15.75" thickBot="1" x14ac:dyDescent="0.3">
      <c r="B40" s="106" t="s">
        <v>158</v>
      </c>
      <c r="C40" s="137"/>
      <c r="D40" s="137"/>
      <c r="E40" s="73"/>
      <c r="F40" s="74"/>
      <c r="G40" s="237"/>
      <c r="H40" s="239"/>
      <c r="I40" s="74"/>
      <c r="J40" s="74"/>
      <c r="K40" s="150"/>
    </row>
    <row r="41" spans="2:14" x14ac:dyDescent="0.25">
      <c r="B41" s="248">
        <v>37</v>
      </c>
      <c r="C41" s="244" t="s">
        <v>8</v>
      </c>
      <c r="D41" s="245" t="s">
        <v>9</v>
      </c>
      <c r="E41" s="445">
        <v>44373.75</v>
      </c>
      <c r="F41" s="105">
        <f>E41-VLOOKUP(TimeZone!$L$5,TimeZone!$C$4:$E$39,3,0)+VLOOKUP(TimeZone!$H$1,TimeZone!$C$4:$E$39,3,0)</f>
        <v>44373.75</v>
      </c>
      <c r="G41" s="448">
        <v>9</v>
      </c>
      <c r="H41" s="238" t="str">
        <f>_xlfn.IFNA(VLOOKUP($G41,Language!$D$66:$E$81,2,0),"")</f>
        <v>Amsterdam</v>
      </c>
      <c r="I41" s="158" t="str">
        <f ca="1">VLOOKUP(C41,$M$41:$N$56,2,0)</f>
        <v>Schweiz</v>
      </c>
      <c r="J41" s="158" t="str">
        <f ca="1">VLOOKUP(D41,$M$41:$N$56,2,0)</f>
        <v>Dänemark</v>
      </c>
      <c r="K41" s="451">
        <v>1</v>
      </c>
      <c r="L41" s="71"/>
      <c r="M41" s="252" t="s">
        <v>2</v>
      </c>
      <c r="N41" s="253" t="str">
        <f ca="1">Euro!$B$46</f>
        <v>Italien</v>
      </c>
    </row>
    <row r="42" spans="2:14" x14ac:dyDescent="0.25">
      <c r="B42" s="248">
        <v>38</v>
      </c>
      <c r="C42" s="244" t="s">
        <v>2</v>
      </c>
      <c r="D42" s="245" t="s">
        <v>10</v>
      </c>
      <c r="E42" s="445">
        <v>44373.875</v>
      </c>
      <c r="F42" s="105">
        <f>E42-VLOOKUP(TimeZone!$L$5,TimeZone!$C$4:$E$39,3,0)+VLOOKUP(TimeZone!$H$1,TimeZone!$C$4:$E$39,3,0)</f>
        <v>44373.875</v>
      </c>
      <c r="G42" s="450">
        <v>1</v>
      </c>
      <c r="H42" s="238" t="str">
        <f>_xlfn.IFNA(VLOOKUP($G42,Language!$D$66:$E$81,2,0),"")</f>
        <v>London</v>
      </c>
      <c r="I42" s="158" t="str">
        <f t="shared" ref="I42:J48" ca="1" si="0">VLOOKUP(C42,$M$41:$N$56,2,0)</f>
        <v>Italien</v>
      </c>
      <c r="J42" s="158" t="str">
        <f t="shared" ca="1" si="0"/>
        <v>Österreich</v>
      </c>
      <c r="K42" s="451">
        <v>2</v>
      </c>
      <c r="L42" s="71"/>
      <c r="M42" s="254" t="s">
        <v>8</v>
      </c>
      <c r="N42" s="255" t="str">
        <f ca="1">Euro!$B$47</f>
        <v>Schweiz</v>
      </c>
    </row>
    <row r="43" spans="2:14" x14ac:dyDescent="0.25">
      <c r="B43" s="248">
        <v>39</v>
      </c>
      <c r="C43" s="244" t="s">
        <v>4</v>
      </c>
      <c r="D43" s="245" t="s">
        <v>670</v>
      </c>
      <c r="E43" s="445">
        <v>44374.75</v>
      </c>
      <c r="F43" s="105">
        <f>E43-VLOOKUP(TimeZone!$L$5,TimeZone!$C$4:$E$39,3,0)+VLOOKUP(TimeZone!$H$1,TimeZone!$C$4:$E$39,3,0)</f>
        <v>44374.75</v>
      </c>
      <c r="G43" s="450">
        <v>10</v>
      </c>
      <c r="H43" s="238" t="str">
        <f>_xlfn.IFNA(VLOOKUP($G43,Language!$D$66:$E$81,2,0),"")</f>
        <v>Budapest</v>
      </c>
      <c r="I43" s="158" t="str">
        <f t="shared" ca="1" si="0"/>
        <v>Niederlande</v>
      </c>
      <c r="J43" s="158" t="str">
        <f t="shared" ca="1" si="0"/>
        <v>Tschechien</v>
      </c>
      <c r="K43" s="451">
        <v>3</v>
      </c>
      <c r="L43" s="71"/>
      <c r="M43" s="254" t="s">
        <v>3</v>
      </c>
      <c r="N43" s="255" t="str">
        <f ca="1">Euro!$E$46</f>
        <v>Belgien</v>
      </c>
    </row>
    <row r="44" spans="2:14" x14ac:dyDescent="0.25">
      <c r="B44" s="248">
        <v>40</v>
      </c>
      <c r="C44" s="244" t="s">
        <v>3</v>
      </c>
      <c r="D44" s="245" t="s">
        <v>669</v>
      </c>
      <c r="E44" s="445">
        <v>44374.875</v>
      </c>
      <c r="F44" s="105">
        <f>E44-VLOOKUP(TimeZone!$L$5,TimeZone!$C$4:$E$39,3,0)+VLOOKUP(TimeZone!$H$1,TimeZone!$C$4:$E$39,3,0)</f>
        <v>44374.875</v>
      </c>
      <c r="G44" s="450">
        <v>8</v>
      </c>
      <c r="H44" s="238" t="str">
        <f>_xlfn.IFNA(VLOOKUP($G44,Language!$D$66:$E$81,2,0),"")</f>
        <v>Sevilla</v>
      </c>
      <c r="I44" s="158" t="str">
        <f t="shared" ca="1" si="0"/>
        <v>Belgien</v>
      </c>
      <c r="J44" s="158" t="str">
        <f t="shared" ca="1" si="0"/>
        <v>Portugal</v>
      </c>
      <c r="K44" s="451">
        <v>4</v>
      </c>
      <c r="L44" s="71"/>
      <c r="M44" s="254" t="s">
        <v>9</v>
      </c>
      <c r="N44" s="255" t="str">
        <f ca="1">Euro!$E$47</f>
        <v>Dänemark</v>
      </c>
    </row>
    <row r="45" spans="2:14" x14ac:dyDescent="0.25">
      <c r="B45" s="248">
        <v>41</v>
      </c>
      <c r="C45" s="244" t="s">
        <v>11</v>
      </c>
      <c r="D45" s="245" t="s">
        <v>12</v>
      </c>
      <c r="E45" s="445">
        <v>44375.75</v>
      </c>
      <c r="F45" s="105">
        <f>E45-VLOOKUP(TimeZone!$L$5,TimeZone!$C$4:$E$39,3,0)+VLOOKUP(TimeZone!$H$1,TimeZone!$C$4:$E$39,3,0)</f>
        <v>44375.75</v>
      </c>
      <c r="G45" s="450">
        <v>7</v>
      </c>
      <c r="H45" s="238" t="str">
        <f>_xlfn.IFNA(VLOOKUP($G45,Language!$D$66:$E$81,2,0),"")</f>
        <v>Kopenhagen</v>
      </c>
      <c r="I45" s="158" t="str">
        <f t="shared" ca="1" si="0"/>
        <v>Kroatien</v>
      </c>
      <c r="J45" s="158" t="str">
        <f t="shared" ca="1" si="0"/>
        <v>Spanien</v>
      </c>
      <c r="K45" s="451">
        <v>5</v>
      </c>
      <c r="L45" s="71"/>
      <c r="M45" s="254" t="s">
        <v>4</v>
      </c>
      <c r="N45" s="255" t="str">
        <f ca="1">Euro!$H$46</f>
        <v>Niederlande</v>
      </c>
    </row>
    <row r="46" spans="2:14" x14ac:dyDescent="0.25">
      <c r="B46" s="248">
        <v>42</v>
      </c>
      <c r="C46" s="244" t="s">
        <v>7</v>
      </c>
      <c r="D46" s="245" t="s">
        <v>668</v>
      </c>
      <c r="E46" s="445">
        <v>44375.875</v>
      </c>
      <c r="F46" s="105">
        <f>E46-VLOOKUP(TimeZone!$L$5,TimeZone!$C$4:$E$39,3,0)+VLOOKUP(TimeZone!$H$1,TimeZone!$C$4:$E$39,3,0)</f>
        <v>44375.875</v>
      </c>
      <c r="G46" s="450">
        <v>11</v>
      </c>
      <c r="H46" s="238" t="str">
        <f>_xlfn.IFNA(VLOOKUP($G46,Language!$D$66:$E$81,2,0),"")</f>
        <v>Bukarest</v>
      </c>
      <c r="I46" s="158" t="str">
        <f t="shared" ca="1" si="0"/>
        <v>Frankreich</v>
      </c>
      <c r="J46" s="158" t="str">
        <f t="shared" ca="1" si="0"/>
        <v>Wales</v>
      </c>
      <c r="K46" s="451">
        <v>6</v>
      </c>
      <c r="L46" s="71"/>
      <c r="M46" s="254" t="s">
        <v>10</v>
      </c>
      <c r="N46" s="255" t="str">
        <f ca="1">Euro!$H$47</f>
        <v>Österreich</v>
      </c>
    </row>
    <row r="47" spans="2:14" x14ac:dyDescent="0.25">
      <c r="B47" s="248">
        <v>43</v>
      </c>
      <c r="C47" s="244" t="s">
        <v>5</v>
      </c>
      <c r="D47" s="245" t="s">
        <v>13</v>
      </c>
      <c r="E47" s="445">
        <v>44376.75</v>
      </c>
      <c r="F47" s="105">
        <f>E47-VLOOKUP(TimeZone!$L$5,TimeZone!$C$4:$E$39,3,0)+VLOOKUP(TimeZone!$H$1,TimeZone!$C$4:$E$39,3,0)</f>
        <v>44376.75</v>
      </c>
      <c r="G47" s="450">
        <v>1</v>
      </c>
      <c r="H47" s="238" t="str">
        <f>_xlfn.IFNA(VLOOKUP($G47,Language!$D$66:$E$81,2,0),"")</f>
        <v>London</v>
      </c>
      <c r="I47" s="158" t="str">
        <f t="shared" ca="1" si="0"/>
        <v>England</v>
      </c>
      <c r="J47" s="158" t="str">
        <f t="shared" ca="1" si="0"/>
        <v>Deutschland</v>
      </c>
      <c r="K47" s="451">
        <v>7</v>
      </c>
      <c r="L47" s="71"/>
      <c r="M47" s="254" t="s">
        <v>5</v>
      </c>
      <c r="N47" s="255" t="str">
        <f ca="1">Euro!$K$46</f>
        <v>England</v>
      </c>
    </row>
    <row r="48" spans="2:14" x14ac:dyDescent="0.25">
      <c r="B48" s="248">
        <v>44</v>
      </c>
      <c r="C48" s="244" t="s">
        <v>6</v>
      </c>
      <c r="D48" s="245" t="s">
        <v>671</v>
      </c>
      <c r="E48" s="445">
        <v>44376.875</v>
      </c>
      <c r="F48" s="105">
        <f>E48-VLOOKUP(TimeZone!$L$5,TimeZone!$C$4:$E$39,3,0)+VLOOKUP(TimeZone!$H$1,TimeZone!$C$4:$E$39,3,0)</f>
        <v>44376.875</v>
      </c>
      <c r="G48" s="449">
        <v>5</v>
      </c>
      <c r="H48" s="238" t="str">
        <f>_xlfn.IFNA(VLOOKUP($G48,Language!$D$66:$E$81,2,0),"")</f>
        <v>Glasgow</v>
      </c>
      <c r="I48" s="158" t="str">
        <f t="shared" ca="1" si="0"/>
        <v>Schweden</v>
      </c>
      <c r="J48" s="158" t="str">
        <f t="shared" ca="1" si="0"/>
        <v>Ukraine</v>
      </c>
      <c r="K48" s="451">
        <v>8</v>
      </c>
      <c r="L48" s="71"/>
      <c r="M48" s="254" t="s">
        <v>11</v>
      </c>
      <c r="N48" s="255" t="str">
        <f ca="1">Euro!$K$47</f>
        <v>Kroatien</v>
      </c>
    </row>
    <row r="49" spans="2:27" x14ac:dyDescent="0.25">
      <c r="B49" s="106" t="s">
        <v>159</v>
      </c>
      <c r="C49" s="137"/>
      <c r="D49" s="137"/>
      <c r="E49" s="73"/>
      <c r="F49" s="74"/>
      <c r="G49" s="237"/>
      <c r="H49" s="239"/>
      <c r="I49" s="74"/>
      <c r="J49" s="74"/>
      <c r="K49" s="152"/>
      <c r="M49" s="254" t="s">
        <v>6</v>
      </c>
      <c r="N49" s="255" t="str">
        <f ca="1">Euro!$N$46</f>
        <v>Schweden</v>
      </c>
    </row>
    <row r="50" spans="2:27" x14ac:dyDescent="0.25">
      <c r="B50" s="248">
        <v>45</v>
      </c>
      <c r="C50" s="244" t="s">
        <v>688</v>
      </c>
      <c r="D50" s="245" t="s">
        <v>687</v>
      </c>
      <c r="E50" s="445">
        <v>44379.75</v>
      </c>
      <c r="F50" s="105">
        <f>E50-VLOOKUP(TimeZone!$L$5,TimeZone!$C$4:$E$39,3,0)+VLOOKUP(TimeZone!$H$1,TimeZone!$C$4:$E$39,3,0)</f>
        <v>44379.75</v>
      </c>
      <c r="G50" s="448">
        <v>6</v>
      </c>
      <c r="H50" s="238" t="str">
        <f>_xlfn.IFNA(VLOOKUP($G50,Language!$D$66:$E$81,2,0),"")</f>
        <v>Sankt Ptersburg</v>
      </c>
      <c r="I50" s="72"/>
      <c r="J50" s="72"/>
      <c r="K50" s="451">
        <v>1</v>
      </c>
      <c r="M50" s="254" t="s">
        <v>12</v>
      </c>
      <c r="N50" s="255" t="str">
        <f ca="1">Euro!$N$47</f>
        <v>Spanien</v>
      </c>
    </row>
    <row r="51" spans="2:27" x14ac:dyDescent="0.25">
      <c r="B51" s="248">
        <v>46</v>
      </c>
      <c r="C51" s="244" t="s">
        <v>689</v>
      </c>
      <c r="D51" s="245" t="s">
        <v>690</v>
      </c>
      <c r="E51" s="445">
        <v>44379.875</v>
      </c>
      <c r="F51" s="105">
        <f>E51-VLOOKUP(TimeZone!$L$5,TimeZone!$C$4:$E$39,3,0)+VLOOKUP(TimeZone!$H$1,TimeZone!$C$4:$E$39,3,0)</f>
        <v>44379.875</v>
      </c>
      <c r="G51" s="450">
        <v>3</v>
      </c>
      <c r="H51" s="238" t="str">
        <f>_xlfn.IFNA(VLOOKUP($G51,Language!$D$66:$E$81,2,0),"")</f>
        <v>München</v>
      </c>
      <c r="I51" s="71"/>
      <c r="J51" s="72"/>
      <c r="K51" s="451">
        <v>2</v>
      </c>
      <c r="M51" s="254" t="s">
        <v>7</v>
      </c>
      <c r="N51" s="255" t="str">
        <f ca="1">Euro!$Q$46</f>
        <v>Frankreich</v>
      </c>
    </row>
    <row r="52" spans="2:27" x14ac:dyDescent="0.25">
      <c r="B52" s="248">
        <v>47</v>
      </c>
      <c r="C52" s="244" t="s">
        <v>693</v>
      </c>
      <c r="D52" s="245" t="s">
        <v>694</v>
      </c>
      <c r="E52" s="445">
        <v>44380.75</v>
      </c>
      <c r="F52" s="105">
        <f>E52-VLOOKUP(TimeZone!$L$5,TimeZone!$C$4:$E$39,3,0)+VLOOKUP(TimeZone!$H$1,TimeZone!$C$4:$E$39,3,0)</f>
        <v>44380.75</v>
      </c>
      <c r="G52" s="450">
        <v>2</v>
      </c>
      <c r="H52" s="238" t="str">
        <f>_xlfn.IFNA(VLOOKUP($G52,Language!$D$66:$E$81,2,0),"")</f>
        <v>Baku</v>
      </c>
      <c r="I52" s="72"/>
      <c r="J52" s="72"/>
      <c r="K52" s="451">
        <v>3</v>
      </c>
      <c r="M52" s="254" t="s">
        <v>13</v>
      </c>
      <c r="N52" s="255" t="str">
        <f ca="1">Euro!$Q$47</f>
        <v>Deutschland</v>
      </c>
    </row>
    <row r="53" spans="2:27" x14ac:dyDescent="0.25">
      <c r="B53" s="248">
        <v>48</v>
      </c>
      <c r="C53" s="244" t="s">
        <v>692</v>
      </c>
      <c r="D53" s="245" t="s">
        <v>691</v>
      </c>
      <c r="E53" s="445">
        <v>44380.875</v>
      </c>
      <c r="F53" s="105">
        <f>E53-VLOOKUP(TimeZone!$L$5,TimeZone!$C$4:$E$39,3,0)+VLOOKUP(TimeZone!$H$1,TimeZone!$C$4:$E$39,3,0)</f>
        <v>44380.875</v>
      </c>
      <c r="G53" s="449">
        <v>4</v>
      </c>
      <c r="H53" s="238" t="str">
        <f>_xlfn.IFNA(VLOOKUP($G53,Language!$D$66:$E$81,2,0),"")</f>
        <v>Rom</v>
      </c>
      <c r="I53" s="72"/>
      <c r="J53" s="72"/>
      <c r="K53" s="451">
        <v>4</v>
      </c>
      <c r="M53" s="254" t="s">
        <v>669</v>
      </c>
      <c r="N53" s="335" t="str">
        <f ca="1">IF(Distinctness!$G$13&gt;0,VLOOKUP(VLOOKUP(ThirdOfGroup!$I$18,AssignThird!$C$8:$G$22,2,0),CHOOSE({1,2},ThirdOfGroup!$I$4:$I$9,ThirdOfGroup!$C$4:$C$9),2,0),"")</f>
        <v>Portugal</v>
      </c>
      <c r="Q53" s="141"/>
      <c r="R53" s="141"/>
      <c r="S53" s="141"/>
      <c r="T53" s="141"/>
      <c r="U53" s="141"/>
      <c r="V53" s="141"/>
      <c r="W53" s="141"/>
      <c r="X53" s="141"/>
      <c r="Y53" s="141"/>
      <c r="Z53" s="141"/>
      <c r="AA53" s="141"/>
    </row>
    <row r="54" spans="2:27" x14ac:dyDescent="0.25">
      <c r="B54" s="106" t="s">
        <v>160</v>
      </c>
      <c r="C54" s="137"/>
      <c r="D54" s="137"/>
      <c r="E54" s="73"/>
      <c r="F54" s="74"/>
      <c r="G54" s="237"/>
      <c r="H54" s="239"/>
      <c r="I54" s="74"/>
      <c r="J54" s="74"/>
      <c r="K54" s="152"/>
      <c r="M54" s="254" t="s">
        <v>670</v>
      </c>
      <c r="N54" s="255" t="str">
        <f ca="1">IF(Distinctness!$G$13&gt;0,VLOOKUP(VLOOKUP(ThirdOfGroup!$I$18,AssignThird!$C$8:$G$22,3,0),CHOOSE({1,2},ThirdOfGroup!$I$4:$I$9,ThirdOfGroup!$C$4:$C$9),2,0),"")</f>
        <v>Tschechien</v>
      </c>
      <c r="Q54" s="141"/>
      <c r="R54" s="141"/>
      <c r="S54" s="141"/>
      <c r="T54" s="141"/>
      <c r="U54" s="141"/>
      <c r="V54" s="141"/>
      <c r="W54" s="141"/>
      <c r="X54" s="141"/>
      <c r="Y54" s="141"/>
      <c r="Z54" s="141"/>
      <c r="AA54" s="141"/>
    </row>
    <row r="55" spans="2:27" x14ac:dyDescent="0.25">
      <c r="B55" s="248">
        <v>49</v>
      </c>
      <c r="C55" s="244" t="s">
        <v>696</v>
      </c>
      <c r="D55" s="245" t="s">
        <v>695</v>
      </c>
      <c r="E55" s="445">
        <v>44383.875</v>
      </c>
      <c r="F55" s="105">
        <f>E55-VLOOKUP(TimeZone!$L$5,TimeZone!$C$4:$E$39,3,0)+VLOOKUP(TimeZone!$H$1,TimeZone!$C$4:$E$39,3,0)</f>
        <v>44383.875</v>
      </c>
      <c r="G55" s="448">
        <v>1</v>
      </c>
      <c r="H55" s="238" t="str">
        <f>_xlfn.IFNA(VLOOKUP($G55,Language!$D$66:$E$81,2,0),"")</f>
        <v>London</v>
      </c>
      <c r="I55" s="72"/>
      <c r="J55" s="72"/>
      <c r="K55" s="452" t="str">
        <f>Language!$E$120</f>
        <v>Halbfinale 1</v>
      </c>
      <c r="M55" s="254" t="s">
        <v>671</v>
      </c>
      <c r="N55" s="255" t="str">
        <f ca="1">IF(Distinctness!$G$13&gt;0,VLOOKUP(VLOOKUP(ThirdOfGroup!$I$18,AssignThird!$C$8:$G$22,4,0),CHOOSE({1,2},ThirdOfGroup!$I$4:$I$9,ThirdOfGroup!$C$4:$C$9),2,0),"")</f>
        <v>Ukraine</v>
      </c>
      <c r="P55" s="141"/>
      <c r="Q55" s="141"/>
      <c r="R55" s="141"/>
      <c r="S55" s="141"/>
      <c r="T55" s="141"/>
      <c r="U55" s="141"/>
      <c r="V55" s="141"/>
      <c r="W55" s="141"/>
      <c r="X55" s="141"/>
      <c r="Y55" s="141"/>
      <c r="Z55" s="141"/>
      <c r="AA55" s="141"/>
    </row>
    <row r="56" spans="2:27" ht="15.75" thickBot="1" x14ac:dyDescent="0.3">
      <c r="B56" s="248">
        <v>50</v>
      </c>
      <c r="C56" s="244" t="s">
        <v>698</v>
      </c>
      <c r="D56" s="245" t="s">
        <v>697</v>
      </c>
      <c r="E56" s="445">
        <v>44384.875</v>
      </c>
      <c r="F56" s="105">
        <f>E56-VLOOKUP(TimeZone!$L$5,TimeZone!$C$4:$E$39,3,0)+VLOOKUP(TimeZone!$H$1,TimeZone!$C$4:$E$39,3,0)</f>
        <v>44384.875</v>
      </c>
      <c r="G56" s="449">
        <v>1</v>
      </c>
      <c r="H56" s="238" t="str">
        <f>_xlfn.IFNA(VLOOKUP($G56,Language!$D$66:$E$81,2,0),"")</f>
        <v>London</v>
      </c>
      <c r="I56" s="72"/>
      <c r="J56" s="72"/>
      <c r="K56" s="452" t="str">
        <f>Language!$E$121</f>
        <v>Halbfinale 2</v>
      </c>
      <c r="M56" s="256" t="s">
        <v>668</v>
      </c>
      <c r="N56" s="257" t="str">
        <f ca="1">IF(Distinctness!$G$13&gt;0,VLOOKUP(VLOOKUP(ThirdOfGroup!$I$18,AssignThird!$C$8:$G$22,5,0),CHOOSE({1,2},ThirdOfGroup!$I$4:$I$9,ThirdOfGroup!$C$4:$C$9),2,0),"")</f>
        <v>Wales</v>
      </c>
      <c r="P56" s="141"/>
      <c r="Q56" s="141"/>
      <c r="R56" s="141"/>
      <c r="S56" s="141"/>
      <c r="T56" s="141"/>
      <c r="U56" s="141"/>
      <c r="V56" s="141"/>
      <c r="W56" s="141"/>
      <c r="X56" s="141"/>
      <c r="Y56" s="141"/>
      <c r="Z56" s="141"/>
      <c r="AA56" s="142"/>
    </row>
    <row r="57" spans="2:27" x14ac:dyDescent="0.25">
      <c r="B57" s="106" t="s">
        <v>67</v>
      </c>
      <c r="C57" s="137"/>
      <c r="D57" s="137"/>
      <c r="E57" s="73"/>
      <c r="F57" s="74"/>
      <c r="G57" s="237"/>
      <c r="H57" s="239"/>
      <c r="I57" s="74"/>
      <c r="J57" s="74"/>
      <c r="K57" s="152"/>
      <c r="M57" s="178"/>
      <c r="N57" s="178"/>
    </row>
    <row r="58" spans="2:27" ht="15.75" thickBot="1" x14ac:dyDescent="0.3">
      <c r="B58" s="249">
        <v>51</v>
      </c>
      <c r="C58" s="246" t="s">
        <v>339</v>
      </c>
      <c r="D58" s="247" t="s">
        <v>340</v>
      </c>
      <c r="E58" s="446">
        <v>44388.875</v>
      </c>
      <c r="F58" s="250">
        <f>E58-VLOOKUP(TimeZone!$L$5,TimeZone!$C$4:$E$39,3,0)+VLOOKUP(TimeZone!$H$1,TimeZone!$C$4:$E$39,3,0)</f>
        <v>44388.875</v>
      </c>
      <c r="G58" s="447">
        <v>1</v>
      </c>
      <c r="H58" s="251" t="str">
        <f>_xlfn.IFNA(VLOOKUP($G58,Language!$D$66:$E$81,2,0),"")</f>
        <v>London</v>
      </c>
      <c r="I58" s="104"/>
      <c r="J58" s="151"/>
      <c r="K58" s="159" t="str">
        <f>Language!$E$123</f>
        <v>Finale</v>
      </c>
      <c r="M58" s="178"/>
      <c r="N58" s="178"/>
    </row>
    <row r="59" spans="2:27" ht="15.75" thickTop="1" x14ac:dyDescent="0.25"/>
  </sheetData>
  <sheetProtection sheet="1" selectLockedCells="1"/>
  <mergeCells count="2">
    <mergeCell ref="B1:J1"/>
    <mergeCell ref="C3:D3"/>
  </mergeCells>
  <pageMargins left="0.7" right="0.7" top="0.78740157499999996" bottom="0.78740157499999996"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14C46-CEEA-4263-A490-56BB89862C2B}">
  <sheetPr codeName="Tabelle5"/>
  <dimension ref="B1:E15"/>
  <sheetViews>
    <sheetView workbookViewId="0">
      <selection activeCell="D7" sqref="D7"/>
    </sheetView>
  </sheetViews>
  <sheetFormatPr baseColWidth="10" defaultRowHeight="15" x14ac:dyDescent="0.25"/>
  <cols>
    <col min="2" max="2" width="14.28515625" customWidth="1"/>
    <col min="3" max="3" width="15.28515625" customWidth="1"/>
    <col min="4" max="4" width="7.28515625" customWidth="1"/>
    <col min="5" max="5" width="18.28515625" customWidth="1"/>
  </cols>
  <sheetData>
    <row r="1" spans="2:5" ht="28.5" x14ac:dyDescent="0.45">
      <c r="B1" s="668" t="s">
        <v>741</v>
      </c>
      <c r="C1" s="668"/>
    </row>
    <row r="3" spans="2:5" ht="15.75" thickBot="1" x14ac:dyDescent="0.3">
      <c r="B3" s="54" t="s">
        <v>741</v>
      </c>
      <c r="C3" s="54" t="s">
        <v>864</v>
      </c>
    </row>
    <row r="4" spans="2:5" ht="15.75" thickTop="1" x14ac:dyDescent="0.25">
      <c r="B4" s="53">
        <v>10000000</v>
      </c>
      <c r="C4" s="291" t="s">
        <v>221</v>
      </c>
    </row>
    <row r="5" spans="2:5" x14ac:dyDescent="0.25">
      <c r="B5" s="52">
        <v>1000000</v>
      </c>
      <c r="C5" s="292" t="s">
        <v>232</v>
      </c>
    </row>
    <row r="6" spans="2:5" x14ac:dyDescent="0.25">
      <c r="B6" s="52">
        <v>100000</v>
      </c>
      <c r="C6" s="292" t="s">
        <v>233</v>
      </c>
    </row>
    <row r="7" spans="2:5" x14ac:dyDescent="0.25">
      <c r="B7" s="52">
        <v>1000</v>
      </c>
      <c r="C7" s="292" t="s">
        <v>230</v>
      </c>
      <c r="D7" s="52">
        <v>50</v>
      </c>
      <c r="E7" s="292" t="s">
        <v>541</v>
      </c>
    </row>
    <row r="8" spans="2:5" x14ac:dyDescent="0.25">
      <c r="B8" s="52">
        <v>10</v>
      </c>
      <c r="C8" s="292" t="s">
        <v>231</v>
      </c>
    </row>
    <row r="9" spans="2:5" x14ac:dyDescent="0.25">
      <c r="B9" s="52">
        <v>1</v>
      </c>
      <c r="C9" s="292" t="s">
        <v>803</v>
      </c>
    </row>
    <row r="10" spans="2:5" x14ac:dyDescent="0.25">
      <c r="B10" s="52">
        <v>0.1</v>
      </c>
      <c r="C10" s="292" t="s">
        <v>525</v>
      </c>
    </row>
    <row r="11" spans="2:5" x14ac:dyDescent="0.25">
      <c r="B11" s="52">
        <v>0.01</v>
      </c>
      <c r="C11" s="292" t="s">
        <v>538</v>
      </c>
    </row>
    <row r="12" spans="2:5" x14ac:dyDescent="0.25">
      <c r="B12" s="52">
        <v>1E-3</v>
      </c>
      <c r="C12" s="292" t="s">
        <v>530</v>
      </c>
    </row>
    <row r="13" spans="2:5" x14ac:dyDescent="0.25">
      <c r="B13" s="52">
        <v>1E-4</v>
      </c>
      <c r="C13" s="292" t="s">
        <v>37</v>
      </c>
    </row>
    <row r="14" spans="2:5" x14ac:dyDescent="0.25">
      <c r="B14" s="52">
        <v>9.9999999999999995E-7</v>
      </c>
      <c r="C14" s="292" t="s">
        <v>640</v>
      </c>
    </row>
    <row r="15" spans="2:5" x14ac:dyDescent="0.25">
      <c r="B15" s="52">
        <v>1E-8</v>
      </c>
      <c r="C15" s="292" t="s">
        <v>738</v>
      </c>
    </row>
  </sheetData>
  <sheetProtection selectLockedCells="1"/>
  <sortState xmlns:xlrd2="http://schemas.microsoft.com/office/spreadsheetml/2017/richdata2" ref="B7:C13">
    <sortCondition descending="1" ref="B7"/>
  </sortState>
  <mergeCells count="1">
    <mergeCell ref="B1:C1"/>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6B9FE-2884-4969-A65C-EBC36322FD1B}">
  <sheetPr codeName="Tabelle10"/>
  <dimension ref="B1:N14"/>
  <sheetViews>
    <sheetView workbookViewId="0">
      <selection activeCell="I21" sqref="I21"/>
    </sheetView>
  </sheetViews>
  <sheetFormatPr baseColWidth="10" defaultRowHeight="15" x14ac:dyDescent="0.25"/>
  <sheetData>
    <row r="1" spans="2:14" ht="23.25" x14ac:dyDescent="0.35">
      <c r="B1" s="91" t="s">
        <v>342</v>
      </c>
      <c r="C1" s="91"/>
      <c r="D1" s="91"/>
      <c r="E1" s="91"/>
      <c r="F1" s="91"/>
    </row>
    <row r="3" spans="2:14" x14ac:dyDescent="0.25">
      <c r="B3" s="56" t="s">
        <v>239</v>
      </c>
      <c r="C3" s="56" t="s">
        <v>238</v>
      </c>
      <c r="D3" s="56" t="s">
        <v>237</v>
      </c>
      <c r="E3" s="56" t="s">
        <v>240</v>
      </c>
      <c r="F3" s="56" t="s">
        <v>348</v>
      </c>
      <c r="G3" s="56" t="s">
        <v>46</v>
      </c>
      <c r="H3" s="56" t="s">
        <v>236</v>
      </c>
      <c r="J3" s="88"/>
      <c r="K3" s="89"/>
      <c r="L3" s="89"/>
      <c r="M3" s="89"/>
      <c r="N3" s="89"/>
    </row>
    <row r="4" spans="2:14" x14ac:dyDescent="0.25">
      <c r="B4" s="29" t="s">
        <v>30</v>
      </c>
      <c r="C4" s="29">
        <f ca="1">GrpA!$X$11</f>
        <v>0</v>
      </c>
      <c r="D4" s="58">
        <f ca="1">COUNTIF($C$4:$C$9,"&gt;0")</f>
        <v>0</v>
      </c>
      <c r="E4" s="29" t="str">
        <f t="shared" ref="E4:E9" ca="1" si="0">IF($C4&gt;0,$B4,"")</f>
        <v/>
      </c>
      <c r="F4" s="155">
        <f ca="1">LEN($E4)</f>
        <v>0</v>
      </c>
      <c r="G4" s="155">
        <f ca="1">SUM($F$4:$F4)</f>
        <v>0</v>
      </c>
      <c r="H4" t="str">
        <f ca="1">IF($E4&lt;&gt;"",$E4&amp;IF($G4=$G$9,"",IF($G4&lt;$G$9-1,", ",Language!$E$137)),"")</f>
        <v/>
      </c>
      <c r="J4" s="669" t="str">
        <f ca="1">Language!$E$135&amp;"  "&amp;$H$11&amp;"."</f>
        <v>Gruppen mit Fair-Play-Wertung:  .</v>
      </c>
      <c r="K4" s="670"/>
      <c r="L4" s="670"/>
      <c r="M4" s="670"/>
      <c r="N4" s="670"/>
    </row>
    <row r="5" spans="2:14" x14ac:dyDescent="0.25">
      <c r="B5" s="29" t="s">
        <v>26</v>
      </c>
      <c r="C5" s="29">
        <f ca="1">GrpB!$X$11</f>
        <v>0</v>
      </c>
      <c r="E5" s="29" t="str">
        <f t="shared" ca="1" si="0"/>
        <v/>
      </c>
      <c r="F5" s="155">
        <f t="shared" ref="F5:F9" ca="1" si="1">LEN($E5)</f>
        <v>0</v>
      </c>
      <c r="G5" s="155">
        <f ca="1">SUM($F$4:$F5)</f>
        <v>0</v>
      </c>
      <c r="H5" t="str">
        <f ca="1">IF($E5&lt;&gt;"",$E5&amp;IF($G5=$G$9,"",IF($G5&lt;$G$9-1,", ",Language!$E$137)),"")</f>
        <v/>
      </c>
      <c r="J5" s="671" t="str">
        <f>Language!$E$136</f>
        <v>Die Platzierung ist in allen Gruppen geklärt.</v>
      </c>
      <c r="K5" s="671"/>
      <c r="L5" s="671"/>
      <c r="M5" s="671"/>
      <c r="N5" s="671"/>
    </row>
    <row r="6" spans="2:14" x14ac:dyDescent="0.25">
      <c r="B6" s="29" t="s">
        <v>27</v>
      </c>
      <c r="C6" s="29">
        <f ca="1">GrpC!$X$11</f>
        <v>0</v>
      </c>
      <c r="E6" s="29" t="str">
        <f t="shared" ca="1" si="0"/>
        <v/>
      </c>
      <c r="F6" s="155">
        <f t="shared" ca="1" si="1"/>
        <v>0</v>
      </c>
      <c r="G6" s="155">
        <f ca="1">SUM($F$4:$F6)</f>
        <v>0</v>
      </c>
      <c r="H6" t="str">
        <f ca="1">IF($E6&lt;&gt;"",$E6&amp;IF($G6=$G$9,"",IF($G6&lt;$G$9-1,", ",Language!$E$137)),"")</f>
        <v/>
      </c>
    </row>
    <row r="7" spans="2:14" x14ac:dyDescent="0.25">
      <c r="B7" s="29" t="s">
        <v>31</v>
      </c>
      <c r="C7" s="29">
        <f ca="1">GrpD!$X$11</f>
        <v>0</v>
      </c>
      <c r="E7" s="29" t="str">
        <f t="shared" ca="1" si="0"/>
        <v/>
      </c>
      <c r="F7" s="155">
        <f t="shared" ca="1" si="1"/>
        <v>0</v>
      </c>
      <c r="G7" s="155">
        <f ca="1">SUM($F$4:$F7)</f>
        <v>0</v>
      </c>
      <c r="H7" t="str">
        <f ca="1">IF($E7&lt;&gt;"",$E7&amp;IF($G7=$G$9,"",IF($G7&lt;$G$9-1,", ",Language!$E$137)),"")</f>
        <v/>
      </c>
      <c r="J7" s="88"/>
      <c r="K7" s="88"/>
      <c r="L7" s="88"/>
      <c r="M7" s="88"/>
      <c r="N7" s="88"/>
    </row>
    <row r="8" spans="2:14" x14ac:dyDescent="0.25">
      <c r="B8" s="29" t="s">
        <v>28</v>
      </c>
      <c r="C8" s="29">
        <f ca="1">GrpE!$X$11</f>
        <v>0</v>
      </c>
      <c r="E8" s="29" t="str">
        <f t="shared" ca="1" si="0"/>
        <v/>
      </c>
      <c r="F8" s="155">
        <f t="shared" ca="1" si="1"/>
        <v>0</v>
      </c>
      <c r="G8" s="155">
        <f ca="1">SUM($F$4:$F8)</f>
        <v>0</v>
      </c>
      <c r="H8" t="str">
        <f ca="1">IF($E8&lt;&gt;"",$E8&amp;IF($G8=$G$9,"",IF($G8&lt;$G$9-1,", ",Language!$E$137)),"")</f>
        <v/>
      </c>
      <c r="J8" s="88"/>
      <c r="K8" s="88"/>
      <c r="L8" s="88"/>
      <c r="M8" s="88"/>
      <c r="N8" s="88"/>
    </row>
    <row r="9" spans="2:14" x14ac:dyDescent="0.25">
      <c r="B9" s="29" t="s">
        <v>29</v>
      </c>
      <c r="C9" s="29">
        <f ca="1">GrpF!$X$11</f>
        <v>0</v>
      </c>
      <c r="E9" s="29" t="str">
        <f t="shared" ca="1" si="0"/>
        <v/>
      </c>
      <c r="F9" s="155">
        <f t="shared" ca="1" si="1"/>
        <v>0</v>
      </c>
      <c r="G9" s="155">
        <f ca="1">SUM($F$4:$F9)</f>
        <v>0</v>
      </c>
      <c r="H9" t="str">
        <f ca="1">$E9</f>
        <v/>
      </c>
    </row>
    <row r="10" spans="2:14" x14ac:dyDescent="0.25">
      <c r="J10" s="90"/>
      <c r="K10" s="90"/>
      <c r="L10" s="90"/>
      <c r="M10" s="90"/>
      <c r="N10" s="90"/>
    </row>
    <row r="11" spans="2:14" x14ac:dyDescent="0.25">
      <c r="G11" s="56" t="s">
        <v>235</v>
      </c>
      <c r="H11" s="672" t="str">
        <f ca="1">$H$4&amp;$H$5&amp;$H$6&amp;$H$7&amp;$H$8&amp;$H$9</f>
        <v/>
      </c>
      <c r="I11" s="673"/>
      <c r="J11" s="90"/>
      <c r="K11" s="90"/>
      <c r="L11" s="90"/>
      <c r="M11" s="90"/>
      <c r="N11" s="90"/>
    </row>
    <row r="12" spans="2:14" ht="15.75" thickBot="1" x14ac:dyDescent="0.3"/>
    <row r="13" spans="2:14" ht="15.75" thickBot="1" x14ac:dyDescent="0.3">
      <c r="F13" s="59" t="s">
        <v>659</v>
      </c>
      <c r="G13" s="334">
        <f ca="1">GrpA!$M$10+GrpB!$M$10+GrpC!$M$10+GrpD!$M$10+GrpE!$M$10+GrpF!$M$10</f>
        <v>36</v>
      </c>
      <c r="H13" s="146"/>
      <c r="J13" s="97"/>
      <c r="K13" s="97"/>
    </row>
    <row r="14" spans="2:14" x14ac:dyDescent="0.25">
      <c r="J14" s="98"/>
      <c r="K14" s="98"/>
    </row>
  </sheetData>
  <mergeCells count="3">
    <mergeCell ref="J4:N4"/>
    <mergeCell ref="J5:N5"/>
    <mergeCell ref="H11:I11"/>
  </mergeCells>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82994-070D-4695-90F6-A813A66E4ABB}">
  <sheetPr codeName="Tabelle16"/>
  <dimension ref="A1:H10"/>
  <sheetViews>
    <sheetView workbookViewId="0"/>
  </sheetViews>
  <sheetFormatPr baseColWidth="10" defaultRowHeight="15" x14ac:dyDescent="0.25"/>
  <cols>
    <col min="3" max="3" width="10.28515625" customWidth="1"/>
    <col min="4" max="4" width="9.85546875" customWidth="1"/>
    <col min="6" max="6" width="6.42578125" customWidth="1"/>
    <col min="7" max="8" width="18.7109375" customWidth="1"/>
  </cols>
  <sheetData>
    <row r="1" spans="1:8" x14ac:dyDescent="0.25">
      <c r="A1" s="553" t="s">
        <v>856</v>
      </c>
    </row>
    <row r="2" spans="1:8" ht="28.5" x14ac:dyDescent="0.45">
      <c r="B2" s="676" t="s">
        <v>369</v>
      </c>
      <c r="C2" s="676"/>
      <c r="D2" s="676"/>
      <c r="E2" s="676"/>
      <c r="F2" s="676"/>
      <c r="G2" s="676"/>
      <c r="H2" s="676"/>
    </row>
    <row r="3" spans="1:8" ht="53.25" customHeight="1" thickBot="1" x14ac:dyDescent="0.3"/>
    <row r="4" spans="1:8" ht="25.5" customHeight="1" x14ac:dyDescent="0.25">
      <c r="B4" s="512" t="s">
        <v>239</v>
      </c>
      <c r="C4" s="674" t="s">
        <v>807</v>
      </c>
      <c r="D4" s="675"/>
      <c r="G4" s="512" t="s">
        <v>228</v>
      </c>
      <c r="H4" s="519" t="s">
        <v>229</v>
      </c>
    </row>
    <row r="5" spans="1:8" ht="20.100000000000001" customHeight="1" x14ac:dyDescent="0.25">
      <c r="B5" s="509" t="s">
        <v>30</v>
      </c>
      <c r="C5" s="510" t="s">
        <v>26</v>
      </c>
      <c r="D5" s="511" t="s">
        <v>27</v>
      </c>
      <c r="G5" s="513">
        <v>13</v>
      </c>
      <c r="H5" s="511">
        <v>14</v>
      </c>
    </row>
    <row r="6" spans="1:8" ht="20.100000000000001" customHeight="1" x14ac:dyDescent="0.25">
      <c r="B6" s="503" t="s">
        <v>26</v>
      </c>
      <c r="C6" s="504" t="s">
        <v>28</v>
      </c>
      <c r="D6" s="505" t="s">
        <v>29</v>
      </c>
      <c r="G6" s="514">
        <v>18</v>
      </c>
      <c r="H6" s="515">
        <v>19</v>
      </c>
    </row>
    <row r="7" spans="1:8" ht="20.100000000000001" customHeight="1" x14ac:dyDescent="0.25">
      <c r="B7" s="503" t="s">
        <v>27</v>
      </c>
      <c r="C7" s="504" t="s">
        <v>38</v>
      </c>
      <c r="D7" s="505" t="s">
        <v>39</v>
      </c>
      <c r="G7" s="514">
        <v>23</v>
      </c>
      <c r="H7" s="515">
        <v>24</v>
      </c>
    </row>
    <row r="8" spans="1:8" ht="20.100000000000001" customHeight="1" x14ac:dyDescent="0.25">
      <c r="B8" s="503" t="s">
        <v>31</v>
      </c>
      <c r="C8" s="504" t="s">
        <v>40</v>
      </c>
      <c r="D8" s="505" t="s">
        <v>41</v>
      </c>
      <c r="G8" s="514">
        <v>28</v>
      </c>
      <c r="H8" s="516">
        <v>29</v>
      </c>
    </row>
    <row r="9" spans="1:8" ht="20.100000000000001" customHeight="1" x14ac:dyDescent="0.25">
      <c r="B9" s="503" t="s">
        <v>28</v>
      </c>
      <c r="C9" s="504" t="s">
        <v>42</v>
      </c>
      <c r="D9" s="505" t="s">
        <v>43</v>
      </c>
      <c r="G9" s="514">
        <v>33</v>
      </c>
      <c r="H9" s="517">
        <v>34</v>
      </c>
    </row>
    <row r="10" spans="1:8" ht="20.100000000000001" customHeight="1" thickBot="1" x14ac:dyDescent="0.3">
      <c r="B10" s="506" t="s">
        <v>29</v>
      </c>
      <c r="C10" s="507" t="s">
        <v>44</v>
      </c>
      <c r="D10" s="508" t="s">
        <v>45</v>
      </c>
      <c r="G10" s="518">
        <v>40</v>
      </c>
      <c r="H10" s="508">
        <v>41</v>
      </c>
    </row>
  </sheetData>
  <mergeCells count="2">
    <mergeCell ref="C4:D4"/>
    <mergeCell ref="B2:H2"/>
  </mergeCells>
  <pageMargins left="0.7" right="0.7" top="0.78740157499999996" bottom="0.78740157499999996"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12325-276B-4471-AA31-98322DF2B178}">
  <sheetPr codeName="Tabelle6"/>
  <dimension ref="A1:AG36"/>
  <sheetViews>
    <sheetView zoomScaleNormal="100" workbookViewId="0">
      <selection activeCell="Q1" sqref="Q1"/>
    </sheetView>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29"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42578125" customWidth="1"/>
  </cols>
  <sheetData>
    <row r="1" spans="1:33" ht="23.25" x14ac:dyDescent="0.35">
      <c r="A1" s="48"/>
      <c r="B1" s="47" t="str">
        <f>VLOOKUP($Q$1,References!$B$5:$D$10,2,0)</f>
        <v>B</v>
      </c>
      <c r="D1" s="47" t="str">
        <f>VLOOKUP($Q$1,References!$B$5:$D$10,3,0)</f>
        <v>C</v>
      </c>
      <c r="P1" s="231" t="s">
        <v>239</v>
      </c>
      <c r="Q1" s="232" t="s">
        <v>30</v>
      </c>
    </row>
    <row r="2" spans="1:33" ht="8.25" customHeight="1" x14ac:dyDescent="0.25"/>
    <row r="3" spans="1:33" x14ac:dyDescent="0.25">
      <c r="B3" s="681" t="s">
        <v>225</v>
      </c>
      <c r="C3" s="681"/>
      <c r="D3" s="681"/>
      <c r="E3" s="681" t="s">
        <v>226</v>
      </c>
      <c r="F3" s="681"/>
      <c r="G3" s="681"/>
      <c r="H3" s="681" t="s">
        <v>221</v>
      </c>
      <c r="I3" s="681"/>
      <c r="J3" s="687" t="s">
        <v>554</v>
      </c>
      <c r="K3" s="687"/>
      <c r="L3" s="687"/>
      <c r="M3" s="302" t="s">
        <v>196</v>
      </c>
      <c r="N3" s="86"/>
      <c r="O3" s="46"/>
      <c r="P3" s="45"/>
      <c r="Q3" s="302" t="s">
        <v>221</v>
      </c>
      <c r="R3" s="302" t="s">
        <v>218</v>
      </c>
      <c r="S3" s="302" t="s">
        <v>804</v>
      </c>
      <c r="T3" s="302" t="s">
        <v>805</v>
      </c>
      <c r="U3" s="467" t="s">
        <v>803</v>
      </c>
      <c r="V3" s="340" t="s">
        <v>222</v>
      </c>
      <c r="W3" s="302" t="s">
        <v>223</v>
      </c>
      <c r="X3" s="302" t="s">
        <v>224</v>
      </c>
      <c r="Y3" s="302" t="s">
        <v>539</v>
      </c>
      <c r="Z3" s="302" t="s">
        <v>540</v>
      </c>
      <c r="AA3" s="302" t="s">
        <v>531</v>
      </c>
      <c r="AB3" s="302" t="s">
        <v>37</v>
      </c>
      <c r="AC3" s="302" t="s">
        <v>349</v>
      </c>
      <c r="AD3" s="302" t="s">
        <v>227</v>
      </c>
      <c r="AE3" s="318" t="s">
        <v>555</v>
      </c>
      <c r="AF3" s="318" t="s">
        <v>640</v>
      </c>
    </row>
    <row r="4" spans="1:33" x14ac:dyDescent="0.25">
      <c r="B4" s="275" t="str">
        <f ca="1">INDIRECT("'"&amp;References!$A$1&amp;"'!"&amp;$B$1&amp;References!$G5)</f>
        <v>Türkei</v>
      </c>
      <c r="C4" s="276" t="s">
        <v>36</v>
      </c>
      <c r="D4" s="277" t="str">
        <f ca="1">INDIRECT("'"&amp;References!$A$1&amp;"'!"&amp;$D$1&amp;References!$G5)</f>
        <v>Italien</v>
      </c>
      <c r="E4" s="275">
        <f ca="1">IF(OR(INDIRECT("'"&amp;References!$A$1&amp;"'!"&amp;$B$1&amp;References!$H5)="",INDIRECT("'"&amp;References!$A$1&amp;"'!"&amp;$D$1&amp;References!$H5)=""),"",INDIRECT("'"&amp;References!$A$1&amp;"'!"&amp;$B$1&amp;References!$H5))</f>
        <v>0</v>
      </c>
      <c r="F4" s="276" t="s">
        <v>36</v>
      </c>
      <c r="G4" s="281">
        <f ca="1">IF(OR(INDIRECT("'"&amp;References!$A$1&amp;"'!"&amp;$B$1&amp;References!$H5)="",INDIRECT("'"&amp;References!$A$1&amp;"'!"&amp;$D$1&amp;References!$H5)=""),"",INDIRECT("'"&amp;References!$A$1&amp;"'!"&amp;$D$1&amp;References!$H5))</f>
        <v>3</v>
      </c>
      <c r="H4" s="301">
        <f t="shared" ref="H4:H9" ca="1" si="0">IF($M4&gt;0,IF($E4&gt;$G4,3,IF($E4=$G4,1,0)),0)</f>
        <v>0</v>
      </c>
      <c r="I4" s="301">
        <f t="shared" ref="I4:I9" ca="1" si="1">IF($M4&gt;0,IF($E4&lt;$G4,3,IF($E4=$G4,1,0)),0)</f>
        <v>3</v>
      </c>
      <c r="L4" s="35"/>
      <c r="M4" s="301">
        <f t="shared" ref="M4:M9" ca="1" si="2">IF(AND($E4&lt;&gt;"",$G4&lt;&gt;""),1,0)</f>
        <v>1</v>
      </c>
      <c r="N4" s="466"/>
      <c r="O4" s="301" t="s">
        <v>32</v>
      </c>
      <c r="P4" s="44" t="str">
        <f>VLOOKUP($Q$1&amp;ROW($A1),Groups!$B$7:$D$35,3,0)</f>
        <v>Türkei</v>
      </c>
      <c r="Q4" s="301">
        <f ca="1">SUMIF($B$4:$B$9,P4,$H$4:$H$9)+SUMIF($D$4:$D$9,P4,$I$4:$I$9)</f>
        <v>0</v>
      </c>
      <c r="R4" s="301">
        <f ca="1">S4-T4</f>
        <v>-7</v>
      </c>
      <c r="S4" s="301">
        <f ca="1">SUMIF($B$4:$B$9,$P4,$E$4:$E$9)+SUMIF($D$4:$D$9,$P4,$G$4:$G$9)</f>
        <v>1</v>
      </c>
      <c r="T4" s="301">
        <f ca="1">SUMIF($B$4:$B$9,$P4,$G$4:$G$9)+SUMIF($D$4:$D$9,$P4,$E$4:$E$9)</f>
        <v>8</v>
      </c>
      <c r="U4" s="466">
        <f ca="1">COUNTIFS($B$4:$B$9,$P4,$H$4:$H$9,"=3")+COUNTIFS($D$4:$D$9,$P4,$I$4:$I$9,"=3")</f>
        <v>0</v>
      </c>
      <c r="V4" s="398">
        <f ca="1">$Q4*FactorPts+(GDzero+$R4)*FactorGD+$S4*FactorFor+$U4*FactorWins+$W4*FactorDirC3+$X4*FactorDirC2+$Y4*FactorDirC43+$Z4*FactorDirC42+$AA4*FactorDirC42+$AB4*FactorFairPlay+$AE4*FactorPenalty+(100-$AF4)*($M$10&gt;0)*FactorRank+(8-ROW())*FactorRow</f>
        <v>43010.000086040003</v>
      </c>
      <c r="W4" s="303">
        <f ca="1">SUMIFS($X$18:$X$35,$P$18:$P$35,$P4)</f>
        <v>0</v>
      </c>
      <c r="X4" s="303">
        <f ca="1">IF($L18="",0,$L18)+SUMIFS($Z$18:$Z$35,$P$18:$P$35,$P4)</f>
        <v>0</v>
      </c>
      <c r="Y4">
        <f ca="1">SUMIFS($AD$18:$AD$35,$P$18:$P$35,$P4)</f>
        <v>0</v>
      </c>
      <c r="Z4">
        <f ca="1">SUMIFS($AE$18:$AE$35,$P$18:$P$35,$P4)</f>
        <v>0</v>
      </c>
      <c r="AA4" s="301">
        <f ca="1">IF($M18="",0,$M18)</f>
        <v>0</v>
      </c>
      <c r="AB4" s="301">
        <f>SUMIFS(FairPlayPoints1,FairPlayTeams1,$P4)+SUMIFS(FairPlayPoints2,FairPlayTeams2,$P4)</f>
        <v>0</v>
      </c>
      <c r="AC4" s="301" t="b">
        <f ca="1">(Q4+T4&gt;0)</f>
        <v>1</v>
      </c>
      <c r="AD4" s="313">
        <f ca="1">$Q4*FactorPts+(GDzero+$R4)*FactorGD+$S4*FactorFor</f>
        <v>43010</v>
      </c>
      <c r="AE4" s="317">
        <f ca="1">IF(OR(AND($Y$11&gt;0,OR(AND($B$8=$P4,$J$8&gt;$L$8),AND($D$8=$P4,$J$8&lt;$L$8))),AND($Y$12&gt;0,OR(AND($B$9=$P4,$J$9&gt;$L$9),AND($D$9=$P4,$J$9&lt;$L$9)))),1,0)</f>
        <v>0</v>
      </c>
      <c r="AF4" s="317">
        <f>INDEX(Language!$D$5:$D$59,MATCH($P4,Language!$E$5:$E$59,0),1)</f>
        <v>14</v>
      </c>
      <c r="AG4" s="317"/>
    </row>
    <row r="5" spans="1:33" x14ac:dyDescent="0.25">
      <c r="B5" s="278" t="str">
        <f ca="1">INDIRECT("'"&amp;References!$A$1&amp;"'!"&amp;$B$1&amp;References!$G6)</f>
        <v>Wales</v>
      </c>
      <c r="C5" s="279" t="s">
        <v>36</v>
      </c>
      <c r="D5" s="280" t="str">
        <f ca="1">INDIRECT("'"&amp;References!$A$1&amp;"'!"&amp;$D$1&amp;References!$G6)</f>
        <v>Schweiz</v>
      </c>
      <c r="E5" s="278">
        <f ca="1">IF(OR(INDIRECT("'"&amp;References!$A$1&amp;"'!"&amp;$B$1&amp;References!$H6)="",INDIRECT("'"&amp;References!$A$1&amp;"'!"&amp;$D$1&amp;References!$H6)=""),"",INDIRECT("'"&amp;References!$A$1&amp;"'!"&amp;$B$1&amp;References!$H6))</f>
        <v>1</v>
      </c>
      <c r="F5" s="279" t="s">
        <v>36</v>
      </c>
      <c r="G5" s="282">
        <f ca="1">IF(OR(INDIRECT("'"&amp;References!$A$1&amp;"'!"&amp;$B$1&amp;References!$H6)="",INDIRECT("'"&amp;References!$A$1&amp;"'!"&amp;$D$1&amp;References!$H6)=""),"",INDIRECT("'"&amp;References!$A$1&amp;"'!"&amp;$D$1&amp;References!$H6))</f>
        <v>1</v>
      </c>
      <c r="H5" s="301">
        <f t="shared" ca="1" si="0"/>
        <v>1</v>
      </c>
      <c r="I5" s="301">
        <f t="shared" ca="1" si="1"/>
        <v>1</v>
      </c>
      <c r="L5" s="35"/>
      <c r="M5" s="301">
        <f t="shared" ca="1" si="2"/>
        <v>1</v>
      </c>
      <c r="N5" s="466"/>
      <c r="O5" s="301" t="s">
        <v>33</v>
      </c>
      <c r="P5" s="44" t="str">
        <f>VLOOKUP($Q$1&amp;ROW($A2),Groups!$B$7:$D$35,3,0)</f>
        <v>Italien</v>
      </c>
      <c r="Q5" s="301">
        <f t="shared" ref="Q5:Q7" ca="1" si="3">SUMIF($B$4:$B$9,P5,$H$4:$H$9)+SUMIF($D$4:$D$9,P5,$I$4:$I$9)</f>
        <v>9</v>
      </c>
      <c r="R5" s="301">
        <f ca="1">S5-T5</f>
        <v>5</v>
      </c>
      <c r="S5" s="301">
        <f ca="1">SUMIF($B$4:$B$9,$P5,$E$4:$E$9)+SUMIF($D$4:$D$9,$P5,$G$4:$G$9)</f>
        <v>5</v>
      </c>
      <c r="T5" s="301">
        <f ca="1">SUMIF($B$4:$B$9,$P5,$G$4:$G$9)+SUMIF($D$4:$D$9,$P5,$E$4:$E$9)</f>
        <v>0</v>
      </c>
      <c r="U5" s="466">
        <f t="shared" ref="U5:U7" ca="1" si="4">COUNTIFS($B$4:$B$9,$P5,$H$4:$H$9,"=3")+COUNTIFS($D$4:$D$9,$P5,$I$4:$I$9,"=3")</f>
        <v>3</v>
      </c>
      <c r="V5" s="398">
        <f ca="1">$Q5*FactorPts+(GDzero+$R5)*FactorGD+$S5*FactorFor+$U5*FactorWins+$W5*FactorDirC3+$X5*FactorDirC2+$Y5*FactorDirC43+$Z5*FactorDirC42+$AA5*FactorDirC42+$AB5*FactorFairPlay+$AE5*FactorPenalty+(100-$AF5)*($M$10&gt;0)*FactorRank+(8-ROW())*FactorRow</f>
        <v>90055053.000098035</v>
      </c>
      <c r="W5" s="303">
        <f t="shared" ref="W5:W7" ca="1" si="5">SUMIFS($X$18:$X$35,$P$18:$P$35,$P5)</f>
        <v>0</v>
      </c>
      <c r="X5" s="303">
        <f ca="1">IF($L19="",0,$L19)+SUMIFS($Z$18:$Z$35,$P$18:$P$35,$P5)</f>
        <v>0</v>
      </c>
      <c r="Y5">
        <f t="shared" ref="Y5:Y7" ca="1" si="6">SUMIFS($AD$18:$AD$35,$P$18:$P$35,$P5)</f>
        <v>0</v>
      </c>
      <c r="Z5">
        <f t="shared" ref="Z5:Z7" ca="1" si="7">SUMIFS($AE$18:$AE$35,$P$18:$P$35,$P5)</f>
        <v>0</v>
      </c>
      <c r="AA5" s="301">
        <f ca="1">IF($M19="",0,$M19)</f>
        <v>0</v>
      </c>
      <c r="AB5" s="317">
        <f>SUMIFS(FairPlayPoints1,FairPlayTeams1,$P5)+SUMIFS(FairPlayPoints2,FairPlayTeams2,$P5)</f>
        <v>0</v>
      </c>
      <c r="AC5" s="301" t="b">
        <f ca="1">(Q5+T5&gt;0)</f>
        <v>1</v>
      </c>
      <c r="AD5" s="313">
        <f ca="1">$Q5*FactorPts+(GDzero+$R5)*FactorGD+$S5*FactorFor</f>
        <v>90055050</v>
      </c>
      <c r="AE5" s="317">
        <f ca="1">IF(OR(AND($Y$11&gt;0,OR(AND($B$8=$P5,$J$8&gt;$L$8),AND($D$8=$P5,$J$8&lt;$L$8))),AND($Y$12&gt;0,OR(AND($B$9=$P5,$J$9&gt;$L$9),AND($D$9=$P5,$J$9&lt;$L$9)))),1,0)</f>
        <v>0</v>
      </c>
      <c r="AF5" s="317">
        <f>INDEX(Language!$D$5:$D$59,MATCH($P5,Language!$E$5:$E$59,0),1)</f>
        <v>2</v>
      </c>
    </row>
    <row r="6" spans="1:33" x14ac:dyDescent="0.25">
      <c r="B6" s="278" t="str">
        <f ca="1">INDIRECT("'"&amp;References!$A$1&amp;"'!"&amp;$B$1&amp;References!$G7)</f>
        <v>Türkei</v>
      </c>
      <c r="C6" s="279" t="s">
        <v>36</v>
      </c>
      <c r="D6" s="280" t="str">
        <f ca="1">INDIRECT("'"&amp;References!$A$1&amp;"'!"&amp;$D$1&amp;References!$G7)</f>
        <v>Wales</v>
      </c>
      <c r="E6" s="278">
        <f ca="1">IF(OR(INDIRECT("'"&amp;References!$A$1&amp;"'!"&amp;$B$1&amp;References!$H7)="",INDIRECT("'"&amp;References!$A$1&amp;"'!"&amp;$D$1&amp;References!$H7)=""),"",INDIRECT("'"&amp;References!$A$1&amp;"'!"&amp;$B$1&amp;References!$H7))</f>
        <v>0</v>
      </c>
      <c r="F6" s="279" t="s">
        <v>36</v>
      </c>
      <c r="G6" s="282">
        <f ca="1">IF(OR(INDIRECT("'"&amp;References!$A$1&amp;"'!"&amp;$B$1&amp;References!$H7)="",INDIRECT("'"&amp;References!$A$1&amp;"'!"&amp;$D$1&amp;References!$H7)=""),"",INDIRECT("'"&amp;References!$A$1&amp;"'!"&amp;$D$1&amp;References!$H7))</f>
        <v>2</v>
      </c>
      <c r="H6" s="301">
        <f t="shared" ca="1" si="0"/>
        <v>0</v>
      </c>
      <c r="I6" s="301">
        <f t="shared" ca="1" si="1"/>
        <v>3</v>
      </c>
      <c r="L6" s="35"/>
      <c r="M6" s="301">
        <f t="shared" ca="1" si="2"/>
        <v>1</v>
      </c>
      <c r="N6" s="466"/>
      <c r="O6" s="301" t="s">
        <v>34</v>
      </c>
      <c r="P6" s="44" t="str">
        <f>VLOOKUP($Q$1&amp;ROW($A3),Groups!$B$7:$D$35,3,0)</f>
        <v>Wales</v>
      </c>
      <c r="Q6" s="301">
        <f t="shared" ca="1" si="3"/>
        <v>4</v>
      </c>
      <c r="R6" s="301">
        <f ca="1">S6-T6</f>
        <v>1</v>
      </c>
      <c r="S6" s="301">
        <f ca="1">SUMIF($B$4:$B$9,$P6,$E$4:$E$9)+SUMIF($D$4:$D$9,$P6,$G$4:$G$9)</f>
        <v>3</v>
      </c>
      <c r="T6" s="301">
        <f ca="1">SUMIF($B$4:$B$9,$P6,$G$4:$G$9)+SUMIF($D$4:$D$9,$P6,$E$4:$E$9)</f>
        <v>2</v>
      </c>
      <c r="U6" s="466">
        <f t="shared" ca="1" si="4"/>
        <v>1</v>
      </c>
      <c r="V6" s="398">
        <f ca="1">$Q6*FactorPts+(GDzero+$R6)*FactorGD+$S6*FactorFor+$U6*FactorWins+$W6*FactorDirC3+$X6*FactorDirC2+$Y6*FactorDirC43+$Z6*FactorDirC42+$AA6*FactorDirC42+$AB6*FactorFairPlay+$AE6*FactorPenalty+(100-$AF6)*($M$10&gt;0)*FactorRank+(8-ROW())*FactorRow</f>
        <v>40151031.000081025</v>
      </c>
      <c r="W6" s="303">
        <f t="shared" ca="1" si="5"/>
        <v>0</v>
      </c>
      <c r="X6" s="303">
        <f ca="1">IF($L20="",0,$L20)+SUMIFS($Z$18:$Z$35,$P$18:$P$35,$P6)</f>
        <v>1</v>
      </c>
      <c r="Y6">
        <f t="shared" ca="1" si="6"/>
        <v>0</v>
      </c>
      <c r="Z6">
        <f t="shared" ca="1" si="7"/>
        <v>0</v>
      </c>
      <c r="AA6" s="301">
        <f ca="1">IF($M20="",0,$M20)</f>
        <v>0</v>
      </c>
      <c r="AB6" s="317">
        <f>SUMIFS(FairPlayPoints1,FairPlayTeams1,$P6)+SUMIFS(FairPlayPoints2,FairPlayTeams2,$P6)</f>
        <v>0</v>
      </c>
      <c r="AC6" s="301" t="b">
        <f ca="1">(Q6+T6&gt;0)</f>
        <v>1</v>
      </c>
      <c r="AD6" s="313">
        <f ca="1">$Q6*FactorPts+(GDzero+$R6)*FactorGD+$S6*FactorFor</f>
        <v>40051030</v>
      </c>
      <c r="AE6" s="317">
        <f ca="1">IF(OR(AND($Y$11&gt;0,OR(AND($B$8=$P6,$J$8&gt;$L$8),AND($D$8=$P6,$J$8&lt;$L$8))),AND($Y$12&gt;0,OR(AND($B$9=$P6,$J$9&gt;$L$9),AND($D$9=$P6,$J$9&lt;$L$9)))),1,0)</f>
        <v>0</v>
      </c>
      <c r="AF6" s="317">
        <f>INDEX(Language!$D$5:$D$59,MATCH($P6,Language!$E$5:$E$59,0),1)</f>
        <v>19</v>
      </c>
    </row>
    <row r="7" spans="1:33" x14ac:dyDescent="0.25">
      <c r="B7" s="278" t="str">
        <f ca="1">INDIRECT("'"&amp;References!$A$1&amp;"'!"&amp;$B$1&amp;References!$G8)</f>
        <v>Italien</v>
      </c>
      <c r="C7" s="279" t="s">
        <v>36</v>
      </c>
      <c r="D7" s="280" t="str">
        <f ca="1">INDIRECT("'"&amp;References!$A$1&amp;"'!"&amp;$D$1&amp;References!$G8)</f>
        <v>Schweiz</v>
      </c>
      <c r="E7" s="278">
        <f ca="1">IF(OR(INDIRECT("'"&amp;References!$A$1&amp;"'!"&amp;$B$1&amp;References!$H8)="",INDIRECT("'"&amp;References!$A$1&amp;"'!"&amp;$D$1&amp;References!$H8)=""),"",INDIRECT("'"&amp;References!$A$1&amp;"'!"&amp;$B$1&amp;References!$H8))</f>
        <v>1</v>
      </c>
      <c r="F7" s="279" t="s">
        <v>36</v>
      </c>
      <c r="G7" s="282">
        <f ca="1">IF(OR(INDIRECT("'"&amp;References!$A$1&amp;"'!"&amp;$B$1&amp;References!$H8)="",INDIRECT("'"&amp;References!$A$1&amp;"'!"&amp;$D$1&amp;References!$H8)=""),"",INDIRECT("'"&amp;References!$A$1&amp;"'!"&amp;$D$1&amp;References!$H8))</f>
        <v>0</v>
      </c>
      <c r="H7" s="301">
        <f t="shared" ca="1" si="0"/>
        <v>3</v>
      </c>
      <c r="I7" s="301">
        <f t="shared" ca="1" si="1"/>
        <v>0</v>
      </c>
      <c r="L7" s="35"/>
      <c r="M7" s="301">
        <f t="shared" ca="1" si="2"/>
        <v>1</v>
      </c>
      <c r="N7" s="466"/>
      <c r="O7" s="301" t="s">
        <v>35</v>
      </c>
      <c r="P7" s="44" t="str">
        <f>VLOOKUP($Q$1&amp;ROW($A4),Groups!$B$7:$D$35,3,0)</f>
        <v>Schweiz</v>
      </c>
      <c r="Q7" s="301">
        <f t="shared" ca="1" si="3"/>
        <v>4</v>
      </c>
      <c r="R7" s="301">
        <f ca="1">S7-T7</f>
        <v>1</v>
      </c>
      <c r="S7" s="301">
        <f ca="1">SUMIF($B$4:$B$9,$P7,$E$4:$E$9)+SUMIF($D$4:$D$9,$P7,$G$4:$G$9)</f>
        <v>4</v>
      </c>
      <c r="T7" s="301">
        <f ca="1">SUMIF($B$4:$B$9,$P7,$G$4:$G$9)+SUMIF($D$4:$D$9,$P7,$E$4:$E$9)</f>
        <v>3</v>
      </c>
      <c r="U7" s="466">
        <f t="shared" ca="1" si="4"/>
        <v>1</v>
      </c>
      <c r="V7" s="398">
        <f ca="1">$Q7*FactorPts+(GDzero+$R7)*FactorGD+$S7*FactorFor+$U7*FactorWins+$W7*FactorDirC3+$X7*FactorDirC2+$Y7*FactorDirC43+$Z7*FactorDirC42+$AA7*FactorDirC42+$AB7*FactorFairPlay+$AE7*FactorPenalty+(100-$AF7)*($M$10&gt;0)*FactorRank+(8-ROW())*FactorRow</f>
        <v>40151041.000091009</v>
      </c>
      <c r="W7" s="303">
        <f t="shared" ca="1" si="5"/>
        <v>0</v>
      </c>
      <c r="X7" s="303">
        <f ca="1">IF($L21="",0,$L21)+SUMIFS($Z$18:$Z$35,$P$18:$P$35,$P7)</f>
        <v>1</v>
      </c>
      <c r="Y7">
        <f t="shared" ca="1" si="6"/>
        <v>0</v>
      </c>
      <c r="Z7">
        <f t="shared" ca="1" si="7"/>
        <v>0</v>
      </c>
      <c r="AA7" s="301">
        <f ca="1">IF($M21="",0,$M21)</f>
        <v>0</v>
      </c>
      <c r="AB7" s="317">
        <f>SUMIFS(FairPlayPoints1,FairPlayTeams1,$P7)+SUMIFS(FairPlayPoints2,FairPlayTeams2,$P7)</f>
        <v>0</v>
      </c>
      <c r="AC7" s="301" t="b">
        <f ca="1">(Q7+T7&gt;0)</f>
        <v>1</v>
      </c>
      <c r="AD7" s="313">
        <f ca="1">$Q7*FactorPts+(GDzero+$R7)*FactorGD+$S7*FactorFor</f>
        <v>40051040</v>
      </c>
      <c r="AE7" s="317">
        <f ca="1">IF(OR(AND($Y$11&gt;0,OR(AND($B$8=$P7,$J$8&gt;$L$8),AND($D$8=$P7,$J$8&lt;$L$8))),AND($Y$12&gt;0,OR(AND($B$9=$P7,$J$9&gt;$L$9),AND($D$9=$P7,$J$9&lt;$L$9)))),1,0)</f>
        <v>0</v>
      </c>
      <c r="AF7" s="317">
        <f>INDEX(Language!$D$5:$D$59,MATCH($P7,Language!$E$5:$E$59,0),1)</f>
        <v>9</v>
      </c>
    </row>
    <row r="8" spans="1:33" x14ac:dyDescent="0.25">
      <c r="B8" s="278" t="str">
        <f ca="1">INDIRECT("'"&amp;References!$A$1&amp;"'!"&amp;$B$1&amp;References!$G9)</f>
        <v>Schweiz</v>
      </c>
      <c r="C8" s="279" t="s">
        <v>36</v>
      </c>
      <c r="D8" s="280" t="str">
        <f ca="1">INDIRECT("'"&amp;References!$A$1&amp;"'!"&amp;$D$1&amp;References!$G9)</f>
        <v>Türkei</v>
      </c>
      <c r="E8" s="278">
        <f ca="1">IF(OR(INDIRECT("'"&amp;References!$A$1&amp;"'!"&amp;$B$1&amp;References!$H9)="",INDIRECT("'"&amp;References!$A$1&amp;"'!"&amp;$D$1&amp;References!$H9)=""),"",INDIRECT("'"&amp;References!$A$1&amp;"'!"&amp;$B$1&amp;References!$H9))</f>
        <v>3</v>
      </c>
      <c r="F8" s="279" t="s">
        <v>36</v>
      </c>
      <c r="G8" s="282">
        <f ca="1">IF(OR(INDIRECT("'"&amp;References!$A$1&amp;"'!"&amp;$B$1&amp;References!$H9)="",INDIRECT("'"&amp;References!$A$1&amp;"'!"&amp;$D$1&amp;References!$H9)=""),"",INDIRECT("'"&amp;References!$A$1&amp;"'!"&amp;$D$1&amp;References!$H9))</f>
        <v>1</v>
      </c>
      <c r="H8" s="301">
        <f t="shared" ca="1" si="0"/>
        <v>3</v>
      </c>
      <c r="I8" s="301">
        <f t="shared" ca="1" si="1"/>
        <v>0</v>
      </c>
      <c r="J8" t="str">
        <f ca="1">IF(OR(INDIRECT("'"&amp;References!$A$1&amp;"'!"&amp;$B$1&amp;(References!$H9+2))="",INDIRECT("'"&amp;References!$A$1&amp;"'!"&amp;$D$1&amp;(References!$H9+2))=""),"",INDIRECT("'"&amp;References!$A$1&amp;"'!"&amp;$B$1&amp;(References!$H9+2)))</f>
        <v/>
      </c>
      <c r="K8" s="314" t="s">
        <v>551</v>
      </c>
      <c r="L8" s="35" t="str">
        <f ca="1">IF(OR(INDIRECT("'"&amp;References!$A$1&amp;"'!"&amp;$B$1&amp;(References!$H9+2))="",INDIRECT("'"&amp;References!$A$1&amp;"'!"&amp;$D$1&amp;(References!$H9+2))=""),"",INDIRECT("'"&amp;References!$A$1&amp;"'!"&amp;$D$1&amp;(References!$H9+2)))</f>
        <v/>
      </c>
      <c r="M8" s="301">
        <f t="shared" ca="1" si="2"/>
        <v>1</v>
      </c>
      <c r="N8" s="466"/>
      <c r="O8" s="301"/>
      <c r="Z8" s="55"/>
    </row>
    <row r="9" spans="1:33" x14ac:dyDescent="0.25">
      <c r="B9" s="278" t="str">
        <f ca="1">INDIRECT("'"&amp;References!$A$1&amp;"'!"&amp;$B$1&amp;References!$G10)</f>
        <v>Italien</v>
      </c>
      <c r="C9" s="279" t="s">
        <v>36</v>
      </c>
      <c r="D9" s="280" t="str">
        <f ca="1">INDIRECT("'"&amp;References!$A$1&amp;"'!"&amp;$D$1&amp;References!$G10)</f>
        <v>Wales</v>
      </c>
      <c r="E9" s="278">
        <f ca="1">IF(OR(INDIRECT("'"&amp;References!$A$1&amp;"'!"&amp;$B$1&amp;References!$H10)="",INDIRECT("'"&amp;References!$A$1&amp;"'!"&amp;$D$1&amp;References!$H10)=""),"",INDIRECT("'"&amp;References!$A$1&amp;"'!"&amp;$B$1&amp;References!$H10))</f>
        <v>1</v>
      </c>
      <c r="F9" s="279" t="s">
        <v>36</v>
      </c>
      <c r="G9" s="282">
        <f ca="1">IF(OR(INDIRECT("'"&amp;References!$A$1&amp;"'!"&amp;$B$1&amp;References!$H10)="",INDIRECT("'"&amp;References!$A$1&amp;"'!"&amp;$D$1&amp;References!$H10)=""),"",INDIRECT("'"&amp;References!$A$1&amp;"'!"&amp;$D$1&amp;References!$H10))</f>
        <v>0</v>
      </c>
      <c r="H9" s="301">
        <f t="shared" ca="1" si="0"/>
        <v>3</v>
      </c>
      <c r="I9" s="301">
        <f t="shared" ca="1" si="1"/>
        <v>0</v>
      </c>
      <c r="J9" t="str">
        <f ca="1">IF(OR(INDIRECT("'"&amp;References!$A$1&amp;"'!"&amp;$B$1&amp;(References!$H10+2))="",INDIRECT("'"&amp;References!$A$1&amp;"'!"&amp;$D$1&amp;(References!$H10+2))=""),"",INDIRECT("'"&amp;References!$A$1&amp;"'!"&amp;$B$1&amp;(References!$H10+2)))</f>
        <v/>
      </c>
      <c r="K9" s="531" t="s">
        <v>551</v>
      </c>
      <c r="L9" s="35" t="str">
        <f ca="1">IF(OR(INDIRECT("'"&amp;References!$A$1&amp;"'!"&amp;$B$1&amp;(References!$H10+2))="",INDIRECT("'"&amp;References!$A$1&amp;"'!"&amp;$D$1&amp;(References!$H10+2))=""),"",INDIRECT("'"&amp;References!$A$1&amp;"'!"&amp;$D$1&amp;(References!$H10+2)))</f>
        <v/>
      </c>
      <c r="M9" s="301">
        <f t="shared" ca="1" si="2"/>
        <v>1</v>
      </c>
      <c r="N9" s="466"/>
      <c r="O9" s="301"/>
      <c r="Z9" s="688" t="s">
        <v>537</v>
      </c>
      <c r="AA9" s="688"/>
      <c r="AB9" s="688"/>
      <c r="AC9" s="688"/>
      <c r="AD9" s="688"/>
      <c r="AE9" s="688"/>
    </row>
    <row r="10" spans="1:33" ht="15.75" thickBot="1" x14ac:dyDescent="0.3">
      <c r="L10" s="59" t="s">
        <v>217</v>
      </c>
      <c r="M10" s="61">
        <f ca="1">SUM($M$4:$M$9)</f>
        <v>6</v>
      </c>
      <c r="N10" s="141"/>
      <c r="O10" s="301"/>
      <c r="P10" s="227" t="s">
        <v>364</v>
      </c>
      <c r="Q10" s="56" t="s">
        <v>221</v>
      </c>
      <c r="R10" s="56" t="s">
        <v>218</v>
      </c>
      <c r="S10" s="56" t="s">
        <v>804</v>
      </c>
      <c r="T10" s="56" t="s">
        <v>805</v>
      </c>
      <c r="U10" s="56" t="s">
        <v>812</v>
      </c>
      <c r="V10" s="56" t="s">
        <v>222</v>
      </c>
      <c r="X10" s="78" t="s">
        <v>868</v>
      </c>
      <c r="Y10" s="56" t="s">
        <v>842</v>
      </c>
      <c r="Z10" s="56" t="s">
        <v>532</v>
      </c>
      <c r="AA10" s="56" t="s">
        <v>533</v>
      </c>
      <c r="AB10" s="56" t="s">
        <v>534</v>
      </c>
      <c r="AC10" s="56" t="s">
        <v>535</v>
      </c>
      <c r="AD10" s="56" t="s">
        <v>536</v>
      </c>
      <c r="AE10" s="56" t="s">
        <v>555</v>
      </c>
    </row>
    <row r="11" spans="1:33" ht="16.5" thickTop="1" thickBot="1" x14ac:dyDescent="0.3">
      <c r="B11" s="85"/>
      <c r="C11" s="301"/>
      <c r="D11" s="85"/>
      <c r="O11" s="42" t="s">
        <v>32</v>
      </c>
      <c r="P11" s="41" t="str">
        <f t="shared" ref="P11:U14" ca="1" si="8">INDEX(P$4:P$7,MATCH($V11,$V$4:$V$7,0))</f>
        <v>Italien</v>
      </c>
      <c r="Q11" s="271">
        <f t="shared" ca="1" si="8"/>
        <v>9</v>
      </c>
      <c r="R11" s="40">
        <f t="shared" ca="1" si="8"/>
        <v>5</v>
      </c>
      <c r="S11" s="40">
        <f t="shared" ca="1" si="8"/>
        <v>5</v>
      </c>
      <c r="T11" s="40">
        <f t="shared" ca="1" si="8"/>
        <v>0</v>
      </c>
      <c r="U11" s="40">
        <f t="shared" ca="1" si="8"/>
        <v>3</v>
      </c>
      <c r="V11" s="399">
        <f ca="1">LARGE($V$4:$V$7,ROW(A1))</f>
        <v>90055053.000098035</v>
      </c>
      <c r="X11" s="79">
        <f ca="1">IF(AND(OR(TRUNC($V$11,4)=TRUNC($V$12,4),TRUNC($V$11,4)=TRUNC($V$13,4),TRUNC($V$11,4)=TRUNC($V$14,4),TRUNC($V$12,4)=TRUNC($V$13,4),TRUNC($V$12,4)=TRUNC($V$14,4),TRUNC($V$13,4)=TRUNC($V$14,4)),$M$10&gt;0),1,0)</f>
        <v>0</v>
      </c>
      <c r="Y11" s="323">
        <f ca="1">IF(AND(VLOOKUP($B$8,$P$4:$AD$7,15,0)=VLOOKUP($D$8,$P$4:$AD$7,15,0),$E$8=$G$8,COUNTIF($Q$4:$Q$7,VLOOKUP($B$8,$P$4:$Q$7,2,0))=2,$M$10=6),1,0)</f>
        <v>0</v>
      </c>
      <c r="Z11" s="305" t="b">
        <f ca="1">VLOOKUP($P11,$E$18:$M$21,8,0)&lt;&gt;""</f>
        <v>0</v>
      </c>
      <c r="AA11" s="306" t="b">
        <f ca="1">VLOOKUP($P11,$E$18:$M$21,9,0)&lt;&gt;""</f>
        <v>0</v>
      </c>
      <c r="AB11" s="307" t="b">
        <f ca="1">SUMPRODUCT(1*(LEN($Z$18:$Z$35)&gt;0)*($P$18:$P$35=$P11))&gt;0</f>
        <v>0</v>
      </c>
      <c r="AC11" s="307" t="b">
        <f ca="1">SUMPRODUCT(1*(LEN($AE$18:$AE$35)&gt;0)*($P$18:$P$35=$P11))&gt;0</f>
        <v>0</v>
      </c>
      <c r="AD11" s="538" t="str">
        <f ca="1">IF($Z11,VLOOKUP($P11,$E$18:$M$21,8,0),IF($AA11,VLOOKUP($P11,$E$18:$M$21,9,0),IF($AB11,SUMIFS($Z$18:$Z$35,$P$18:$P$35,$P11),IF($AC11,SUMIFS($AE$18:$AE$35,$P$18:$P$35,$P11),""))))</f>
        <v/>
      </c>
      <c r="AE11" s="541" t="str">
        <f ca="1">IF(OR(AND($Y$11&gt;0,OR($B$8=$P11,$D$8=$P11)),AND($Y$12&gt;0,OR($B$9=$P11,$D$9=$P11))),SUMIF($B$8:$B$9,$P11,$J$8:$J$9)+SUMIF($D$8:$D$9,$P11,$L$8:$L$9),"")</f>
        <v/>
      </c>
    </row>
    <row r="12" spans="1:33" ht="15.75" thickTop="1" x14ac:dyDescent="0.25">
      <c r="B12" s="301"/>
      <c r="C12" s="301"/>
      <c r="D12" s="301"/>
      <c r="O12" s="39" t="s">
        <v>33</v>
      </c>
      <c r="P12" s="30" t="str">
        <f t="shared" ca="1" si="8"/>
        <v>Schweiz</v>
      </c>
      <c r="Q12" s="272">
        <f t="shared" ca="1" si="8"/>
        <v>4</v>
      </c>
      <c r="R12" s="303">
        <f t="shared" ca="1" si="8"/>
        <v>1</v>
      </c>
      <c r="S12" s="303">
        <f t="shared" ca="1" si="8"/>
        <v>4</v>
      </c>
      <c r="T12" s="303">
        <f t="shared" ca="1" si="8"/>
        <v>3</v>
      </c>
      <c r="U12" s="522">
        <f t="shared" ca="1" si="8"/>
        <v>1</v>
      </c>
      <c r="V12" s="400">
        <f ca="1">LARGE($V$4:$V$7,ROW(A2))</f>
        <v>40151041.000091009</v>
      </c>
      <c r="Y12" s="323">
        <f ca="1">IF(AND(VLOOKUP($B$9,$P$4:$AD$7,15,0)=VLOOKUP($D$9,$P$4:$AD$7,15,0),$E$9=$G$9,COUNTIF($Q$4:$Q$7,VLOOKUP($B$9,$P$4:$Q$7,2,0))=2,$M$10=6),1,0)</f>
        <v>0</v>
      </c>
      <c r="Z12" s="308" t="b">
        <f ca="1">VLOOKUP($P12,$E$18:$M$21,8,0)&lt;&gt;""</f>
        <v>1</v>
      </c>
      <c r="AA12" s="303" t="b">
        <f ca="1">VLOOKUP($P12,$E$18:$M$21,9,0)&lt;&gt;""</f>
        <v>0</v>
      </c>
      <c r="AB12" s="30" t="b">
        <f t="shared" ref="AB12:AB14" ca="1" si="9">SUMPRODUCT(1*(LEN($Z$18:$Z$35)&gt;0)*($P$18:$P$35=$P12))&gt;0</f>
        <v>0</v>
      </c>
      <c r="AC12" s="30" t="b">
        <f t="shared" ref="AC12:AC14" ca="1" si="10">SUMPRODUCT(1*(LEN($AE$18:$AE$35)&gt;0)*($P$18:$P$35=$P12))&gt;0</f>
        <v>0</v>
      </c>
      <c r="AD12" s="539">
        <f ca="1">IF($Z12,VLOOKUP($P12,$E$18:$M$21,8,0),IF($AA12,VLOOKUP($P12,$E$18:$M$21,9,0),IF($AB12,SUMIFS($Z$18:$Z$35,$P$18:$P$35,$P12),IF($AC12,SUMIFS($AE$18:$AE$35,$P$18:$P$35,$P12),""))))</f>
        <v>1</v>
      </c>
      <c r="AE12" s="542" t="str">
        <f ca="1">IF(OR(AND($Y$11&gt;0,OR($B$8=$P12,$D$8=$P12)),AND($Y$12&gt;0,OR($B$9=$P12,$D$9=$P12))),SUMIF($B$8:$B$9,$P12,$J$8:$J$9)+SUMIF($D$8:$D$9,$P12,$L$8:$L$9),"")</f>
        <v/>
      </c>
    </row>
    <row r="13" spans="1:33" x14ac:dyDescent="0.25">
      <c r="B13" s="301"/>
      <c r="C13" s="301"/>
      <c r="D13" s="60"/>
      <c r="O13" s="39" t="s">
        <v>34</v>
      </c>
      <c r="P13" s="30" t="str">
        <f t="shared" ca="1" si="8"/>
        <v>Wales</v>
      </c>
      <c r="Q13" s="272">
        <f t="shared" ca="1" si="8"/>
        <v>4</v>
      </c>
      <c r="R13" s="303">
        <f t="shared" ca="1" si="8"/>
        <v>1</v>
      </c>
      <c r="S13" s="303">
        <f t="shared" ca="1" si="8"/>
        <v>3</v>
      </c>
      <c r="T13" s="303">
        <f t="shared" ca="1" si="8"/>
        <v>2</v>
      </c>
      <c r="U13" s="522">
        <f t="shared" ca="1" si="8"/>
        <v>1</v>
      </c>
      <c r="V13" s="400">
        <f ca="1">LARGE($V$4:$V$7,ROW(A3))</f>
        <v>40151031.000081025</v>
      </c>
      <c r="Z13" s="308" t="b">
        <f ca="1">VLOOKUP($P13,$E$18:$M$21,8,0)&lt;&gt;""</f>
        <v>1</v>
      </c>
      <c r="AA13" s="303" t="b">
        <f ca="1">VLOOKUP($P13,$E$18:$M$21,9,0)&lt;&gt;""</f>
        <v>0</v>
      </c>
      <c r="AB13" s="30" t="b">
        <f t="shared" ca="1" si="9"/>
        <v>0</v>
      </c>
      <c r="AC13" s="30" t="b">
        <f t="shared" ca="1" si="10"/>
        <v>0</v>
      </c>
      <c r="AD13" s="539">
        <f ca="1">IF($Z13,VLOOKUP($P13,$E$18:$M$21,8,0),IF($AA13,VLOOKUP($P13,$E$18:$M$21,9,0),IF($AB13,SUMIFS($Z$18:$Z$35,$P$18:$P$35,$P13),IF($AC13,SUMIFS($AE$18:$AE$35,$P$18:$P$35,$P13),""))))</f>
        <v>1</v>
      </c>
      <c r="AE13" s="542" t="str">
        <f ca="1">IF(OR(AND($Y$11&gt;0,OR($B$8=$P13,$D$8=$P13)),AND($Y$12&gt;0,OR($B$9=$P13,$D$9=$P13))),SUMIF($B$8:$B$9,$P13,$J$8:$J$9)+SUMIF($D$8:$D$9,$P13,$L$8:$L$9),"")</f>
        <v/>
      </c>
    </row>
    <row r="14" spans="1:33" ht="15.75" thickBot="1" x14ac:dyDescent="0.3">
      <c r="B14" s="301"/>
      <c r="C14" s="301"/>
      <c r="D14" s="60"/>
      <c r="F14" s="301"/>
      <c r="G14" s="35"/>
      <c r="O14" s="38" t="s">
        <v>35</v>
      </c>
      <c r="P14" s="37" t="str">
        <f t="shared" ca="1" si="8"/>
        <v>Türkei</v>
      </c>
      <c r="Q14" s="273">
        <f t="shared" ca="1" si="8"/>
        <v>0</v>
      </c>
      <c r="R14" s="36">
        <f t="shared" ca="1" si="8"/>
        <v>-7</v>
      </c>
      <c r="S14" s="36">
        <f t="shared" ca="1" si="8"/>
        <v>1</v>
      </c>
      <c r="T14" s="36">
        <f t="shared" ca="1" si="8"/>
        <v>8</v>
      </c>
      <c r="U14" s="36">
        <f t="shared" ca="1" si="8"/>
        <v>0</v>
      </c>
      <c r="V14" s="401">
        <f ca="1">LARGE($V$4:$V$7,ROW(A4))</f>
        <v>43010.000086040003</v>
      </c>
      <c r="Z14" s="309" t="b">
        <f ca="1">VLOOKUP($P14,$E$18:$M$21,8,0)&lt;&gt;""</f>
        <v>0</v>
      </c>
      <c r="AA14" s="310" t="b">
        <f ca="1">VLOOKUP($P14,$E$18:$M$21,9,0)&lt;&gt;""</f>
        <v>0</v>
      </c>
      <c r="AB14" s="311" t="b">
        <f t="shared" ca="1" si="9"/>
        <v>0</v>
      </c>
      <c r="AC14" s="311" t="b">
        <f t="shared" ca="1" si="10"/>
        <v>0</v>
      </c>
      <c r="AD14" s="540" t="str">
        <f ca="1">IF($Z14,VLOOKUP($P14,$E$18:$M$21,8,0),IF($AA14,VLOOKUP($P14,$E$18:$M$21,9,0),IF($AB14,SUMIFS($Z$18:$Z$35,$P$18:$P$35,$P14),IF($AC14,SUMIFS($AE$18:$AE$35,$P$18:$P$35,$P14),""))))</f>
        <v/>
      </c>
      <c r="AE14" s="543" t="str">
        <f ca="1">IF(OR(AND($Y$11&gt;0,OR($B$8=$P14,$D$8=$P14)),AND($Y$12&gt;0,OR($B$9=$P14,$D$9=$P14))),SUMIF($B$8:$B$9,$P14,$J$8:$J$9)+SUMIF($D$8:$D$9,$P14,$L$8:$L$9),"")</f>
        <v/>
      </c>
    </row>
    <row r="15" spans="1:33" ht="16.5" thickTop="1" thickBot="1" x14ac:dyDescent="0.3">
      <c r="B15" s="301"/>
      <c r="C15" s="301"/>
      <c r="D15" s="87"/>
      <c r="E15" s="30"/>
      <c r="F15" s="303"/>
      <c r="G15" s="80"/>
      <c r="H15" s="30"/>
      <c r="I15" s="30"/>
      <c r="J15" s="30"/>
      <c r="K15" s="30"/>
      <c r="L15" s="83"/>
      <c r="M15" s="56"/>
      <c r="N15" s="56"/>
      <c r="O15" s="301"/>
    </row>
    <row r="16" spans="1:33" ht="15.75" thickBot="1" x14ac:dyDescent="0.3">
      <c r="B16" s="301"/>
      <c r="C16" s="301"/>
      <c r="D16" s="86"/>
      <c r="E16" s="84"/>
      <c r="F16" s="84"/>
      <c r="G16" s="686" t="s">
        <v>521</v>
      </c>
      <c r="H16" s="686"/>
      <c r="I16" s="686"/>
      <c r="J16" s="686"/>
      <c r="K16" s="686"/>
      <c r="L16" s="686"/>
      <c r="M16" s="66"/>
      <c r="N16" s="66"/>
      <c r="O16" s="301"/>
      <c r="W16" s="677" t="s">
        <v>522</v>
      </c>
      <c r="X16" s="677"/>
      <c r="Y16" s="677"/>
      <c r="Z16" s="677"/>
      <c r="AD16" s="677" t="s">
        <v>523</v>
      </c>
      <c r="AE16" s="677"/>
      <c r="AF16" s="312" t="b">
        <f ca="1">AND($Q$4=$Q$5,$Q$4=$Q$6,$Q$4=$Q$7)</f>
        <v>0</v>
      </c>
    </row>
    <row r="17" spans="2:31" ht="16.5" thickTop="1" thickBot="1" x14ac:dyDescent="0.3">
      <c r="B17" s="301"/>
      <c r="C17" s="301"/>
      <c r="D17" s="303"/>
      <c r="E17" s="520"/>
      <c r="F17" s="520"/>
      <c r="G17" s="521"/>
      <c r="H17" s="40" t="str">
        <f>LEFT($P$4,3)</f>
        <v>Tür</v>
      </c>
      <c r="I17" s="40" t="str">
        <f>LEFT($P$5,3)</f>
        <v>Ita</v>
      </c>
      <c r="J17" s="40" t="str">
        <f>LEFT($P$6,3)</f>
        <v>Wal</v>
      </c>
      <c r="K17" s="133" t="str">
        <f>LEFT($P$7,3)</f>
        <v>Sch</v>
      </c>
      <c r="L17" s="56" t="s">
        <v>520</v>
      </c>
      <c r="M17" s="56" t="s">
        <v>529</v>
      </c>
      <c r="N17" s="56"/>
      <c r="O17" s="301"/>
      <c r="Q17" s="56" t="s">
        <v>221</v>
      </c>
      <c r="R17" s="56" t="s">
        <v>218</v>
      </c>
      <c r="S17" s="56" t="s">
        <v>804</v>
      </c>
      <c r="T17" s="56" t="s">
        <v>805</v>
      </c>
      <c r="U17" s="56"/>
      <c r="V17" s="56" t="s">
        <v>227</v>
      </c>
      <c r="W17" s="56" t="s">
        <v>806</v>
      </c>
      <c r="X17" s="66" t="s">
        <v>524</v>
      </c>
      <c r="Y17" s="56" t="s">
        <v>528</v>
      </c>
      <c r="Z17" s="56" t="s">
        <v>528</v>
      </c>
      <c r="AA17" s="678" t="s">
        <v>519</v>
      </c>
      <c r="AB17" s="678"/>
      <c r="AC17" s="678"/>
      <c r="AD17" s="66" t="s">
        <v>526</v>
      </c>
      <c r="AE17" s="56" t="s">
        <v>527</v>
      </c>
    </row>
    <row r="18" spans="2:31" ht="15.75" thickTop="1" x14ac:dyDescent="0.25">
      <c r="B18" s="301"/>
      <c r="C18" s="301"/>
      <c r="D18" s="303"/>
      <c r="E18" s="682" t="str">
        <f>$P$4</f>
        <v>Türkei</v>
      </c>
      <c r="F18" s="683"/>
      <c r="G18" s="683"/>
      <c r="H18" s="132"/>
      <c r="I18" s="40">
        <f ca="1">SUMIFS($E$4:$E$9,$B$4:$B$9,$P$4,$D$4:$D$9,$P$5)+SUMIFS($G$4:$G$9,$B$4:$B$9,$P$5,$D$4:$D$9,$P$4)</f>
        <v>0</v>
      </c>
      <c r="J18" s="40">
        <f ca="1">SUMIFS($E$4:$E$9,$B$4:$B$9,$P$4,$D$4:$D$9,$P$6)+SUMIFS($G$4:$G$9,$B$4:$B$9,$P$6,$D$4:$D$9,$P$4)</f>
        <v>0</v>
      </c>
      <c r="K18" s="133">
        <f ca="1">SUMIFS($E$4:$E$9,$B$4:$B$9,$P$4,$D$4:$D$9,$P$7)+SUMIFS($G$4:$G$9,$B$4:$B$9,$P$7,$D$4:$D$9,$P$4)</f>
        <v>1</v>
      </c>
      <c r="L18" s="75" t="str">
        <f ca="1">IF(AND($Q$4=$Q$5,$Q$4&lt;&gt;$Q$6,$Q$4&lt;&gt;$Q$7),IF(I18&gt;H19,3,IF(I18=H19,1,0)),IF(AND($Q$4=$Q$6,$Q$4&lt;&gt;$Q$5,$Q$4&lt;&gt;$Q$7),IF(J18&gt;H20,3,IF(J18=H20,1,0)),IF(AND($Q$4=$Q$7,$Q$4&lt;&gt;$Q$5,$Q$4&lt;&gt;$Q$6),IF(K18&gt;H21,3,IF(K18=H21,1,0)),"")))</f>
        <v/>
      </c>
      <c r="M18" s="75" t="str">
        <f ca="1">IF($AF$16,IF(AND($AD$4=$AD$5,$AD$4&lt;&gt;$AD$6,$AD$4&lt;&gt;$AD$7),IF(I18&gt;H19,3,IF(I18=H19,1,0)),IF(AND($AD$4&lt;&gt;$AD$5,$AD$4=$AD$6,$AD$4&lt;&gt;$AD$7),IF(J18&gt;H20,3,IF(J18=H20,1,0)),IF(AND($AD$4&lt;&gt;$AD$5,$AD$4&lt;&gt;$AD$6,$AD$4=$AD$7),IF(K18&gt;H21,3,IF(K18=H21,1,0)),""))),"")</f>
        <v/>
      </c>
      <c r="N18" s="465"/>
      <c r="O18" s="301" t="s">
        <v>32</v>
      </c>
      <c r="P18" t="str">
        <f>$P$4</f>
        <v>Türkei</v>
      </c>
      <c r="Q18" s="301">
        <f ca="1">SUMIFS($H$4:$H$9,$B$4:$B$9,$P18,$D$4:$D$9,"&lt;&gt;"&amp;$P$21)+SUMIFS($I$4:$I$9,$B$4:$B$9,"&lt;&gt;"&amp;$P$21,$D$4:$D$9,$P18)</f>
        <v>0</v>
      </c>
      <c r="R18" s="301">
        <f ca="1">S18-T18</f>
        <v>-5</v>
      </c>
      <c r="S18" s="301">
        <f ca="1">SUMIFS($E$4:$E$9,$B$4:$B$9,$P18,$D$4:$D$9,"&lt;&gt;"&amp;$P$21)+SUMIFS($G$4:$G$9,$B$4:$B$9,"&lt;&gt;"&amp;$P$21,$D$4:$D$9,$P18)</f>
        <v>0</v>
      </c>
      <c r="T18" s="301">
        <f ca="1">SUMIFS($G$4:$G$9,$B$4:$B$9,$P18,$D$4:$D$9,"&lt;&gt;"&amp;$P$21)+SUMIFS($E$4:$E$9,$B$4:$B$9,"&lt;&gt;"&amp;$P$21,$D$4:$D$9,$P18)</f>
        <v>5</v>
      </c>
      <c r="U18" s="466"/>
      <c r="V18" s="300">
        <f ca="1">Q18*FactorPts+(GDzero+R18)*FactorGD+S18*FactorFor</f>
        <v>45000</v>
      </c>
      <c r="W18" s="301">
        <f ca="1">RANK(V18,V$18:V$20,1)</f>
        <v>1</v>
      </c>
      <c r="X18" s="301">
        <f ca="1">IF(AND($Q$4=$Q$5,$Q$4=$Q$6,$Q$4&lt;&gt;$Q$7),W18,0)</f>
        <v>0</v>
      </c>
      <c r="Y18" s="301" t="str">
        <f ca="1">IF(AND(V18=V19,V18&lt;&gt;V20),IF(AA18&gt;AA19,3,IF(AA18=AA19,1,0)),IF(AND(V18=V20,V18&lt;&gt;V19),IF(AB18&gt;AB20,3,IF(AB18=AB20,1,0)),""))</f>
        <v/>
      </c>
      <c r="Z18" s="303" t="str">
        <f ca="1">IF(X18&gt;0,Y18,"")</f>
        <v/>
      </c>
      <c r="AA18" s="284">
        <f ca="1">$I$18</f>
        <v>0</v>
      </c>
      <c r="AB18" s="285">
        <f ca="1">$J$18</f>
        <v>0</v>
      </c>
      <c r="AC18" s="286"/>
      <c r="AD18" s="303">
        <f ca="1">IF(AND($AF$16,$AD$4=$AD$5,$AD$4=$AD$6,$AD$4&lt;&gt;$AD$7),W18,0)</f>
        <v>0</v>
      </c>
      <c r="AE18" s="303" t="str">
        <f ca="1">IF(AD18&gt;0,Y18,"")</f>
        <v/>
      </c>
    </row>
    <row r="19" spans="2:31" x14ac:dyDescent="0.25">
      <c r="B19" s="301"/>
      <c r="C19" s="301"/>
      <c r="D19" s="303"/>
      <c r="E19" s="684" t="str">
        <f>$P$5</f>
        <v>Italien</v>
      </c>
      <c r="F19" s="685"/>
      <c r="G19" s="685"/>
      <c r="H19" s="39">
        <f ca="1">SUMIFS($E$4:$E$9,$B$4:$B$9,$P$5,$D$4:$D$9,$P$4)+SUMIFS($G$4:$G$9,$B$4:$B$9,$P$4,$D$4:$D$9,$P$5)</f>
        <v>3</v>
      </c>
      <c r="I19" s="81"/>
      <c r="J19" s="303">
        <f ca="1">SUMIFS($E$4:$E$9,$B$4:$B$9,$P$5,$D$4:$D$9,$P$6)+SUMIFS($G$4:$G$9,$B$4:$B$9,$P$6,$D$4:$D$9,$P$5)</f>
        <v>1</v>
      </c>
      <c r="K19" s="57">
        <f ca="1">SUMIFS($E$4:$E$9,$B$4:$B$9,$P$5,$D$4:$D$9,$P$7)+SUMIFS($G$4:$G$9,$B$4:$B$9,$P$7,$D$4:$D$9,$P$5)</f>
        <v>1</v>
      </c>
      <c r="L19" s="76" t="str">
        <f ca="1">IF(AND($Q$5=$Q$4,$Q$5&lt;&gt;$Q$6,$Q$5&lt;&gt;$Q$7),IF(H19&gt;I18,3,IF(H19=I18,1,0)),IF(AND($Q$5=$Q$6,$Q$5&lt;&gt;$Q$4,$Q$5&lt;&gt;$Q$7),IF(J19&gt;I20,3,IF(J19=I20,1,0)),IF(AND($Q$5=$Q$7,$Q$5&lt;&gt;$Q$4,$Q$5&lt;&gt;$Q$6),IF(K19&gt;I21,3,IF(K19=I21,1,0)),"")))</f>
        <v/>
      </c>
      <c r="M19" s="76" t="str">
        <f ca="1">IF($AF$16,IF(AND($AD$5=$AD$4,$AD$5&lt;&gt;$AD$6,$AD$5&lt;&gt;$AD$7),IF(H19&gt;I18,3,IF(H19=I18,1,0)),IF(AND($AD$5&lt;&gt;$AD$4,$AD$5=$AD$6,$AD$5&lt;&gt;$AD$7),IF(J19&gt;I20,3,IF(J19=I20,1,0)),IF(AND($AD$5&lt;&gt;$AD$4,$AD$5&lt;&gt;$AD$6,$AD$5=$AD$7),IF(K19&gt;I21,3,IF(K19=I21,1,0)),""))),"")</f>
        <v/>
      </c>
      <c r="N19" s="465"/>
      <c r="O19" s="301" t="s">
        <v>33</v>
      </c>
      <c r="P19" t="str">
        <f>$P$5</f>
        <v>Italien</v>
      </c>
      <c r="Q19" s="301">
        <f ca="1">SUMIFS($H$4:$H$9,$B$4:$B$9,$P19,$D$4:$D$9,"&lt;&gt;"&amp;$P$21)+SUMIFS($I$4:$I$9,$B$4:$B$9,"&lt;&gt;"&amp;$P$21,$D$4:$D$9,$P19)</f>
        <v>6</v>
      </c>
      <c r="R19" s="301">
        <f ca="1">S19-T19</f>
        <v>4</v>
      </c>
      <c r="S19" s="301">
        <f ca="1">SUMIFS($E$4:$E$9,$B$4:$B$9,$P19,$D$4:$D$9,"&lt;&gt;"&amp;$P$21)+SUMIFS($G$4:$G$9,$B$4:$B$9,"&lt;&gt;"&amp;$P$21,$D$4:$D$9,$P19)</f>
        <v>4</v>
      </c>
      <c r="T19" s="301">
        <f ca="1">SUMIFS($G$4:$G$9,$B$4:$B$9,$P19,$D$4:$D$9,"&lt;&gt;"&amp;$P$21)+SUMIFS($E$4:$E$9,$B$4:$B$9,"&lt;&gt;"&amp;$P$21,$D$4:$D$9,$P19)</f>
        <v>0</v>
      </c>
      <c r="U19" s="466"/>
      <c r="V19" s="300">
        <f ca="1">Q19*FactorPts+(GDzero+R19)*FactorGD+S19*FactorFor</f>
        <v>60054040</v>
      </c>
      <c r="W19" s="301">
        <f ca="1">RANK(V19,V$18:V$20,1)</f>
        <v>3</v>
      </c>
      <c r="X19" s="301">
        <f ca="1">IF(AND($Q$4=$Q$5,$Q$4=$Q$6,$Q$4&lt;&gt;$Q$7),W19,0)</f>
        <v>0</v>
      </c>
      <c r="Y19" s="301" t="str">
        <f ca="1">IF(AND(V19=V18,V19&lt;&gt;V20),IF(AA19&gt;AA18,3,IF(AA19=AA18,1,0)),IF(AND(V19=V20,V19&lt;&gt;V18),IF(AC19&gt;AC20,3,IF(AC19=AC20,1,0)),""))</f>
        <v/>
      </c>
      <c r="Z19" s="303" t="str">
        <f t="shared" ref="Z19:Z20" ca="1" si="11">IF(X19&gt;0,Y19,"")</f>
        <v/>
      </c>
      <c r="AA19" s="287">
        <f ca="1">$H$19</f>
        <v>3</v>
      </c>
      <c r="AB19" s="303"/>
      <c r="AC19" s="304">
        <f ca="1">$J$19</f>
        <v>1</v>
      </c>
      <c r="AD19" s="303">
        <f ca="1">IF(AND($AF$16,$AD$4=$AD$5,$AD$4=$AD$6,$AD$4&lt;&gt;$AD$7),W19,0)</f>
        <v>0</v>
      </c>
      <c r="AE19" s="303" t="str">
        <f t="shared" ref="AE19:AE20" ca="1" si="12">IF(AD19&gt;0,Y19,"")</f>
        <v/>
      </c>
    </row>
    <row r="20" spans="2:31" x14ac:dyDescent="0.25">
      <c r="D20" s="30"/>
      <c r="E20" s="684" t="str">
        <f>$P$6</f>
        <v>Wales</v>
      </c>
      <c r="F20" s="685"/>
      <c r="G20" s="685"/>
      <c r="H20" s="39">
        <f ca="1">SUMIFS($E$4:$E$9,$B$4:$B$9,$P$6,$D$4:$D$9,$P$4)+SUMIFS($G$4:$G$9,$B$4:$B$9,$P$4,$D$4:$D$9,$P$6)</f>
        <v>2</v>
      </c>
      <c r="I20" s="303">
        <f ca="1">SUMIFS($E$4:$E$9,$B$4:$B$9,$P$6,$D$4:$D$9,$P$5)+SUMIFS($G$4:$G$9,$B$4:$B$9,$P$5,$D$4:$D$9,$P$6)</f>
        <v>0</v>
      </c>
      <c r="J20" s="81"/>
      <c r="K20" s="57">
        <f ca="1">SUMIFS($E$4:$E$9,$B$4:$B$9,$P$6,$D$4:$D$9,$P$7)+SUMIFS($G$4:$G$9,$B$4:$B$9,$P$7,$D$4:$D$9,$P$6)</f>
        <v>1</v>
      </c>
      <c r="L20" s="76">
        <f ca="1">IF(AND($Q$6=$Q$4,$Q$6&lt;&gt;$Q$5,$Q$6&lt;&gt;$Q$7),IF(H20&gt;J18,3,IF(H20=J18,1,0)),IF(AND($Q$6=$Q$5,$Q$6&lt;&gt;$Q$4,$Q$6&lt;&gt;$Q$7),IF(I20&gt;J19,3,IF(I20=J19,1,0)),IF(AND($Q$6=$Q$7,$Q$6&lt;&gt;$Q$4,$Q$6&lt;&gt;$Q$5),IF(K20&gt;J21,3,IF(K20=J21,1,0)),"")))</f>
        <v>1</v>
      </c>
      <c r="M20" s="76" t="str">
        <f ca="1">IF($AF$16,IF(AND($AD$6=$AD$4,$AD$6&lt;&gt;$AD$5,$AD$6&lt;&gt;$AD$7),IF(H20&gt;J18,3,IF(H20=J18,1,0)),IF(AND($AD$6&lt;&gt;$AD$4,$AD$6=$AD$5,$AD$6&lt;&gt;$AD$7),IF(I20&gt;J19,3,IF(I20=J19,1,0)),IF(AND($AD$6&lt;&gt;$AD$4,$AD$6&lt;&gt;$AD$5,$AD$6=$AD$7),IF(K20&gt;J21,3,IF(K20=J21,1,0)),""))),"")</f>
        <v/>
      </c>
      <c r="N20" s="465"/>
      <c r="O20" s="301" t="s">
        <v>34</v>
      </c>
      <c r="P20" t="str">
        <f>$P$6</f>
        <v>Wales</v>
      </c>
      <c r="Q20" s="301">
        <f ca="1">SUMIFS($H$4:$H$9,$B$4:$B$9,$P20,$D$4:$D$9,"&lt;&gt;"&amp;$P$21)+SUMIFS($I$4:$I$9,$B$4:$B$9,"&lt;&gt;"&amp;$P$21,$D$4:$D$9,$P20)</f>
        <v>3</v>
      </c>
      <c r="R20" s="301">
        <f ca="1">S20-T20</f>
        <v>1</v>
      </c>
      <c r="S20" s="301">
        <f ca="1">SUMIFS($E$4:$E$9,$B$4:$B$9,$P20,$D$4:$D$9,"&lt;&gt;"&amp;$P$21)+SUMIFS($G$4:$G$9,$B$4:$B$9,"&lt;&gt;"&amp;$P$21,$D$4:$D$9,$P20)</f>
        <v>2</v>
      </c>
      <c r="T20" s="301">
        <f ca="1">SUMIFS($G$4:$G$9,$B$4:$B$9,$P20,$D$4:$D$9,"&lt;&gt;"&amp;$P$21)+SUMIFS($E$4:$E$9,$B$4:$B$9,"&lt;&gt;"&amp;$P$21,$D$4:$D$9,$P20)</f>
        <v>1</v>
      </c>
      <c r="U20" s="466"/>
      <c r="V20" s="300">
        <f ca="1">Q20*FactorPts+(GDzero+R20)*FactorGD+S20*FactorFor</f>
        <v>30051020</v>
      </c>
      <c r="W20" s="301">
        <f ca="1">RANK(V20,V$18:V$20,1)</f>
        <v>2</v>
      </c>
      <c r="X20" s="301">
        <f ca="1">IF(AND($Q$4=$Q$5,$Q$4=$Q$6,$Q$4&lt;&gt;$Q$7),W20,0)</f>
        <v>0</v>
      </c>
      <c r="Y20" s="301" t="str">
        <f ca="1">IF(AND(V20=V18,V20&lt;&gt;V19),IF(AB20&gt;AB18,3,IF(AB20=AB18,1,0)),IF(AND(V20=V19,V20&lt;&gt;V18),IF(AC20&gt;AC19,3,IF(AC20=AC19,1,0)),""))</f>
        <v/>
      </c>
      <c r="Z20" s="303" t="str">
        <f t="shared" ca="1" si="11"/>
        <v/>
      </c>
      <c r="AA20" s="287"/>
      <c r="AB20" s="303">
        <f ca="1">$H$20</f>
        <v>2</v>
      </c>
      <c r="AC20" s="304">
        <f ca="1">$I$20</f>
        <v>0</v>
      </c>
      <c r="AD20" s="303">
        <f ca="1">IF(AND($AF$16,$AD$4=$AD$5,$AD$4=$AD$6,$AD$4&lt;&gt;$AD$7),W20,0)</f>
        <v>0</v>
      </c>
      <c r="AE20" s="303" t="str">
        <f t="shared" ca="1" si="12"/>
        <v/>
      </c>
    </row>
    <row r="21" spans="2:31" ht="15.75" thickBot="1" x14ac:dyDescent="0.3">
      <c r="B21" s="49"/>
      <c r="C21" s="50"/>
      <c r="D21" s="51"/>
      <c r="E21" s="679" t="str">
        <f>$P$7</f>
        <v>Schweiz</v>
      </c>
      <c r="F21" s="680"/>
      <c r="G21" s="680"/>
      <c r="H21" s="38">
        <f ca="1">SUMIFS($E$4:$E$9,$B$4:$B$9,$P$7,$D$4:$D$9,$P$4)+SUMIFS($G$4:$G$9,$B$4:$B$9,$P$4,$D$4:$D$9,$P$7)</f>
        <v>3</v>
      </c>
      <c r="I21" s="36">
        <f ca="1">SUMIFS($E$4:$E$9,$B$4:$B$9,$P$7,$D$4:$D$9,$P$5)+SUMIFS($G$4:$G$9,$B$4:$B$9,$P$5,$D$4:$D$9,$P$7)</f>
        <v>0</v>
      </c>
      <c r="J21" s="36">
        <f ca="1">SUMIFS($E$4:$E$9,$B$4:$B$9,$P$7,$D$4:$D$9,$P$6)+SUMIFS($G$4:$G$9,$B$4:$B$9,$P$6,$D$4:$D$9,$P$7)</f>
        <v>1</v>
      </c>
      <c r="K21" s="82"/>
      <c r="L21" s="77">
        <f ca="1">IF(AND($Q$7=$Q$4,$Q$7&lt;&gt;$Q$5,$Q$7&lt;&gt;$Q$6),IF(H21&gt;K18,3,IF(H21=K18,1,0)),IF(AND($Q$7=$Q$5,$Q$7&lt;&gt;$Q$4,$Q$7&lt;&gt;$Q$6),IF(I21&gt;K19,3,IF(I21=K19,1,0)),IF(AND($Q$7=$Q$6,$Q$7&lt;&gt;$Q$4,$Q$7&lt;&gt;$Q$5),IF(J21&gt;K20,3,IF(J21=K20,1,0)),"")))</f>
        <v>1</v>
      </c>
      <c r="M21" s="77" t="str">
        <f ca="1">IF($AF$16,IF(AND($AD$7=$AD$4,$AD$7&lt;&gt;$AD$5,$AD$7&lt;&gt;$AD$6),IF(H21&gt;K18,3,IF(H21=K18,1,0)),IF(AND($AD$7&lt;&gt;$AD$4,$AD$7=$AD$5,$AD$7&lt;&gt;$AD$6),IF(I21&gt;K19,3,IF(I21=K19,1,0)),IF(AND($AD$7&lt;&gt;$AD$4,$AD$7&lt;&gt;$AD$5,$AD$7=$AD$6),IF(J21&gt;K20,3,IF(J21=K20,1,0)),""))),"")</f>
        <v/>
      </c>
      <c r="N21" s="465"/>
      <c r="O21" s="301"/>
      <c r="P21" s="34" t="str">
        <f>$P$7</f>
        <v>Schweiz</v>
      </c>
      <c r="Q21" s="293"/>
      <c r="R21" s="293"/>
      <c r="S21" s="293"/>
      <c r="T21" s="293"/>
      <c r="U21" s="293"/>
      <c r="V21" s="294"/>
      <c r="W21" s="294"/>
      <c r="X21" s="293"/>
      <c r="Y21" s="293"/>
      <c r="Z21" s="295"/>
      <c r="AA21" s="296"/>
      <c r="AB21" s="295"/>
      <c r="AC21" s="297"/>
      <c r="AD21" s="298"/>
      <c r="AE21" s="295"/>
    </row>
    <row r="22" spans="2:31" ht="15.75" thickTop="1" x14ac:dyDescent="0.25">
      <c r="B22" s="49"/>
      <c r="C22" s="50"/>
      <c r="D22" s="51"/>
      <c r="F22" s="301"/>
      <c r="G22" s="35"/>
      <c r="L22" s="56"/>
      <c r="O22" s="301"/>
      <c r="Q22" s="294"/>
      <c r="R22" s="294"/>
      <c r="S22" s="294"/>
      <c r="T22" s="294"/>
      <c r="U22" s="294"/>
      <c r="V22" s="294"/>
      <c r="W22" s="294"/>
      <c r="X22" s="293"/>
      <c r="Y22" s="293"/>
      <c r="Z22" s="295"/>
      <c r="AA22" s="296"/>
      <c r="AB22" s="295"/>
      <c r="AC22" s="297"/>
      <c r="AD22" s="298"/>
      <c r="AE22" s="295"/>
    </row>
    <row r="23" spans="2:31" x14ac:dyDescent="0.25">
      <c r="B23" s="43"/>
      <c r="C23" s="301"/>
      <c r="O23" s="301" t="s">
        <v>32</v>
      </c>
      <c r="P23" t="str">
        <f>$P$4</f>
        <v>Türkei</v>
      </c>
      <c r="Q23" s="301">
        <f ca="1">SUMIFS($H$4:$H$9,$B$4:$B$9,$P23,$D$4:$D$9,"&lt;&gt;"&amp;$P$26)+SUMIFS($I$4:$I$9,$B$4:$B$9,"&lt;&gt;"&amp;$P$26,$D$4:$D$9,$P23)</f>
        <v>0</v>
      </c>
      <c r="R23" s="301">
        <f ca="1">S23-T23</f>
        <v>-5</v>
      </c>
      <c r="S23" s="301">
        <f ca="1">SUMIFS($E$4:$E$9,$B$4:$B$9,$P23,$D$4:$D$9,"&lt;&gt;"&amp;$P$26)+SUMIFS($G$4:$G$9,$B$4:$B$9,"&lt;&gt;"&amp;$P$26,$D$4:$D$9,$P23)</f>
        <v>1</v>
      </c>
      <c r="T23" s="301">
        <f ca="1">SUMIFS($G$4:$G$9,$B$4:$B$9,$P23,$D$4:$D$9,"&lt;&gt;"&amp;$P$26)+SUMIFS($E$4:$E$9,$B$4:$B$9,"&lt;&gt;"&amp;$P$26,$D$4:$D$9,$P23)</f>
        <v>6</v>
      </c>
      <c r="U23" s="466"/>
      <c r="V23" s="300">
        <f ca="1">Q23*FactorPts+(GDzero+R23)*FactorGD+S23*FactorFor</f>
        <v>45010</v>
      </c>
      <c r="W23" s="301">
        <f ca="1">RANK(V23,V$23:V$25,1)</f>
        <v>1</v>
      </c>
      <c r="X23" s="301">
        <f ca="1">IF(AND($Q$4=$Q$5,$Q$4=$Q$7,$Q$4&lt;&gt;$Q$6),W23,0)</f>
        <v>0</v>
      </c>
      <c r="Y23" s="301" t="str">
        <f ca="1">IF(AND(V23=V24,V23&lt;&gt;V25),IF(AA23&gt;AA24,3,IF(AA23=AA24,1,0)),IF(AND(V23=V25,V23&lt;&gt;V24),IF(AB23&gt;AB25,3,IF(AB23=AB25,1,0)),""))</f>
        <v/>
      </c>
      <c r="Z23" s="303" t="str">
        <f ca="1">IF(X23&gt;0,Y23,"")</f>
        <v/>
      </c>
      <c r="AA23" s="287">
        <f ca="1">$I$18</f>
        <v>0</v>
      </c>
      <c r="AB23" s="303">
        <f ca="1">$K$18</f>
        <v>1</v>
      </c>
      <c r="AC23" s="304"/>
      <c r="AD23" s="303">
        <f ca="1">IF(AND($AF$16,$AD$4=$AD$5,$AD$4=$AD$7,$AD$4&lt;&gt;$AD$6),W23,0)</f>
        <v>0</v>
      </c>
      <c r="AE23" s="303" t="str">
        <f ca="1">IF(AD23&gt;0,Y23,"")</f>
        <v/>
      </c>
    </row>
    <row r="24" spans="2:31" x14ac:dyDescent="0.25">
      <c r="B24" s="43"/>
      <c r="C24" s="301"/>
      <c r="O24" s="301" t="s">
        <v>33</v>
      </c>
      <c r="P24" t="str">
        <f>$P$5</f>
        <v>Italien</v>
      </c>
      <c r="Q24" s="301">
        <f ca="1">SUMIFS($H$4:$H$9,$B$4:$B$9,$P24,$D$4:$D$9,"&lt;&gt;"&amp;$P$26)+SUMIFS($I$4:$I$9,$B$4:$B$9,"&lt;&gt;"&amp;$P$26,$D$4:$D$9,$P24)</f>
        <v>6</v>
      </c>
      <c r="R24" s="301">
        <f ca="1">S24-T24</f>
        <v>4</v>
      </c>
      <c r="S24" s="301">
        <f ca="1">SUMIFS($E$4:$E$9,$B$4:$B$9,$P24,$D$4:$D$9,"&lt;&gt;"&amp;$P$26)+SUMIFS($G$4:$G$9,$B$4:$B$9,"&lt;&gt;"&amp;$P$26,$D$4:$D$9,$P24)</f>
        <v>4</v>
      </c>
      <c r="T24" s="301">
        <f ca="1">SUMIFS($G$4:$G$9,$B$4:$B$9,$P24,$D$4:$D$9,"&lt;&gt;"&amp;$P$26)+SUMIFS($E$4:$E$9,$B$4:$B$9,"&lt;&gt;"&amp;$P$26,$D$4:$D$9,$P24)</f>
        <v>0</v>
      </c>
      <c r="U24" s="466"/>
      <c r="V24" s="300">
        <f ca="1">Q24*FactorPts+(GDzero+R24)*FactorGD+S24*FactorFor</f>
        <v>60054040</v>
      </c>
      <c r="W24" s="301">
        <f ca="1">RANK(V24,V$23:V$25,1)</f>
        <v>3</v>
      </c>
      <c r="X24" s="301">
        <f ca="1">IF(AND($Q$4=$Q$5,$Q$4=$Q$7,$Q$4&lt;&gt;$Q$6),W24,0)</f>
        <v>0</v>
      </c>
      <c r="Y24" s="301" t="str">
        <f ca="1">IF(AND(V24=V23,V24&lt;&gt;V25),IF(AA24&gt;AA23,3,IF(AA24=AA23,1,0)),IF(AND(V24=V25,V24&lt;&gt;V23),IF(AC24&gt;AC25,3,IF(AC24=AC25,1,0)),""))</f>
        <v/>
      </c>
      <c r="Z24" s="303" t="str">
        <f t="shared" ref="Z24:Z25" ca="1" si="13">IF(X24&gt;0,Y24,"")</f>
        <v/>
      </c>
      <c r="AA24" s="287">
        <f ca="1">$H$19</f>
        <v>3</v>
      </c>
      <c r="AB24" s="303"/>
      <c r="AC24" s="304">
        <f ca="1">$K$19</f>
        <v>1</v>
      </c>
      <c r="AD24" s="303">
        <f ca="1">IF(AND($AF$16,$AD$4=$AD$5,$AD$4=$AD$7,$AD$4&lt;&gt;$AD$6),W24,0)</f>
        <v>0</v>
      </c>
      <c r="AE24" s="303" t="str">
        <f t="shared" ref="AE24:AE25" ca="1" si="14">IF(AD24&gt;0,Y24,"")</f>
        <v/>
      </c>
    </row>
    <row r="25" spans="2:31" x14ac:dyDescent="0.25">
      <c r="B25" s="43"/>
      <c r="C25" s="301"/>
      <c r="O25" s="301" t="s">
        <v>34</v>
      </c>
      <c r="P25" t="str">
        <f>$P$7</f>
        <v>Schweiz</v>
      </c>
      <c r="Q25" s="301">
        <f ca="1">SUMIFS($H$4:$H$9,$B$4:$B$9,$P25,$D$4:$D$9,"&lt;&gt;"&amp;$P$26)+SUMIFS($I$4:$I$9,$B$4:$B$9,"&lt;&gt;"&amp;$P$26,$D$4:$D$9,$P25)</f>
        <v>3</v>
      </c>
      <c r="R25" s="301">
        <f ca="1">S25-T25</f>
        <v>1</v>
      </c>
      <c r="S25" s="301">
        <f ca="1">SUMIFS($E$4:$E$9,$B$4:$B$9,$P25,$D$4:$D$9,"&lt;&gt;"&amp;$P$26)+SUMIFS($G$4:$G$9,$B$4:$B$9,"&lt;&gt;"&amp;$P$26,$D$4:$D$9,$P25)</f>
        <v>3</v>
      </c>
      <c r="T25" s="301">
        <f ca="1">SUMIFS($G$4:$G$9,$B$4:$B$9,$P25,$D$4:$D$9,"&lt;&gt;"&amp;$P$26)+SUMIFS($E$4:$E$9,$B$4:$B$9,"&lt;&gt;"&amp;$P$26,$D$4:$D$9,$P25)</f>
        <v>2</v>
      </c>
      <c r="U25" s="466"/>
      <c r="V25" s="300">
        <f ca="1">Q25*FactorPts+(GDzero+R25)*FactorGD+S25*FactorFor</f>
        <v>30051030</v>
      </c>
      <c r="W25" s="301">
        <f ca="1">RANK(V25,V$23:V$25,1)</f>
        <v>2</v>
      </c>
      <c r="X25" s="301">
        <f ca="1">IF(AND($Q$4=$Q$5,$Q$4=$Q$7,$Q$4&lt;&gt;$Q$6),W25,0)</f>
        <v>0</v>
      </c>
      <c r="Y25" s="301" t="str">
        <f ca="1">IF(AND(V25=V23,V25&lt;&gt;V24),IF(AB25&gt;AB23,3,IF(AB25=AB23,1,0)),IF(AND(V25=V24,V25&lt;&gt;V23),IF(AC25&gt;AC24,3,IF(AC25=AC24,1,0)),""))</f>
        <v/>
      </c>
      <c r="Z25" s="303" t="str">
        <f t="shared" ca="1" si="13"/>
        <v/>
      </c>
      <c r="AA25" s="287"/>
      <c r="AB25" s="303">
        <f ca="1">$H$21</f>
        <v>3</v>
      </c>
      <c r="AC25" s="304">
        <f ca="1">$I$21</f>
        <v>0</v>
      </c>
      <c r="AD25" s="303">
        <f ca="1">IF(AND($AF$16,$AD$4=$AD$5,$AD$4=$AD$7,$AD$4&lt;&gt;$AD$6),W25,0)</f>
        <v>0</v>
      </c>
      <c r="AE25" s="303" t="str">
        <f t="shared" ca="1" si="14"/>
        <v/>
      </c>
    </row>
    <row r="26" spans="2:31" x14ac:dyDescent="0.25">
      <c r="B26" s="43"/>
      <c r="C26" s="301"/>
      <c r="O26" s="301"/>
      <c r="P26" s="34" t="str">
        <f>$P$6</f>
        <v>Wales</v>
      </c>
      <c r="Q26" s="293"/>
      <c r="R26" s="293"/>
      <c r="S26" s="293"/>
      <c r="T26" s="293"/>
      <c r="U26" s="293"/>
      <c r="V26" s="294"/>
      <c r="W26" s="294"/>
      <c r="X26" s="293"/>
      <c r="Y26" s="293"/>
      <c r="Z26" s="295"/>
      <c r="AA26" s="296"/>
      <c r="AB26" s="295"/>
      <c r="AC26" s="297"/>
      <c r="AD26" s="298"/>
      <c r="AE26" s="295"/>
    </row>
    <row r="27" spans="2:31" x14ac:dyDescent="0.25">
      <c r="O27" s="301"/>
      <c r="Q27" s="294"/>
      <c r="R27" s="294"/>
      <c r="S27" s="294"/>
      <c r="T27" s="294"/>
      <c r="U27" s="294"/>
      <c r="V27" s="294"/>
      <c r="W27" s="294"/>
      <c r="X27" s="293"/>
      <c r="Y27" s="293"/>
      <c r="Z27" s="295"/>
      <c r="AA27" s="296"/>
      <c r="AB27" s="295"/>
      <c r="AC27" s="297"/>
      <c r="AD27" s="298"/>
      <c r="AE27" s="295"/>
    </row>
    <row r="28" spans="2:31" x14ac:dyDescent="0.25">
      <c r="O28" s="301" t="s">
        <v>32</v>
      </c>
      <c r="P28" t="str">
        <f>$P$4</f>
        <v>Türkei</v>
      </c>
      <c r="Q28" s="301">
        <f ca="1">SUMIFS($H$4:$H$9,$B$4:$B$9,$P28,$D$4:$D$9,"&lt;&gt;"&amp;$P$31)+SUMIFS($I$4:$I$9,$B$4:$B$9,"&lt;&gt;"&amp;$P$31,$D$4:$D$9,$P28)</f>
        <v>0</v>
      </c>
      <c r="R28" s="301">
        <f ca="1">S28-T28</f>
        <v>-4</v>
      </c>
      <c r="S28" s="301">
        <f ca="1">SUMIFS($E$4:$E$9,$B$4:$B$9,$P28,$D$4:$D$9,"&lt;&gt;"&amp;$P$31)+SUMIFS($G$4:$G$9,$B$4:$B$9,"&lt;&gt;"&amp;$P$31,$D$4:$D$9,$P28)</f>
        <v>1</v>
      </c>
      <c r="T28" s="301">
        <f ca="1">SUMIFS($G$4:$G$9,$B$4:$B$9,$P28,$D$4:$D$9,"&lt;&gt;"&amp;$P$31)+SUMIFS($E$4:$E$9,$B$4:$B$9,"&lt;&gt;"&amp;$P$31,$D$4:$D$9,$P28)</f>
        <v>5</v>
      </c>
      <c r="U28" s="466"/>
      <c r="V28" s="300">
        <f ca="1">Q28*FactorPts+(GDzero+R28)*FactorGD+S28*FactorFor</f>
        <v>46010</v>
      </c>
      <c r="W28" s="301">
        <f ca="1">_xlfn.RANK.EQ(V28,V$28:V$30,1)</f>
        <v>1</v>
      </c>
      <c r="X28" s="301">
        <f ca="1">IF(AND($Q$4=$Q$6,$Q$4=$Q$7,$Q$4&lt;&gt;$Q$5),W28,0)</f>
        <v>0</v>
      </c>
      <c r="Y28" s="301" t="str">
        <f ca="1">IF(AND(V28=V29,V28&lt;&gt;V30),IF(AA28&gt;AA29,3,IF(AA28=AA29,1,0)),IF(AND(V28=V30,V28&lt;&gt;V29),IF(AB28&gt;AB30,3,IF(AB28=AB30,1,0)),""))</f>
        <v/>
      </c>
      <c r="Z28" s="303" t="str">
        <f ca="1">IF(X28&gt;0,Y28,"")</f>
        <v/>
      </c>
      <c r="AA28" s="287">
        <f ca="1">$J$18</f>
        <v>0</v>
      </c>
      <c r="AB28" s="303">
        <f ca="1">$K$18</f>
        <v>1</v>
      </c>
      <c r="AC28" s="304"/>
      <c r="AD28" s="303">
        <f ca="1">IF(AND($AF$16,$AD$4=$AD$6,$AD$4=$AD$7,$AD$4&lt;&gt;$AD$5),W28,0)</f>
        <v>0</v>
      </c>
      <c r="AE28" s="303" t="str">
        <f ca="1">IF(AD28&gt;0,Y28,"")</f>
        <v/>
      </c>
    </row>
    <row r="29" spans="2:31" x14ac:dyDescent="0.25">
      <c r="O29" s="301" t="s">
        <v>33</v>
      </c>
      <c r="P29" t="str">
        <f>$P$6</f>
        <v>Wales</v>
      </c>
      <c r="Q29" s="301">
        <f ca="1">SUMIFS($H$4:$H$9,$B$4:$B$9,$P29,$D$4:$D$9,"&lt;&gt;"&amp;$P$31)+SUMIFS($I$4:$I$9,$B$4:$B$9,"&lt;&gt;"&amp;$P$31,$D$4:$D$9,$P29)</f>
        <v>4</v>
      </c>
      <c r="R29" s="301">
        <f ca="1">S29-T29</f>
        <v>2</v>
      </c>
      <c r="S29" s="301">
        <f ca="1">SUMIFS($E$4:$E$9,$B$4:$B$9,$P29,$D$4:$D$9,"&lt;&gt;"&amp;$P$31)+SUMIFS($G$4:$G$9,$B$4:$B$9,"&lt;&gt;"&amp;$P$31,$D$4:$D$9,$P29)</f>
        <v>3</v>
      </c>
      <c r="T29" s="301">
        <f ca="1">SUMIFS($G$4:$G$9,$B$4:$B$9,$P29,$D$4:$D$9,"&lt;&gt;"&amp;$P$31)+SUMIFS($E$4:$E$9,$B$4:$B$9,"&lt;&gt;"&amp;$P$31,$D$4:$D$9,$P29)</f>
        <v>1</v>
      </c>
      <c r="U29" s="466"/>
      <c r="V29" s="300">
        <f ca="1">Q29*FactorPts+(GDzero+R29)*FactorGD+S29*FactorFor</f>
        <v>40052030</v>
      </c>
      <c r="W29" s="301">
        <f ca="1">_xlfn.RANK.EQ(V29,V$28:V$30,1)</f>
        <v>2</v>
      </c>
      <c r="X29" s="301">
        <f ca="1">IF(AND($Q$4=$Q$6,$Q$4=$Q$7,$Q$4&lt;&gt;$Q$5),W29,0)</f>
        <v>0</v>
      </c>
      <c r="Y29" s="301" t="str">
        <f ca="1">IF(AND(V29=V28,V29&lt;&gt;V30),IF(AA29&gt;AA28,3,IF(AA29=AA28,1,0)),IF(AND(V29=V30,V29&lt;&gt;V28),IF(AC29&gt;AC30,3,IF(AC29=AC30,1,0)),""))</f>
        <v/>
      </c>
      <c r="Z29" s="303" t="str">
        <f t="shared" ref="Z29:Z30" ca="1" si="15">IF(X29&gt;0,Y29,"")</f>
        <v/>
      </c>
      <c r="AA29" s="287">
        <f ca="1">$H$20</f>
        <v>2</v>
      </c>
      <c r="AB29" s="303"/>
      <c r="AC29" s="304">
        <f ca="1">$K$20</f>
        <v>1</v>
      </c>
      <c r="AD29" s="303">
        <f ca="1">IF(AND($AF$16,$AD$4=$AD$6,$AD$4=$AD$7,$AD$4&lt;&gt;$AD$5),W29,0)</f>
        <v>0</v>
      </c>
      <c r="AE29" s="303" t="str">
        <f t="shared" ref="AE29:AE30" ca="1" si="16">IF(AD29&gt;0,Y29,"")</f>
        <v/>
      </c>
    </row>
    <row r="30" spans="2:31" x14ac:dyDescent="0.25">
      <c r="O30" s="301" t="s">
        <v>34</v>
      </c>
      <c r="P30" t="str">
        <f>$P$7</f>
        <v>Schweiz</v>
      </c>
      <c r="Q30" s="301">
        <f ca="1">SUMIFS($H$4:$H$9,$B$4:$B$9,$P30,$D$4:$D$9,"&lt;&gt;"&amp;$P$31)+SUMIFS($I$4:$I$9,$B$4:$B$9,"&lt;&gt;"&amp;$P$31,$D$4:$D$9,$P30)</f>
        <v>4</v>
      </c>
      <c r="R30" s="301">
        <f ca="1">S30-T30</f>
        <v>2</v>
      </c>
      <c r="S30" s="301">
        <f ca="1">SUMIFS($E$4:$E$9,$B$4:$B$9,$P30,$D$4:$D$9,"&lt;&gt;"&amp;$P$31)+SUMIFS($G$4:$G$9,$B$4:$B$9,"&lt;&gt;"&amp;$P$31,$D$4:$D$9,$P30)</f>
        <v>4</v>
      </c>
      <c r="T30" s="301">
        <f ca="1">SUMIFS($G$4:$G$9,$B$4:$B$9,$P30,$D$4:$D$9,"&lt;&gt;"&amp;$P$31)+SUMIFS($E$4:$E$9,$B$4:$B$9,"&lt;&gt;"&amp;$P$31,$D$4:$D$9,$P30)</f>
        <v>2</v>
      </c>
      <c r="U30" s="466"/>
      <c r="V30" s="300">
        <f ca="1">Q30*FactorPts+(GDzero+R30)*FactorGD+S30*FactorFor</f>
        <v>40052040</v>
      </c>
      <c r="W30" s="301">
        <f ca="1">_xlfn.RANK.EQ(V30,V$28:V$30,1)</f>
        <v>3</v>
      </c>
      <c r="X30" s="301">
        <f ca="1">IF(AND($Q$4=$Q$6,$Q$4=$Q$7,$Q$4&lt;&gt;$Q$5),W30,0)</f>
        <v>0</v>
      </c>
      <c r="Y30" s="301" t="str">
        <f ca="1">IF(AND(V30=V28,V30&lt;&gt;V29),IF(AB30&gt;AB28,3,IF(AB30=AB28,1,0)),IF(AND(V30=V29,V30&lt;&gt;V28),IF(AC30&gt;AC29,3,IF(AC30=AC29,1,0)),""))</f>
        <v/>
      </c>
      <c r="Z30" s="303" t="str">
        <f t="shared" ca="1" si="15"/>
        <v/>
      </c>
      <c r="AA30" s="287"/>
      <c r="AB30" s="303">
        <f ca="1">$H$21</f>
        <v>3</v>
      </c>
      <c r="AC30" s="304">
        <f ca="1">$J$21</f>
        <v>1</v>
      </c>
      <c r="AD30" s="303">
        <f ca="1">IF(AND($AF$16,$AD$4=$AD$6,$AD$4=$AD$7,$AD$4&lt;&gt;$AD$5),W30,0)</f>
        <v>0</v>
      </c>
      <c r="AE30" s="303" t="str">
        <f t="shared" ca="1" si="16"/>
        <v/>
      </c>
    </row>
    <row r="31" spans="2:31" x14ac:dyDescent="0.25">
      <c r="O31" s="301"/>
      <c r="P31" s="34" t="str">
        <f>$P$5</f>
        <v>Italien</v>
      </c>
      <c r="Q31" s="293"/>
      <c r="R31" s="293"/>
      <c r="S31" s="293"/>
      <c r="T31" s="293"/>
      <c r="U31" s="293"/>
      <c r="V31" s="294"/>
      <c r="W31" s="294"/>
      <c r="X31" s="293"/>
      <c r="Y31" s="293"/>
      <c r="Z31" s="295"/>
      <c r="AA31" s="296"/>
      <c r="AB31" s="295"/>
      <c r="AC31" s="297"/>
      <c r="AD31" s="298"/>
      <c r="AE31" s="295"/>
    </row>
    <row r="32" spans="2:31" x14ac:dyDescent="0.25">
      <c r="O32" s="301"/>
      <c r="Q32" s="294"/>
      <c r="R32" s="294"/>
      <c r="S32" s="294"/>
      <c r="T32" s="294"/>
      <c r="U32" s="294"/>
      <c r="V32" s="294"/>
      <c r="W32" s="294"/>
      <c r="X32" s="293"/>
      <c r="Y32" s="293"/>
      <c r="Z32" s="295"/>
      <c r="AA32" s="296"/>
      <c r="AB32" s="295"/>
      <c r="AC32" s="297"/>
      <c r="AD32" s="298"/>
      <c r="AE32" s="295"/>
    </row>
    <row r="33" spans="15:31" x14ac:dyDescent="0.25">
      <c r="O33" s="301" t="s">
        <v>32</v>
      </c>
      <c r="P33" t="str">
        <f>$P$5</f>
        <v>Italien</v>
      </c>
      <c r="Q33" s="301">
        <f ca="1">SUMIFS($H$4:$H$9,$B$4:$B$9,$P33,$D$4:$D$9,"&lt;&gt;"&amp;$P$36)+SUMIFS($I$4:$I$9,$B$4:$B$9,"&lt;&gt;"&amp;$P$36,$D$4:$D$9,$P33)</f>
        <v>6</v>
      </c>
      <c r="R33" s="301">
        <f ca="1">S33-T33</f>
        <v>2</v>
      </c>
      <c r="S33" s="301">
        <f ca="1">SUMIFS($E$4:$E$9,$B$4:$B$9,$P33,$D$4:$D$9,"&lt;&gt;"&amp;$P$36)+SUMIFS($G$4:$G$9,$B$4:$B$9,"&lt;&gt;"&amp;$P$36,$D$4:$D$9,$P33)</f>
        <v>2</v>
      </c>
      <c r="T33" s="301">
        <f ca="1">SUMIFS($G$4:$G$9,$B$4:$B$9,$P33,$D$4:$D$9,"&lt;&gt;"&amp;$P$36)+SUMIFS($E$4:$E$9,$B$4:$B$9,"&lt;&gt;"&amp;$P$36,$D$4:$D$9,$P33)</f>
        <v>0</v>
      </c>
      <c r="U33" s="466"/>
      <c r="V33" s="300">
        <f ca="1">Q33*FactorPts+(GDzero+R33)*FactorGD+S33*FactorFor</f>
        <v>60052020</v>
      </c>
      <c r="W33" s="301">
        <f ca="1">RANK(V33,V$33:V$35,1)</f>
        <v>3</v>
      </c>
      <c r="X33" s="301">
        <f ca="1">IF(AND($Q$5=$Q$6,$Q$5=$Q$7,$Q$5&lt;&gt;$Q$4),W33,0)</f>
        <v>0</v>
      </c>
      <c r="Y33" s="301" t="str">
        <f ca="1">IF(AND(V33=V34,V33&lt;&gt;V35),IF(AA33&gt;AA34,3,IF(AA33=AA34,1,0)),IF(AND(V33=V35,V33&lt;&gt;V34),IF(AB33&gt;AB35,3,IF(AB33=AB35,1,0)),""))</f>
        <v/>
      </c>
      <c r="Z33" s="303" t="str">
        <f ca="1">IF(X33&gt;0,Y33,"")</f>
        <v/>
      </c>
      <c r="AA33" s="287">
        <f ca="1">$J$19</f>
        <v>1</v>
      </c>
      <c r="AB33" s="303">
        <f ca="1">$K$19</f>
        <v>1</v>
      </c>
      <c r="AC33" s="304"/>
      <c r="AD33" s="303">
        <f ca="1">IF(AND($AF$16,$AD$5=$AD$6,$AD$5=$AD$7,$AD$5&lt;&gt;$AD$4),W33,0)</f>
        <v>0</v>
      </c>
      <c r="AE33" s="303" t="str">
        <f ca="1">IF(AD33&gt;0,Y33,"")</f>
        <v/>
      </c>
    </row>
    <row r="34" spans="15:31" x14ac:dyDescent="0.25">
      <c r="O34" s="301" t="s">
        <v>33</v>
      </c>
      <c r="P34" t="str">
        <f>$P$6</f>
        <v>Wales</v>
      </c>
      <c r="Q34" s="301">
        <f ca="1">SUMIFS($H$4:$H$9,$B$4:$B$9,$P34,$D$4:$D$9,"&lt;&gt;"&amp;$P$36)+SUMIFS($I$4:$I$9,$B$4:$B$9,"&lt;&gt;"&amp;$P$36,$D$4:$D$9,$P34)</f>
        <v>1</v>
      </c>
      <c r="R34" s="301">
        <f ca="1">S34-T34</f>
        <v>-1</v>
      </c>
      <c r="S34" s="301">
        <f ca="1">SUMIFS($E$4:$E$9,$B$4:$B$9,$P34,$D$4:$D$9,"&lt;&gt;"&amp;$P$36)+SUMIFS($G$4:$G$9,$B$4:$B$9,"&lt;&gt;"&amp;$P$36,$D$4:$D$9,$P34)</f>
        <v>1</v>
      </c>
      <c r="T34" s="301">
        <f ca="1">SUMIFS($G$4:$G$9,$B$4:$B$9,$P34,$D$4:$D$9,"&lt;&gt;"&amp;$P$36)+SUMIFS($E$4:$E$9,$B$4:$B$9,"&lt;&gt;"&amp;$P$36,$D$4:$D$9,$P34)</f>
        <v>2</v>
      </c>
      <c r="U34" s="466"/>
      <c r="V34" s="300">
        <f ca="1">Q34*FactorPts+(GDzero+R34)*FactorGD+S34*FactorFor</f>
        <v>10049010</v>
      </c>
      <c r="W34" s="301">
        <f ca="1">RANK(V34,V$33:V$35,1)</f>
        <v>1</v>
      </c>
      <c r="X34" s="301">
        <f ca="1">IF(AND($Q$5=$Q$6,$Q$5=$Q$7,$Q$5&lt;&gt;$Q$4),W34,0)</f>
        <v>0</v>
      </c>
      <c r="Y34" s="301">
        <f ca="1">IF(AND(V34=V33,V34&lt;&gt;V35),IF(AA34&gt;AA33,3,IF(AA34=AA33,1,0)),IF(AND(V34=V35,V34&lt;&gt;V33),IF(AC34&gt;AC35,3,IF(AC34=AC35,1,0)),""))</f>
        <v>1</v>
      </c>
      <c r="Z34" s="303" t="str">
        <f t="shared" ref="Z34:Z35" ca="1" si="17">IF(X34&gt;0,Y34,"")</f>
        <v/>
      </c>
      <c r="AA34" s="287">
        <f ca="1">$I$20</f>
        <v>0</v>
      </c>
      <c r="AB34" s="303"/>
      <c r="AC34" s="304">
        <f ca="1">$K$20</f>
        <v>1</v>
      </c>
      <c r="AD34" s="303">
        <f ca="1">IF(AND($AF$16,$AD$5=$AD$6,$AD$5=$AD$7,$AD$5&lt;&gt;$AD$4),W34,0)</f>
        <v>0</v>
      </c>
      <c r="AE34" s="303" t="str">
        <f t="shared" ref="AE34:AE35" ca="1" si="18">IF(AD34&gt;0,Y34,"")</f>
        <v/>
      </c>
    </row>
    <row r="35" spans="15:31" ht="15.75" thickBot="1" x14ac:dyDescent="0.3">
      <c r="O35" s="301" t="s">
        <v>34</v>
      </c>
      <c r="P35" t="str">
        <f>$P$7</f>
        <v>Schweiz</v>
      </c>
      <c r="Q35" s="301">
        <f ca="1">SUMIFS($H$4:$H$9,$B$4:$B$9,$P35,$D$4:$D$9,"&lt;&gt;"&amp;$P$36)+SUMIFS($I$4:$I$9,$B$4:$B$9,"&lt;&gt;"&amp;$P$36,$D$4:$D$9,$P35)</f>
        <v>1</v>
      </c>
      <c r="R35" s="301">
        <f ca="1">S35-T35</f>
        <v>-1</v>
      </c>
      <c r="S35" s="301">
        <f ca="1">SUMIFS($E$4:$E$9,$B$4:$B$9,$P35,$D$4:$D$9,"&lt;&gt;"&amp;$P$36)+SUMIFS($G$4:$G$9,$B$4:$B$9,"&lt;&gt;"&amp;$P$36,$D$4:$D$9,$P35)</f>
        <v>1</v>
      </c>
      <c r="T35" s="301">
        <f ca="1">SUMIFS($G$4:$G$9,$B$4:$B$9,$P35,$D$4:$D$9,"&lt;&gt;"&amp;$P$36)+SUMIFS($E$4:$E$9,$B$4:$B$9,"&lt;&gt;"&amp;$P$36,$D$4:$D$9,$P35)</f>
        <v>2</v>
      </c>
      <c r="U35" s="466"/>
      <c r="V35" s="300">
        <f ca="1">Q35*FactorPts+(GDzero+R35)*FactorGD+S35*FactorFor</f>
        <v>10049010</v>
      </c>
      <c r="W35" s="301">
        <f ca="1">RANK(V35,V$33:V$35,1)</f>
        <v>1</v>
      </c>
      <c r="X35" s="301">
        <f ca="1">IF(AND($Q$5=$Q$6,$Q$5=$Q$7,$Q$5&lt;&gt;$Q$4),W35,0)</f>
        <v>0</v>
      </c>
      <c r="Y35" s="301">
        <f ca="1">IF(AND(V35=V33,V35&lt;&gt;V34),IF(AB35&gt;AB33,3,IF(AB35=AB33,1,0)),IF(AND(V35=V34,V35&lt;&gt;V33),IF(AC35&gt;AC34,3,IF(AC35=AC34,1,0)),""))</f>
        <v>1</v>
      </c>
      <c r="Z35" s="303" t="str">
        <f t="shared" ca="1" si="17"/>
        <v/>
      </c>
      <c r="AA35" s="288"/>
      <c r="AB35" s="289">
        <f ca="1">$I$21</f>
        <v>0</v>
      </c>
      <c r="AC35" s="290">
        <f ca="1">$J$21</f>
        <v>1</v>
      </c>
      <c r="AD35" s="303">
        <f ca="1">IF(AND($AF$16,$AD$5=$AD$6,$AD$5=$AD$7,$AD$5&lt;&gt;$AD$4),W35,0)</f>
        <v>0</v>
      </c>
      <c r="AE35" s="303" t="str">
        <f t="shared" ca="1" si="18"/>
        <v/>
      </c>
    </row>
    <row r="36" spans="15:31" x14ac:dyDescent="0.25">
      <c r="O36" s="301"/>
      <c r="P36" s="34" t="str">
        <f>$P$4</f>
        <v>Türkei</v>
      </c>
      <c r="Q36" s="301"/>
      <c r="R36" s="301"/>
      <c r="S36" s="301"/>
      <c r="T36" s="301"/>
      <c r="U36" s="466"/>
    </row>
  </sheetData>
  <mergeCells count="13">
    <mergeCell ref="AD16:AE16"/>
    <mergeCell ref="AA17:AC17"/>
    <mergeCell ref="E21:G21"/>
    <mergeCell ref="B3:D3"/>
    <mergeCell ref="E3:G3"/>
    <mergeCell ref="H3:I3"/>
    <mergeCell ref="E18:G18"/>
    <mergeCell ref="E19:G19"/>
    <mergeCell ref="E20:G20"/>
    <mergeCell ref="G16:L16"/>
    <mergeCell ref="W16:Z16"/>
    <mergeCell ref="J3:L3"/>
    <mergeCell ref="Z9:AE9"/>
  </mergeCells>
  <pageMargins left="0.7" right="0.7" top="0.78740157499999996" bottom="0.78740157499999996"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011E2-22C9-4566-82DF-19CCE707C855}">
  <sheetPr codeName="Tabelle7"/>
  <dimension ref="A1:AG36"/>
  <sheetViews>
    <sheetView workbookViewId="0">
      <selection activeCell="I21" sqref="I21"/>
    </sheetView>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466"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8"/>
      <c r="B1" s="47" t="str">
        <f>VLOOKUP($Q$1,References!$B$5:$D$10,2,0)</f>
        <v>E</v>
      </c>
      <c r="D1" s="47" t="str">
        <f>VLOOKUP($Q$1,References!$B$5:$D$10,3,0)</f>
        <v>F</v>
      </c>
      <c r="P1" s="231" t="s">
        <v>239</v>
      </c>
      <c r="Q1" s="232" t="s">
        <v>26</v>
      </c>
    </row>
    <row r="2" spans="1:33" ht="8.25" customHeight="1" x14ac:dyDescent="0.25"/>
    <row r="3" spans="1:33" x14ac:dyDescent="0.25">
      <c r="B3" s="681" t="s">
        <v>225</v>
      </c>
      <c r="C3" s="681"/>
      <c r="D3" s="681"/>
      <c r="E3" s="681" t="s">
        <v>226</v>
      </c>
      <c r="F3" s="681"/>
      <c r="G3" s="681"/>
      <c r="H3" s="681" t="s">
        <v>221</v>
      </c>
      <c r="I3" s="681"/>
      <c r="J3" s="687" t="s">
        <v>554</v>
      </c>
      <c r="K3" s="687"/>
      <c r="L3" s="687"/>
      <c r="M3" s="467" t="s">
        <v>196</v>
      </c>
      <c r="N3" s="86"/>
      <c r="O3" s="46"/>
      <c r="P3" s="45"/>
      <c r="Q3" s="467" t="s">
        <v>221</v>
      </c>
      <c r="R3" s="467" t="s">
        <v>218</v>
      </c>
      <c r="S3" s="467" t="s">
        <v>804</v>
      </c>
      <c r="T3" s="467" t="s">
        <v>805</v>
      </c>
      <c r="U3" s="467" t="s">
        <v>803</v>
      </c>
      <c r="V3" s="467" t="s">
        <v>222</v>
      </c>
      <c r="W3" s="467" t="s">
        <v>223</v>
      </c>
      <c r="X3" s="467" t="s">
        <v>224</v>
      </c>
      <c r="Y3" s="467" t="s">
        <v>539</v>
      </c>
      <c r="Z3" s="467" t="s">
        <v>540</v>
      </c>
      <c r="AA3" s="467" t="s">
        <v>531</v>
      </c>
      <c r="AB3" s="467" t="s">
        <v>37</v>
      </c>
      <c r="AC3" s="467" t="s">
        <v>349</v>
      </c>
      <c r="AD3" s="467" t="s">
        <v>227</v>
      </c>
      <c r="AE3" s="467" t="s">
        <v>555</v>
      </c>
      <c r="AF3" s="467" t="s">
        <v>640</v>
      </c>
    </row>
    <row r="4" spans="1:33" x14ac:dyDescent="0.25">
      <c r="B4" s="275" t="str">
        <f ca="1">INDIRECT("'"&amp;References!$A$1&amp;"'!"&amp;$B$1&amp;References!$G5)</f>
        <v>Dänemark</v>
      </c>
      <c r="C4" s="276" t="s">
        <v>36</v>
      </c>
      <c r="D4" s="277" t="str">
        <f ca="1">INDIRECT("'"&amp;References!$A$1&amp;"'!"&amp;$D$1&amp;References!$G5)</f>
        <v>Finnland</v>
      </c>
      <c r="E4" s="275">
        <f ca="1">IF(OR(INDIRECT("'"&amp;References!$A$1&amp;"'!"&amp;$B$1&amp;References!$H5)="",INDIRECT("'"&amp;References!$A$1&amp;"'!"&amp;$D$1&amp;References!$H5)=""),"",INDIRECT("'"&amp;References!$A$1&amp;"'!"&amp;$B$1&amp;References!$H5))</f>
        <v>0</v>
      </c>
      <c r="F4" s="276" t="s">
        <v>36</v>
      </c>
      <c r="G4" s="281">
        <f ca="1">IF(OR(INDIRECT("'"&amp;References!$A$1&amp;"'!"&amp;$B$1&amp;References!$H5)="",INDIRECT("'"&amp;References!$A$1&amp;"'!"&amp;$D$1&amp;References!$H5)=""),"",INDIRECT("'"&amp;References!$A$1&amp;"'!"&amp;$D$1&amp;References!$H5))</f>
        <v>1</v>
      </c>
      <c r="H4" s="489">
        <f t="shared" ref="H4:H9" ca="1" si="0">IF($M4&gt;0,IF($E4&gt;$G4,3,IF($E4=$G4,1,0)),0)</f>
        <v>0</v>
      </c>
      <c r="I4" s="489">
        <f t="shared" ref="I4:I9" ca="1" si="1">IF($M4&gt;0,IF($E4&lt;$G4,3,IF($E4=$G4,1,0)),0)</f>
        <v>3</v>
      </c>
      <c r="L4" s="35"/>
      <c r="M4" s="466">
        <f t="shared" ref="M4:M9" ca="1" si="2">IF(AND($E4&lt;&gt;"",$G4&lt;&gt;""),1,0)</f>
        <v>1</v>
      </c>
      <c r="N4" s="466"/>
      <c r="O4" s="466" t="s">
        <v>32</v>
      </c>
      <c r="P4" s="44" t="str">
        <f>VLOOKUP($Q$1&amp;ROW($A1),Groups!$B$7:$D$35,3,0)</f>
        <v>Dänemark</v>
      </c>
      <c r="Q4" s="466">
        <f ca="1">SUMIF($B$4:$B$9,P4,$H$4:$H$9)+SUMIF($D$4:$D$9,P4,$I$4:$I$9)</f>
        <v>3</v>
      </c>
      <c r="R4" s="466">
        <f ca="1">S4-T4</f>
        <v>1</v>
      </c>
      <c r="S4" s="466">
        <f ca="1">SUMIF($B$4:$B$9,$P4,$E$4:$E$9)+SUMIF($D$4:$D$9,$P4,$G$4:$G$9)</f>
        <v>5</v>
      </c>
      <c r="T4" s="466">
        <f ca="1">SUMIF($B$4:$B$9,$P4,$G$4:$G$9)+SUMIF($D$4:$D$9,$P4,$E$4:$E$9)</f>
        <v>4</v>
      </c>
      <c r="U4" s="466">
        <f ca="1">COUNTIFS($B$4:$B$9,$P4,$H$4:$H$9,"=3")+COUNTIFS($D$4:$D$9,$P4,$I$4:$I$9,"=3")</f>
        <v>1</v>
      </c>
      <c r="V4" s="398">
        <f ca="1">$Q4*FactorPts+(GDzero+$R4)*FactorGD+$S4*FactorFor+$U4*FactorWins+$W4*FactorDirC3+$X4*FactorDirC2+$Y4*FactorDirC43+$Z4*FactorDirC42+$AA4*FactorDirC42+$AB4*FactorFairPlay+$AE4*FactorPenalty+(100-$AF4)*($M$10&gt;0)*FactorRank+(8-ROW())*FactorRow</f>
        <v>33051051.000085041</v>
      </c>
      <c r="W4" s="465">
        <f ca="1">SUMIFS($X$18:$X$35,$P$18:$P$35,$P4)</f>
        <v>3</v>
      </c>
      <c r="X4" s="465">
        <f ca="1">IF($L18="",0,$L18)+SUMIFS($Z$18:$Z$35,$P$18:$P$35,$P4)</f>
        <v>0</v>
      </c>
      <c r="Y4">
        <f ca="1">SUMIFS($AD$18:$AD$35,$P$18:$P$35,$P4)</f>
        <v>0</v>
      </c>
      <c r="Z4">
        <f ca="1">SUMIFS($AE$18:$AE$35,$P$18:$P$35,$P4)</f>
        <v>0</v>
      </c>
      <c r="AA4" s="466">
        <f ca="1">IF($M18="",0,$M18)</f>
        <v>0</v>
      </c>
      <c r="AB4" s="466">
        <f>SUMIFS(FairPlayPoints1,FairPlayTeams1,$P4)+SUMIFS(FairPlayPoints2,FairPlayTeams2,$P4)</f>
        <v>0</v>
      </c>
      <c r="AC4" s="466" t="b">
        <f ca="1">(Q4+T4&gt;0)</f>
        <v>1</v>
      </c>
      <c r="AD4" s="313">
        <f ca="1">$Q4*FactorPts+(GDzero+$R4)*FactorGD+$S4*FactorFor</f>
        <v>30051050</v>
      </c>
      <c r="AE4" s="466">
        <f ca="1">IF(OR(AND($Y$11&gt;0,OR(AND($B$8=$P4,$J$8&gt;$L$8),AND($D$8=$P4,$J$8&lt;$L$8))),AND($Y$12&gt;0,OR(AND($B$9=$P4,$J$9&gt;$L$9),AND($D$9=$P4,$J$9&lt;$L$9)))),1,0)</f>
        <v>0</v>
      </c>
      <c r="AF4" s="466">
        <f>INDEX(Language!$D$5:$D$59,MATCH($P4,Language!$E$5:$E$59,0),1)</f>
        <v>15</v>
      </c>
      <c r="AG4" s="466"/>
    </row>
    <row r="5" spans="1:33" x14ac:dyDescent="0.25">
      <c r="B5" s="278" t="str">
        <f ca="1">INDIRECT("'"&amp;References!$A$1&amp;"'!"&amp;$B$1&amp;References!$G6)</f>
        <v>Belgien</v>
      </c>
      <c r="C5" s="279" t="s">
        <v>36</v>
      </c>
      <c r="D5" s="280" t="str">
        <f ca="1">INDIRECT("'"&amp;References!$A$1&amp;"'!"&amp;$D$1&amp;References!$G6)</f>
        <v>Russland</v>
      </c>
      <c r="E5" s="278">
        <f ca="1">IF(OR(INDIRECT("'"&amp;References!$A$1&amp;"'!"&amp;$B$1&amp;References!$H6)="",INDIRECT("'"&amp;References!$A$1&amp;"'!"&amp;$D$1&amp;References!$H6)=""),"",INDIRECT("'"&amp;References!$A$1&amp;"'!"&amp;$B$1&amp;References!$H6))</f>
        <v>3</v>
      </c>
      <c r="F5" s="279" t="s">
        <v>36</v>
      </c>
      <c r="G5" s="282">
        <f ca="1">IF(OR(INDIRECT("'"&amp;References!$A$1&amp;"'!"&amp;$B$1&amp;References!$H6)="",INDIRECT("'"&amp;References!$A$1&amp;"'!"&amp;$D$1&amp;References!$H6)=""),"",INDIRECT("'"&amp;References!$A$1&amp;"'!"&amp;$D$1&amp;References!$H6))</f>
        <v>0</v>
      </c>
      <c r="H5" s="489">
        <f t="shared" ca="1" si="0"/>
        <v>3</v>
      </c>
      <c r="I5" s="489">
        <f t="shared" ca="1" si="1"/>
        <v>0</v>
      </c>
      <c r="L5" s="35"/>
      <c r="M5" s="466">
        <f t="shared" ca="1" si="2"/>
        <v>1</v>
      </c>
      <c r="N5" s="466"/>
      <c r="O5" s="466" t="s">
        <v>33</v>
      </c>
      <c r="P5" s="44" t="str">
        <f>VLOOKUP($Q$1&amp;ROW($A2),Groups!$B$7:$D$35,3,0)</f>
        <v>Finnland</v>
      </c>
      <c r="Q5" s="466">
        <f t="shared" ref="Q5:Q7" ca="1" si="3">SUMIF($B$4:$B$9,P5,$H$4:$H$9)+SUMIF($D$4:$D$9,P5,$I$4:$I$9)</f>
        <v>3</v>
      </c>
      <c r="R5" s="466">
        <f ca="1">S5-T5</f>
        <v>-2</v>
      </c>
      <c r="S5" s="466">
        <f ca="1">SUMIF($B$4:$B$9,$P5,$E$4:$E$9)+SUMIF($D$4:$D$9,$P5,$G$4:$G$9)</f>
        <v>1</v>
      </c>
      <c r="T5" s="466">
        <f ca="1">SUMIF($B$4:$B$9,$P5,$G$4:$G$9)+SUMIF($D$4:$D$9,$P5,$E$4:$E$9)</f>
        <v>3</v>
      </c>
      <c r="U5" s="466">
        <f t="shared" ref="U5:U7" ca="1" si="4">COUNTIFS($B$4:$B$9,$P5,$H$4:$H$9,"=3")+COUNTIFS($D$4:$D$9,$P5,$I$4:$I$9,"=3")</f>
        <v>1</v>
      </c>
      <c r="V5" s="398">
        <f ca="1">$Q5*FactorPts+(GDzero+$R5)*FactorGD+$S5*FactorFor+$U5*FactorWins+$W5*FactorDirC3+$X5*FactorDirC2+$Y5*FactorDirC43+$Z5*FactorDirC42+$AA5*FactorDirC42+$AB5*FactorFairPlay+$AE5*FactorPenalty+(100-$AF5)*($M$10&gt;0)*FactorRank+(8-ROW())*FactorRow</f>
        <v>32048011.00008003</v>
      </c>
      <c r="W5" s="465">
        <f t="shared" ref="W5:W7" ca="1" si="5">SUMIFS($X$18:$X$35,$P$18:$P$35,$P5)</f>
        <v>2</v>
      </c>
      <c r="X5" s="465">
        <f ca="1">IF($L19="",0,$L19)+SUMIFS($Z$18:$Z$35,$P$18:$P$35,$P5)</f>
        <v>0</v>
      </c>
      <c r="Y5">
        <f t="shared" ref="Y5:Y7" ca="1" si="6">SUMIFS($AD$18:$AD$35,$P$18:$P$35,$P5)</f>
        <v>0</v>
      </c>
      <c r="Z5">
        <f t="shared" ref="Z5:Z7" ca="1" si="7">SUMIFS($AE$18:$AE$35,$P$18:$P$35,$P5)</f>
        <v>0</v>
      </c>
      <c r="AA5" s="466">
        <f ca="1">IF($M19="",0,$M19)</f>
        <v>0</v>
      </c>
      <c r="AB5" s="466">
        <f>SUMIFS(FairPlayPoints1,FairPlayTeams1,$P5)+SUMIFS(FairPlayPoints2,FairPlayTeams2,$P5)</f>
        <v>0</v>
      </c>
      <c r="AC5" s="466" t="b">
        <f ca="1">(Q5+T5&gt;0)</f>
        <v>1</v>
      </c>
      <c r="AD5" s="313">
        <f ca="1">$Q5*FactorPts+(GDzero+$R5)*FactorGD+$S5*FactorFor</f>
        <v>30048010</v>
      </c>
      <c r="AE5" s="466">
        <f ca="1">IF(OR(AND($Y$11&gt;0,OR(AND($B$8=$P5,$J$8&gt;$L$8),AND($D$8=$P5,$J$8&lt;$L$8))),AND($Y$12&gt;0,OR(AND($B$9=$P5,$J$9&gt;$L$9),AND($D$9=$P5,$J$9&lt;$L$9)))),1,0)</f>
        <v>0</v>
      </c>
      <c r="AF5" s="466">
        <f>INDEX(Language!$D$5:$D$59,MATCH($P5,Language!$E$5:$E$59,0),1)</f>
        <v>20</v>
      </c>
    </row>
    <row r="6" spans="1:33" x14ac:dyDescent="0.25">
      <c r="B6" s="278" t="str">
        <f ca="1">INDIRECT("'"&amp;References!$A$1&amp;"'!"&amp;$B$1&amp;References!$G7)</f>
        <v>Dänemark</v>
      </c>
      <c r="C6" s="279" t="s">
        <v>36</v>
      </c>
      <c r="D6" s="280" t="str">
        <f ca="1">INDIRECT("'"&amp;References!$A$1&amp;"'!"&amp;$D$1&amp;References!$G7)</f>
        <v>Belgien</v>
      </c>
      <c r="E6" s="278">
        <f ca="1">IF(OR(INDIRECT("'"&amp;References!$A$1&amp;"'!"&amp;$B$1&amp;References!$H7)="",INDIRECT("'"&amp;References!$A$1&amp;"'!"&amp;$D$1&amp;References!$H7)=""),"",INDIRECT("'"&amp;References!$A$1&amp;"'!"&amp;$B$1&amp;References!$H7))</f>
        <v>1</v>
      </c>
      <c r="F6" s="279" t="s">
        <v>36</v>
      </c>
      <c r="G6" s="282">
        <f ca="1">IF(OR(INDIRECT("'"&amp;References!$A$1&amp;"'!"&amp;$B$1&amp;References!$H7)="",INDIRECT("'"&amp;References!$A$1&amp;"'!"&amp;$D$1&amp;References!$H7)=""),"",INDIRECT("'"&amp;References!$A$1&amp;"'!"&amp;$D$1&amp;References!$H7))</f>
        <v>2</v>
      </c>
      <c r="H6" s="489">
        <f t="shared" ca="1" si="0"/>
        <v>0</v>
      </c>
      <c r="I6" s="489">
        <f t="shared" ca="1" si="1"/>
        <v>3</v>
      </c>
      <c r="L6" s="35"/>
      <c r="M6" s="466">
        <f t="shared" ca="1" si="2"/>
        <v>1</v>
      </c>
      <c r="N6" s="466"/>
      <c r="O6" s="466" t="s">
        <v>34</v>
      </c>
      <c r="P6" s="44" t="str">
        <f>VLOOKUP($Q$1&amp;ROW($A3),Groups!$B$7:$D$35,3,0)</f>
        <v>Belgien</v>
      </c>
      <c r="Q6" s="466">
        <f t="shared" ca="1" si="3"/>
        <v>9</v>
      </c>
      <c r="R6" s="466">
        <f ca="1">S6-T6</f>
        <v>6</v>
      </c>
      <c r="S6" s="466">
        <f ca="1">SUMIF($B$4:$B$9,$P6,$E$4:$E$9)+SUMIF($D$4:$D$9,$P6,$G$4:$G$9)</f>
        <v>7</v>
      </c>
      <c r="T6" s="466">
        <f ca="1">SUMIF($B$4:$B$9,$P6,$G$4:$G$9)+SUMIF($D$4:$D$9,$P6,$E$4:$E$9)</f>
        <v>1</v>
      </c>
      <c r="U6" s="466">
        <f t="shared" ca="1" si="4"/>
        <v>3</v>
      </c>
      <c r="V6" s="398">
        <f ca="1">$Q6*FactorPts+(GDzero+$R6)*FactorGD+$S6*FactorFor+$U6*FactorWins+$W6*FactorDirC3+$X6*FactorDirC2+$Y6*FactorDirC43+$Z6*FactorDirC42+$AA6*FactorDirC42+$AB6*FactorFairPlay+$AE6*FactorPenalty+(100-$AF6)*($M$10&gt;0)*FactorRank+(8-ROW())*FactorRow</f>
        <v>90056073.000099018</v>
      </c>
      <c r="W6" s="465">
        <f t="shared" ca="1" si="5"/>
        <v>0</v>
      </c>
      <c r="X6" s="465">
        <f ca="1">IF($L20="",0,$L20)+SUMIFS($Z$18:$Z$35,$P$18:$P$35,$P6)</f>
        <v>0</v>
      </c>
      <c r="Y6">
        <f t="shared" ca="1" si="6"/>
        <v>0</v>
      </c>
      <c r="Z6">
        <f t="shared" ca="1" si="7"/>
        <v>0</v>
      </c>
      <c r="AA6" s="466">
        <f ca="1">IF($M20="",0,$M20)</f>
        <v>0</v>
      </c>
      <c r="AB6" s="466">
        <f>SUMIFS(FairPlayPoints1,FairPlayTeams1,$P6)+SUMIFS(FairPlayPoints2,FairPlayTeams2,$P6)</f>
        <v>0</v>
      </c>
      <c r="AC6" s="466" t="b">
        <f ca="1">(Q6+T6&gt;0)</f>
        <v>1</v>
      </c>
      <c r="AD6" s="313">
        <f ca="1">$Q6*FactorPts+(GDzero+$R6)*FactorGD+$S6*FactorFor</f>
        <v>90056070</v>
      </c>
      <c r="AE6" s="466">
        <f ca="1">IF(OR(AND($Y$11&gt;0,OR(AND($B$8=$P6,$J$8&gt;$L$8),AND($D$8=$P6,$J$8&lt;$L$8))),AND($Y$12&gt;0,OR(AND($B$9=$P6,$J$9&gt;$L$9),AND($D$9=$P6,$J$9&lt;$L$9)))),1,0)</f>
        <v>0</v>
      </c>
      <c r="AF6" s="466">
        <f>INDEX(Language!$D$5:$D$59,MATCH($P6,Language!$E$5:$E$59,0),1)</f>
        <v>1</v>
      </c>
    </row>
    <row r="7" spans="1:33" x14ac:dyDescent="0.25">
      <c r="B7" s="278" t="str">
        <f ca="1">INDIRECT("'"&amp;References!$A$1&amp;"'!"&amp;$B$1&amp;References!$G8)</f>
        <v>Finnland</v>
      </c>
      <c r="C7" s="279" t="s">
        <v>36</v>
      </c>
      <c r="D7" s="280" t="str">
        <f ca="1">INDIRECT("'"&amp;References!$A$1&amp;"'!"&amp;$D$1&amp;References!$G8)</f>
        <v>Russland</v>
      </c>
      <c r="E7" s="278">
        <f ca="1">IF(OR(INDIRECT("'"&amp;References!$A$1&amp;"'!"&amp;$B$1&amp;References!$H8)="",INDIRECT("'"&amp;References!$A$1&amp;"'!"&amp;$D$1&amp;References!$H8)=""),"",INDIRECT("'"&amp;References!$A$1&amp;"'!"&amp;$B$1&amp;References!$H8))</f>
        <v>0</v>
      </c>
      <c r="F7" s="279" t="s">
        <v>36</v>
      </c>
      <c r="G7" s="282">
        <f ca="1">IF(OR(INDIRECT("'"&amp;References!$A$1&amp;"'!"&amp;$B$1&amp;References!$H8)="",INDIRECT("'"&amp;References!$A$1&amp;"'!"&amp;$D$1&amp;References!$H8)=""),"",INDIRECT("'"&amp;References!$A$1&amp;"'!"&amp;$D$1&amp;References!$H8))</f>
        <v>1</v>
      </c>
      <c r="H7" s="489">
        <f t="shared" ca="1" si="0"/>
        <v>0</v>
      </c>
      <c r="I7" s="489">
        <f t="shared" ca="1" si="1"/>
        <v>3</v>
      </c>
      <c r="L7" s="35"/>
      <c r="M7" s="466">
        <f t="shared" ca="1" si="2"/>
        <v>1</v>
      </c>
      <c r="N7" s="466"/>
      <c r="O7" s="466" t="s">
        <v>35</v>
      </c>
      <c r="P7" s="44" t="str">
        <f>VLOOKUP($Q$1&amp;ROW($A4),Groups!$B$7:$D$35,3,0)</f>
        <v>Russland</v>
      </c>
      <c r="Q7" s="466">
        <f t="shared" ca="1" si="3"/>
        <v>3</v>
      </c>
      <c r="R7" s="466">
        <f ca="1">S7-T7</f>
        <v>-5</v>
      </c>
      <c r="S7" s="466">
        <f ca="1">SUMIF($B$4:$B$9,$P7,$E$4:$E$9)+SUMIF($D$4:$D$9,$P7,$G$4:$G$9)</f>
        <v>2</v>
      </c>
      <c r="T7" s="466">
        <f ca="1">SUMIF($B$4:$B$9,$P7,$G$4:$G$9)+SUMIF($D$4:$D$9,$P7,$E$4:$E$9)</f>
        <v>7</v>
      </c>
      <c r="U7" s="466">
        <f t="shared" ca="1" si="4"/>
        <v>1</v>
      </c>
      <c r="V7" s="398">
        <f ca="1">$Q7*FactorPts+(GDzero+$R7)*FactorGD+$S7*FactorFor+$U7*FactorWins+$W7*FactorDirC3+$X7*FactorDirC2+$Y7*FactorDirC43+$Z7*FactorDirC42+$AA7*FactorDirC42+$AB7*FactorFairPlay+$AE7*FactorPenalty+(100-$AF7)*($M$10&gt;0)*FactorRank+(8-ROW())*FactorRow</f>
        <v>31045021.00008801</v>
      </c>
      <c r="W7" s="465">
        <f t="shared" ca="1" si="5"/>
        <v>1</v>
      </c>
      <c r="X7" s="465">
        <f ca="1">IF($L21="",0,$L21)+SUMIFS($Z$18:$Z$35,$P$18:$P$35,$P7)</f>
        <v>0</v>
      </c>
      <c r="Y7">
        <f t="shared" ca="1" si="6"/>
        <v>0</v>
      </c>
      <c r="Z7">
        <f t="shared" ca="1" si="7"/>
        <v>0</v>
      </c>
      <c r="AA7" s="466">
        <f ca="1">IF($M21="",0,$M21)</f>
        <v>0</v>
      </c>
      <c r="AB7" s="466">
        <f>SUMIFS(FairPlayPoints1,FairPlayTeams1,$P7)+SUMIFS(FairPlayPoints2,FairPlayTeams2,$P7)</f>
        <v>0</v>
      </c>
      <c r="AC7" s="466" t="b">
        <f ca="1">(Q7+T7&gt;0)</f>
        <v>1</v>
      </c>
      <c r="AD7" s="313">
        <f ca="1">$Q7*FactorPts+(GDzero+$R7)*FactorGD+$S7*FactorFor</f>
        <v>30045020</v>
      </c>
      <c r="AE7" s="466">
        <f ca="1">IF(OR(AND($Y$11&gt;0,OR(AND($B$8=$P7,$J$8&gt;$L$8),AND($D$8=$P7,$J$8&lt;$L$8))),AND($Y$12&gt;0,OR(AND($B$9=$P7,$J$9&gt;$L$9),AND($D$9=$P7,$J$9&lt;$L$9)))),1,0)</f>
        <v>0</v>
      </c>
      <c r="AF7" s="466">
        <f>INDEX(Language!$D$5:$D$59,MATCH($P7,Language!$E$5:$E$59,0),1)</f>
        <v>12</v>
      </c>
    </row>
    <row r="8" spans="1:33" x14ac:dyDescent="0.25">
      <c r="B8" s="278" t="str">
        <f ca="1">INDIRECT("'"&amp;References!$A$1&amp;"'!"&amp;$B$1&amp;References!$G9)</f>
        <v>Russland</v>
      </c>
      <c r="C8" s="279" t="s">
        <v>36</v>
      </c>
      <c r="D8" s="280" t="str">
        <f ca="1">INDIRECT("'"&amp;References!$A$1&amp;"'!"&amp;$D$1&amp;References!$G9)</f>
        <v>Dänemark</v>
      </c>
      <c r="E8" s="278">
        <f ca="1">IF(OR(INDIRECT("'"&amp;References!$A$1&amp;"'!"&amp;$B$1&amp;References!$H9)="",INDIRECT("'"&amp;References!$A$1&amp;"'!"&amp;$D$1&amp;References!$H9)=""),"",INDIRECT("'"&amp;References!$A$1&amp;"'!"&amp;$B$1&amp;References!$H9))</f>
        <v>1</v>
      </c>
      <c r="F8" s="279" t="s">
        <v>36</v>
      </c>
      <c r="G8" s="282">
        <f ca="1">IF(OR(INDIRECT("'"&amp;References!$A$1&amp;"'!"&amp;$B$1&amp;References!$H9)="",INDIRECT("'"&amp;References!$A$1&amp;"'!"&amp;$D$1&amp;References!$H9)=""),"",INDIRECT("'"&amp;References!$A$1&amp;"'!"&amp;$D$1&amp;References!$H9))</f>
        <v>4</v>
      </c>
      <c r="H8" s="489">
        <f t="shared" ca="1" si="0"/>
        <v>0</v>
      </c>
      <c r="I8" s="489">
        <f t="shared" ca="1" si="1"/>
        <v>3</v>
      </c>
      <c r="J8" t="str">
        <f ca="1">IF(OR(INDIRECT("'"&amp;References!$A$1&amp;"'!"&amp;$B$1&amp;(References!$H9+2))="",INDIRECT("'"&amp;References!$A$1&amp;"'!"&amp;$D$1&amp;(References!$H9+2))=""),"",INDIRECT("'"&amp;References!$A$1&amp;"'!"&amp;$B$1&amp;(References!$H9+2)))</f>
        <v/>
      </c>
      <c r="K8" s="531" t="s">
        <v>551</v>
      </c>
      <c r="L8" s="35" t="str">
        <f ca="1">IF(OR(INDIRECT("'"&amp;References!$A$1&amp;"'!"&amp;$B$1&amp;(References!$H9+2))="",INDIRECT("'"&amp;References!$A$1&amp;"'!"&amp;$D$1&amp;(References!$H9+2))=""),"",INDIRECT("'"&amp;References!$A$1&amp;"'!"&amp;$D$1&amp;(References!$H9+2)))</f>
        <v/>
      </c>
      <c r="M8" s="531">
        <f t="shared" ca="1" si="2"/>
        <v>1</v>
      </c>
      <c r="N8" s="531"/>
      <c r="O8" s="531"/>
      <c r="Z8" s="55"/>
    </row>
    <row r="9" spans="1:33" x14ac:dyDescent="0.25">
      <c r="B9" s="278" t="str">
        <f ca="1">INDIRECT("'"&amp;References!$A$1&amp;"'!"&amp;$B$1&amp;References!$G10)</f>
        <v>Finnland</v>
      </c>
      <c r="C9" s="279" t="s">
        <v>36</v>
      </c>
      <c r="D9" s="280" t="str">
        <f ca="1">INDIRECT("'"&amp;References!$A$1&amp;"'!"&amp;$D$1&amp;References!$G10)</f>
        <v>Belgien</v>
      </c>
      <c r="E9" s="278">
        <f ca="1">IF(OR(INDIRECT("'"&amp;References!$A$1&amp;"'!"&amp;$B$1&amp;References!$H10)="",INDIRECT("'"&amp;References!$A$1&amp;"'!"&amp;$D$1&amp;References!$H10)=""),"",INDIRECT("'"&amp;References!$A$1&amp;"'!"&amp;$B$1&amp;References!$H10))</f>
        <v>0</v>
      </c>
      <c r="F9" s="279" t="s">
        <v>36</v>
      </c>
      <c r="G9" s="282">
        <f ca="1">IF(OR(INDIRECT("'"&amp;References!$A$1&amp;"'!"&amp;$B$1&amp;References!$H10)="",INDIRECT("'"&amp;References!$A$1&amp;"'!"&amp;$D$1&amp;References!$H10)=""),"",INDIRECT("'"&amp;References!$A$1&amp;"'!"&amp;$D$1&amp;References!$H10))</f>
        <v>2</v>
      </c>
      <c r="H9" s="489">
        <f t="shared" ca="1" si="0"/>
        <v>0</v>
      </c>
      <c r="I9" s="489">
        <f t="shared" ca="1" si="1"/>
        <v>3</v>
      </c>
      <c r="J9" t="str">
        <f ca="1">IF(OR(INDIRECT("'"&amp;References!$A$1&amp;"'!"&amp;$B$1&amp;(References!$H10+2))="",INDIRECT("'"&amp;References!$A$1&amp;"'!"&amp;$D$1&amp;(References!$H10+2))=""),"",INDIRECT("'"&amp;References!$A$1&amp;"'!"&amp;$B$1&amp;(References!$H10+2)))</f>
        <v/>
      </c>
      <c r="K9" s="531" t="s">
        <v>551</v>
      </c>
      <c r="L9" s="35" t="str">
        <f ca="1">IF(OR(INDIRECT("'"&amp;References!$A$1&amp;"'!"&amp;$B$1&amp;(References!$H10+2))="",INDIRECT("'"&amp;References!$A$1&amp;"'!"&amp;$D$1&amp;(References!$H10+2))=""),"",INDIRECT("'"&amp;References!$A$1&amp;"'!"&amp;$D$1&amp;(References!$H10+2)))</f>
        <v/>
      </c>
      <c r="M9" s="531">
        <f t="shared" ca="1" si="2"/>
        <v>1</v>
      </c>
      <c r="N9" s="531"/>
      <c r="O9" s="531"/>
      <c r="Z9" s="688" t="s">
        <v>537</v>
      </c>
      <c r="AA9" s="688"/>
      <c r="AB9" s="688"/>
      <c r="AC9" s="688"/>
      <c r="AD9" s="688"/>
      <c r="AE9" s="688"/>
    </row>
    <row r="10" spans="1:33" ht="15.75" thickBot="1" x14ac:dyDescent="0.3">
      <c r="L10" s="59" t="s">
        <v>217</v>
      </c>
      <c r="M10" s="61">
        <f ca="1">SUM($M$4:$M$9)</f>
        <v>6</v>
      </c>
      <c r="N10" s="141"/>
      <c r="O10" s="531"/>
      <c r="P10" s="227" t="s">
        <v>364</v>
      </c>
      <c r="Q10" s="56" t="s">
        <v>221</v>
      </c>
      <c r="R10" s="56" t="s">
        <v>218</v>
      </c>
      <c r="S10" s="56" t="s">
        <v>804</v>
      </c>
      <c r="T10" s="56" t="s">
        <v>805</v>
      </c>
      <c r="U10" s="56" t="s">
        <v>812</v>
      </c>
      <c r="V10" s="56" t="s">
        <v>222</v>
      </c>
      <c r="X10" s="78" t="s">
        <v>868</v>
      </c>
      <c r="Y10" s="56" t="s">
        <v>842</v>
      </c>
      <c r="Z10" s="56" t="s">
        <v>532</v>
      </c>
      <c r="AA10" s="56" t="s">
        <v>533</v>
      </c>
      <c r="AB10" s="56" t="s">
        <v>534</v>
      </c>
      <c r="AC10" s="56" t="s">
        <v>535</v>
      </c>
      <c r="AD10" s="56" t="s">
        <v>536</v>
      </c>
      <c r="AE10" s="56" t="s">
        <v>555</v>
      </c>
    </row>
    <row r="11" spans="1:33" ht="16.5" thickTop="1" thickBot="1" x14ac:dyDescent="0.3">
      <c r="B11" s="85"/>
      <c r="C11" s="489"/>
      <c r="D11" s="85"/>
      <c r="O11" s="42" t="s">
        <v>32</v>
      </c>
      <c r="P11" s="41" t="str">
        <f t="shared" ref="P11:U12" ca="1" si="8">INDEX(P$4:P$7,MATCH($V11,$V$4:$V$7,0))</f>
        <v>Belgien</v>
      </c>
      <c r="Q11" s="271">
        <f t="shared" ca="1" si="8"/>
        <v>9</v>
      </c>
      <c r="R11" s="40">
        <f t="shared" ca="1" si="8"/>
        <v>6</v>
      </c>
      <c r="S11" s="40">
        <f t="shared" ca="1" si="8"/>
        <v>7</v>
      </c>
      <c r="T11" s="40">
        <f t="shared" ca="1" si="8"/>
        <v>1</v>
      </c>
      <c r="U11" s="40">
        <f t="shared" ca="1" si="8"/>
        <v>3</v>
      </c>
      <c r="V11" s="399">
        <f ca="1">LARGE($V$4:$V$7,ROW(A1))</f>
        <v>90056073.000099018</v>
      </c>
      <c r="X11" s="79">
        <f ca="1">IF(AND(OR(TRUNC($V$11,4)=TRUNC($V$12,4),TRUNC($V$11,4)=TRUNC($V$13,4),TRUNC($V$11,4)=TRUNC($V$14,4),TRUNC($V$12,4)=TRUNC($V$13,4),TRUNC($V$12,4)=TRUNC($V$14,4),TRUNC($V$13,4)=TRUNC($V$14,4)),$M$10&gt;0),1,0)</f>
        <v>0</v>
      </c>
      <c r="Y11" s="323">
        <f ca="1">IF(AND(VLOOKUP($B$8,$P$4:$AD$7,15,0)=VLOOKUP($D$8,$P$4:$AD$7,15,0),$E$8=$G$8,COUNTIF($Q$4:$Q$7,VLOOKUP($B$8,$P$4:$Q$7,2,0))=2,$M$10=6),1,0)</f>
        <v>0</v>
      </c>
      <c r="Z11" s="305" t="b">
        <f ca="1">VLOOKUP($P11,$E$18:$M$21,8,0)&lt;&gt;""</f>
        <v>0</v>
      </c>
      <c r="AA11" s="306" t="b">
        <f ca="1">VLOOKUP($P11,$E$18:$M$21,9,0)&lt;&gt;""</f>
        <v>0</v>
      </c>
      <c r="AB11" s="307" t="b">
        <f ca="1">SUMPRODUCT(1*(LEN($Z$18:$Z$35)&gt;0)*($P$18:$P$35=$P11))&gt;0</f>
        <v>0</v>
      </c>
      <c r="AC11" s="307" t="b">
        <f ca="1">SUMPRODUCT(1*(LEN($AE$18:$AE$35)&gt;0)*($P$18:$P$35=$P11))&gt;0</f>
        <v>0</v>
      </c>
      <c r="AD11" s="538" t="str">
        <f ca="1">IF($Z11,VLOOKUP($P11,$E$18:$M$21,8,0),IF($AA11,VLOOKUP($P11,$E$18:$M$21,9,0),IF($AB11,SUMIFS($Z$18:$Z$35,$P$18:$P$35,$P11),IF($AC11,SUMIFS($AE$18:$AE$35,$P$18:$P$35,$P11),""))))</f>
        <v/>
      </c>
      <c r="AE11" s="541" t="str">
        <f ca="1">IF(OR(AND($Y$11&gt;0,OR($B$8=$P11,$D$8=$P11)),AND($Y$12&gt;0,OR($B$9=$P11,$D$9=$P11))),SUMIF($B$8:$B$9,$P11,$J$8:$J$9)+SUMIF($D$8:$D$9,$P11,$L$8:$L$9),"")</f>
        <v/>
      </c>
    </row>
    <row r="12" spans="1:33" ht="15.75" thickTop="1" x14ac:dyDescent="0.25">
      <c r="B12" s="489"/>
      <c r="C12" s="489"/>
      <c r="D12" s="489"/>
      <c r="O12" s="39" t="s">
        <v>33</v>
      </c>
      <c r="P12" s="30" t="str">
        <f t="shared" ca="1" si="8"/>
        <v>Dänemark</v>
      </c>
      <c r="Q12" s="272">
        <f t="shared" ca="1" si="8"/>
        <v>3</v>
      </c>
      <c r="R12" s="530">
        <f t="shared" ca="1" si="8"/>
        <v>1</v>
      </c>
      <c r="S12" s="530">
        <f t="shared" ca="1" si="8"/>
        <v>5</v>
      </c>
      <c r="T12" s="530">
        <f t="shared" ca="1" si="8"/>
        <v>4</v>
      </c>
      <c r="U12" s="530">
        <f t="shared" ca="1" si="8"/>
        <v>1</v>
      </c>
      <c r="V12" s="400">
        <f ca="1">LARGE($V$4:$V$7,ROW(A2))</f>
        <v>33051051.000085041</v>
      </c>
      <c r="Y12" s="323">
        <f ca="1">IF(AND(VLOOKUP($B$9,$P$4:$AD$7,15,0)=VLOOKUP($D$9,$P$4:$AD$7,15,0),$E$9=$G$9,COUNTIF($Q$4:$Q$7,VLOOKUP($B$9,$P$4:$Q$7,2,0))=2,$M$10=6),1,0)</f>
        <v>0</v>
      </c>
      <c r="Z12" s="308" t="b">
        <f ca="1">VLOOKUP($P12,$E$18:$M$21,8,0)&lt;&gt;""</f>
        <v>0</v>
      </c>
      <c r="AA12" s="536" t="b">
        <f ca="1">VLOOKUP($P12,$E$18:$M$21,9,0)&lt;&gt;""</f>
        <v>0</v>
      </c>
      <c r="AB12" s="30" t="b">
        <f t="shared" ref="AB12:AB14" ca="1" si="9">SUMPRODUCT(1*(LEN($Z$18:$Z$35)&gt;0)*($P$18:$P$35=$P12))&gt;0</f>
        <v>0</v>
      </c>
      <c r="AC12" s="30" t="b">
        <f t="shared" ref="AC12:AC14" ca="1" si="10">SUMPRODUCT(1*(LEN($AE$18:$AE$35)&gt;0)*($P$18:$P$35=$P12))&gt;0</f>
        <v>0</v>
      </c>
      <c r="AD12" s="539" t="str">
        <f ca="1">IF($Z12,VLOOKUP($P12,$E$18:$M$21,8,0),IF($AA12,VLOOKUP($P12,$E$18:$M$21,9,0),IF($AB12,SUMIFS($Z$18:$Z$35,$P$18:$P$35,$P12),IF($AC12,SUMIFS($AE$18:$AE$35,$P$18:$P$35,$P12),""))))</f>
        <v/>
      </c>
      <c r="AE12" s="542" t="str">
        <f ca="1">IF(OR(AND($Y$11&gt;0,OR($B$8=$P12,$D$8=$P12)),AND($Y$12&gt;0,OR($B$9=$P12,$D$9=$P12))),SUMIF($B$8:$B$9,$P12,$J$8:$J$9)+SUMIF($D$8:$D$9,$P12,$L$8:$L$9),"")</f>
        <v/>
      </c>
    </row>
    <row r="13" spans="1:33" x14ac:dyDescent="0.25">
      <c r="B13" s="489"/>
      <c r="C13" s="489"/>
      <c r="D13" s="60"/>
      <c r="O13" s="39" t="s">
        <v>34</v>
      </c>
      <c r="P13" s="30" t="str">
        <f t="shared" ref="P13:U14" ca="1" si="11">INDEX(P$4:P$7,MATCH($V13,$V$4:$V$7,0))</f>
        <v>Finnland</v>
      </c>
      <c r="Q13" s="272">
        <f t="shared" ca="1" si="11"/>
        <v>3</v>
      </c>
      <c r="R13" s="465">
        <f t="shared" ca="1" si="11"/>
        <v>-2</v>
      </c>
      <c r="S13" s="465">
        <f t="shared" ca="1" si="11"/>
        <v>1</v>
      </c>
      <c r="T13" s="465">
        <f t="shared" ca="1" si="11"/>
        <v>3</v>
      </c>
      <c r="U13" s="522">
        <f t="shared" ca="1" si="11"/>
        <v>1</v>
      </c>
      <c r="V13" s="400">
        <f ca="1">LARGE($V$4:$V$7,ROW(A3))</f>
        <v>32048011.00008003</v>
      </c>
      <c r="Z13" s="308" t="b">
        <f ca="1">VLOOKUP($P13,$E$18:$M$21,8,0)&lt;&gt;""</f>
        <v>0</v>
      </c>
      <c r="AA13" s="536" t="b">
        <f ca="1">VLOOKUP($P13,$E$18:$M$21,9,0)&lt;&gt;""</f>
        <v>0</v>
      </c>
      <c r="AB13" s="30" t="b">
        <f t="shared" ca="1" si="9"/>
        <v>0</v>
      </c>
      <c r="AC13" s="30" t="b">
        <f t="shared" ca="1" si="10"/>
        <v>0</v>
      </c>
      <c r="AD13" s="539" t="str">
        <f ca="1">IF($Z13,VLOOKUP($P13,$E$18:$M$21,8,0),IF($AA13,VLOOKUP($P13,$E$18:$M$21,9,0),IF($AB13,SUMIFS($Z$18:$Z$35,$P$18:$P$35,$P13),IF($AC13,SUMIFS($AE$18:$AE$35,$P$18:$P$35,$P13),""))))</f>
        <v/>
      </c>
      <c r="AE13" s="542" t="str">
        <f ca="1">IF(OR(AND($Y$11&gt;0,OR($B$8=$P13,$D$8=$P13)),AND($Y$12&gt;0,OR($B$9=$P13,$D$9=$P13))),SUMIF($B$8:$B$9,$P13,$J$8:$J$9)+SUMIF($D$8:$D$9,$P13,$L$8:$L$9),"")</f>
        <v/>
      </c>
    </row>
    <row r="14" spans="1:33" ht="15.75" thickBot="1" x14ac:dyDescent="0.3">
      <c r="B14" s="489"/>
      <c r="C14" s="489"/>
      <c r="D14" s="60"/>
      <c r="F14" s="489"/>
      <c r="G14" s="35"/>
      <c r="O14" s="38" t="s">
        <v>35</v>
      </c>
      <c r="P14" s="37" t="str">
        <f t="shared" ca="1" si="11"/>
        <v>Russland</v>
      </c>
      <c r="Q14" s="273">
        <f t="shared" ca="1" si="11"/>
        <v>3</v>
      </c>
      <c r="R14" s="36">
        <f t="shared" ca="1" si="11"/>
        <v>-5</v>
      </c>
      <c r="S14" s="36">
        <f t="shared" ca="1" si="11"/>
        <v>2</v>
      </c>
      <c r="T14" s="36">
        <f t="shared" ca="1" si="11"/>
        <v>7</v>
      </c>
      <c r="U14" s="36">
        <f t="shared" ca="1" si="11"/>
        <v>1</v>
      </c>
      <c r="V14" s="401">
        <f ca="1">LARGE($V$4:$V$7,ROW(A4))</f>
        <v>31045021.00008801</v>
      </c>
      <c r="Z14" s="309" t="b">
        <f ca="1">VLOOKUP($P14,$E$18:$M$21,8,0)&lt;&gt;""</f>
        <v>0</v>
      </c>
      <c r="AA14" s="310" t="b">
        <f ca="1">VLOOKUP($P14,$E$18:$M$21,9,0)&lt;&gt;""</f>
        <v>0</v>
      </c>
      <c r="AB14" s="311" t="b">
        <f t="shared" ca="1" si="9"/>
        <v>0</v>
      </c>
      <c r="AC14" s="311" t="b">
        <f t="shared" ca="1" si="10"/>
        <v>0</v>
      </c>
      <c r="AD14" s="540" t="str">
        <f ca="1">IF($Z14,VLOOKUP($P14,$E$18:$M$21,8,0),IF($AA14,VLOOKUP($P14,$E$18:$M$21,9,0),IF($AB14,SUMIFS($Z$18:$Z$35,$P$18:$P$35,$P14),IF($AC14,SUMIFS($AE$18:$AE$35,$P$18:$P$35,$P14),""))))</f>
        <v/>
      </c>
      <c r="AE14" s="543" t="str">
        <f ca="1">IF(OR(AND($Y$11&gt;0,OR($B$8=$P14,$D$8=$P14)),AND($Y$12&gt;0,OR($B$9=$P14,$D$9=$P14))),SUMIF($B$8:$B$9,$P14,$J$8:$J$9)+SUMIF($D$8:$D$9,$P14,$L$8:$L$9),"")</f>
        <v/>
      </c>
    </row>
    <row r="15" spans="1:33" ht="16.5" thickTop="1" thickBot="1" x14ac:dyDescent="0.3">
      <c r="B15" s="489"/>
      <c r="C15" s="489"/>
      <c r="D15" s="87"/>
      <c r="E15" s="30"/>
      <c r="F15" s="488"/>
      <c r="G15" s="80"/>
      <c r="H15" s="30"/>
      <c r="I15" s="30"/>
      <c r="J15" s="30"/>
      <c r="K15" s="30"/>
      <c r="L15" s="83"/>
      <c r="M15" s="56"/>
      <c r="N15" s="56"/>
    </row>
    <row r="16" spans="1:33" ht="15.75" thickBot="1" x14ac:dyDescent="0.3">
      <c r="B16" s="489"/>
      <c r="C16" s="489"/>
      <c r="D16" s="86"/>
      <c r="E16" s="84"/>
      <c r="F16" s="84"/>
      <c r="G16" s="686" t="s">
        <v>521</v>
      </c>
      <c r="H16" s="686"/>
      <c r="I16" s="686"/>
      <c r="J16" s="686"/>
      <c r="K16" s="686"/>
      <c r="L16" s="686"/>
      <c r="M16" s="66"/>
      <c r="N16" s="66"/>
      <c r="W16" s="677" t="s">
        <v>522</v>
      </c>
      <c r="X16" s="677"/>
      <c r="Y16" s="677"/>
      <c r="Z16" s="677"/>
      <c r="AD16" s="677" t="s">
        <v>523</v>
      </c>
      <c r="AE16" s="677"/>
      <c r="AF16" s="312" t="b">
        <f ca="1">AND($Q$4=$Q$5,$Q$4=$Q$6,$Q$4=$Q$7)</f>
        <v>0</v>
      </c>
    </row>
    <row r="17" spans="2:31" ht="16.5" thickTop="1" thickBot="1" x14ac:dyDescent="0.3">
      <c r="B17" s="489"/>
      <c r="C17" s="489"/>
      <c r="D17" s="488"/>
      <c r="E17" s="520"/>
      <c r="F17" s="520"/>
      <c r="G17" s="521"/>
      <c r="H17" s="40" t="str">
        <f>LEFT($P$4,3)</f>
        <v>Dän</v>
      </c>
      <c r="I17" s="40" t="str">
        <f>LEFT($P$5,3)</f>
        <v>Fin</v>
      </c>
      <c r="J17" s="40" t="str">
        <f>LEFT($P$6,3)</f>
        <v>Bel</v>
      </c>
      <c r="K17" s="133" t="str">
        <f>LEFT($P$7,3)</f>
        <v>Rus</v>
      </c>
      <c r="L17" s="56" t="s">
        <v>520</v>
      </c>
      <c r="M17" s="56" t="s">
        <v>529</v>
      </c>
      <c r="N17" s="56"/>
      <c r="Q17" s="56" t="s">
        <v>221</v>
      </c>
      <c r="R17" s="56" t="s">
        <v>218</v>
      </c>
      <c r="S17" s="56" t="s">
        <v>804</v>
      </c>
      <c r="T17" s="56" t="s">
        <v>805</v>
      </c>
      <c r="U17" s="56"/>
      <c r="V17" s="56" t="s">
        <v>227</v>
      </c>
      <c r="W17" s="56" t="s">
        <v>806</v>
      </c>
      <c r="X17" s="66" t="s">
        <v>524</v>
      </c>
      <c r="Y17" s="56" t="s">
        <v>528</v>
      </c>
      <c r="Z17" s="56" t="s">
        <v>528</v>
      </c>
      <c r="AA17" s="678" t="s">
        <v>519</v>
      </c>
      <c r="AB17" s="678"/>
      <c r="AC17" s="678"/>
      <c r="AD17" s="66" t="s">
        <v>526</v>
      </c>
      <c r="AE17" s="56" t="s">
        <v>527</v>
      </c>
    </row>
    <row r="18" spans="2:31" ht="15.75" thickTop="1" x14ac:dyDescent="0.25">
      <c r="B18" s="466"/>
      <c r="C18" s="466"/>
      <c r="D18" s="465"/>
      <c r="E18" s="682" t="str">
        <f>$P$4</f>
        <v>Dänemark</v>
      </c>
      <c r="F18" s="683"/>
      <c r="G18" s="683"/>
      <c r="H18" s="132"/>
      <c r="I18" s="40">
        <f ca="1">SUMIFS($E$4:$E$9,$B$4:$B$9,$P$4,$D$4:$D$9,$P$5)+SUMIFS($G$4:$G$9,$B$4:$B$9,$P$5,$D$4:$D$9,$P$4)</f>
        <v>0</v>
      </c>
      <c r="J18" s="40">
        <f ca="1">SUMIFS($E$4:$E$9,$B$4:$B$9,$P$4,$D$4:$D$9,$P$6)+SUMIFS($G$4:$G$9,$B$4:$B$9,$P$6,$D$4:$D$9,$P$4)</f>
        <v>1</v>
      </c>
      <c r="K18" s="133">
        <f ca="1">SUMIFS($E$4:$E$9,$B$4:$B$9,$P$4,$D$4:$D$9,$P$7)+SUMIFS($G$4:$G$9,$B$4:$B$9,$P$7,$D$4:$D$9,$P$4)</f>
        <v>4</v>
      </c>
      <c r="L18" s="75" t="str">
        <f ca="1">IF(AND($Q$4=$Q$5,$Q$4&lt;&gt;$Q$6,$Q$4&lt;&gt;$Q$7),IF(I18&gt;H19,3,IF(I18=H19,1,0)),IF(AND($Q$4=$Q$6,$Q$4&lt;&gt;$Q$5,$Q$4&lt;&gt;$Q$7),IF(J18&gt;H20,3,IF(J18=H20,1,0)),IF(AND($Q$4=$Q$7,$Q$4&lt;&gt;$Q$5,$Q$4&lt;&gt;$Q$6),IF(K18&gt;H21,3,IF(K18=H21,1,0)),"")))</f>
        <v/>
      </c>
      <c r="M18" s="75" t="str">
        <f ca="1">IF($AF$16,IF(AND($AD$4=$AD$5,$AD$4&lt;&gt;$AD$6,$AD$4&lt;&gt;$AD$7),IF(I18&gt;H19,3,IF(I18=H19,1,0)),IF(AND($AD$4&lt;&gt;$AD$5,$AD$4=$AD$6,$AD$4&lt;&gt;$AD$7),IF(J18&gt;H20,3,IF(J18=H20,1,0)),IF(AND($AD$4&lt;&gt;$AD$5,$AD$4&lt;&gt;$AD$6,$AD$4=$AD$7),IF(K18&gt;H21,3,IF(K18=H21,1,0)),""))),"")</f>
        <v/>
      </c>
      <c r="N18" s="465"/>
      <c r="O18" s="466" t="s">
        <v>32</v>
      </c>
      <c r="P18" t="str">
        <f>$P$4</f>
        <v>Dänemark</v>
      </c>
      <c r="Q18" s="466">
        <f ca="1">SUMIFS($H$4:$H$9,$B$4:$B$9,$P18,$D$4:$D$9,"&lt;&gt;"&amp;$P$21)+SUMIFS($I$4:$I$9,$B$4:$B$9,"&lt;&gt;"&amp;$P$21,$D$4:$D$9,$P18)</f>
        <v>0</v>
      </c>
      <c r="R18" s="466">
        <f ca="1">S18-T18</f>
        <v>-2</v>
      </c>
      <c r="S18" s="466">
        <f ca="1">SUMIFS($E$4:$E$9,$B$4:$B$9,$P18,$D$4:$D$9,"&lt;&gt;"&amp;$P$21)+SUMIFS($G$4:$G$9,$B$4:$B$9,"&lt;&gt;"&amp;$P$21,$D$4:$D$9,$P18)</f>
        <v>1</v>
      </c>
      <c r="T18" s="466">
        <f ca="1">SUMIFS($G$4:$G$9,$B$4:$B$9,$P18,$D$4:$D$9,"&lt;&gt;"&amp;$P$21)+SUMIFS($E$4:$E$9,$B$4:$B$9,"&lt;&gt;"&amp;$P$21,$D$4:$D$9,$P18)</f>
        <v>3</v>
      </c>
      <c r="U18" s="466"/>
      <c r="V18" s="300">
        <f ca="1">Q18*FactorPts+(GDzero+R18)*FactorGD+S18*FactorFor</f>
        <v>48010</v>
      </c>
      <c r="W18" s="466">
        <f ca="1">RANK(V18,V$18:V$20,1)</f>
        <v>1</v>
      </c>
      <c r="X18" s="466">
        <f ca="1">IF(AND($Q$4=$Q$5,$Q$4=$Q$6,$Q$4&lt;&gt;$Q$7),W18,0)</f>
        <v>0</v>
      </c>
      <c r="Y18" s="466" t="str">
        <f ca="1">IF(AND(V18=V19,V18&lt;&gt;V20),IF(AA18&gt;AA19,3,IF(AA18=AA19,1,0)),IF(AND(V18=V20,V18&lt;&gt;V19),IF(AB18&gt;AB20,3,IF(AB18=AB20,1,0)),""))</f>
        <v/>
      </c>
      <c r="Z18" s="465" t="str">
        <f ca="1">IF(X18&gt;0,Y18,"")</f>
        <v/>
      </c>
      <c r="AA18" s="284">
        <f ca="1">$I$18</f>
        <v>0</v>
      </c>
      <c r="AB18" s="285">
        <f ca="1">$J$18</f>
        <v>1</v>
      </c>
      <c r="AC18" s="286"/>
      <c r="AD18" s="465">
        <f ca="1">IF(AND($AF$16,$AD$4=$AD$5,$AD$4=$AD$6,$AD$4&lt;&gt;$AD$7),W18,0)</f>
        <v>0</v>
      </c>
      <c r="AE18" s="465" t="str">
        <f ca="1">IF(AD18&gt;0,Y18,"")</f>
        <v/>
      </c>
    </row>
    <row r="19" spans="2:31" x14ac:dyDescent="0.25">
      <c r="B19" s="466"/>
      <c r="C19" s="466"/>
      <c r="D19" s="465"/>
      <c r="E19" s="684" t="str">
        <f>$P$5</f>
        <v>Finnland</v>
      </c>
      <c r="F19" s="685"/>
      <c r="G19" s="685"/>
      <c r="H19" s="39">
        <f ca="1">SUMIFS($E$4:$E$9,$B$4:$B$9,$P$5,$D$4:$D$9,$P$4)+SUMIFS($G$4:$G$9,$B$4:$B$9,$P$4,$D$4:$D$9,$P$5)</f>
        <v>1</v>
      </c>
      <c r="I19" s="81"/>
      <c r="J19" s="465">
        <f ca="1">SUMIFS($E$4:$E$9,$B$4:$B$9,$P$5,$D$4:$D$9,$P$6)+SUMIFS($G$4:$G$9,$B$4:$B$9,$P$6,$D$4:$D$9,$P$5)</f>
        <v>0</v>
      </c>
      <c r="K19" s="57">
        <f ca="1">SUMIFS($E$4:$E$9,$B$4:$B$9,$P$5,$D$4:$D$9,$P$7)+SUMIFS($G$4:$G$9,$B$4:$B$9,$P$7,$D$4:$D$9,$P$5)</f>
        <v>0</v>
      </c>
      <c r="L19" s="76" t="str">
        <f ca="1">IF(AND($Q$5=$Q$4,$Q$5&lt;&gt;$Q$6,$Q$5&lt;&gt;$Q$7),IF(H19&gt;I18,3,IF(H19=I18,1,0)),IF(AND($Q$5=$Q$6,$Q$5&lt;&gt;$Q$4,$Q$5&lt;&gt;$Q$7),IF(J19&gt;I20,3,IF(J19=I20,1,0)),IF(AND($Q$5=$Q$7,$Q$5&lt;&gt;$Q$4,$Q$5&lt;&gt;$Q$6),IF(K19&gt;I21,3,IF(K19=I21,1,0)),"")))</f>
        <v/>
      </c>
      <c r="M19" s="76" t="str">
        <f ca="1">IF($AF$16,IF(AND($AD$5=$AD$4,$AD$5&lt;&gt;$AD$6,$AD$5&lt;&gt;$AD$7),IF(H19&gt;I18,3,IF(H19=I18,1,0)),IF(AND($AD$5&lt;&gt;$AD$4,$AD$5=$AD$6,$AD$5&lt;&gt;$AD$7),IF(J19&gt;I20,3,IF(J19=I20,1,0)),IF(AND($AD$5&lt;&gt;$AD$4,$AD$5&lt;&gt;$AD$6,$AD$5=$AD$7),IF(K19&gt;I21,3,IF(K19=I21,1,0)),""))),"")</f>
        <v/>
      </c>
      <c r="N19" s="465"/>
      <c r="O19" s="466" t="s">
        <v>33</v>
      </c>
      <c r="P19" t="str">
        <f>$P$5</f>
        <v>Finnland</v>
      </c>
      <c r="Q19" s="466">
        <f ca="1">SUMIFS($H$4:$H$9,$B$4:$B$9,$P19,$D$4:$D$9,"&lt;&gt;"&amp;$P$21)+SUMIFS($I$4:$I$9,$B$4:$B$9,"&lt;&gt;"&amp;$P$21,$D$4:$D$9,$P19)</f>
        <v>3</v>
      </c>
      <c r="R19" s="466">
        <f ca="1">S19-T19</f>
        <v>-1</v>
      </c>
      <c r="S19" s="466">
        <f ca="1">SUMIFS($E$4:$E$9,$B$4:$B$9,$P19,$D$4:$D$9,"&lt;&gt;"&amp;$P$21)+SUMIFS($G$4:$G$9,$B$4:$B$9,"&lt;&gt;"&amp;$P$21,$D$4:$D$9,$P19)</f>
        <v>1</v>
      </c>
      <c r="T19" s="466">
        <f ca="1">SUMIFS($G$4:$G$9,$B$4:$B$9,$P19,$D$4:$D$9,"&lt;&gt;"&amp;$P$21)+SUMIFS($E$4:$E$9,$B$4:$B$9,"&lt;&gt;"&amp;$P$21,$D$4:$D$9,$P19)</f>
        <v>2</v>
      </c>
      <c r="U19" s="466"/>
      <c r="V19" s="300">
        <f ca="1">Q19*FactorPts+(GDzero+R19)*FactorGD+S19*FactorFor</f>
        <v>30049010</v>
      </c>
      <c r="W19" s="466">
        <f ca="1">RANK(V19,V$18:V$20,1)</f>
        <v>2</v>
      </c>
      <c r="X19" s="466">
        <f ca="1">IF(AND($Q$4=$Q$5,$Q$4=$Q$6,$Q$4&lt;&gt;$Q$7),W19,0)</f>
        <v>0</v>
      </c>
      <c r="Y19" s="466" t="str">
        <f ca="1">IF(AND(V19=V18,V19&lt;&gt;V20),IF(AA19&gt;AA18,3,IF(AA19=AA18,1,0)),IF(AND(V19=V20,V19&lt;&gt;V18),IF(AC19&gt;AC20,3,IF(AC19=AC20,1,0)),""))</f>
        <v/>
      </c>
      <c r="Z19" s="465" t="str">
        <f t="shared" ref="Z19:Z20" ca="1" si="12">IF(X19&gt;0,Y19,"")</f>
        <v/>
      </c>
      <c r="AA19" s="287">
        <f ca="1">$H$19</f>
        <v>1</v>
      </c>
      <c r="AB19" s="465"/>
      <c r="AC19" s="468">
        <f ca="1">$J$19</f>
        <v>0</v>
      </c>
      <c r="AD19" s="465">
        <f ca="1">IF(AND($AF$16,$AD$4=$AD$5,$AD$4=$AD$6,$AD$4&lt;&gt;$AD$7),W19,0)</f>
        <v>0</v>
      </c>
      <c r="AE19" s="465" t="str">
        <f t="shared" ref="AE19:AE20" ca="1" si="13">IF(AD19&gt;0,Y19,"")</f>
        <v/>
      </c>
    </row>
    <row r="20" spans="2:31" x14ac:dyDescent="0.25">
      <c r="D20" s="30"/>
      <c r="E20" s="684" t="str">
        <f>$P$6</f>
        <v>Belgien</v>
      </c>
      <c r="F20" s="685"/>
      <c r="G20" s="685"/>
      <c r="H20" s="39">
        <f ca="1">SUMIFS($E$4:$E$9,$B$4:$B$9,$P$6,$D$4:$D$9,$P$4)+SUMIFS($G$4:$G$9,$B$4:$B$9,$P$4,$D$4:$D$9,$P$6)</f>
        <v>2</v>
      </c>
      <c r="I20" s="465">
        <f ca="1">SUMIFS($E$4:$E$9,$B$4:$B$9,$P$6,$D$4:$D$9,$P$5)+SUMIFS($G$4:$G$9,$B$4:$B$9,$P$5,$D$4:$D$9,$P$6)</f>
        <v>2</v>
      </c>
      <c r="J20" s="81"/>
      <c r="K20" s="57">
        <f ca="1">SUMIFS($E$4:$E$9,$B$4:$B$9,$P$6,$D$4:$D$9,$P$7)+SUMIFS($G$4:$G$9,$B$4:$B$9,$P$7,$D$4:$D$9,$P$6)</f>
        <v>3</v>
      </c>
      <c r="L20" s="76" t="str">
        <f ca="1">IF(AND($Q$6=$Q$4,$Q$6&lt;&gt;$Q$5,$Q$6&lt;&gt;$Q$7),IF(H20&gt;J18,3,IF(H20=J18,1,0)),IF(AND($Q$6=$Q$5,$Q$6&lt;&gt;$Q$4,$Q$6&lt;&gt;$Q$7),IF(I20&gt;J19,3,IF(I20=J19,1,0)),IF(AND($Q$6=$Q$7,$Q$6&lt;&gt;$Q$4,$Q$6&lt;&gt;$Q$5),IF(K20&gt;J21,3,IF(K20=J21,1,0)),"")))</f>
        <v/>
      </c>
      <c r="M20" s="76" t="str">
        <f ca="1">IF($AF$16,IF(AND($AD$6=$AD$4,$AD$6&lt;&gt;$AD$5,$AD$6&lt;&gt;$AD$7),IF(H20&gt;J18,3,IF(H20=J18,1,0)),IF(AND($AD$6&lt;&gt;$AD$4,$AD$6=$AD$5,$AD$6&lt;&gt;$AD$7),IF(I20&gt;J19,3,IF(I20=J19,1,0)),IF(AND($AD$6&lt;&gt;$AD$4,$AD$6&lt;&gt;$AD$5,$AD$6=$AD$7),IF(K20&gt;J21,3,IF(K20=J21,1,0)),""))),"")</f>
        <v/>
      </c>
      <c r="N20" s="465"/>
      <c r="O20" s="466" t="s">
        <v>34</v>
      </c>
      <c r="P20" t="str">
        <f>$P$6</f>
        <v>Belgien</v>
      </c>
      <c r="Q20" s="466">
        <f ca="1">SUMIFS($H$4:$H$9,$B$4:$B$9,$P20,$D$4:$D$9,"&lt;&gt;"&amp;$P$21)+SUMIFS($I$4:$I$9,$B$4:$B$9,"&lt;&gt;"&amp;$P$21,$D$4:$D$9,$P20)</f>
        <v>6</v>
      </c>
      <c r="R20" s="466">
        <f ca="1">S20-T20</f>
        <v>3</v>
      </c>
      <c r="S20" s="466">
        <f ca="1">SUMIFS($E$4:$E$9,$B$4:$B$9,$P20,$D$4:$D$9,"&lt;&gt;"&amp;$P$21)+SUMIFS($G$4:$G$9,$B$4:$B$9,"&lt;&gt;"&amp;$P$21,$D$4:$D$9,$P20)</f>
        <v>4</v>
      </c>
      <c r="T20" s="466">
        <f ca="1">SUMIFS($G$4:$G$9,$B$4:$B$9,$P20,$D$4:$D$9,"&lt;&gt;"&amp;$P$21)+SUMIFS($E$4:$E$9,$B$4:$B$9,"&lt;&gt;"&amp;$P$21,$D$4:$D$9,$P20)</f>
        <v>1</v>
      </c>
      <c r="U20" s="466"/>
      <c r="V20" s="300">
        <f ca="1">Q20*FactorPts+(GDzero+R20)*FactorGD+S20*FactorFor</f>
        <v>60053040</v>
      </c>
      <c r="W20" s="466">
        <f ca="1">RANK(V20,V$18:V$20,1)</f>
        <v>3</v>
      </c>
      <c r="X20" s="466">
        <f ca="1">IF(AND($Q$4=$Q$5,$Q$4=$Q$6,$Q$4&lt;&gt;$Q$7),W20,0)</f>
        <v>0</v>
      </c>
      <c r="Y20" s="466" t="str">
        <f ca="1">IF(AND(V20=V18,V20&lt;&gt;V19),IF(AB20&gt;AB18,3,IF(AB20=AB18,1,0)),IF(AND(V20=V19,V20&lt;&gt;V18),IF(AC20&gt;AC19,3,IF(AC20=AC19,1,0)),""))</f>
        <v/>
      </c>
      <c r="Z20" s="465" t="str">
        <f t="shared" ca="1" si="12"/>
        <v/>
      </c>
      <c r="AA20" s="287"/>
      <c r="AB20" s="465">
        <f ca="1">$H$20</f>
        <v>2</v>
      </c>
      <c r="AC20" s="468">
        <f ca="1">$I$20</f>
        <v>2</v>
      </c>
      <c r="AD20" s="465">
        <f ca="1">IF(AND($AF$16,$AD$4=$AD$5,$AD$4=$AD$6,$AD$4&lt;&gt;$AD$7),W20,0)</f>
        <v>0</v>
      </c>
      <c r="AE20" s="465" t="str">
        <f t="shared" ca="1" si="13"/>
        <v/>
      </c>
    </row>
    <row r="21" spans="2:31" ht="15.75" thickBot="1" x14ac:dyDescent="0.3">
      <c r="B21" s="49"/>
      <c r="C21" s="50"/>
      <c r="D21" s="51"/>
      <c r="E21" s="679" t="str">
        <f>$P$7</f>
        <v>Russland</v>
      </c>
      <c r="F21" s="680"/>
      <c r="G21" s="680"/>
      <c r="H21" s="38">
        <f ca="1">SUMIFS($E$4:$E$9,$B$4:$B$9,$P$7,$D$4:$D$9,$P$4)+SUMIFS($G$4:$G$9,$B$4:$B$9,$P$4,$D$4:$D$9,$P$7)</f>
        <v>1</v>
      </c>
      <c r="I21" s="36">
        <f ca="1">SUMIFS($E$4:$E$9,$B$4:$B$9,$P$7,$D$4:$D$9,$P$5)+SUMIFS($G$4:$G$9,$B$4:$B$9,$P$5,$D$4:$D$9,$P$7)</f>
        <v>1</v>
      </c>
      <c r="J21" s="36">
        <f ca="1">SUMIFS($E$4:$E$9,$B$4:$B$9,$P$7,$D$4:$D$9,$P$6)+SUMIFS($G$4:$G$9,$B$4:$B$9,$P$6,$D$4:$D$9,$P$7)</f>
        <v>0</v>
      </c>
      <c r="K21" s="82"/>
      <c r="L21" s="77" t="str">
        <f ca="1">IF(AND($Q$7=$Q$4,$Q$7&lt;&gt;$Q$5,$Q$7&lt;&gt;$Q$6),IF(H21&gt;K18,3,IF(H21=K18,1,0)),IF(AND($Q$7=$Q$5,$Q$7&lt;&gt;$Q$4,$Q$7&lt;&gt;$Q$6),IF(I21&gt;K19,3,IF(I21=K19,1,0)),IF(AND($Q$7=$Q$6,$Q$7&lt;&gt;$Q$4,$Q$7&lt;&gt;$Q$5),IF(J21&gt;K20,3,IF(J21=K20,1,0)),"")))</f>
        <v/>
      </c>
      <c r="M21" s="77" t="str">
        <f ca="1">IF($AF$16,IF(AND($AD$7=$AD$4,$AD$7&lt;&gt;$AD$5,$AD$7&lt;&gt;$AD$6),IF(H21&gt;K18,3,IF(H21=K18,1,0)),IF(AND($AD$7&lt;&gt;$AD$4,$AD$7=$AD$5,$AD$7&lt;&gt;$AD$6),IF(I21&gt;K19,3,IF(I21=K19,1,0)),IF(AND($AD$7&lt;&gt;$AD$4,$AD$7&lt;&gt;$AD$5,$AD$7=$AD$6),IF(J21&gt;K20,3,IF(J21=K20,1,0)),""))),"")</f>
        <v/>
      </c>
      <c r="N21" s="465"/>
      <c r="P21" s="34" t="str">
        <f>$P$7</f>
        <v>Russland</v>
      </c>
      <c r="Q21" s="293"/>
      <c r="R21" s="293"/>
      <c r="S21" s="293"/>
      <c r="T21" s="293"/>
      <c r="U21" s="293"/>
      <c r="V21" s="294"/>
      <c r="W21" s="294"/>
      <c r="X21" s="293"/>
      <c r="Y21" s="293"/>
      <c r="Z21" s="295"/>
      <c r="AA21" s="296"/>
      <c r="AB21" s="295"/>
      <c r="AC21" s="297"/>
      <c r="AD21" s="298"/>
      <c r="AE21" s="295"/>
    </row>
    <row r="22" spans="2:31" ht="15.75" thickTop="1" x14ac:dyDescent="0.25">
      <c r="B22" s="49"/>
      <c r="C22" s="50"/>
      <c r="D22" s="51"/>
      <c r="F22" s="466"/>
      <c r="G22" s="35"/>
      <c r="L22" s="56"/>
      <c r="Q22" s="294"/>
      <c r="R22" s="294"/>
      <c r="S22" s="294"/>
      <c r="T22" s="294"/>
      <c r="U22" s="294"/>
      <c r="V22" s="294"/>
      <c r="W22" s="294"/>
      <c r="X22" s="293"/>
      <c r="Y22" s="293"/>
      <c r="Z22" s="295"/>
      <c r="AA22" s="296"/>
      <c r="AB22" s="295"/>
      <c r="AC22" s="297"/>
      <c r="AD22" s="298"/>
      <c r="AE22" s="295"/>
    </row>
    <row r="23" spans="2:31" x14ac:dyDescent="0.25">
      <c r="B23" s="43"/>
      <c r="C23" s="466"/>
      <c r="O23" s="466" t="s">
        <v>32</v>
      </c>
      <c r="P23" t="str">
        <f>$P$4</f>
        <v>Dänemark</v>
      </c>
      <c r="Q23" s="466">
        <f ca="1">SUMIFS($H$4:$H$9,$B$4:$B$9,$P23,$D$4:$D$9,"&lt;&gt;"&amp;$P$26)+SUMIFS($I$4:$I$9,$B$4:$B$9,"&lt;&gt;"&amp;$P$26,$D$4:$D$9,$P23)</f>
        <v>3</v>
      </c>
      <c r="R23" s="466">
        <f ca="1">S23-T23</f>
        <v>2</v>
      </c>
      <c r="S23" s="466">
        <f ca="1">SUMIFS($E$4:$E$9,$B$4:$B$9,$P23,$D$4:$D$9,"&lt;&gt;"&amp;$P$26)+SUMIFS($G$4:$G$9,$B$4:$B$9,"&lt;&gt;"&amp;$P$26,$D$4:$D$9,$P23)</f>
        <v>4</v>
      </c>
      <c r="T23" s="466">
        <f ca="1">SUMIFS($G$4:$G$9,$B$4:$B$9,$P23,$D$4:$D$9,"&lt;&gt;"&amp;$P$26)+SUMIFS($E$4:$E$9,$B$4:$B$9,"&lt;&gt;"&amp;$P$26,$D$4:$D$9,$P23)</f>
        <v>2</v>
      </c>
      <c r="U23" s="466"/>
      <c r="V23" s="300">
        <f ca="1">Q23*FactorPts+(GDzero+R23)*FactorGD+S23*FactorFor</f>
        <v>30052040</v>
      </c>
      <c r="W23" s="466">
        <f ca="1">RANK(V23,V$23:V$25,1)</f>
        <v>3</v>
      </c>
      <c r="X23" s="466">
        <f ca="1">IF(AND($Q$4=$Q$5,$Q$4=$Q$7,$Q$4&lt;&gt;$Q$6),W23,0)</f>
        <v>3</v>
      </c>
      <c r="Y23" s="466" t="str">
        <f ca="1">IF(AND(V23=V24,V23&lt;&gt;V25),IF(AA23&gt;AA24,3,IF(AA23=AA24,1,0)),IF(AND(V23=V25,V23&lt;&gt;V24),IF(AB23&gt;AB25,3,IF(AB23=AB25,1,0)),""))</f>
        <v/>
      </c>
      <c r="Z23" s="465" t="str">
        <f ca="1">IF(X23&gt;0,Y23,"")</f>
        <v/>
      </c>
      <c r="AA23" s="287">
        <f ca="1">$I$18</f>
        <v>0</v>
      </c>
      <c r="AB23" s="465">
        <f ca="1">$K$18</f>
        <v>4</v>
      </c>
      <c r="AC23" s="468"/>
      <c r="AD23" s="465">
        <f ca="1">IF(AND($AF$16,$AD$4=$AD$5,$AD$4=$AD$7,$AD$4&lt;&gt;$AD$6),W23,0)</f>
        <v>0</v>
      </c>
      <c r="AE23" s="465" t="str">
        <f ca="1">IF(AD23&gt;0,Y23,"")</f>
        <v/>
      </c>
    </row>
    <row r="24" spans="2:31" x14ac:dyDescent="0.25">
      <c r="B24" s="43"/>
      <c r="C24" s="466"/>
      <c r="O24" s="466" t="s">
        <v>33</v>
      </c>
      <c r="P24" t="str">
        <f>$P$5</f>
        <v>Finnland</v>
      </c>
      <c r="Q24" s="466">
        <f ca="1">SUMIFS($H$4:$H$9,$B$4:$B$9,$P24,$D$4:$D$9,"&lt;&gt;"&amp;$P$26)+SUMIFS($I$4:$I$9,$B$4:$B$9,"&lt;&gt;"&amp;$P$26,$D$4:$D$9,$P24)</f>
        <v>3</v>
      </c>
      <c r="R24" s="466">
        <f ca="1">S24-T24</f>
        <v>0</v>
      </c>
      <c r="S24" s="466">
        <f ca="1">SUMIFS($E$4:$E$9,$B$4:$B$9,$P24,$D$4:$D$9,"&lt;&gt;"&amp;$P$26)+SUMIFS($G$4:$G$9,$B$4:$B$9,"&lt;&gt;"&amp;$P$26,$D$4:$D$9,$P24)</f>
        <v>1</v>
      </c>
      <c r="T24" s="466">
        <f ca="1">SUMIFS($G$4:$G$9,$B$4:$B$9,$P24,$D$4:$D$9,"&lt;&gt;"&amp;$P$26)+SUMIFS($E$4:$E$9,$B$4:$B$9,"&lt;&gt;"&amp;$P$26,$D$4:$D$9,$P24)</f>
        <v>1</v>
      </c>
      <c r="U24" s="466"/>
      <c r="V24" s="300">
        <f ca="1">Q24*FactorPts+(GDzero+R24)*FactorGD+S24*FactorFor</f>
        <v>30050010</v>
      </c>
      <c r="W24" s="466">
        <f ca="1">RANK(V24,V$23:V$25,1)</f>
        <v>2</v>
      </c>
      <c r="X24" s="466">
        <f ca="1">IF(AND($Q$4=$Q$5,$Q$4=$Q$7,$Q$4&lt;&gt;$Q$6),W24,0)</f>
        <v>2</v>
      </c>
      <c r="Y24" s="466" t="str">
        <f ca="1">IF(AND(V24=V23,V24&lt;&gt;V25),IF(AA24&gt;AA23,3,IF(AA24=AA23,1,0)),IF(AND(V24=V25,V24&lt;&gt;V23),IF(AC24&gt;AC25,3,IF(AC24=AC25,1,0)),""))</f>
        <v/>
      </c>
      <c r="Z24" s="465" t="str">
        <f t="shared" ref="Z24:Z25" ca="1" si="14">IF(X24&gt;0,Y24,"")</f>
        <v/>
      </c>
      <c r="AA24" s="287">
        <f ca="1">$H$19</f>
        <v>1</v>
      </c>
      <c r="AB24" s="465"/>
      <c r="AC24" s="468">
        <f ca="1">$K$19</f>
        <v>0</v>
      </c>
      <c r="AD24" s="465">
        <f ca="1">IF(AND($AF$16,$AD$4=$AD$5,$AD$4=$AD$7,$AD$4&lt;&gt;$AD$6),W24,0)</f>
        <v>0</v>
      </c>
      <c r="AE24" s="465" t="str">
        <f t="shared" ref="AE24:AE25" ca="1" si="15">IF(AD24&gt;0,Y24,"")</f>
        <v/>
      </c>
    </row>
    <row r="25" spans="2:31" x14ac:dyDescent="0.25">
      <c r="B25" s="43"/>
      <c r="C25" s="466"/>
      <c r="O25" s="466" t="s">
        <v>34</v>
      </c>
      <c r="P25" t="str">
        <f>$P$7</f>
        <v>Russland</v>
      </c>
      <c r="Q25" s="466">
        <f ca="1">SUMIFS($H$4:$H$9,$B$4:$B$9,$P25,$D$4:$D$9,"&lt;&gt;"&amp;$P$26)+SUMIFS($I$4:$I$9,$B$4:$B$9,"&lt;&gt;"&amp;$P$26,$D$4:$D$9,$P25)</f>
        <v>3</v>
      </c>
      <c r="R25" s="466">
        <f ca="1">S25-T25</f>
        <v>-2</v>
      </c>
      <c r="S25" s="466">
        <f ca="1">SUMIFS($E$4:$E$9,$B$4:$B$9,$P25,$D$4:$D$9,"&lt;&gt;"&amp;$P$26)+SUMIFS($G$4:$G$9,$B$4:$B$9,"&lt;&gt;"&amp;$P$26,$D$4:$D$9,$P25)</f>
        <v>2</v>
      </c>
      <c r="T25" s="466">
        <f ca="1">SUMIFS($G$4:$G$9,$B$4:$B$9,$P25,$D$4:$D$9,"&lt;&gt;"&amp;$P$26)+SUMIFS($E$4:$E$9,$B$4:$B$9,"&lt;&gt;"&amp;$P$26,$D$4:$D$9,$P25)</f>
        <v>4</v>
      </c>
      <c r="U25" s="466"/>
      <c r="V25" s="300">
        <f ca="1">Q25*FactorPts+(GDzero+R25)*FactorGD+S25*FactorFor</f>
        <v>30048020</v>
      </c>
      <c r="W25" s="466">
        <f ca="1">RANK(V25,V$23:V$25,1)</f>
        <v>1</v>
      </c>
      <c r="X25" s="466">
        <f ca="1">IF(AND($Q$4=$Q$5,$Q$4=$Q$7,$Q$4&lt;&gt;$Q$6),W25,0)</f>
        <v>1</v>
      </c>
      <c r="Y25" s="466" t="str">
        <f ca="1">IF(AND(V25=V23,V25&lt;&gt;V24),IF(AB25&gt;AB23,3,IF(AB25=AB23,1,0)),IF(AND(V25=V24,V25&lt;&gt;V23),IF(AC25&gt;AC24,3,IF(AC25=AC24,1,0)),""))</f>
        <v/>
      </c>
      <c r="Z25" s="465" t="str">
        <f t="shared" ca="1" si="14"/>
        <v/>
      </c>
      <c r="AA25" s="287"/>
      <c r="AB25" s="465">
        <f ca="1">$H$21</f>
        <v>1</v>
      </c>
      <c r="AC25" s="468">
        <f ca="1">$I$21</f>
        <v>1</v>
      </c>
      <c r="AD25" s="465">
        <f ca="1">IF(AND($AF$16,$AD$4=$AD$5,$AD$4=$AD$7,$AD$4&lt;&gt;$AD$6),W25,0)</f>
        <v>0</v>
      </c>
      <c r="AE25" s="465" t="str">
        <f t="shared" ca="1" si="15"/>
        <v/>
      </c>
    </row>
    <row r="26" spans="2:31" x14ac:dyDescent="0.25">
      <c r="B26" s="43"/>
      <c r="C26" s="466"/>
      <c r="P26" s="34" t="str">
        <f>$P$6</f>
        <v>Belgien</v>
      </c>
      <c r="Q26" s="293"/>
      <c r="R26" s="293"/>
      <c r="S26" s="293"/>
      <c r="T26" s="293"/>
      <c r="U26" s="293"/>
      <c r="V26" s="294"/>
      <c r="W26" s="294"/>
      <c r="X26" s="293"/>
      <c r="Y26" s="293"/>
      <c r="Z26" s="295"/>
      <c r="AA26" s="296"/>
      <c r="AB26" s="295"/>
      <c r="AC26" s="297"/>
      <c r="AD26" s="298"/>
      <c r="AE26" s="295"/>
    </row>
    <row r="27" spans="2:31" x14ac:dyDescent="0.25">
      <c r="Q27" s="294"/>
      <c r="R27" s="294"/>
      <c r="S27" s="294"/>
      <c r="T27" s="294"/>
      <c r="U27" s="294"/>
      <c r="V27" s="294"/>
      <c r="W27" s="294"/>
      <c r="X27" s="293"/>
      <c r="Y27" s="293"/>
      <c r="Z27" s="295"/>
      <c r="AA27" s="296"/>
      <c r="AB27" s="295"/>
      <c r="AC27" s="297"/>
      <c r="AD27" s="298"/>
      <c r="AE27" s="295"/>
    </row>
    <row r="28" spans="2:31" x14ac:dyDescent="0.25">
      <c r="O28" s="466" t="s">
        <v>32</v>
      </c>
      <c r="P28" t="str">
        <f>$P$4</f>
        <v>Dänemark</v>
      </c>
      <c r="Q28" s="466">
        <f ca="1">SUMIFS($H$4:$H$9,$B$4:$B$9,$P28,$D$4:$D$9,"&lt;&gt;"&amp;$P$31)+SUMIFS($I$4:$I$9,$B$4:$B$9,"&lt;&gt;"&amp;$P$31,$D$4:$D$9,$P28)</f>
        <v>3</v>
      </c>
      <c r="R28" s="466">
        <f ca="1">S28-T28</f>
        <v>2</v>
      </c>
      <c r="S28" s="466">
        <f ca="1">SUMIFS($E$4:$E$9,$B$4:$B$9,$P28,$D$4:$D$9,"&lt;&gt;"&amp;$P$31)+SUMIFS($G$4:$G$9,$B$4:$B$9,"&lt;&gt;"&amp;$P$31,$D$4:$D$9,$P28)</f>
        <v>5</v>
      </c>
      <c r="T28" s="466">
        <f ca="1">SUMIFS($G$4:$G$9,$B$4:$B$9,$P28,$D$4:$D$9,"&lt;&gt;"&amp;$P$31)+SUMIFS($E$4:$E$9,$B$4:$B$9,"&lt;&gt;"&amp;$P$31,$D$4:$D$9,$P28)</f>
        <v>3</v>
      </c>
      <c r="U28" s="466"/>
      <c r="V28" s="300">
        <f ca="1">Q28*FactorPts+(GDzero+R28)*FactorGD+S28*FactorFor</f>
        <v>30052050</v>
      </c>
      <c r="W28" s="466">
        <f ca="1">_xlfn.RANK.EQ(V28,V$28:V$30,1)</f>
        <v>2</v>
      </c>
      <c r="X28" s="466">
        <f ca="1">IF(AND($Q$4=$Q$6,$Q$4=$Q$7,$Q$4&lt;&gt;$Q$5),W28,0)</f>
        <v>0</v>
      </c>
      <c r="Y28" s="466" t="str">
        <f ca="1">IF(AND(V28=V29,V28&lt;&gt;V30),IF(AA28&gt;AA29,3,IF(AA28=AA29,1,0)),IF(AND(V28=V30,V28&lt;&gt;V29),IF(AB28&gt;AB30,3,IF(AB28=AB30,1,0)),""))</f>
        <v/>
      </c>
      <c r="Z28" s="465" t="str">
        <f ca="1">IF(X28&gt;0,Y28,"")</f>
        <v/>
      </c>
      <c r="AA28" s="287">
        <f ca="1">$J$18</f>
        <v>1</v>
      </c>
      <c r="AB28" s="465">
        <f ca="1">$K$18</f>
        <v>4</v>
      </c>
      <c r="AC28" s="468"/>
      <c r="AD28" s="465">
        <f ca="1">IF(AND($AF$16,$AD$4=$AD$6,$AD$4=$AD$7,$AD$4&lt;&gt;$AD$5),W28,0)</f>
        <v>0</v>
      </c>
      <c r="AE28" s="465" t="str">
        <f ca="1">IF(AD28&gt;0,Y28,"")</f>
        <v/>
      </c>
    </row>
    <row r="29" spans="2:31" x14ac:dyDescent="0.25">
      <c r="O29" s="466" t="s">
        <v>33</v>
      </c>
      <c r="P29" t="str">
        <f>$P$6</f>
        <v>Belgien</v>
      </c>
      <c r="Q29" s="466">
        <f ca="1">SUMIFS($H$4:$H$9,$B$4:$B$9,$P29,$D$4:$D$9,"&lt;&gt;"&amp;$P$31)+SUMIFS($I$4:$I$9,$B$4:$B$9,"&lt;&gt;"&amp;$P$31,$D$4:$D$9,$P29)</f>
        <v>6</v>
      </c>
      <c r="R29" s="466">
        <f ca="1">S29-T29</f>
        <v>4</v>
      </c>
      <c r="S29" s="466">
        <f ca="1">SUMIFS($E$4:$E$9,$B$4:$B$9,$P29,$D$4:$D$9,"&lt;&gt;"&amp;$P$31)+SUMIFS($G$4:$G$9,$B$4:$B$9,"&lt;&gt;"&amp;$P$31,$D$4:$D$9,$P29)</f>
        <v>5</v>
      </c>
      <c r="T29" s="466">
        <f ca="1">SUMIFS($G$4:$G$9,$B$4:$B$9,$P29,$D$4:$D$9,"&lt;&gt;"&amp;$P$31)+SUMIFS($E$4:$E$9,$B$4:$B$9,"&lt;&gt;"&amp;$P$31,$D$4:$D$9,$P29)</f>
        <v>1</v>
      </c>
      <c r="U29" s="466"/>
      <c r="V29" s="300">
        <f ca="1">Q29*FactorPts+(GDzero+R29)*FactorGD+S29*FactorFor</f>
        <v>60054050</v>
      </c>
      <c r="W29" s="466">
        <f ca="1">_xlfn.RANK.EQ(V29,V$28:V$30,1)</f>
        <v>3</v>
      </c>
      <c r="X29" s="466">
        <f ca="1">IF(AND($Q$4=$Q$6,$Q$4=$Q$7,$Q$4&lt;&gt;$Q$5),W29,0)</f>
        <v>0</v>
      </c>
      <c r="Y29" s="466" t="str">
        <f ca="1">IF(AND(V29=V28,V29&lt;&gt;V30),IF(AA29&gt;AA28,3,IF(AA29=AA28,1,0)),IF(AND(V29=V30,V29&lt;&gt;V28),IF(AC29&gt;AC30,3,IF(AC29=AC30,1,0)),""))</f>
        <v/>
      </c>
      <c r="Z29" s="465" t="str">
        <f t="shared" ref="Z29:Z30" ca="1" si="16">IF(X29&gt;0,Y29,"")</f>
        <v/>
      </c>
      <c r="AA29" s="287">
        <f ca="1">$H$20</f>
        <v>2</v>
      </c>
      <c r="AB29" s="465"/>
      <c r="AC29" s="468">
        <f ca="1">$K$20</f>
        <v>3</v>
      </c>
      <c r="AD29" s="465">
        <f ca="1">IF(AND($AF$16,$AD$4=$AD$6,$AD$4=$AD$7,$AD$4&lt;&gt;$AD$5),W29,0)</f>
        <v>0</v>
      </c>
      <c r="AE29" s="465" t="str">
        <f t="shared" ref="AE29:AE30" ca="1" si="17">IF(AD29&gt;0,Y29,"")</f>
        <v/>
      </c>
    </row>
    <row r="30" spans="2:31" x14ac:dyDescent="0.25">
      <c r="O30" s="466" t="s">
        <v>34</v>
      </c>
      <c r="P30" t="str">
        <f>$P$7</f>
        <v>Russland</v>
      </c>
      <c r="Q30" s="466">
        <f ca="1">SUMIFS($H$4:$H$9,$B$4:$B$9,$P30,$D$4:$D$9,"&lt;&gt;"&amp;$P$31)+SUMIFS($I$4:$I$9,$B$4:$B$9,"&lt;&gt;"&amp;$P$31,$D$4:$D$9,$P30)</f>
        <v>0</v>
      </c>
      <c r="R30" s="466">
        <f ca="1">S30-T30</f>
        <v>-6</v>
      </c>
      <c r="S30" s="466">
        <f ca="1">SUMIFS($E$4:$E$9,$B$4:$B$9,$P30,$D$4:$D$9,"&lt;&gt;"&amp;$P$31)+SUMIFS($G$4:$G$9,$B$4:$B$9,"&lt;&gt;"&amp;$P$31,$D$4:$D$9,$P30)</f>
        <v>1</v>
      </c>
      <c r="T30" s="466">
        <f ca="1">SUMIFS($G$4:$G$9,$B$4:$B$9,$P30,$D$4:$D$9,"&lt;&gt;"&amp;$P$31)+SUMIFS($E$4:$E$9,$B$4:$B$9,"&lt;&gt;"&amp;$P$31,$D$4:$D$9,$P30)</f>
        <v>7</v>
      </c>
      <c r="U30" s="466"/>
      <c r="V30" s="300">
        <f ca="1">Q30*FactorPts+(GDzero+R30)*FactorGD+S30*FactorFor</f>
        <v>44010</v>
      </c>
      <c r="W30" s="466">
        <f ca="1">_xlfn.RANK.EQ(V30,V$28:V$30,1)</f>
        <v>1</v>
      </c>
      <c r="X30" s="466">
        <f ca="1">IF(AND($Q$4=$Q$6,$Q$4=$Q$7,$Q$4&lt;&gt;$Q$5),W30,0)</f>
        <v>0</v>
      </c>
      <c r="Y30" s="466" t="str">
        <f ca="1">IF(AND(V30=V28,V30&lt;&gt;V29),IF(AB30&gt;AB28,3,IF(AB30=AB28,1,0)),IF(AND(V30=V29,V30&lt;&gt;V28),IF(AC30&gt;AC29,3,IF(AC30=AC29,1,0)),""))</f>
        <v/>
      </c>
      <c r="Z30" s="465" t="str">
        <f t="shared" ca="1" si="16"/>
        <v/>
      </c>
      <c r="AA30" s="287"/>
      <c r="AB30" s="465">
        <f ca="1">$H$21</f>
        <v>1</v>
      </c>
      <c r="AC30" s="468">
        <f ca="1">$J$21</f>
        <v>0</v>
      </c>
      <c r="AD30" s="465">
        <f ca="1">IF(AND($AF$16,$AD$4=$AD$6,$AD$4=$AD$7,$AD$4&lt;&gt;$AD$5),W30,0)</f>
        <v>0</v>
      </c>
      <c r="AE30" s="465" t="str">
        <f t="shared" ca="1" si="17"/>
        <v/>
      </c>
    </row>
    <row r="31" spans="2:31" x14ac:dyDescent="0.25">
      <c r="P31" s="34" t="str">
        <f>$P$5</f>
        <v>Finnland</v>
      </c>
      <c r="Q31" s="293"/>
      <c r="R31" s="293"/>
      <c r="S31" s="293"/>
      <c r="T31" s="293"/>
      <c r="U31" s="293"/>
      <c r="V31" s="294"/>
      <c r="W31" s="294"/>
      <c r="X31" s="293"/>
      <c r="Y31" s="293"/>
      <c r="Z31" s="295"/>
      <c r="AA31" s="296"/>
      <c r="AB31" s="295"/>
      <c r="AC31" s="297"/>
      <c r="AD31" s="298"/>
      <c r="AE31" s="295"/>
    </row>
    <row r="32" spans="2:31" x14ac:dyDescent="0.25">
      <c r="Q32" s="294"/>
      <c r="R32" s="294"/>
      <c r="S32" s="294"/>
      <c r="T32" s="294"/>
      <c r="U32" s="294"/>
      <c r="V32" s="294"/>
      <c r="W32" s="294"/>
      <c r="X32" s="293"/>
      <c r="Y32" s="293"/>
      <c r="Z32" s="295"/>
      <c r="AA32" s="296"/>
      <c r="AB32" s="295"/>
      <c r="AC32" s="297"/>
      <c r="AD32" s="298"/>
      <c r="AE32" s="295"/>
    </row>
    <row r="33" spans="15:31" x14ac:dyDescent="0.25">
      <c r="O33" s="466" t="s">
        <v>32</v>
      </c>
      <c r="P33" t="str">
        <f>$P$5</f>
        <v>Finnland</v>
      </c>
      <c r="Q33" s="466">
        <f ca="1">SUMIFS($H$4:$H$9,$B$4:$B$9,$P33,$D$4:$D$9,"&lt;&gt;"&amp;$P$36)+SUMIFS($I$4:$I$9,$B$4:$B$9,"&lt;&gt;"&amp;$P$36,$D$4:$D$9,$P33)</f>
        <v>0</v>
      </c>
      <c r="R33" s="466">
        <f ca="1">S33-T33</f>
        <v>-3</v>
      </c>
      <c r="S33" s="466">
        <f ca="1">SUMIFS($E$4:$E$9,$B$4:$B$9,$P33,$D$4:$D$9,"&lt;&gt;"&amp;$P$36)+SUMIFS($G$4:$G$9,$B$4:$B$9,"&lt;&gt;"&amp;$P$36,$D$4:$D$9,$P33)</f>
        <v>0</v>
      </c>
      <c r="T33" s="466">
        <f ca="1">SUMIFS($G$4:$G$9,$B$4:$B$9,$P33,$D$4:$D$9,"&lt;&gt;"&amp;$P$36)+SUMIFS($E$4:$E$9,$B$4:$B$9,"&lt;&gt;"&amp;$P$36,$D$4:$D$9,$P33)</f>
        <v>3</v>
      </c>
      <c r="U33" s="466"/>
      <c r="V33" s="300">
        <f ca="1">Q33*FactorPts+(GDzero+R33)*FactorGD+S33*FactorFor</f>
        <v>47000</v>
      </c>
      <c r="W33" s="466">
        <f ca="1">RANK(V33,V$33:V$35,1)</f>
        <v>1</v>
      </c>
      <c r="X33" s="466">
        <f ca="1">IF(AND($Q$5=$Q$6,$Q$5=$Q$7,$Q$5&lt;&gt;$Q$4),W33,0)</f>
        <v>0</v>
      </c>
      <c r="Y33" s="466" t="str">
        <f ca="1">IF(AND(V33=V34,V33&lt;&gt;V35),IF(AA33&gt;AA34,3,IF(AA33=AA34,1,0)),IF(AND(V33=V35,V33&lt;&gt;V34),IF(AB33&gt;AB35,3,IF(AB33=AB35,1,0)),""))</f>
        <v/>
      </c>
      <c r="Z33" s="465" t="str">
        <f ca="1">IF(X33&gt;0,Y33,"")</f>
        <v/>
      </c>
      <c r="AA33" s="287">
        <f ca="1">$J$19</f>
        <v>0</v>
      </c>
      <c r="AB33" s="465">
        <f ca="1">$K$19</f>
        <v>0</v>
      </c>
      <c r="AC33" s="468"/>
      <c r="AD33" s="465">
        <f ca="1">IF(AND($AF$16,$AD$5=$AD$6,$AD$5=$AD$7,$AD$5&lt;&gt;$AD$4),W33,0)</f>
        <v>0</v>
      </c>
      <c r="AE33" s="465" t="str">
        <f ca="1">IF(AD33&gt;0,Y33,"")</f>
        <v/>
      </c>
    </row>
    <row r="34" spans="15:31" x14ac:dyDescent="0.25">
      <c r="O34" s="466" t="s">
        <v>33</v>
      </c>
      <c r="P34" t="str">
        <f>$P$6</f>
        <v>Belgien</v>
      </c>
      <c r="Q34" s="466">
        <f ca="1">SUMIFS($H$4:$H$9,$B$4:$B$9,$P34,$D$4:$D$9,"&lt;&gt;"&amp;$P$36)+SUMIFS($I$4:$I$9,$B$4:$B$9,"&lt;&gt;"&amp;$P$36,$D$4:$D$9,$P34)</f>
        <v>6</v>
      </c>
      <c r="R34" s="466">
        <f ca="1">S34-T34</f>
        <v>5</v>
      </c>
      <c r="S34" s="466">
        <f ca="1">SUMIFS($E$4:$E$9,$B$4:$B$9,$P34,$D$4:$D$9,"&lt;&gt;"&amp;$P$36)+SUMIFS($G$4:$G$9,$B$4:$B$9,"&lt;&gt;"&amp;$P$36,$D$4:$D$9,$P34)</f>
        <v>5</v>
      </c>
      <c r="T34" s="466">
        <f ca="1">SUMIFS($G$4:$G$9,$B$4:$B$9,$P34,$D$4:$D$9,"&lt;&gt;"&amp;$P$36)+SUMIFS($E$4:$E$9,$B$4:$B$9,"&lt;&gt;"&amp;$P$36,$D$4:$D$9,$P34)</f>
        <v>0</v>
      </c>
      <c r="U34" s="466"/>
      <c r="V34" s="300">
        <f ca="1">Q34*FactorPts+(GDzero+R34)*FactorGD+S34*FactorFor</f>
        <v>60055050</v>
      </c>
      <c r="W34" s="466">
        <f ca="1">RANK(V34,V$33:V$35,1)</f>
        <v>3</v>
      </c>
      <c r="X34" s="466">
        <f ca="1">IF(AND($Q$5=$Q$6,$Q$5=$Q$7,$Q$5&lt;&gt;$Q$4),W34,0)</f>
        <v>0</v>
      </c>
      <c r="Y34" s="466" t="str">
        <f ca="1">IF(AND(V34=V33,V34&lt;&gt;V35),IF(AA34&gt;AA33,3,IF(AA34=AA33,1,0)),IF(AND(V34=V35,V34&lt;&gt;V33),IF(AC34&gt;AC35,3,IF(AC34=AC35,1,0)),""))</f>
        <v/>
      </c>
      <c r="Z34" s="465" t="str">
        <f t="shared" ref="Z34:Z35" ca="1" si="18">IF(X34&gt;0,Y34,"")</f>
        <v/>
      </c>
      <c r="AA34" s="287">
        <f ca="1">$I$20</f>
        <v>2</v>
      </c>
      <c r="AB34" s="465"/>
      <c r="AC34" s="468">
        <f ca="1">$K$20</f>
        <v>3</v>
      </c>
      <c r="AD34" s="465">
        <f ca="1">IF(AND($AF$16,$AD$5=$AD$6,$AD$5=$AD$7,$AD$5&lt;&gt;$AD$4),W34,0)</f>
        <v>0</v>
      </c>
      <c r="AE34" s="465" t="str">
        <f t="shared" ref="AE34:AE35" ca="1" si="19">IF(AD34&gt;0,Y34,"")</f>
        <v/>
      </c>
    </row>
    <row r="35" spans="15:31" ht="15.75" thickBot="1" x14ac:dyDescent="0.3">
      <c r="O35" s="466" t="s">
        <v>34</v>
      </c>
      <c r="P35" t="str">
        <f>$P$7</f>
        <v>Russland</v>
      </c>
      <c r="Q35" s="466">
        <f ca="1">SUMIFS($H$4:$H$9,$B$4:$B$9,$P35,$D$4:$D$9,"&lt;&gt;"&amp;$P$36)+SUMIFS($I$4:$I$9,$B$4:$B$9,"&lt;&gt;"&amp;$P$36,$D$4:$D$9,$P35)</f>
        <v>3</v>
      </c>
      <c r="R35" s="466">
        <f ca="1">S35-T35</f>
        <v>-2</v>
      </c>
      <c r="S35" s="466">
        <f ca="1">SUMIFS($E$4:$E$9,$B$4:$B$9,$P35,$D$4:$D$9,"&lt;&gt;"&amp;$P$36)+SUMIFS($G$4:$G$9,$B$4:$B$9,"&lt;&gt;"&amp;$P$36,$D$4:$D$9,$P35)</f>
        <v>1</v>
      </c>
      <c r="T35" s="466">
        <f ca="1">SUMIFS($G$4:$G$9,$B$4:$B$9,$P35,$D$4:$D$9,"&lt;&gt;"&amp;$P$36)+SUMIFS($E$4:$E$9,$B$4:$B$9,"&lt;&gt;"&amp;$P$36,$D$4:$D$9,$P35)</f>
        <v>3</v>
      </c>
      <c r="U35" s="466"/>
      <c r="V35" s="300">
        <f ca="1">Q35*FactorPts+(GDzero+R35)*FactorGD+S35*FactorFor</f>
        <v>30048010</v>
      </c>
      <c r="W35" s="466">
        <f ca="1">RANK(V35,V$33:V$35,1)</f>
        <v>2</v>
      </c>
      <c r="X35" s="466">
        <f ca="1">IF(AND($Q$5=$Q$6,$Q$5=$Q$7,$Q$5&lt;&gt;$Q$4),W35,0)</f>
        <v>0</v>
      </c>
      <c r="Y35" s="466" t="str">
        <f ca="1">IF(AND(V35=V33,V35&lt;&gt;V34),IF(AB35&gt;AB33,3,IF(AB35=AB33,1,0)),IF(AND(V35=V34,V35&lt;&gt;V33),IF(AC35&gt;AC34,3,IF(AC35=AC34,1,0)),""))</f>
        <v/>
      </c>
      <c r="Z35" s="465" t="str">
        <f t="shared" ca="1" si="18"/>
        <v/>
      </c>
      <c r="AA35" s="288"/>
      <c r="AB35" s="289">
        <f ca="1">$I$21</f>
        <v>1</v>
      </c>
      <c r="AC35" s="290">
        <f ca="1">$J$21</f>
        <v>0</v>
      </c>
      <c r="AD35" s="465">
        <f ca="1">IF(AND($AF$16,$AD$5=$AD$6,$AD$5=$AD$7,$AD$5&lt;&gt;$AD$4),W35,0)</f>
        <v>0</v>
      </c>
      <c r="AE35" s="465" t="str">
        <f t="shared" ca="1" si="19"/>
        <v/>
      </c>
    </row>
    <row r="36" spans="15:31" x14ac:dyDescent="0.25">
      <c r="P36" s="34" t="str">
        <f>$P$4</f>
        <v>Dänemark</v>
      </c>
      <c r="Q36" s="466"/>
      <c r="R36" s="466"/>
      <c r="S36" s="466"/>
      <c r="T36" s="466"/>
      <c r="U36" s="466"/>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C3951-828E-4595-BBCC-A8472F1E8F2A}">
  <sheetPr codeName="Tabelle8"/>
  <dimension ref="A1:AG36"/>
  <sheetViews>
    <sheetView workbookViewId="0">
      <selection activeCell="I21" sqref="I21"/>
    </sheetView>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466"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8"/>
      <c r="B1" s="47" t="str">
        <f>VLOOKUP($Q$1,References!$B$5:$D$10,2,0)</f>
        <v>H</v>
      </c>
      <c r="D1" s="47" t="str">
        <f>VLOOKUP($Q$1,References!$B$5:$D$10,3,0)</f>
        <v>I</v>
      </c>
      <c r="P1" s="231" t="s">
        <v>239</v>
      </c>
      <c r="Q1" s="232" t="s">
        <v>27</v>
      </c>
    </row>
    <row r="2" spans="1:33" ht="8.25" customHeight="1" x14ac:dyDescent="0.25"/>
    <row r="3" spans="1:33" x14ac:dyDescent="0.25">
      <c r="B3" s="681" t="s">
        <v>225</v>
      </c>
      <c r="C3" s="681"/>
      <c r="D3" s="681"/>
      <c r="E3" s="681" t="s">
        <v>226</v>
      </c>
      <c r="F3" s="681"/>
      <c r="G3" s="681"/>
      <c r="H3" s="681" t="s">
        <v>221</v>
      </c>
      <c r="I3" s="681"/>
      <c r="J3" s="687" t="s">
        <v>554</v>
      </c>
      <c r="K3" s="687"/>
      <c r="L3" s="687"/>
      <c r="M3" s="467" t="s">
        <v>196</v>
      </c>
      <c r="N3" s="86"/>
      <c r="O3" s="46"/>
      <c r="P3" s="45"/>
      <c r="Q3" s="467" t="s">
        <v>221</v>
      </c>
      <c r="R3" s="467" t="s">
        <v>218</v>
      </c>
      <c r="S3" s="467" t="s">
        <v>804</v>
      </c>
      <c r="T3" s="467" t="s">
        <v>805</v>
      </c>
      <c r="U3" s="467" t="s">
        <v>803</v>
      </c>
      <c r="V3" s="467" t="s">
        <v>222</v>
      </c>
      <c r="W3" s="467" t="s">
        <v>223</v>
      </c>
      <c r="X3" s="467" t="s">
        <v>224</v>
      </c>
      <c r="Y3" s="467" t="s">
        <v>539</v>
      </c>
      <c r="Z3" s="467" t="s">
        <v>540</v>
      </c>
      <c r="AA3" s="467" t="s">
        <v>531</v>
      </c>
      <c r="AB3" s="467" t="s">
        <v>37</v>
      </c>
      <c r="AC3" s="467" t="s">
        <v>349</v>
      </c>
      <c r="AD3" s="467" t="s">
        <v>227</v>
      </c>
      <c r="AE3" s="467" t="s">
        <v>555</v>
      </c>
      <c r="AF3" s="467" t="s">
        <v>640</v>
      </c>
    </row>
    <row r="4" spans="1:33" x14ac:dyDescent="0.25">
      <c r="B4" s="275" t="str">
        <f ca="1">INDIRECT("'"&amp;References!$A$1&amp;"'!"&amp;$B$1&amp;References!$G5)</f>
        <v>Niederlande</v>
      </c>
      <c r="C4" s="276" t="s">
        <v>36</v>
      </c>
      <c r="D4" s="277" t="str">
        <f ca="1">INDIRECT("'"&amp;References!$A$1&amp;"'!"&amp;$D$1&amp;References!$G5)</f>
        <v>Ukraine</v>
      </c>
      <c r="E4" s="275">
        <f ca="1">IF(OR(INDIRECT("'"&amp;References!$A$1&amp;"'!"&amp;$B$1&amp;References!$H5)="",INDIRECT("'"&amp;References!$A$1&amp;"'!"&amp;$D$1&amp;References!$H5)=""),"",INDIRECT("'"&amp;References!$A$1&amp;"'!"&amp;$B$1&amp;References!$H5))</f>
        <v>3</v>
      </c>
      <c r="F4" s="276" t="s">
        <v>36</v>
      </c>
      <c r="G4" s="281">
        <f ca="1">IF(OR(INDIRECT("'"&amp;References!$A$1&amp;"'!"&amp;$B$1&amp;References!$H5)="",INDIRECT("'"&amp;References!$A$1&amp;"'!"&amp;$D$1&amp;References!$H5)=""),"",INDIRECT("'"&amp;References!$A$1&amp;"'!"&amp;$D$1&amp;References!$H5))</f>
        <v>2</v>
      </c>
      <c r="H4" s="489">
        <f t="shared" ref="H4:H9" ca="1" si="0">IF($M4&gt;0,IF($E4&gt;$G4,3,IF($E4=$G4,1,0)),0)</f>
        <v>3</v>
      </c>
      <c r="I4" s="489">
        <f t="shared" ref="I4:I9" ca="1" si="1">IF($M4&gt;0,IF($E4&lt;$G4,3,IF($E4=$G4,1,0)),0)</f>
        <v>0</v>
      </c>
      <c r="L4" s="35"/>
      <c r="M4" s="466">
        <f t="shared" ref="M4:M9" ca="1" si="2">IF(AND($E4&lt;&gt;"",$G4&lt;&gt;""),1,0)</f>
        <v>1</v>
      </c>
      <c r="N4" s="466"/>
      <c r="O4" s="466" t="s">
        <v>32</v>
      </c>
      <c r="P4" s="44" t="str">
        <f>VLOOKUP($Q$1&amp;ROW($A1),Groups!$B$7:$D$35,3,0)</f>
        <v>Niederlande</v>
      </c>
      <c r="Q4" s="466">
        <f ca="1">SUMIF($B$4:$B$9,P4,$H$4:$H$9)+SUMIF($D$4:$D$9,P4,$I$4:$I$9)</f>
        <v>9</v>
      </c>
      <c r="R4" s="466">
        <f ca="1">S4-T4</f>
        <v>6</v>
      </c>
      <c r="S4" s="466">
        <f ca="1">SUMIF($B$4:$B$9,$P4,$E$4:$E$9)+SUMIF($D$4:$D$9,$P4,$G$4:$G$9)</f>
        <v>8</v>
      </c>
      <c r="T4" s="466">
        <f ca="1">SUMIF($B$4:$B$9,$P4,$G$4:$G$9)+SUMIF($D$4:$D$9,$P4,$E$4:$E$9)</f>
        <v>2</v>
      </c>
      <c r="U4" s="466">
        <f ca="1">COUNTIFS($B$4:$B$9,$P4,$H$4:$H$9,"=3")+COUNTIFS($D$4:$D$9,$P4,$I$4:$I$9,"=3")</f>
        <v>3</v>
      </c>
      <c r="V4" s="398">
        <f ca="1">$Q4*FactorPts+(GDzero+$R4)*FactorGD+$S4*FactorFor+$U4*FactorWins+$W4*FactorDirC3+$X4*FactorDirC2+$Y4*FactorDirC43+$Z4*FactorDirC42+$AA4*FactorDirC42+$AB4*FactorFairPlay+$AE4*FactorPenalty+(100-$AF4)*($M$10&gt;0)*FactorRank+(8-ROW())*FactorRow</f>
        <v>90056083.000089049</v>
      </c>
      <c r="W4" s="465">
        <f ca="1">SUMIFS($X$18:$X$35,$P$18:$P$35,$P4)</f>
        <v>0</v>
      </c>
      <c r="X4" s="465">
        <f ca="1">IF($L18="",0,$L18)+SUMIFS($Z$18:$Z$35,$P$18:$P$35,$P4)</f>
        <v>0</v>
      </c>
      <c r="Y4">
        <f ca="1">SUMIFS($AD$18:$AD$35,$P$18:$P$35,$P4)</f>
        <v>0</v>
      </c>
      <c r="Z4">
        <f ca="1">SUMIFS($AE$18:$AE$35,$P$18:$P$35,$P4)</f>
        <v>0</v>
      </c>
      <c r="AA4" s="466">
        <f ca="1">IF($M18="",0,$M18)</f>
        <v>0</v>
      </c>
      <c r="AB4" s="466">
        <f>SUMIFS(FairPlayPoints1,FairPlayTeams1,$P4)+SUMIFS(FairPlayPoints2,FairPlayTeams2,$P4)</f>
        <v>0</v>
      </c>
      <c r="AC4" s="466" t="b">
        <f ca="1">(Q4+T4&gt;0)</f>
        <v>1</v>
      </c>
      <c r="AD4" s="313">
        <f ca="1">$Q4*FactorPts+(GDzero+$R4)*FactorGD+$S4*FactorFor</f>
        <v>90056080</v>
      </c>
      <c r="AE4" s="466">
        <f ca="1">IF(OR(AND($Y$11&gt;0,OR(AND($B$8=$P4,$J$8&gt;$L$8),AND($D$8=$P4,$J$8&lt;$L$8))),AND($Y$12&gt;0,OR(AND($B$9=$P4,$J$9&gt;$L$9),AND($D$9=$P4,$J$9&lt;$L$9)))),1,0)</f>
        <v>0</v>
      </c>
      <c r="AF4" s="466">
        <f>INDEX(Language!$D$5:$D$59,MATCH($P4,Language!$E$5:$E$59,0),1)</f>
        <v>11</v>
      </c>
      <c r="AG4" s="466"/>
    </row>
    <row r="5" spans="1:33" x14ac:dyDescent="0.25">
      <c r="B5" s="278" t="str">
        <f ca="1">INDIRECT("'"&amp;References!$A$1&amp;"'!"&amp;$B$1&amp;References!$G6)</f>
        <v>Österreich</v>
      </c>
      <c r="C5" s="279" t="s">
        <v>36</v>
      </c>
      <c r="D5" s="280" t="str">
        <f ca="1">INDIRECT("'"&amp;References!$A$1&amp;"'!"&amp;$D$1&amp;References!$G6)</f>
        <v>Nordmazedonien</v>
      </c>
      <c r="E5" s="278">
        <f ca="1">IF(OR(INDIRECT("'"&amp;References!$A$1&amp;"'!"&amp;$B$1&amp;References!$H6)="",INDIRECT("'"&amp;References!$A$1&amp;"'!"&amp;$D$1&amp;References!$H6)=""),"",INDIRECT("'"&amp;References!$A$1&amp;"'!"&amp;$B$1&amp;References!$H6))</f>
        <v>3</v>
      </c>
      <c r="F5" s="279" t="s">
        <v>36</v>
      </c>
      <c r="G5" s="282">
        <f ca="1">IF(OR(INDIRECT("'"&amp;References!$A$1&amp;"'!"&amp;$B$1&amp;References!$H6)="",INDIRECT("'"&amp;References!$A$1&amp;"'!"&amp;$D$1&amp;References!$H6)=""),"",INDIRECT("'"&amp;References!$A$1&amp;"'!"&amp;$D$1&amp;References!$H6))</f>
        <v>1</v>
      </c>
      <c r="H5" s="489">
        <f t="shared" ca="1" si="0"/>
        <v>3</v>
      </c>
      <c r="I5" s="489">
        <f t="shared" ca="1" si="1"/>
        <v>0</v>
      </c>
      <c r="L5" s="35"/>
      <c r="M5" s="466">
        <f t="shared" ca="1" si="2"/>
        <v>1</v>
      </c>
      <c r="N5" s="466"/>
      <c r="O5" s="466" t="s">
        <v>33</v>
      </c>
      <c r="P5" s="44" t="str">
        <f>VLOOKUP($Q$1&amp;ROW($A2),Groups!$B$7:$D$35,3,0)</f>
        <v>Ukraine</v>
      </c>
      <c r="Q5" s="466">
        <f t="shared" ref="Q5:Q7" ca="1" si="3">SUMIF($B$4:$B$9,P5,$H$4:$H$9)+SUMIF($D$4:$D$9,P5,$I$4:$I$9)</f>
        <v>3</v>
      </c>
      <c r="R5" s="466">
        <f ca="1">S5-T5</f>
        <v>-1</v>
      </c>
      <c r="S5" s="466">
        <f ca="1">SUMIF($B$4:$B$9,$P5,$E$4:$E$9)+SUMIF($D$4:$D$9,$P5,$G$4:$G$9)</f>
        <v>4</v>
      </c>
      <c r="T5" s="466">
        <f ca="1">SUMIF($B$4:$B$9,$P5,$G$4:$G$9)+SUMIF($D$4:$D$9,$P5,$E$4:$E$9)</f>
        <v>5</v>
      </c>
      <c r="U5" s="466">
        <f t="shared" ref="U5:U7" ca="1" si="4">COUNTIFS($B$4:$B$9,$P5,$H$4:$H$9,"=3")+COUNTIFS($D$4:$D$9,$P5,$I$4:$I$9,"=3")</f>
        <v>1</v>
      </c>
      <c r="V5" s="398">
        <f ca="1">$Q5*FactorPts+(GDzero+$R5)*FactorGD+$S5*FactorFor+$U5*FactorWins+$W5*FactorDirC3+$X5*FactorDirC2+$Y5*FactorDirC43+$Z5*FactorDirC42+$AA5*FactorDirC42+$AB5*FactorFairPlay+$AE5*FactorPenalty+(100-$AF5)*($M$10&gt;0)*FactorRank+(8-ROW())*FactorRow</f>
        <v>30049041.00009403</v>
      </c>
      <c r="W5" s="465">
        <f t="shared" ref="W5:W7" ca="1" si="5">SUMIFS($X$18:$X$35,$P$18:$P$35,$P5)</f>
        <v>0</v>
      </c>
      <c r="X5" s="465">
        <f ca="1">IF($L19="",0,$L19)+SUMIFS($Z$18:$Z$35,$P$18:$P$35,$P5)</f>
        <v>0</v>
      </c>
      <c r="Y5">
        <f t="shared" ref="Y5:Y7" ca="1" si="6">SUMIFS($AD$18:$AD$35,$P$18:$P$35,$P5)</f>
        <v>0</v>
      </c>
      <c r="Z5">
        <f t="shared" ref="Z5:Z7" ca="1" si="7">SUMIFS($AE$18:$AE$35,$P$18:$P$35,$P5)</f>
        <v>0</v>
      </c>
      <c r="AA5" s="466">
        <f ca="1">IF($M19="",0,$M19)</f>
        <v>0</v>
      </c>
      <c r="AB5" s="466">
        <f>SUMIFS(FairPlayPoints1,FairPlayTeams1,$P5)+SUMIFS(FairPlayPoints2,FairPlayTeams2,$P5)</f>
        <v>0</v>
      </c>
      <c r="AC5" s="466" t="b">
        <f ca="1">(Q5+T5&gt;0)</f>
        <v>1</v>
      </c>
      <c r="AD5" s="313">
        <f ca="1">$Q5*FactorPts+(GDzero+$R5)*FactorGD+$S5*FactorFor</f>
        <v>30049040</v>
      </c>
      <c r="AE5" s="466">
        <f ca="1">IF(OR(AND($Y$11&gt;0,OR(AND($B$8=$P5,$J$8&gt;$L$8),AND($D$8=$P5,$J$8&lt;$L$8))),AND($Y$12&gt;0,OR(AND($B$9=$P5,$J$9&gt;$L$9),AND($D$9=$P5,$J$9&lt;$L$9)))),1,0)</f>
        <v>0</v>
      </c>
      <c r="AF5" s="466">
        <f>INDEX(Language!$D$5:$D$59,MATCH($P5,Language!$E$5:$E$59,0),1)</f>
        <v>6</v>
      </c>
    </row>
    <row r="6" spans="1:33" x14ac:dyDescent="0.25">
      <c r="B6" s="278" t="str">
        <f ca="1">INDIRECT("'"&amp;References!$A$1&amp;"'!"&amp;$B$1&amp;References!$G7)</f>
        <v>Niederlande</v>
      </c>
      <c r="C6" s="279" t="s">
        <v>36</v>
      </c>
      <c r="D6" s="280" t="str">
        <f ca="1">INDIRECT("'"&amp;References!$A$1&amp;"'!"&amp;$D$1&amp;References!$G7)</f>
        <v>Österreich</v>
      </c>
      <c r="E6" s="278">
        <f ca="1">IF(OR(INDIRECT("'"&amp;References!$A$1&amp;"'!"&amp;$B$1&amp;References!$H7)="",INDIRECT("'"&amp;References!$A$1&amp;"'!"&amp;$D$1&amp;References!$H7)=""),"",INDIRECT("'"&amp;References!$A$1&amp;"'!"&amp;$B$1&amp;References!$H7))</f>
        <v>2</v>
      </c>
      <c r="F6" s="279" t="s">
        <v>36</v>
      </c>
      <c r="G6" s="282">
        <f ca="1">IF(OR(INDIRECT("'"&amp;References!$A$1&amp;"'!"&amp;$B$1&amp;References!$H7)="",INDIRECT("'"&amp;References!$A$1&amp;"'!"&amp;$D$1&amp;References!$H7)=""),"",INDIRECT("'"&amp;References!$A$1&amp;"'!"&amp;$D$1&amp;References!$H7))</f>
        <v>0</v>
      </c>
      <c r="H6" s="489">
        <f t="shared" ca="1" si="0"/>
        <v>3</v>
      </c>
      <c r="I6" s="489">
        <f t="shared" ca="1" si="1"/>
        <v>0</v>
      </c>
      <c r="L6" s="35"/>
      <c r="M6" s="466">
        <f t="shared" ca="1" si="2"/>
        <v>1</v>
      </c>
      <c r="N6" s="466"/>
      <c r="O6" s="466" t="s">
        <v>34</v>
      </c>
      <c r="P6" s="44" t="str">
        <f>VLOOKUP($Q$1&amp;ROW($A3),Groups!$B$7:$D$35,3,0)</f>
        <v>Österreich</v>
      </c>
      <c r="Q6" s="466">
        <f t="shared" ca="1" si="3"/>
        <v>6</v>
      </c>
      <c r="R6" s="466">
        <f ca="1">S6-T6</f>
        <v>1</v>
      </c>
      <c r="S6" s="466">
        <f ca="1">SUMIF($B$4:$B$9,$P6,$E$4:$E$9)+SUMIF($D$4:$D$9,$P6,$G$4:$G$9)</f>
        <v>4</v>
      </c>
      <c r="T6" s="466">
        <f ca="1">SUMIF($B$4:$B$9,$P6,$G$4:$G$9)+SUMIF($D$4:$D$9,$P6,$E$4:$E$9)</f>
        <v>3</v>
      </c>
      <c r="U6" s="466">
        <f t="shared" ca="1" si="4"/>
        <v>2</v>
      </c>
      <c r="V6" s="398">
        <f ca="1">$Q6*FactorPts+(GDzero+$R6)*FactorGD+$S6*FactorFor+$U6*FactorWins+$W6*FactorDirC3+$X6*FactorDirC2+$Y6*FactorDirC43+$Z6*FactorDirC42+$AA6*FactorDirC42+$AB6*FactorFairPlay+$AE6*FactorPenalty+(100-$AF6)*($M$10&gt;0)*FactorRank+(8-ROW())*FactorRow</f>
        <v>60051042.00008402</v>
      </c>
      <c r="W6" s="465">
        <f t="shared" ca="1" si="5"/>
        <v>0</v>
      </c>
      <c r="X6" s="465">
        <f ca="1">IF($L20="",0,$L20)+SUMIFS($Z$18:$Z$35,$P$18:$P$35,$P6)</f>
        <v>0</v>
      </c>
      <c r="Y6">
        <f t="shared" ca="1" si="6"/>
        <v>0</v>
      </c>
      <c r="Z6">
        <f t="shared" ca="1" si="7"/>
        <v>0</v>
      </c>
      <c r="AA6" s="466">
        <f ca="1">IF($M20="",0,$M20)</f>
        <v>0</v>
      </c>
      <c r="AB6" s="466">
        <f>SUMIFS(FairPlayPoints1,FairPlayTeams1,$P6)+SUMIFS(FairPlayPoints2,FairPlayTeams2,$P6)</f>
        <v>0</v>
      </c>
      <c r="AC6" s="466" t="b">
        <f ca="1">(Q6+T6&gt;0)</f>
        <v>1</v>
      </c>
      <c r="AD6" s="313">
        <f ca="1">$Q6*FactorPts+(GDzero+$R6)*FactorGD+$S6*FactorFor</f>
        <v>60051040</v>
      </c>
      <c r="AE6" s="466">
        <f ca="1">IF(OR(AND($Y$11&gt;0,OR(AND($B$8=$P6,$J$8&gt;$L$8),AND($D$8=$P6,$J$8&lt;$L$8))),AND($Y$12&gt;0,OR(AND($B$9=$P6,$J$9&gt;$L$9),AND($D$9=$P6,$J$9&lt;$L$9)))),1,0)</f>
        <v>0</v>
      </c>
      <c r="AF6" s="466">
        <f>INDEX(Language!$D$5:$D$59,MATCH($P6,Language!$E$5:$E$59,0),1)</f>
        <v>16</v>
      </c>
    </row>
    <row r="7" spans="1:33" x14ac:dyDescent="0.25">
      <c r="B7" s="278" t="str">
        <f ca="1">INDIRECT("'"&amp;References!$A$1&amp;"'!"&amp;$B$1&amp;References!$G8)</f>
        <v>Ukraine</v>
      </c>
      <c r="C7" s="279" t="s">
        <v>36</v>
      </c>
      <c r="D7" s="280" t="str">
        <f ca="1">INDIRECT("'"&amp;References!$A$1&amp;"'!"&amp;$D$1&amp;References!$G8)</f>
        <v>Nordmazedonien</v>
      </c>
      <c r="E7" s="278">
        <f ca="1">IF(OR(INDIRECT("'"&amp;References!$A$1&amp;"'!"&amp;$B$1&amp;References!$H8)="",INDIRECT("'"&amp;References!$A$1&amp;"'!"&amp;$D$1&amp;References!$H8)=""),"",INDIRECT("'"&amp;References!$A$1&amp;"'!"&amp;$B$1&amp;References!$H8))</f>
        <v>2</v>
      </c>
      <c r="F7" s="279" t="s">
        <v>36</v>
      </c>
      <c r="G7" s="282">
        <f ca="1">IF(OR(INDIRECT("'"&amp;References!$A$1&amp;"'!"&amp;$B$1&amp;References!$H8)="",INDIRECT("'"&amp;References!$A$1&amp;"'!"&amp;$D$1&amp;References!$H8)=""),"",INDIRECT("'"&amp;References!$A$1&amp;"'!"&amp;$D$1&amp;References!$H8))</f>
        <v>1</v>
      </c>
      <c r="H7" s="489">
        <f t="shared" ca="1" si="0"/>
        <v>3</v>
      </c>
      <c r="I7" s="489">
        <f t="shared" ca="1" si="1"/>
        <v>0</v>
      </c>
      <c r="L7" s="35"/>
      <c r="M7" s="466">
        <f t="shared" ca="1" si="2"/>
        <v>1</v>
      </c>
      <c r="N7" s="466"/>
      <c r="O7" s="466" t="s">
        <v>35</v>
      </c>
      <c r="P7" s="44" t="str">
        <f>VLOOKUP($Q$1&amp;ROW($A4),Groups!$B$7:$D$35,3,0)</f>
        <v>Nordmazedonien</v>
      </c>
      <c r="Q7" s="466">
        <f t="shared" ca="1" si="3"/>
        <v>0</v>
      </c>
      <c r="R7" s="466">
        <f ca="1">S7-T7</f>
        <v>-6</v>
      </c>
      <c r="S7" s="466">
        <f ca="1">SUMIF($B$4:$B$9,$P7,$E$4:$E$9)+SUMIF($D$4:$D$9,$P7,$G$4:$G$9)</f>
        <v>2</v>
      </c>
      <c r="T7" s="466">
        <f ca="1">SUMIF($B$4:$B$9,$P7,$G$4:$G$9)+SUMIF($D$4:$D$9,$P7,$E$4:$E$9)</f>
        <v>8</v>
      </c>
      <c r="U7" s="466">
        <f t="shared" ca="1" si="4"/>
        <v>0</v>
      </c>
      <c r="V7" s="398">
        <f ca="1">$Q7*FactorPts+(GDzero+$R7)*FactorGD+$S7*FactorFor+$U7*FactorWins+$W7*FactorDirC3+$X7*FactorDirC2+$Y7*FactorDirC43+$Z7*FactorDirC42+$AA7*FactorDirC42+$AB7*FactorFairPlay+$AE7*FactorPenalty+(100-$AF7)*($M$10&gt;0)*FactorRank+(8-ROW())*FactorRow</f>
        <v>44020.000070009999</v>
      </c>
      <c r="W7" s="465">
        <f t="shared" ca="1" si="5"/>
        <v>0</v>
      </c>
      <c r="X7" s="465">
        <f ca="1">IF($L21="",0,$L21)+SUMIFS($Z$18:$Z$35,$P$18:$P$35,$P7)</f>
        <v>0</v>
      </c>
      <c r="Y7">
        <f t="shared" ca="1" si="6"/>
        <v>0</v>
      </c>
      <c r="Z7">
        <f t="shared" ca="1" si="7"/>
        <v>0</v>
      </c>
      <c r="AA7" s="466">
        <f ca="1">IF($M21="",0,$M21)</f>
        <v>0</v>
      </c>
      <c r="AB7" s="466">
        <f>SUMIFS(FairPlayPoints1,FairPlayTeams1,$P7)+SUMIFS(FairPlayPoints2,FairPlayTeams2,$P7)</f>
        <v>0</v>
      </c>
      <c r="AC7" s="466" t="b">
        <f ca="1">(Q7+T7&gt;0)</f>
        <v>1</v>
      </c>
      <c r="AD7" s="313">
        <f ca="1">$Q7*FactorPts+(GDzero+$R7)*FactorGD+$S7*FactorFor</f>
        <v>44020</v>
      </c>
      <c r="AE7" s="466">
        <f ca="1">IF(OR(AND($Y$11&gt;0,OR(AND($B$8=$P7,$J$8&gt;$L$8),AND($D$8=$P7,$J$8&lt;$L$8))),AND($Y$12&gt;0,OR(AND($B$9=$P7,$J$9&gt;$L$9),AND($D$9=$P7,$J$9&lt;$L$9)))),1,0)</f>
        <v>0</v>
      </c>
      <c r="AF7" s="466">
        <f>INDEX(Language!$D$5:$D$59,MATCH($P7,Language!$E$5:$E$59,0),1)</f>
        <v>30</v>
      </c>
    </row>
    <row r="8" spans="1:33" x14ac:dyDescent="0.25">
      <c r="B8" s="278" t="str">
        <f ca="1">INDIRECT("'"&amp;References!$A$1&amp;"'!"&amp;$B$1&amp;References!$G9)</f>
        <v>Nordmazedonien</v>
      </c>
      <c r="C8" s="279" t="s">
        <v>36</v>
      </c>
      <c r="D8" s="280" t="str">
        <f ca="1">INDIRECT("'"&amp;References!$A$1&amp;"'!"&amp;$D$1&amp;References!$G9)</f>
        <v>Niederlande</v>
      </c>
      <c r="E8" s="278">
        <f ca="1">IF(OR(INDIRECT("'"&amp;References!$A$1&amp;"'!"&amp;$B$1&amp;References!$H9)="",INDIRECT("'"&amp;References!$A$1&amp;"'!"&amp;$D$1&amp;References!$H9)=""),"",INDIRECT("'"&amp;References!$A$1&amp;"'!"&amp;$B$1&amp;References!$H9))</f>
        <v>0</v>
      </c>
      <c r="F8" s="279" t="s">
        <v>36</v>
      </c>
      <c r="G8" s="282">
        <f ca="1">IF(OR(INDIRECT("'"&amp;References!$A$1&amp;"'!"&amp;$B$1&amp;References!$H9)="",INDIRECT("'"&amp;References!$A$1&amp;"'!"&amp;$D$1&amp;References!$H9)=""),"",INDIRECT("'"&amp;References!$A$1&amp;"'!"&amp;$D$1&amp;References!$H9))</f>
        <v>3</v>
      </c>
      <c r="H8" s="489">
        <f t="shared" ca="1" si="0"/>
        <v>0</v>
      </c>
      <c r="I8" s="489">
        <f t="shared" ca="1" si="1"/>
        <v>3</v>
      </c>
      <c r="J8" t="str">
        <f ca="1">IF(OR(INDIRECT("'"&amp;References!$A$1&amp;"'!"&amp;$B$1&amp;(References!$H9+2))="",INDIRECT("'"&amp;References!$A$1&amp;"'!"&amp;$D$1&amp;(References!$H9+2))=""),"",INDIRECT("'"&amp;References!$A$1&amp;"'!"&amp;$B$1&amp;(References!$H9+2)))</f>
        <v/>
      </c>
      <c r="K8" s="531" t="s">
        <v>551</v>
      </c>
      <c r="L8" s="35" t="str">
        <f ca="1">IF(OR(INDIRECT("'"&amp;References!$A$1&amp;"'!"&amp;$B$1&amp;(References!$H9+2))="",INDIRECT("'"&amp;References!$A$1&amp;"'!"&amp;$D$1&amp;(References!$H9+2))=""),"",INDIRECT("'"&amp;References!$A$1&amp;"'!"&amp;$D$1&amp;(References!$H9+2)))</f>
        <v/>
      </c>
      <c r="M8" s="531">
        <f t="shared" ca="1" si="2"/>
        <v>1</v>
      </c>
      <c r="N8" s="531"/>
      <c r="O8" s="531"/>
      <c r="Z8" s="55"/>
    </row>
    <row r="9" spans="1:33" x14ac:dyDescent="0.25">
      <c r="B9" s="278" t="str">
        <f ca="1">INDIRECT("'"&amp;References!$A$1&amp;"'!"&amp;$B$1&amp;References!$G10)</f>
        <v>Ukraine</v>
      </c>
      <c r="C9" s="279" t="s">
        <v>36</v>
      </c>
      <c r="D9" s="280" t="str">
        <f ca="1">INDIRECT("'"&amp;References!$A$1&amp;"'!"&amp;$D$1&amp;References!$G10)</f>
        <v>Österreich</v>
      </c>
      <c r="E9" s="278">
        <f ca="1">IF(OR(INDIRECT("'"&amp;References!$A$1&amp;"'!"&amp;$B$1&amp;References!$H10)="",INDIRECT("'"&amp;References!$A$1&amp;"'!"&amp;$D$1&amp;References!$H10)=""),"",INDIRECT("'"&amp;References!$A$1&amp;"'!"&amp;$B$1&amp;References!$H10))</f>
        <v>0</v>
      </c>
      <c r="F9" s="279" t="s">
        <v>36</v>
      </c>
      <c r="G9" s="282">
        <f ca="1">IF(OR(INDIRECT("'"&amp;References!$A$1&amp;"'!"&amp;$B$1&amp;References!$H10)="",INDIRECT("'"&amp;References!$A$1&amp;"'!"&amp;$D$1&amp;References!$H10)=""),"",INDIRECT("'"&amp;References!$A$1&amp;"'!"&amp;$D$1&amp;References!$H10))</f>
        <v>1</v>
      </c>
      <c r="H9" s="489">
        <f t="shared" ca="1" si="0"/>
        <v>0</v>
      </c>
      <c r="I9" s="489">
        <f t="shared" ca="1" si="1"/>
        <v>3</v>
      </c>
      <c r="J9" t="str">
        <f ca="1">IF(OR(INDIRECT("'"&amp;References!$A$1&amp;"'!"&amp;$B$1&amp;(References!$H10+2))="",INDIRECT("'"&amp;References!$A$1&amp;"'!"&amp;$D$1&amp;(References!$H10+2))=""),"",INDIRECT("'"&amp;References!$A$1&amp;"'!"&amp;$B$1&amp;(References!$H10+2)))</f>
        <v/>
      </c>
      <c r="K9" s="531" t="s">
        <v>551</v>
      </c>
      <c r="L9" s="35" t="str">
        <f ca="1">IF(OR(INDIRECT("'"&amp;References!$A$1&amp;"'!"&amp;$B$1&amp;(References!$H10+2))="",INDIRECT("'"&amp;References!$A$1&amp;"'!"&amp;$D$1&amp;(References!$H10+2))=""),"",INDIRECT("'"&amp;References!$A$1&amp;"'!"&amp;$D$1&amp;(References!$H10+2)))</f>
        <v/>
      </c>
      <c r="M9" s="531">
        <f t="shared" ca="1" si="2"/>
        <v>1</v>
      </c>
      <c r="N9" s="531"/>
      <c r="O9" s="531"/>
      <c r="Z9" s="688" t="s">
        <v>537</v>
      </c>
      <c r="AA9" s="688"/>
      <c r="AB9" s="688"/>
      <c r="AC9" s="688"/>
      <c r="AD9" s="688"/>
      <c r="AE9" s="688"/>
    </row>
    <row r="10" spans="1:33" ht="15.75" thickBot="1" x14ac:dyDescent="0.3">
      <c r="L10" s="59" t="s">
        <v>217</v>
      </c>
      <c r="M10" s="61">
        <f ca="1">SUM($M$4:$M$9)</f>
        <v>6</v>
      </c>
      <c r="N10" s="141"/>
      <c r="O10" s="531"/>
      <c r="P10" s="227" t="s">
        <v>364</v>
      </c>
      <c r="Q10" s="56" t="s">
        <v>221</v>
      </c>
      <c r="R10" s="56" t="s">
        <v>218</v>
      </c>
      <c r="S10" s="56" t="s">
        <v>804</v>
      </c>
      <c r="T10" s="56" t="s">
        <v>805</v>
      </c>
      <c r="U10" s="56" t="s">
        <v>812</v>
      </c>
      <c r="V10" s="56" t="s">
        <v>222</v>
      </c>
      <c r="X10" s="78" t="s">
        <v>868</v>
      </c>
      <c r="Y10" s="56" t="s">
        <v>842</v>
      </c>
      <c r="Z10" s="56" t="s">
        <v>532</v>
      </c>
      <c r="AA10" s="56" t="s">
        <v>533</v>
      </c>
      <c r="AB10" s="56" t="s">
        <v>534</v>
      </c>
      <c r="AC10" s="56" t="s">
        <v>535</v>
      </c>
      <c r="AD10" s="56" t="s">
        <v>536</v>
      </c>
      <c r="AE10" s="56" t="s">
        <v>555</v>
      </c>
    </row>
    <row r="11" spans="1:33" ht="16.5" thickTop="1" thickBot="1" x14ac:dyDescent="0.3">
      <c r="B11" s="85"/>
      <c r="C11" s="489"/>
      <c r="D11" s="85"/>
      <c r="O11" s="42" t="s">
        <v>32</v>
      </c>
      <c r="P11" s="41" t="str">
        <f t="shared" ref="P11:U12" ca="1" si="8">INDEX(P$4:P$7,MATCH($V11,$V$4:$V$7,0))</f>
        <v>Niederlande</v>
      </c>
      <c r="Q11" s="271">
        <f t="shared" ca="1" si="8"/>
        <v>9</v>
      </c>
      <c r="R11" s="40">
        <f t="shared" ca="1" si="8"/>
        <v>6</v>
      </c>
      <c r="S11" s="40">
        <f t="shared" ca="1" si="8"/>
        <v>8</v>
      </c>
      <c r="T11" s="40">
        <f t="shared" ca="1" si="8"/>
        <v>2</v>
      </c>
      <c r="U11" s="40">
        <f t="shared" ca="1" si="8"/>
        <v>3</v>
      </c>
      <c r="V11" s="399">
        <f ca="1">LARGE($V$4:$V$7,ROW(A1))</f>
        <v>90056083.000089049</v>
      </c>
      <c r="X11" s="79">
        <f ca="1">IF(AND(OR(TRUNC($V$11,4)=TRUNC($V$12,4),TRUNC($V$11,4)=TRUNC($V$13,4),TRUNC($V$11,4)=TRUNC($V$14,4),TRUNC($V$12,4)=TRUNC($V$13,4),TRUNC($V$12,4)=TRUNC($V$14,4),TRUNC($V$13,4)=TRUNC($V$14,4)),$M$10&gt;0),1,0)</f>
        <v>0</v>
      </c>
      <c r="Y11" s="323">
        <f ca="1">IF(AND(VLOOKUP($B$8,$P$4:$AD$7,15,0)=VLOOKUP($D$8,$P$4:$AD$7,15,0),$E$8=$G$8,COUNTIF($Q$4:$Q$7,VLOOKUP($B$8,$P$4:$Q$7,2,0))=2,$M$10=6),1,0)</f>
        <v>0</v>
      </c>
      <c r="Z11" s="305" t="b">
        <f ca="1">VLOOKUP($P11,$E$18:$M$21,8,0)&lt;&gt;""</f>
        <v>0</v>
      </c>
      <c r="AA11" s="306" t="b">
        <f ca="1">VLOOKUP($P11,$E$18:$M$21,9,0)&lt;&gt;""</f>
        <v>0</v>
      </c>
      <c r="AB11" s="307" t="b">
        <f ca="1">SUMPRODUCT(1*(LEN($Z$18:$Z$35)&gt;0)*($P$18:$P$35=$P11))&gt;0</f>
        <v>0</v>
      </c>
      <c r="AC11" s="307" t="b">
        <f ca="1">SUMPRODUCT(1*(LEN($AE$18:$AE$35)&gt;0)*($P$18:$P$35=$P11))&gt;0</f>
        <v>0</v>
      </c>
      <c r="AD11" s="538" t="str">
        <f ca="1">IF($Z11,VLOOKUP($P11,$E$18:$M$21,8,0),IF($AA11,VLOOKUP($P11,$E$18:$M$21,9,0),IF($AB11,SUMIFS($Z$18:$Z$35,$P$18:$P$35,$P11),IF($AC11,SUMIFS($AE$18:$AE$35,$P$18:$P$35,$P11),""))))</f>
        <v/>
      </c>
      <c r="AE11" s="541" t="str">
        <f ca="1">IF(OR(AND($Y$11&gt;0,OR($B$8=$P11,$D$8=$P11)),AND($Y$12&gt;0,OR($B$9=$P11,$D$9=$P11))),SUMIF($B$8:$B$9,$P11,$J$8:$J$9)+SUMIF($D$8:$D$9,$P11,$L$8:$L$9),"")</f>
        <v/>
      </c>
    </row>
    <row r="12" spans="1:33" ht="15.75" thickTop="1" x14ac:dyDescent="0.25">
      <c r="B12" s="489"/>
      <c r="C12" s="489"/>
      <c r="D12" s="489"/>
      <c r="O12" s="39" t="s">
        <v>33</v>
      </c>
      <c r="P12" s="30" t="str">
        <f t="shared" ca="1" si="8"/>
        <v>Österreich</v>
      </c>
      <c r="Q12" s="272">
        <f t="shared" ca="1" si="8"/>
        <v>6</v>
      </c>
      <c r="R12" s="530">
        <f t="shared" ca="1" si="8"/>
        <v>1</v>
      </c>
      <c r="S12" s="530">
        <f t="shared" ca="1" si="8"/>
        <v>4</v>
      </c>
      <c r="T12" s="530">
        <f t="shared" ca="1" si="8"/>
        <v>3</v>
      </c>
      <c r="U12" s="530">
        <f t="shared" ca="1" si="8"/>
        <v>2</v>
      </c>
      <c r="V12" s="400">
        <f ca="1">LARGE($V$4:$V$7,ROW(A2))</f>
        <v>60051042.00008402</v>
      </c>
      <c r="Y12" s="323">
        <f ca="1">IF(AND(VLOOKUP($B$9,$P$4:$AD$7,15,0)=VLOOKUP($D$9,$P$4:$AD$7,15,0),$E$9=$G$9,COUNTIF($Q$4:$Q$7,VLOOKUP($B$9,$P$4:$Q$7,2,0))=2,$M$10=6),1,0)</f>
        <v>0</v>
      </c>
      <c r="Z12" s="308" t="b">
        <f ca="1">VLOOKUP($P12,$E$18:$M$21,8,0)&lt;&gt;""</f>
        <v>0</v>
      </c>
      <c r="AA12" s="536" t="b">
        <f ca="1">VLOOKUP($P12,$E$18:$M$21,9,0)&lt;&gt;""</f>
        <v>0</v>
      </c>
      <c r="AB12" s="30" t="b">
        <f t="shared" ref="AB12:AB14" ca="1" si="9">SUMPRODUCT(1*(LEN($Z$18:$Z$35)&gt;0)*($P$18:$P$35=$P12))&gt;0</f>
        <v>0</v>
      </c>
      <c r="AC12" s="30" t="b">
        <f t="shared" ref="AC12:AC14" ca="1" si="10">SUMPRODUCT(1*(LEN($AE$18:$AE$35)&gt;0)*($P$18:$P$35=$P12))&gt;0</f>
        <v>0</v>
      </c>
      <c r="AD12" s="539" t="str">
        <f ca="1">IF($Z12,VLOOKUP($P12,$E$18:$M$21,8,0),IF($AA12,VLOOKUP($P12,$E$18:$M$21,9,0),IF($AB12,SUMIFS($Z$18:$Z$35,$P$18:$P$35,$P12),IF($AC12,SUMIFS($AE$18:$AE$35,$P$18:$P$35,$P12),""))))</f>
        <v/>
      </c>
      <c r="AE12" s="542" t="str">
        <f ca="1">IF(OR(AND($Y$11&gt;0,OR($B$8=$P12,$D$8=$P12)),AND($Y$12&gt;0,OR($B$9=$P12,$D$9=$P12))),SUMIF($B$8:$B$9,$P12,$J$8:$J$9)+SUMIF($D$8:$D$9,$P12,$L$8:$L$9),"")</f>
        <v/>
      </c>
    </row>
    <row r="13" spans="1:33" x14ac:dyDescent="0.25">
      <c r="B13" s="489"/>
      <c r="C13" s="489"/>
      <c r="D13" s="60"/>
      <c r="O13" s="39" t="s">
        <v>34</v>
      </c>
      <c r="P13" s="30" t="str">
        <f t="shared" ref="P13:U14" ca="1" si="11">INDEX(P$4:P$7,MATCH($V13,$V$4:$V$7,0))</f>
        <v>Ukraine</v>
      </c>
      <c r="Q13" s="272">
        <f t="shared" ca="1" si="11"/>
        <v>3</v>
      </c>
      <c r="R13" s="465">
        <f t="shared" ca="1" si="11"/>
        <v>-1</v>
      </c>
      <c r="S13" s="465">
        <f t="shared" ca="1" si="11"/>
        <v>4</v>
      </c>
      <c r="T13" s="465">
        <f t="shared" ca="1" si="11"/>
        <v>5</v>
      </c>
      <c r="U13" s="522">
        <f t="shared" ca="1" si="11"/>
        <v>1</v>
      </c>
      <c r="V13" s="400">
        <f ca="1">LARGE($V$4:$V$7,ROW(A3))</f>
        <v>30049041.00009403</v>
      </c>
      <c r="Z13" s="308" t="b">
        <f ca="1">VLOOKUP($P13,$E$18:$M$21,8,0)&lt;&gt;""</f>
        <v>0</v>
      </c>
      <c r="AA13" s="536" t="b">
        <f ca="1">VLOOKUP($P13,$E$18:$M$21,9,0)&lt;&gt;""</f>
        <v>0</v>
      </c>
      <c r="AB13" s="30" t="b">
        <f t="shared" ca="1" si="9"/>
        <v>0</v>
      </c>
      <c r="AC13" s="30" t="b">
        <f t="shared" ca="1" si="10"/>
        <v>0</v>
      </c>
      <c r="AD13" s="539" t="str">
        <f ca="1">IF($Z13,VLOOKUP($P13,$E$18:$M$21,8,0),IF($AA13,VLOOKUP($P13,$E$18:$M$21,9,0),IF($AB13,SUMIFS($Z$18:$Z$35,$P$18:$P$35,$P13),IF($AC13,SUMIFS($AE$18:$AE$35,$P$18:$P$35,$P13),""))))</f>
        <v/>
      </c>
      <c r="AE13" s="542" t="str">
        <f ca="1">IF(OR(AND($Y$11&gt;0,OR($B$8=$P13,$D$8=$P13)),AND($Y$12&gt;0,OR($B$9=$P13,$D$9=$P13))),SUMIF($B$8:$B$9,$P13,$J$8:$J$9)+SUMIF($D$8:$D$9,$P13,$L$8:$L$9),"")</f>
        <v/>
      </c>
    </row>
    <row r="14" spans="1:33" ht="15.75" thickBot="1" x14ac:dyDescent="0.3">
      <c r="B14" s="489"/>
      <c r="C14" s="489"/>
      <c r="D14" s="60"/>
      <c r="F14" s="489"/>
      <c r="G14" s="35"/>
      <c r="O14" s="38" t="s">
        <v>35</v>
      </c>
      <c r="P14" s="37" t="str">
        <f t="shared" ca="1" si="11"/>
        <v>Nordmazedonien</v>
      </c>
      <c r="Q14" s="273">
        <f t="shared" ca="1" si="11"/>
        <v>0</v>
      </c>
      <c r="R14" s="36">
        <f t="shared" ca="1" si="11"/>
        <v>-6</v>
      </c>
      <c r="S14" s="36">
        <f t="shared" ca="1" si="11"/>
        <v>2</v>
      </c>
      <c r="T14" s="36">
        <f t="shared" ca="1" si="11"/>
        <v>8</v>
      </c>
      <c r="U14" s="36">
        <f t="shared" ca="1" si="11"/>
        <v>0</v>
      </c>
      <c r="V14" s="401">
        <f ca="1">LARGE($V$4:$V$7,ROW(A4))</f>
        <v>44020.000070009999</v>
      </c>
      <c r="Z14" s="309" t="b">
        <f ca="1">VLOOKUP($P14,$E$18:$M$21,8,0)&lt;&gt;""</f>
        <v>0</v>
      </c>
      <c r="AA14" s="310" t="b">
        <f ca="1">VLOOKUP($P14,$E$18:$M$21,9,0)&lt;&gt;""</f>
        <v>0</v>
      </c>
      <c r="AB14" s="311" t="b">
        <f t="shared" ca="1" si="9"/>
        <v>0</v>
      </c>
      <c r="AC14" s="311" t="b">
        <f t="shared" ca="1" si="10"/>
        <v>0</v>
      </c>
      <c r="AD14" s="540" t="str">
        <f ca="1">IF($Z14,VLOOKUP($P14,$E$18:$M$21,8,0),IF($AA14,VLOOKUP($P14,$E$18:$M$21,9,0),IF($AB14,SUMIFS($Z$18:$Z$35,$P$18:$P$35,$P14),IF($AC14,SUMIFS($AE$18:$AE$35,$P$18:$P$35,$P14),""))))</f>
        <v/>
      </c>
      <c r="AE14" s="543" t="str">
        <f ca="1">IF(OR(AND($Y$11&gt;0,OR($B$8=$P14,$D$8=$P14)),AND($Y$12&gt;0,OR($B$9=$P14,$D$9=$P14))),SUMIF($B$8:$B$9,$P14,$J$8:$J$9)+SUMIF($D$8:$D$9,$P14,$L$8:$L$9),"")</f>
        <v/>
      </c>
    </row>
    <row r="15" spans="1:33" ht="16.5" thickTop="1" thickBot="1" x14ac:dyDescent="0.3">
      <c r="B15" s="489"/>
      <c r="C15" s="489"/>
      <c r="D15" s="87"/>
      <c r="E15" s="30"/>
      <c r="F15" s="488"/>
      <c r="G15" s="80"/>
      <c r="H15" s="30"/>
      <c r="I15" s="30"/>
      <c r="J15" s="30"/>
      <c r="K15" s="30"/>
      <c r="L15" s="83"/>
      <c r="M15" s="56"/>
      <c r="N15" s="56"/>
    </row>
    <row r="16" spans="1:33" ht="15.75" thickBot="1" x14ac:dyDescent="0.3">
      <c r="B16" s="489"/>
      <c r="C16" s="489"/>
      <c r="D16" s="86"/>
      <c r="E16" s="84"/>
      <c r="F16" s="84"/>
      <c r="G16" s="686" t="s">
        <v>521</v>
      </c>
      <c r="H16" s="686"/>
      <c r="I16" s="686"/>
      <c r="J16" s="686"/>
      <c r="K16" s="686"/>
      <c r="L16" s="686"/>
      <c r="M16" s="66"/>
      <c r="N16" s="66"/>
      <c r="W16" s="677" t="s">
        <v>522</v>
      </c>
      <c r="X16" s="677"/>
      <c r="Y16" s="677"/>
      <c r="Z16" s="677"/>
      <c r="AD16" s="677" t="s">
        <v>523</v>
      </c>
      <c r="AE16" s="677"/>
      <c r="AF16" s="312" t="b">
        <f ca="1">AND($Q$4=$Q$5,$Q$4=$Q$6,$Q$4=$Q$7)</f>
        <v>0</v>
      </c>
    </row>
    <row r="17" spans="2:31" ht="16.5" thickTop="1" thickBot="1" x14ac:dyDescent="0.3">
      <c r="B17" s="489"/>
      <c r="C17" s="489"/>
      <c r="D17" s="488"/>
      <c r="E17" s="520"/>
      <c r="F17" s="520"/>
      <c r="G17" s="521"/>
      <c r="H17" s="40" t="str">
        <f>LEFT($P$4,3)</f>
        <v>Nie</v>
      </c>
      <c r="I17" s="40" t="str">
        <f>LEFT($P$5,3)</f>
        <v>Ukr</v>
      </c>
      <c r="J17" s="40" t="str">
        <f>LEFT($P$6,3)</f>
        <v>Öst</v>
      </c>
      <c r="K17" s="133" t="str">
        <f>LEFT($P$7,3)</f>
        <v>Nor</v>
      </c>
      <c r="L17" s="56" t="s">
        <v>520</v>
      </c>
      <c r="M17" s="56" t="s">
        <v>529</v>
      </c>
      <c r="N17" s="56"/>
      <c r="Q17" s="56" t="s">
        <v>221</v>
      </c>
      <c r="R17" s="56" t="s">
        <v>218</v>
      </c>
      <c r="S17" s="56" t="s">
        <v>804</v>
      </c>
      <c r="T17" s="56" t="s">
        <v>805</v>
      </c>
      <c r="U17" s="56"/>
      <c r="V17" s="56" t="s">
        <v>227</v>
      </c>
      <c r="W17" s="56" t="s">
        <v>806</v>
      </c>
      <c r="X17" s="66" t="s">
        <v>524</v>
      </c>
      <c r="Y17" s="56" t="s">
        <v>528</v>
      </c>
      <c r="Z17" s="56" t="s">
        <v>528</v>
      </c>
      <c r="AA17" s="678" t="s">
        <v>519</v>
      </c>
      <c r="AB17" s="678"/>
      <c r="AC17" s="678"/>
      <c r="AD17" s="66" t="s">
        <v>526</v>
      </c>
      <c r="AE17" s="56" t="s">
        <v>527</v>
      </c>
    </row>
    <row r="18" spans="2:31" ht="15.75" thickTop="1" x14ac:dyDescent="0.25">
      <c r="B18" s="466"/>
      <c r="C18" s="466"/>
      <c r="D18" s="465"/>
      <c r="E18" s="682" t="str">
        <f>$P$4</f>
        <v>Niederlande</v>
      </c>
      <c r="F18" s="683"/>
      <c r="G18" s="683"/>
      <c r="H18" s="132"/>
      <c r="I18" s="40">
        <f ca="1">SUMIFS($E$4:$E$9,$B$4:$B$9,$P$4,$D$4:$D$9,$P$5)+SUMIFS($G$4:$G$9,$B$4:$B$9,$P$5,$D$4:$D$9,$P$4)</f>
        <v>3</v>
      </c>
      <c r="J18" s="40">
        <f ca="1">SUMIFS($E$4:$E$9,$B$4:$B$9,$P$4,$D$4:$D$9,$P$6)+SUMIFS($G$4:$G$9,$B$4:$B$9,$P$6,$D$4:$D$9,$P$4)</f>
        <v>2</v>
      </c>
      <c r="K18" s="133">
        <f ca="1">SUMIFS($E$4:$E$9,$B$4:$B$9,$P$4,$D$4:$D$9,$P$7)+SUMIFS($G$4:$G$9,$B$4:$B$9,$P$7,$D$4:$D$9,$P$4)</f>
        <v>3</v>
      </c>
      <c r="L18" s="75" t="str">
        <f ca="1">IF(AND($Q$4=$Q$5,$Q$4&lt;&gt;$Q$6,$Q$4&lt;&gt;$Q$7),IF(I18&gt;H19,3,IF(I18=H19,1,0)),IF(AND($Q$4=$Q$6,$Q$4&lt;&gt;$Q$5,$Q$4&lt;&gt;$Q$7),IF(J18&gt;H20,3,IF(J18=H20,1,0)),IF(AND($Q$4=$Q$7,$Q$4&lt;&gt;$Q$5,$Q$4&lt;&gt;$Q$6),IF(K18&gt;H21,3,IF(K18=H21,1,0)),"")))</f>
        <v/>
      </c>
      <c r="M18" s="75" t="str">
        <f ca="1">IF($AF$16,IF(AND($AD$4=$AD$5,$AD$4&lt;&gt;$AD$6,$AD$4&lt;&gt;$AD$7),IF(I18&gt;H19,3,IF(I18=H19,1,0)),IF(AND($AD$4&lt;&gt;$AD$5,$AD$4=$AD$6,$AD$4&lt;&gt;$AD$7),IF(J18&gt;H20,3,IF(J18=H20,1,0)),IF(AND($AD$4&lt;&gt;$AD$5,$AD$4&lt;&gt;$AD$6,$AD$4=$AD$7),IF(K18&gt;H21,3,IF(K18=H21,1,0)),""))),"")</f>
        <v/>
      </c>
      <c r="N18" s="465"/>
      <c r="O18" s="466" t="s">
        <v>32</v>
      </c>
      <c r="P18" t="str">
        <f>$P$4</f>
        <v>Niederlande</v>
      </c>
      <c r="Q18" s="466">
        <f ca="1">SUMIFS($H$4:$H$9,$B$4:$B$9,$P18,$D$4:$D$9,"&lt;&gt;"&amp;$P$21)+SUMIFS($I$4:$I$9,$B$4:$B$9,"&lt;&gt;"&amp;$P$21,$D$4:$D$9,$P18)</f>
        <v>6</v>
      </c>
      <c r="R18" s="466">
        <f ca="1">S18-T18</f>
        <v>3</v>
      </c>
      <c r="S18" s="466">
        <f ca="1">SUMIFS($E$4:$E$9,$B$4:$B$9,$P18,$D$4:$D$9,"&lt;&gt;"&amp;$P$21)+SUMIFS($G$4:$G$9,$B$4:$B$9,"&lt;&gt;"&amp;$P$21,$D$4:$D$9,$P18)</f>
        <v>5</v>
      </c>
      <c r="T18" s="466">
        <f ca="1">SUMIFS($G$4:$G$9,$B$4:$B$9,$P18,$D$4:$D$9,"&lt;&gt;"&amp;$P$21)+SUMIFS($E$4:$E$9,$B$4:$B$9,"&lt;&gt;"&amp;$P$21,$D$4:$D$9,$P18)</f>
        <v>2</v>
      </c>
      <c r="U18" s="466"/>
      <c r="V18" s="300">
        <f ca="1">Q18*FactorPts+(GDzero+R18)*FactorGD+S18*FactorFor</f>
        <v>60053050</v>
      </c>
      <c r="W18" s="466">
        <f ca="1">RANK(V18,V$18:V$20,1)</f>
        <v>3</v>
      </c>
      <c r="X18" s="466">
        <f ca="1">IF(AND($Q$4=$Q$5,$Q$4=$Q$6,$Q$4&lt;&gt;$Q$7),W18,0)</f>
        <v>0</v>
      </c>
      <c r="Y18" s="466" t="str">
        <f ca="1">IF(AND(V18=V19,V18&lt;&gt;V20),IF(AA18&gt;AA19,3,IF(AA18=AA19,1,0)),IF(AND(V18=V20,V18&lt;&gt;V19),IF(AB18&gt;AB20,3,IF(AB18=AB20,1,0)),""))</f>
        <v/>
      </c>
      <c r="Z18" s="465" t="str">
        <f ca="1">IF(X18&gt;0,Y18,"")</f>
        <v/>
      </c>
      <c r="AA18" s="284">
        <f ca="1">$I$18</f>
        <v>3</v>
      </c>
      <c r="AB18" s="285">
        <f ca="1">$J$18</f>
        <v>2</v>
      </c>
      <c r="AC18" s="286"/>
      <c r="AD18" s="465">
        <f ca="1">IF(AND($AF$16,$AD$4=$AD$5,$AD$4=$AD$6,$AD$4&lt;&gt;$AD$7),W18,0)</f>
        <v>0</v>
      </c>
      <c r="AE18" s="465" t="str">
        <f ca="1">IF(AD18&gt;0,Y18,"")</f>
        <v/>
      </c>
    </row>
    <row r="19" spans="2:31" x14ac:dyDescent="0.25">
      <c r="B19" s="466"/>
      <c r="C19" s="466"/>
      <c r="D19" s="465"/>
      <c r="E19" s="684" t="str">
        <f>$P$5</f>
        <v>Ukraine</v>
      </c>
      <c r="F19" s="685"/>
      <c r="G19" s="685"/>
      <c r="H19" s="39">
        <f ca="1">SUMIFS($E$4:$E$9,$B$4:$B$9,$P$5,$D$4:$D$9,$P$4)+SUMIFS($G$4:$G$9,$B$4:$B$9,$P$4,$D$4:$D$9,$P$5)</f>
        <v>2</v>
      </c>
      <c r="I19" s="81"/>
      <c r="J19" s="465">
        <f ca="1">SUMIFS($E$4:$E$9,$B$4:$B$9,$P$5,$D$4:$D$9,$P$6)+SUMIFS($G$4:$G$9,$B$4:$B$9,$P$6,$D$4:$D$9,$P$5)</f>
        <v>0</v>
      </c>
      <c r="K19" s="57">
        <f ca="1">SUMIFS($E$4:$E$9,$B$4:$B$9,$P$5,$D$4:$D$9,$P$7)+SUMIFS($G$4:$G$9,$B$4:$B$9,$P$7,$D$4:$D$9,$P$5)</f>
        <v>2</v>
      </c>
      <c r="L19" s="76" t="str">
        <f ca="1">IF(AND($Q$5=$Q$4,$Q$5&lt;&gt;$Q$6,$Q$5&lt;&gt;$Q$7),IF(H19&gt;I18,3,IF(H19=I18,1,0)),IF(AND($Q$5=$Q$6,$Q$5&lt;&gt;$Q$4,$Q$5&lt;&gt;$Q$7),IF(J19&gt;I20,3,IF(J19=I20,1,0)),IF(AND($Q$5=$Q$7,$Q$5&lt;&gt;$Q$4,$Q$5&lt;&gt;$Q$6),IF(K19&gt;I21,3,IF(K19=I21,1,0)),"")))</f>
        <v/>
      </c>
      <c r="M19" s="76" t="str">
        <f ca="1">IF($AF$16,IF(AND($AD$5=$AD$4,$AD$5&lt;&gt;$AD$6,$AD$5&lt;&gt;$AD$7),IF(H19&gt;I18,3,IF(H19=I18,1,0)),IF(AND($AD$5&lt;&gt;$AD$4,$AD$5=$AD$6,$AD$5&lt;&gt;$AD$7),IF(J19&gt;I20,3,IF(J19=I20,1,0)),IF(AND($AD$5&lt;&gt;$AD$4,$AD$5&lt;&gt;$AD$6,$AD$5=$AD$7),IF(K19&gt;I21,3,IF(K19=I21,1,0)),""))),"")</f>
        <v/>
      </c>
      <c r="N19" s="465"/>
      <c r="O19" s="466" t="s">
        <v>33</v>
      </c>
      <c r="P19" t="str">
        <f>$P$5</f>
        <v>Ukraine</v>
      </c>
      <c r="Q19" s="466">
        <f ca="1">SUMIFS($H$4:$H$9,$B$4:$B$9,$P19,$D$4:$D$9,"&lt;&gt;"&amp;$P$21)+SUMIFS($I$4:$I$9,$B$4:$B$9,"&lt;&gt;"&amp;$P$21,$D$4:$D$9,$P19)</f>
        <v>0</v>
      </c>
      <c r="R19" s="466">
        <f ca="1">S19-T19</f>
        <v>-2</v>
      </c>
      <c r="S19" s="466">
        <f ca="1">SUMIFS($E$4:$E$9,$B$4:$B$9,$P19,$D$4:$D$9,"&lt;&gt;"&amp;$P$21)+SUMIFS($G$4:$G$9,$B$4:$B$9,"&lt;&gt;"&amp;$P$21,$D$4:$D$9,$P19)</f>
        <v>2</v>
      </c>
      <c r="T19" s="466">
        <f ca="1">SUMIFS($G$4:$G$9,$B$4:$B$9,$P19,$D$4:$D$9,"&lt;&gt;"&amp;$P$21)+SUMIFS($E$4:$E$9,$B$4:$B$9,"&lt;&gt;"&amp;$P$21,$D$4:$D$9,$P19)</f>
        <v>4</v>
      </c>
      <c r="U19" s="466"/>
      <c r="V19" s="300">
        <f ca="1">Q19*FactorPts+(GDzero+R19)*FactorGD+S19*FactorFor</f>
        <v>48020</v>
      </c>
      <c r="W19" s="466">
        <f ca="1">RANK(V19,V$18:V$20,1)</f>
        <v>1</v>
      </c>
      <c r="X19" s="466">
        <f ca="1">IF(AND($Q$4=$Q$5,$Q$4=$Q$6,$Q$4&lt;&gt;$Q$7),W19,0)</f>
        <v>0</v>
      </c>
      <c r="Y19" s="466" t="str">
        <f ca="1">IF(AND(V19=V18,V19&lt;&gt;V20),IF(AA19&gt;AA18,3,IF(AA19=AA18,1,0)),IF(AND(V19=V20,V19&lt;&gt;V18),IF(AC19&gt;AC20,3,IF(AC19=AC20,1,0)),""))</f>
        <v/>
      </c>
      <c r="Z19" s="465" t="str">
        <f t="shared" ref="Z19:Z20" ca="1" si="12">IF(X19&gt;0,Y19,"")</f>
        <v/>
      </c>
      <c r="AA19" s="287">
        <f ca="1">$H$19</f>
        <v>2</v>
      </c>
      <c r="AB19" s="465"/>
      <c r="AC19" s="468">
        <f ca="1">$J$19</f>
        <v>0</v>
      </c>
      <c r="AD19" s="465">
        <f ca="1">IF(AND($AF$16,$AD$4=$AD$5,$AD$4=$AD$6,$AD$4&lt;&gt;$AD$7),W19,0)</f>
        <v>0</v>
      </c>
      <c r="AE19" s="465" t="str">
        <f t="shared" ref="AE19:AE20" ca="1" si="13">IF(AD19&gt;0,Y19,"")</f>
        <v/>
      </c>
    </row>
    <row r="20" spans="2:31" x14ac:dyDescent="0.25">
      <c r="D20" s="30"/>
      <c r="E20" s="684" t="str">
        <f>$P$6</f>
        <v>Österreich</v>
      </c>
      <c r="F20" s="685"/>
      <c r="G20" s="685"/>
      <c r="H20" s="39">
        <f ca="1">SUMIFS($E$4:$E$9,$B$4:$B$9,$P$6,$D$4:$D$9,$P$4)+SUMIFS($G$4:$G$9,$B$4:$B$9,$P$4,$D$4:$D$9,$P$6)</f>
        <v>0</v>
      </c>
      <c r="I20" s="465">
        <f ca="1">SUMIFS($E$4:$E$9,$B$4:$B$9,$P$6,$D$4:$D$9,$P$5)+SUMIFS($G$4:$G$9,$B$4:$B$9,$P$5,$D$4:$D$9,$P$6)</f>
        <v>1</v>
      </c>
      <c r="J20" s="81"/>
      <c r="K20" s="57">
        <f ca="1">SUMIFS($E$4:$E$9,$B$4:$B$9,$P$6,$D$4:$D$9,$P$7)+SUMIFS($G$4:$G$9,$B$4:$B$9,$P$7,$D$4:$D$9,$P$6)</f>
        <v>3</v>
      </c>
      <c r="L20" s="76" t="str">
        <f ca="1">IF(AND($Q$6=$Q$4,$Q$6&lt;&gt;$Q$5,$Q$6&lt;&gt;$Q$7),IF(H20&gt;J18,3,IF(H20=J18,1,0)),IF(AND($Q$6=$Q$5,$Q$6&lt;&gt;$Q$4,$Q$6&lt;&gt;$Q$7),IF(I20&gt;J19,3,IF(I20=J19,1,0)),IF(AND($Q$6=$Q$7,$Q$6&lt;&gt;$Q$4,$Q$6&lt;&gt;$Q$5),IF(K20&gt;J21,3,IF(K20=J21,1,0)),"")))</f>
        <v/>
      </c>
      <c r="M20" s="76" t="str">
        <f ca="1">IF($AF$16,IF(AND($AD$6=$AD$4,$AD$6&lt;&gt;$AD$5,$AD$6&lt;&gt;$AD$7),IF(H20&gt;J18,3,IF(H20=J18,1,0)),IF(AND($AD$6&lt;&gt;$AD$4,$AD$6=$AD$5,$AD$6&lt;&gt;$AD$7),IF(I20&gt;J19,3,IF(I20=J19,1,0)),IF(AND($AD$6&lt;&gt;$AD$4,$AD$6&lt;&gt;$AD$5,$AD$6=$AD$7),IF(K20&gt;J21,3,IF(K20=J21,1,0)),""))),"")</f>
        <v/>
      </c>
      <c r="N20" s="465"/>
      <c r="O20" s="466" t="s">
        <v>34</v>
      </c>
      <c r="P20" t="str">
        <f>$P$6</f>
        <v>Österreich</v>
      </c>
      <c r="Q20" s="466">
        <f ca="1">SUMIFS($H$4:$H$9,$B$4:$B$9,$P20,$D$4:$D$9,"&lt;&gt;"&amp;$P$21)+SUMIFS($I$4:$I$9,$B$4:$B$9,"&lt;&gt;"&amp;$P$21,$D$4:$D$9,$P20)</f>
        <v>3</v>
      </c>
      <c r="R20" s="466">
        <f ca="1">S20-T20</f>
        <v>-1</v>
      </c>
      <c r="S20" s="466">
        <f ca="1">SUMIFS($E$4:$E$9,$B$4:$B$9,$P20,$D$4:$D$9,"&lt;&gt;"&amp;$P$21)+SUMIFS($G$4:$G$9,$B$4:$B$9,"&lt;&gt;"&amp;$P$21,$D$4:$D$9,$P20)</f>
        <v>1</v>
      </c>
      <c r="T20" s="466">
        <f ca="1">SUMIFS($G$4:$G$9,$B$4:$B$9,$P20,$D$4:$D$9,"&lt;&gt;"&amp;$P$21)+SUMIFS($E$4:$E$9,$B$4:$B$9,"&lt;&gt;"&amp;$P$21,$D$4:$D$9,$P20)</f>
        <v>2</v>
      </c>
      <c r="U20" s="466"/>
      <c r="V20" s="300">
        <f ca="1">Q20*FactorPts+(GDzero+R20)*FactorGD+S20*FactorFor</f>
        <v>30049010</v>
      </c>
      <c r="W20" s="466">
        <f ca="1">RANK(V20,V$18:V$20,1)</f>
        <v>2</v>
      </c>
      <c r="X20" s="466">
        <f ca="1">IF(AND($Q$4=$Q$5,$Q$4=$Q$6,$Q$4&lt;&gt;$Q$7),W20,0)</f>
        <v>0</v>
      </c>
      <c r="Y20" s="466" t="str">
        <f ca="1">IF(AND(V20=V18,V20&lt;&gt;V19),IF(AB20&gt;AB18,3,IF(AB20=AB18,1,0)),IF(AND(V20=V19,V20&lt;&gt;V18),IF(AC20&gt;AC19,3,IF(AC20=AC19,1,0)),""))</f>
        <v/>
      </c>
      <c r="Z20" s="465" t="str">
        <f t="shared" ca="1" si="12"/>
        <v/>
      </c>
      <c r="AA20" s="287"/>
      <c r="AB20" s="465">
        <f ca="1">$H$20</f>
        <v>0</v>
      </c>
      <c r="AC20" s="468">
        <f ca="1">$I$20</f>
        <v>1</v>
      </c>
      <c r="AD20" s="465">
        <f ca="1">IF(AND($AF$16,$AD$4=$AD$5,$AD$4=$AD$6,$AD$4&lt;&gt;$AD$7),W20,0)</f>
        <v>0</v>
      </c>
      <c r="AE20" s="465" t="str">
        <f t="shared" ca="1" si="13"/>
        <v/>
      </c>
    </row>
    <row r="21" spans="2:31" ht="15.75" thickBot="1" x14ac:dyDescent="0.3">
      <c r="B21" s="49"/>
      <c r="C21" s="50"/>
      <c r="D21" s="51"/>
      <c r="E21" s="679" t="str">
        <f>$P$7</f>
        <v>Nordmazedonien</v>
      </c>
      <c r="F21" s="680"/>
      <c r="G21" s="680"/>
      <c r="H21" s="38">
        <f ca="1">SUMIFS($E$4:$E$9,$B$4:$B$9,$P$7,$D$4:$D$9,$P$4)+SUMIFS($G$4:$G$9,$B$4:$B$9,$P$4,$D$4:$D$9,$P$7)</f>
        <v>0</v>
      </c>
      <c r="I21" s="36">
        <f ca="1">SUMIFS($E$4:$E$9,$B$4:$B$9,$P$7,$D$4:$D$9,$P$5)+SUMIFS($G$4:$G$9,$B$4:$B$9,$P$5,$D$4:$D$9,$P$7)</f>
        <v>1</v>
      </c>
      <c r="J21" s="36">
        <f ca="1">SUMIFS($E$4:$E$9,$B$4:$B$9,$P$7,$D$4:$D$9,$P$6)+SUMIFS($G$4:$G$9,$B$4:$B$9,$P$6,$D$4:$D$9,$P$7)</f>
        <v>1</v>
      </c>
      <c r="K21" s="82"/>
      <c r="L21" s="77" t="str">
        <f ca="1">IF(AND($Q$7=$Q$4,$Q$7&lt;&gt;$Q$5,$Q$7&lt;&gt;$Q$6),IF(H21&gt;K18,3,IF(H21=K18,1,0)),IF(AND($Q$7=$Q$5,$Q$7&lt;&gt;$Q$4,$Q$7&lt;&gt;$Q$6),IF(I21&gt;K19,3,IF(I21=K19,1,0)),IF(AND($Q$7=$Q$6,$Q$7&lt;&gt;$Q$4,$Q$7&lt;&gt;$Q$5),IF(J21&gt;K20,3,IF(J21=K20,1,0)),"")))</f>
        <v/>
      </c>
      <c r="M21" s="77" t="str">
        <f ca="1">IF($AF$16,IF(AND($AD$7=$AD$4,$AD$7&lt;&gt;$AD$5,$AD$7&lt;&gt;$AD$6),IF(H21&gt;K18,3,IF(H21=K18,1,0)),IF(AND($AD$7&lt;&gt;$AD$4,$AD$7=$AD$5,$AD$7&lt;&gt;$AD$6),IF(I21&gt;K19,3,IF(I21=K19,1,0)),IF(AND($AD$7&lt;&gt;$AD$4,$AD$7&lt;&gt;$AD$5,$AD$7=$AD$6),IF(J21&gt;K20,3,IF(J21=K20,1,0)),""))),"")</f>
        <v/>
      </c>
      <c r="N21" s="465"/>
      <c r="P21" s="34" t="str">
        <f>$P$7</f>
        <v>Nordmazedonien</v>
      </c>
      <c r="Q21" s="293"/>
      <c r="R21" s="293"/>
      <c r="S21" s="293"/>
      <c r="T21" s="293"/>
      <c r="U21" s="293"/>
      <c r="V21" s="294"/>
      <c r="W21" s="294"/>
      <c r="X21" s="293"/>
      <c r="Y21" s="293"/>
      <c r="Z21" s="295"/>
      <c r="AA21" s="296"/>
      <c r="AB21" s="295"/>
      <c r="AC21" s="297"/>
      <c r="AD21" s="298"/>
      <c r="AE21" s="295"/>
    </row>
    <row r="22" spans="2:31" ht="15.75" thickTop="1" x14ac:dyDescent="0.25">
      <c r="B22" s="49"/>
      <c r="C22" s="50"/>
      <c r="D22" s="51"/>
      <c r="F22" s="466"/>
      <c r="G22" s="35"/>
      <c r="L22" s="56"/>
      <c r="Q22" s="294"/>
      <c r="R22" s="294"/>
      <c r="S22" s="294"/>
      <c r="T22" s="294"/>
      <c r="U22" s="294"/>
      <c r="V22" s="294"/>
      <c r="W22" s="294"/>
      <c r="X22" s="293"/>
      <c r="Y22" s="293"/>
      <c r="Z22" s="295"/>
      <c r="AA22" s="296"/>
      <c r="AB22" s="295"/>
      <c r="AC22" s="297"/>
      <c r="AD22" s="298"/>
      <c r="AE22" s="295"/>
    </row>
    <row r="23" spans="2:31" x14ac:dyDescent="0.25">
      <c r="B23" s="43"/>
      <c r="C23" s="466"/>
      <c r="O23" s="466" t="s">
        <v>32</v>
      </c>
      <c r="P23" t="str">
        <f>$P$4</f>
        <v>Niederlande</v>
      </c>
      <c r="Q23" s="466">
        <f ca="1">SUMIFS($H$4:$H$9,$B$4:$B$9,$P23,$D$4:$D$9,"&lt;&gt;"&amp;$P$26)+SUMIFS($I$4:$I$9,$B$4:$B$9,"&lt;&gt;"&amp;$P$26,$D$4:$D$9,$P23)</f>
        <v>6</v>
      </c>
      <c r="R23" s="466">
        <f ca="1">S23-T23</f>
        <v>4</v>
      </c>
      <c r="S23" s="466">
        <f ca="1">SUMIFS($E$4:$E$9,$B$4:$B$9,$P23,$D$4:$D$9,"&lt;&gt;"&amp;$P$26)+SUMIFS($G$4:$G$9,$B$4:$B$9,"&lt;&gt;"&amp;$P$26,$D$4:$D$9,$P23)</f>
        <v>6</v>
      </c>
      <c r="T23" s="466">
        <f ca="1">SUMIFS($G$4:$G$9,$B$4:$B$9,$P23,$D$4:$D$9,"&lt;&gt;"&amp;$P$26)+SUMIFS($E$4:$E$9,$B$4:$B$9,"&lt;&gt;"&amp;$P$26,$D$4:$D$9,$P23)</f>
        <v>2</v>
      </c>
      <c r="U23" s="466"/>
      <c r="V23" s="300">
        <f ca="1">Q23*FactorPts+(GDzero+R23)*FactorGD+S23*FactorFor</f>
        <v>60054060</v>
      </c>
      <c r="W23" s="466">
        <f ca="1">RANK(V23,V$23:V$25,1)</f>
        <v>3</v>
      </c>
      <c r="X23" s="466">
        <f ca="1">IF(AND($Q$4=$Q$5,$Q$4=$Q$7,$Q$4&lt;&gt;$Q$6),W23,0)</f>
        <v>0</v>
      </c>
      <c r="Y23" s="466" t="str">
        <f ca="1">IF(AND(V23=V24,V23&lt;&gt;V25),IF(AA23&gt;AA24,3,IF(AA23=AA24,1,0)),IF(AND(V23=V25,V23&lt;&gt;V24),IF(AB23&gt;AB25,3,IF(AB23=AB25,1,0)),""))</f>
        <v/>
      </c>
      <c r="Z23" s="465" t="str">
        <f ca="1">IF(X23&gt;0,Y23,"")</f>
        <v/>
      </c>
      <c r="AA23" s="287">
        <f ca="1">$I$18</f>
        <v>3</v>
      </c>
      <c r="AB23" s="465">
        <f ca="1">$K$18</f>
        <v>3</v>
      </c>
      <c r="AC23" s="468"/>
      <c r="AD23" s="465">
        <f ca="1">IF(AND($AF$16,$AD$4=$AD$5,$AD$4=$AD$7,$AD$4&lt;&gt;$AD$6),W23,0)</f>
        <v>0</v>
      </c>
      <c r="AE23" s="465" t="str">
        <f ca="1">IF(AD23&gt;0,Y23,"")</f>
        <v/>
      </c>
    </row>
    <row r="24" spans="2:31" x14ac:dyDescent="0.25">
      <c r="B24" s="43"/>
      <c r="C24" s="466"/>
      <c r="O24" s="466" t="s">
        <v>33</v>
      </c>
      <c r="P24" t="str">
        <f>$P$5</f>
        <v>Ukraine</v>
      </c>
      <c r="Q24" s="466">
        <f ca="1">SUMIFS($H$4:$H$9,$B$4:$B$9,$P24,$D$4:$D$9,"&lt;&gt;"&amp;$P$26)+SUMIFS($I$4:$I$9,$B$4:$B$9,"&lt;&gt;"&amp;$P$26,$D$4:$D$9,$P24)</f>
        <v>3</v>
      </c>
      <c r="R24" s="466">
        <f ca="1">S24-T24</f>
        <v>0</v>
      </c>
      <c r="S24" s="466">
        <f ca="1">SUMIFS($E$4:$E$9,$B$4:$B$9,$P24,$D$4:$D$9,"&lt;&gt;"&amp;$P$26)+SUMIFS($G$4:$G$9,$B$4:$B$9,"&lt;&gt;"&amp;$P$26,$D$4:$D$9,$P24)</f>
        <v>4</v>
      </c>
      <c r="T24" s="466">
        <f ca="1">SUMIFS($G$4:$G$9,$B$4:$B$9,$P24,$D$4:$D$9,"&lt;&gt;"&amp;$P$26)+SUMIFS($E$4:$E$9,$B$4:$B$9,"&lt;&gt;"&amp;$P$26,$D$4:$D$9,$P24)</f>
        <v>4</v>
      </c>
      <c r="U24" s="466"/>
      <c r="V24" s="300">
        <f ca="1">Q24*FactorPts+(GDzero+R24)*FactorGD+S24*FactorFor</f>
        <v>30050040</v>
      </c>
      <c r="W24" s="466">
        <f ca="1">RANK(V24,V$23:V$25,1)</f>
        <v>2</v>
      </c>
      <c r="X24" s="466">
        <f ca="1">IF(AND($Q$4=$Q$5,$Q$4=$Q$7,$Q$4&lt;&gt;$Q$6),W24,0)</f>
        <v>0</v>
      </c>
      <c r="Y24" s="466" t="str">
        <f ca="1">IF(AND(V24=V23,V24&lt;&gt;V25),IF(AA24&gt;AA23,3,IF(AA24=AA23,1,0)),IF(AND(V24=V25,V24&lt;&gt;V23),IF(AC24&gt;AC25,3,IF(AC24=AC25,1,0)),""))</f>
        <v/>
      </c>
      <c r="Z24" s="465" t="str">
        <f t="shared" ref="Z24:Z25" ca="1" si="14">IF(X24&gt;0,Y24,"")</f>
        <v/>
      </c>
      <c r="AA24" s="287">
        <f ca="1">$H$19</f>
        <v>2</v>
      </c>
      <c r="AB24" s="465"/>
      <c r="AC24" s="468">
        <f ca="1">$K$19</f>
        <v>2</v>
      </c>
      <c r="AD24" s="465">
        <f ca="1">IF(AND($AF$16,$AD$4=$AD$5,$AD$4=$AD$7,$AD$4&lt;&gt;$AD$6),W24,0)</f>
        <v>0</v>
      </c>
      <c r="AE24" s="465" t="str">
        <f t="shared" ref="AE24:AE25" ca="1" si="15">IF(AD24&gt;0,Y24,"")</f>
        <v/>
      </c>
    </row>
    <row r="25" spans="2:31" x14ac:dyDescent="0.25">
      <c r="B25" s="43"/>
      <c r="C25" s="466"/>
      <c r="O25" s="466" t="s">
        <v>34</v>
      </c>
      <c r="P25" t="str">
        <f>$P$7</f>
        <v>Nordmazedonien</v>
      </c>
      <c r="Q25" s="466">
        <f ca="1">SUMIFS($H$4:$H$9,$B$4:$B$9,$P25,$D$4:$D$9,"&lt;&gt;"&amp;$P$26)+SUMIFS($I$4:$I$9,$B$4:$B$9,"&lt;&gt;"&amp;$P$26,$D$4:$D$9,$P25)</f>
        <v>0</v>
      </c>
      <c r="R25" s="466">
        <f ca="1">S25-T25</f>
        <v>-4</v>
      </c>
      <c r="S25" s="466">
        <f ca="1">SUMIFS($E$4:$E$9,$B$4:$B$9,$P25,$D$4:$D$9,"&lt;&gt;"&amp;$P$26)+SUMIFS($G$4:$G$9,$B$4:$B$9,"&lt;&gt;"&amp;$P$26,$D$4:$D$9,$P25)</f>
        <v>1</v>
      </c>
      <c r="T25" s="466">
        <f ca="1">SUMIFS($G$4:$G$9,$B$4:$B$9,$P25,$D$4:$D$9,"&lt;&gt;"&amp;$P$26)+SUMIFS($E$4:$E$9,$B$4:$B$9,"&lt;&gt;"&amp;$P$26,$D$4:$D$9,$P25)</f>
        <v>5</v>
      </c>
      <c r="U25" s="466"/>
      <c r="V25" s="300">
        <f ca="1">Q25*FactorPts+(GDzero+R25)*FactorGD+S25*FactorFor</f>
        <v>46010</v>
      </c>
      <c r="W25" s="466">
        <f ca="1">RANK(V25,V$23:V$25,1)</f>
        <v>1</v>
      </c>
      <c r="X25" s="466">
        <f ca="1">IF(AND($Q$4=$Q$5,$Q$4=$Q$7,$Q$4&lt;&gt;$Q$6),W25,0)</f>
        <v>0</v>
      </c>
      <c r="Y25" s="466" t="str">
        <f ca="1">IF(AND(V25=V23,V25&lt;&gt;V24),IF(AB25&gt;AB23,3,IF(AB25=AB23,1,0)),IF(AND(V25=V24,V25&lt;&gt;V23),IF(AC25&gt;AC24,3,IF(AC25=AC24,1,0)),""))</f>
        <v/>
      </c>
      <c r="Z25" s="465" t="str">
        <f t="shared" ca="1" si="14"/>
        <v/>
      </c>
      <c r="AA25" s="287"/>
      <c r="AB25" s="465">
        <f ca="1">$H$21</f>
        <v>0</v>
      </c>
      <c r="AC25" s="468">
        <f ca="1">$I$21</f>
        <v>1</v>
      </c>
      <c r="AD25" s="465">
        <f ca="1">IF(AND($AF$16,$AD$4=$AD$5,$AD$4=$AD$7,$AD$4&lt;&gt;$AD$6),W25,0)</f>
        <v>0</v>
      </c>
      <c r="AE25" s="465" t="str">
        <f t="shared" ca="1" si="15"/>
        <v/>
      </c>
    </row>
    <row r="26" spans="2:31" x14ac:dyDescent="0.25">
      <c r="B26" s="43"/>
      <c r="C26" s="466"/>
      <c r="P26" s="34" t="str">
        <f>$P$6</f>
        <v>Österreich</v>
      </c>
      <c r="Q26" s="293"/>
      <c r="R26" s="293"/>
      <c r="S26" s="293"/>
      <c r="T26" s="293"/>
      <c r="U26" s="293"/>
      <c r="V26" s="294"/>
      <c r="W26" s="294"/>
      <c r="X26" s="293"/>
      <c r="Y26" s="293"/>
      <c r="Z26" s="295"/>
      <c r="AA26" s="296"/>
      <c r="AB26" s="295"/>
      <c r="AC26" s="297"/>
      <c r="AD26" s="298"/>
      <c r="AE26" s="295"/>
    </row>
    <row r="27" spans="2:31" x14ac:dyDescent="0.25">
      <c r="Q27" s="294"/>
      <c r="R27" s="294"/>
      <c r="S27" s="294"/>
      <c r="T27" s="294"/>
      <c r="U27" s="294"/>
      <c r="V27" s="294"/>
      <c r="W27" s="294"/>
      <c r="X27" s="293"/>
      <c r="Y27" s="293"/>
      <c r="Z27" s="295"/>
      <c r="AA27" s="296"/>
      <c r="AB27" s="295"/>
      <c r="AC27" s="297"/>
      <c r="AD27" s="298"/>
      <c r="AE27" s="295"/>
    </row>
    <row r="28" spans="2:31" x14ac:dyDescent="0.25">
      <c r="O28" s="466" t="s">
        <v>32</v>
      </c>
      <c r="P28" t="str">
        <f>$P$4</f>
        <v>Niederlande</v>
      </c>
      <c r="Q28" s="466">
        <f ca="1">SUMIFS($H$4:$H$9,$B$4:$B$9,$P28,$D$4:$D$9,"&lt;&gt;"&amp;$P$31)+SUMIFS($I$4:$I$9,$B$4:$B$9,"&lt;&gt;"&amp;$P$31,$D$4:$D$9,$P28)</f>
        <v>6</v>
      </c>
      <c r="R28" s="466">
        <f ca="1">S28-T28</f>
        <v>5</v>
      </c>
      <c r="S28" s="466">
        <f ca="1">SUMIFS($E$4:$E$9,$B$4:$B$9,$P28,$D$4:$D$9,"&lt;&gt;"&amp;$P$31)+SUMIFS($G$4:$G$9,$B$4:$B$9,"&lt;&gt;"&amp;$P$31,$D$4:$D$9,$P28)</f>
        <v>5</v>
      </c>
      <c r="T28" s="466">
        <f ca="1">SUMIFS($G$4:$G$9,$B$4:$B$9,$P28,$D$4:$D$9,"&lt;&gt;"&amp;$P$31)+SUMIFS($E$4:$E$9,$B$4:$B$9,"&lt;&gt;"&amp;$P$31,$D$4:$D$9,$P28)</f>
        <v>0</v>
      </c>
      <c r="U28" s="466"/>
      <c r="V28" s="300">
        <f ca="1">Q28*FactorPts+(GDzero+R28)*FactorGD+S28*FactorFor</f>
        <v>60055050</v>
      </c>
      <c r="W28" s="466">
        <f ca="1">_xlfn.RANK.EQ(V28,V$28:V$30,1)</f>
        <v>3</v>
      </c>
      <c r="X28" s="466">
        <f ca="1">IF(AND($Q$4=$Q$6,$Q$4=$Q$7,$Q$4&lt;&gt;$Q$5),W28,0)</f>
        <v>0</v>
      </c>
      <c r="Y28" s="466" t="str">
        <f ca="1">IF(AND(V28=V29,V28&lt;&gt;V30),IF(AA28&gt;AA29,3,IF(AA28=AA29,1,0)),IF(AND(V28=V30,V28&lt;&gt;V29),IF(AB28&gt;AB30,3,IF(AB28=AB30,1,0)),""))</f>
        <v/>
      </c>
      <c r="Z28" s="465" t="str">
        <f ca="1">IF(X28&gt;0,Y28,"")</f>
        <v/>
      </c>
      <c r="AA28" s="287">
        <f ca="1">$J$18</f>
        <v>2</v>
      </c>
      <c r="AB28" s="465">
        <f ca="1">$K$18</f>
        <v>3</v>
      </c>
      <c r="AC28" s="468"/>
      <c r="AD28" s="465">
        <f ca="1">IF(AND($AF$16,$AD$4=$AD$6,$AD$4=$AD$7,$AD$4&lt;&gt;$AD$5),W28,0)</f>
        <v>0</v>
      </c>
      <c r="AE28" s="465" t="str">
        <f ca="1">IF(AD28&gt;0,Y28,"")</f>
        <v/>
      </c>
    </row>
    <row r="29" spans="2:31" x14ac:dyDescent="0.25">
      <c r="O29" s="466" t="s">
        <v>33</v>
      </c>
      <c r="P29" t="str">
        <f>$P$6</f>
        <v>Österreich</v>
      </c>
      <c r="Q29" s="466">
        <f ca="1">SUMIFS($H$4:$H$9,$B$4:$B$9,$P29,$D$4:$D$9,"&lt;&gt;"&amp;$P$31)+SUMIFS($I$4:$I$9,$B$4:$B$9,"&lt;&gt;"&amp;$P$31,$D$4:$D$9,$P29)</f>
        <v>3</v>
      </c>
      <c r="R29" s="466">
        <f ca="1">S29-T29</f>
        <v>0</v>
      </c>
      <c r="S29" s="466">
        <f ca="1">SUMIFS($E$4:$E$9,$B$4:$B$9,$P29,$D$4:$D$9,"&lt;&gt;"&amp;$P$31)+SUMIFS($G$4:$G$9,$B$4:$B$9,"&lt;&gt;"&amp;$P$31,$D$4:$D$9,$P29)</f>
        <v>3</v>
      </c>
      <c r="T29" s="466">
        <f ca="1">SUMIFS($G$4:$G$9,$B$4:$B$9,$P29,$D$4:$D$9,"&lt;&gt;"&amp;$P$31)+SUMIFS($E$4:$E$9,$B$4:$B$9,"&lt;&gt;"&amp;$P$31,$D$4:$D$9,$P29)</f>
        <v>3</v>
      </c>
      <c r="U29" s="466"/>
      <c r="V29" s="300">
        <f ca="1">Q29*FactorPts+(GDzero+R29)*FactorGD+S29*FactorFor</f>
        <v>30050030</v>
      </c>
      <c r="W29" s="466">
        <f ca="1">_xlfn.RANK.EQ(V29,V$28:V$30,1)</f>
        <v>2</v>
      </c>
      <c r="X29" s="466">
        <f ca="1">IF(AND($Q$4=$Q$6,$Q$4=$Q$7,$Q$4&lt;&gt;$Q$5),W29,0)</f>
        <v>0</v>
      </c>
      <c r="Y29" s="466" t="str">
        <f ca="1">IF(AND(V29=V28,V29&lt;&gt;V30),IF(AA29&gt;AA28,3,IF(AA29=AA28,1,0)),IF(AND(V29=V30,V29&lt;&gt;V28),IF(AC29&gt;AC30,3,IF(AC29=AC30,1,0)),""))</f>
        <v/>
      </c>
      <c r="Z29" s="465" t="str">
        <f t="shared" ref="Z29:Z30" ca="1" si="16">IF(X29&gt;0,Y29,"")</f>
        <v/>
      </c>
      <c r="AA29" s="287">
        <f ca="1">$H$20</f>
        <v>0</v>
      </c>
      <c r="AB29" s="465"/>
      <c r="AC29" s="468">
        <f ca="1">$K$20</f>
        <v>3</v>
      </c>
      <c r="AD29" s="465">
        <f ca="1">IF(AND($AF$16,$AD$4=$AD$6,$AD$4=$AD$7,$AD$4&lt;&gt;$AD$5),W29,0)</f>
        <v>0</v>
      </c>
      <c r="AE29" s="465" t="str">
        <f t="shared" ref="AE29:AE30" ca="1" si="17">IF(AD29&gt;0,Y29,"")</f>
        <v/>
      </c>
    </row>
    <row r="30" spans="2:31" x14ac:dyDescent="0.25">
      <c r="O30" s="466" t="s">
        <v>34</v>
      </c>
      <c r="P30" t="str">
        <f>$P$7</f>
        <v>Nordmazedonien</v>
      </c>
      <c r="Q30" s="466">
        <f ca="1">SUMIFS($H$4:$H$9,$B$4:$B$9,$P30,$D$4:$D$9,"&lt;&gt;"&amp;$P$31)+SUMIFS($I$4:$I$9,$B$4:$B$9,"&lt;&gt;"&amp;$P$31,$D$4:$D$9,$P30)</f>
        <v>0</v>
      </c>
      <c r="R30" s="466">
        <f ca="1">S30-T30</f>
        <v>-5</v>
      </c>
      <c r="S30" s="466">
        <f ca="1">SUMIFS($E$4:$E$9,$B$4:$B$9,$P30,$D$4:$D$9,"&lt;&gt;"&amp;$P$31)+SUMIFS($G$4:$G$9,$B$4:$B$9,"&lt;&gt;"&amp;$P$31,$D$4:$D$9,$P30)</f>
        <v>1</v>
      </c>
      <c r="T30" s="466">
        <f ca="1">SUMIFS($G$4:$G$9,$B$4:$B$9,$P30,$D$4:$D$9,"&lt;&gt;"&amp;$P$31)+SUMIFS($E$4:$E$9,$B$4:$B$9,"&lt;&gt;"&amp;$P$31,$D$4:$D$9,$P30)</f>
        <v>6</v>
      </c>
      <c r="U30" s="466"/>
      <c r="V30" s="300">
        <f ca="1">Q30*FactorPts+(GDzero+R30)*FactorGD+S30*FactorFor</f>
        <v>45010</v>
      </c>
      <c r="W30" s="466">
        <f ca="1">_xlfn.RANK.EQ(V30,V$28:V$30,1)</f>
        <v>1</v>
      </c>
      <c r="X30" s="466">
        <f ca="1">IF(AND($Q$4=$Q$6,$Q$4=$Q$7,$Q$4&lt;&gt;$Q$5),W30,0)</f>
        <v>0</v>
      </c>
      <c r="Y30" s="466" t="str">
        <f ca="1">IF(AND(V30=V28,V30&lt;&gt;V29),IF(AB30&gt;AB28,3,IF(AB30=AB28,1,0)),IF(AND(V30=V29,V30&lt;&gt;V28),IF(AC30&gt;AC29,3,IF(AC30=AC29,1,0)),""))</f>
        <v/>
      </c>
      <c r="Z30" s="465" t="str">
        <f t="shared" ca="1" si="16"/>
        <v/>
      </c>
      <c r="AA30" s="287"/>
      <c r="AB30" s="465">
        <f ca="1">$H$21</f>
        <v>0</v>
      </c>
      <c r="AC30" s="468">
        <f ca="1">$J$21</f>
        <v>1</v>
      </c>
      <c r="AD30" s="465">
        <f ca="1">IF(AND($AF$16,$AD$4=$AD$6,$AD$4=$AD$7,$AD$4&lt;&gt;$AD$5),W30,0)</f>
        <v>0</v>
      </c>
      <c r="AE30" s="465" t="str">
        <f t="shared" ca="1" si="17"/>
        <v/>
      </c>
    </row>
    <row r="31" spans="2:31" x14ac:dyDescent="0.25">
      <c r="P31" s="34" t="str">
        <f>$P$5</f>
        <v>Ukraine</v>
      </c>
      <c r="Q31" s="293"/>
      <c r="R31" s="293"/>
      <c r="S31" s="293"/>
      <c r="T31" s="293"/>
      <c r="U31" s="293"/>
      <c r="V31" s="294"/>
      <c r="W31" s="294"/>
      <c r="X31" s="293"/>
      <c r="Y31" s="293"/>
      <c r="Z31" s="295"/>
      <c r="AA31" s="296"/>
      <c r="AB31" s="295"/>
      <c r="AC31" s="297"/>
      <c r="AD31" s="298"/>
      <c r="AE31" s="295"/>
    </row>
    <row r="32" spans="2:31" x14ac:dyDescent="0.25">
      <c r="Q32" s="294"/>
      <c r="R32" s="294"/>
      <c r="S32" s="294"/>
      <c r="T32" s="294"/>
      <c r="U32" s="294"/>
      <c r="V32" s="294"/>
      <c r="W32" s="294"/>
      <c r="X32" s="293"/>
      <c r="Y32" s="293"/>
      <c r="Z32" s="295"/>
      <c r="AA32" s="296"/>
      <c r="AB32" s="295"/>
      <c r="AC32" s="297"/>
      <c r="AD32" s="298"/>
      <c r="AE32" s="295"/>
    </row>
    <row r="33" spans="15:31" x14ac:dyDescent="0.25">
      <c r="O33" s="466" t="s">
        <v>32</v>
      </c>
      <c r="P33" t="str">
        <f>$P$5</f>
        <v>Ukraine</v>
      </c>
      <c r="Q33" s="466">
        <f ca="1">SUMIFS($H$4:$H$9,$B$4:$B$9,$P33,$D$4:$D$9,"&lt;&gt;"&amp;$P$36)+SUMIFS($I$4:$I$9,$B$4:$B$9,"&lt;&gt;"&amp;$P$36,$D$4:$D$9,$P33)</f>
        <v>3</v>
      </c>
      <c r="R33" s="466">
        <f ca="1">S33-T33</f>
        <v>0</v>
      </c>
      <c r="S33" s="466">
        <f ca="1">SUMIFS($E$4:$E$9,$B$4:$B$9,$P33,$D$4:$D$9,"&lt;&gt;"&amp;$P$36)+SUMIFS($G$4:$G$9,$B$4:$B$9,"&lt;&gt;"&amp;$P$36,$D$4:$D$9,$P33)</f>
        <v>2</v>
      </c>
      <c r="T33" s="466">
        <f ca="1">SUMIFS($G$4:$G$9,$B$4:$B$9,$P33,$D$4:$D$9,"&lt;&gt;"&amp;$P$36)+SUMIFS($E$4:$E$9,$B$4:$B$9,"&lt;&gt;"&amp;$P$36,$D$4:$D$9,$P33)</f>
        <v>2</v>
      </c>
      <c r="U33" s="466"/>
      <c r="V33" s="300">
        <f ca="1">Q33*FactorPts+(GDzero+R33)*FactorGD+S33*FactorFor</f>
        <v>30050020</v>
      </c>
      <c r="W33" s="466">
        <f ca="1">RANK(V33,V$33:V$35,1)</f>
        <v>2</v>
      </c>
      <c r="X33" s="466">
        <f ca="1">IF(AND($Q$5=$Q$6,$Q$5=$Q$7,$Q$5&lt;&gt;$Q$4),W33,0)</f>
        <v>0</v>
      </c>
      <c r="Y33" s="466" t="str">
        <f ca="1">IF(AND(V33=V34,V33&lt;&gt;V35),IF(AA33&gt;AA34,3,IF(AA33=AA34,1,0)),IF(AND(V33=V35,V33&lt;&gt;V34),IF(AB33&gt;AB35,3,IF(AB33=AB35,1,0)),""))</f>
        <v/>
      </c>
      <c r="Z33" s="465" t="str">
        <f ca="1">IF(X33&gt;0,Y33,"")</f>
        <v/>
      </c>
      <c r="AA33" s="287">
        <f ca="1">$J$19</f>
        <v>0</v>
      </c>
      <c r="AB33" s="465">
        <f ca="1">$K$19</f>
        <v>2</v>
      </c>
      <c r="AC33" s="468"/>
      <c r="AD33" s="465">
        <f ca="1">IF(AND($AF$16,$AD$5=$AD$6,$AD$5=$AD$7,$AD$5&lt;&gt;$AD$4),W33,0)</f>
        <v>0</v>
      </c>
      <c r="AE33" s="465" t="str">
        <f ca="1">IF(AD33&gt;0,Y33,"")</f>
        <v/>
      </c>
    </row>
    <row r="34" spans="15:31" x14ac:dyDescent="0.25">
      <c r="O34" s="466" t="s">
        <v>33</v>
      </c>
      <c r="P34" t="str">
        <f>$P$6</f>
        <v>Österreich</v>
      </c>
      <c r="Q34" s="466">
        <f ca="1">SUMIFS($H$4:$H$9,$B$4:$B$9,$P34,$D$4:$D$9,"&lt;&gt;"&amp;$P$36)+SUMIFS($I$4:$I$9,$B$4:$B$9,"&lt;&gt;"&amp;$P$36,$D$4:$D$9,$P34)</f>
        <v>6</v>
      </c>
      <c r="R34" s="466">
        <f ca="1">S34-T34</f>
        <v>3</v>
      </c>
      <c r="S34" s="466">
        <f ca="1">SUMIFS($E$4:$E$9,$B$4:$B$9,$P34,$D$4:$D$9,"&lt;&gt;"&amp;$P$36)+SUMIFS($G$4:$G$9,$B$4:$B$9,"&lt;&gt;"&amp;$P$36,$D$4:$D$9,$P34)</f>
        <v>4</v>
      </c>
      <c r="T34" s="466">
        <f ca="1">SUMIFS($G$4:$G$9,$B$4:$B$9,$P34,$D$4:$D$9,"&lt;&gt;"&amp;$P$36)+SUMIFS($E$4:$E$9,$B$4:$B$9,"&lt;&gt;"&amp;$P$36,$D$4:$D$9,$P34)</f>
        <v>1</v>
      </c>
      <c r="U34" s="466"/>
      <c r="V34" s="300">
        <f ca="1">Q34*FactorPts+(GDzero+R34)*FactorGD+S34*FactorFor</f>
        <v>60053040</v>
      </c>
      <c r="W34" s="466">
        <f ca="1">RANK(V34,V$33:V$35,1)</f>
        <v>3</v>
      </c>
      <c r="X34" s="466">
        <f ca="1">IF(AND($Q$5=$Q$6,$Q$5=$Q$7,$Q$5&lt;&gt;$Q$4),W34,0)</f>
        <v>0</v>
      </c>
      <c r="Y34" s="466" t="str">
        <f ca="1">IF(AND(V34=V33,V34&lt;&gt;V35),IF(AA34&gt;AA33,3,IF(AA34=AA33,1,0)),IF(AND(V34=V35,V34&lt;&gt;V33),IF(AC34&gt;AC35,3,IF(AC34=AC35,1,0)),""))</f>
        <v/>
      </c>
      <c r="Z34" s="465" t="str">
        <f t="shared" ref="Z34:Z35" ca="1" si="18">IF(X34&gt;0,Y34,"")</f>
        <v/>
      </c>
      <c r="AA34" s="287">
        <f ca="1">$I$20</f>
        <v>1</v>
      </c>
      <c r="AB34" s="465"/>
      <c r="AC34" s="468">
        <f ca="1">$K$20</f>
        <v>3</v>
      </c>
      <c r="AD34" s="465">
        <f ca="1">IF(AND($AF$16,$AD$5=$AD$6,$AD$5=$AD$7,$AD$5&lt;&gt;$AD$4),W34,0)</f>
        <v>0</v>
      </c>
      <c r="AE34" s="465" t="str">
        <f t="shared" ref="AE34:AE35" ca="1" si="19">IF(AD34&gt;0,Y34,"")</f>
        <v/>
      </c>
    </row>
    <row r="35" spans="15:31" ht="15.75" thickBot="1" x14ac:dyDescent="0.3">
      <c r="O35" s="466" t="s">
        <v>34</v>
      </c>
      <c r="P35" t="str">
        <f>$P$7</f>
        <v>Nordmazedonien</v>
      </c>
      <c r="Q35" s="466">
        <f ca="1">SUMIFS($H$4:$H$9,$B$4:$B$9,$P35,$D$4:$D$9,"&lt;&gt;"&amp;$P$36)+SUMIFS($I$4:$I$9,$B$4:$B$9,"&lt;&gt;"&amp;$P$36,$D$4:$D$9,$P35)</f>
        <v>0</v>
      </c>
      <c r="R35" s="466">
        <f ca="1">S35-T35</f>
        <v>-3</v>
      </c>
      <c r="S35" s="466">
        <f ca="1">SUMIFS($E$4:$E$9,$B$4:$B$9,$P35,$D$4:$D$9,"&lt;&gt;"&amp;$P$36)+SUMIFS($G$4:$G$9,$B$4:$B$9,"&lt;&gt;"&amp;$P$36,$D$4:$D$9,$P35)</f>
        <v>2</v>
      </c>
      <c r="T35" s="466">
        <f ca="1">SUMIFS($G$4:$G$9,$B$4:$B$9,$P35,$D$4:$D$9,"&lt;&gt;"&amp;$P$36)+SUMIFS($E$4:$E$9,$B$4:$B$9,"&lt;&gt;"&amp;$P$36,$D$4:$D$9,$P35)</f>
        <v>5</v>
      </c>
      <c r="U35" s="466"/>
      <c r="V35" s="300">
        <f ca="1">Q35*FactorPts+(GDzero+R35)*FactorGD+S35*FactorFor</f>
        <v>47020</v>
      </c>
      <c r="W35" s="466">
        <f ca="1">RANK(V35,V$33:V$35,1)</f>
        <v>1</v>
      </c>
      <c r="X35" s="466">
        <f ca="1">IF(AND($Q$5=$Q$6,$Q$5=$Q$7,$Q$5&lt;&gt;$Q$4),W35,0)</f>
        <v>0</v>
      </c>
      <c r="Y35" s="466" t="str">
        <f ca="1">IF(AND(V35=V33,V35&lt;&gt;V34),IF(AB35&gt;AB33,3,IF(AB35=AB33,1,0)),IF(AND(V35=V34,V35&lt;&gt;V33),IF(AC35&gt;AC34,3,IF(AC35=AC34,1,0)),""))</f>
        <v/>
      </c>
      <c r="Z35" s="465" t="str">
        <f t="shared" ca="1" si="18"/>
        <v/>
      </c>
      <c r="AA35" s="288"/>
      <c r="AB35" s="289">
        <f ca="1">$I$21</f>
        <v>1</v>
      </c>
      <c r="AC35" s="290">
        <f ca="1">$J$21</f>
        <v>1</v>
      </c>
      <c r="AD35" s="465">
        <f ca="1">IF(AND($AF$16,$AD$5=$AD$6,$AD$5=$AD$7,$AD$5&lt;&gt;$AD$4),W35,0)</f>
        <v>0</v>
      </c>
      <c r="AE35" s="465" t="str">
        <f t="shared" ca="1" si="19"/>
        <v/>
      </c>
    </row>
    <row r="36" spans="15:31" x14ac:dyDescent="0.25">
      <c r="P36" s="34" t="str">
        <f>$P$4</f>
        <v>Niederlande</v>
      </c>
      <c r="Q36" s="466"/>
      <c r="R36" s="466"/>
      <c r="S36" s="466"/>
      <c r="T36" s="466"/>
      <c r="U36" s="466"/>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941E8-1A58-4398-B6E5-4F4FED487DCD}">
  <sheetPr codeName="Tabelle111"/>
  <dimension ref="A1:AG36"/>
  <sheetViews>
    <sheetView workbookViewId="0">
      <selection activeCell="I21" sqref="I21"/>
    </sheetView>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466"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8"/>
      <c r="B1" s="47" t="str">
        <f>VLOOKUP($Q$1,References!$B$5:$D$10,2,0)</f>
        <v>K</v>
      </c>
      <c r="D1" s="47" t="str">
        <f>VLOOKUP($Q$1,References!$B$5:$D$10,3,0)</f>
        <v>L</v>
      </c>
      <c r="P1" s="231" t="s">
        <v>239</v>
      </c>
      <c r="Q1" s="232" t="s">
        <v>31</v>
      </c>
    </row>
    <row r="2" spans="1:33" ht="8.25" customHeight="1" x14ac:dyDescent="0.25"/>
    <row r="3" spans="1:33" x14ac:dyDescent="0.25">
      <c r="B3" s="681" t="s">
        <v>225</v>
      </c>
      <c r="C3" s="681"/>
      <c r="D3" s="681"/>
      <c r="E3" s="681" t="s">
        <v>226</v>
      </c>
      <c r="F3" s="681"/>
      <c r="G3" s="681"/>
      <c r="H3" s="681" t="s">
        <v>221</v>
      </c>
      <c r="I3" s="681"/>
      <c r="J3" s="687" t="s">
        <v>554</v>
      </c>
      <c r="K3" s="687"/>
      <c r="L3" s="687"/>
      <c r="M3" s="467" t="s">
        <v>196</v>
      </c>
      <c r="N3" s="86"/>
      <c r="O3" s="46"/>
      <c r="P3" s="45"/>
      <c r="Q3" s="467" t="s">
        <v>221</v>
      </c>
      <c r="R3" s="467" t="s">
        <v>218</v>
      </c>
      <c r="S3" s="467" t="s">
        <v>804</v>
      </c>
      <c r="T3" s="467" t="s">
        <v>805</v>
      </c>
      <c r="U3" s="467" t="s">
        <v>803</v>
      </c>
      <c r="V3" s="467" t="s">
        <v>222</v>
      </c>
      <c r="W3" s="467" t="s">
        <v>223</v>
      </c>
      <c r="X3" s="467" t="s">
        <v>224</v>
      </c>
      <c r="Y3" s="467" t="s">
        <v>539</v>
      </c>
      <c r="Z3" s="467" t="s">
        <v>540</v>
      </c>
      <c r="AA3" s="467" t="s">
        <v>531</v>
      </c>
      <c r="AB3" s="467" t="s">
        <v>37</v>
      </c>
      <c r="AC3" s="467" t="s">
        <v>349</v>
      </c>
      <c r="AD3" s="467" t="s">
        <v>227</v>
      </c>
      <c r="AE3" s="467" t="s">
        <v>555</v>
      </c>
      <c r="AF3" s="467" t="s">
        <v>640</v>
      </c>
    </row>
    <row r="4" spans="1:33" x14ac:dyDescent="0.25">
      <c r="B4" s="275" t="str">
        <f ca="1">INDIRECT("'"&amp;References!$A$1&amp;"'!"&amp;$B$1&amp;References!$G5)</f>
        <v>England</v>
      </c>
      <c r="C4" s="276" t="s">
        <v>36</v>
      </c>
      <c r="D4" s="277" t="str">
        <f ca="1">INDIRECT("'"&amp;References!$A$1&amp;"'!"&amp;$D$1&amp;References!$G5)</f>
        <v>Kroatien</v>
      </c>
      <c r="E4" s="275">
        <f ca="1">IF(OR(INDIRECT("'"&amp;References!$A$1&amp;"'!"&amp;$B$1&amp;References!$H5)="",INDIRECT("'"&amp;References!$A$1&amp;"'!"&amp;$D$1&amp;References!$H5)=""),"",INDIRECT("'"&amp;References!$A$1&amp;"'!"&amp;$B$1&amp;References!$H5))</f>
        <v>1</v>
      </c>
      <c r="F4" s="276" t="s">
        <v>36</v>
      </c>
      <c r="G4" s="281">
        <f ca="1">IF(OR(INDIRECT("'"&amp;References!$A$1&amp;"'!"&amp;$B$1&amp;References!$H5)="",INDIRECT("'"&amp;References!$A$1&amp;"'!"&amp;$D$1&amp;References!$H5)=""),"",INDIRECT("'"&amp;References!$A$1&amp;"'!"&amp;$D$1&amp;References!$H5))</f>
        <v>0</v>
      </c>
      <c r="H4" s="489">
        <f t="shared" ref="H4:H9" ca="1" si="0">IF($M4&gt;0,IF($E4&gt;$G4,3,IF($E4=$G4,1,0)),0)</f>
        <v>3</v>
      </c>
      <c r="I4" s="489">
        <f t="shared" ref="I4:I9" ca="1" si="1">IF($M4&gt;0,IF($E4&lt;$G4,3,IF($E4=$G4,1,0)),0)</f>
        <v>0</v>
      </c>
      <c r="L4" s="35"/>
      <c r="M4" s="466">
        <f t="shared" ref="M4:M9" ca="1" si="2">IF(AND($E4&lt;&gt;"",$G4&lt;&gt;""),1,0)</f>
        <v>1</v>
      </c>
      <c r="N4" s="466"/>
      <c r="O4" s="466" t="s">
        <v>32</v>
      </c>
      <c r="P4" s="44" t="str">
        <f>VLOOKUP($Q$1&amp;ROW($A1),Groups!$B$7:$D$35,3,0)</f>
        <v>England</v>
      </c>
      <c r="Q4" s="466">
        <f ca="1">SUMIF($B$4:$B$9,P4,$H$4:$H$9)+SUMIF($D$4:$D$9,P4,$I$4:$I$9)</f>
        <v>7</v>
      </c>
      <c r="R4" s="466">
        <f ca="1">S4-T4</f>
        <v>2</v>
      </c>
      <c r="S4" s="466">
        <f ca="1">SUMIF($B$4:$B$9,$P4,$E$4:$E$9)+SUMIF($D$4:$D$9,$P4,$G$4:$G$9)</f>
        <v>2</v>
      </c>
      <c r="T4" s="466">
        <f ca="1">SUMIF($B$4:$B$9,$P4,$G$4:$G$9)+SUMIF($D$4:$D$9,$P4,$E$4:$E$9)</f>
        <v>0</v>
      </c>
      <c r="U4" s="466">
        <f ca="1">COUNTIFS($B$4:$B$9,$P4,$H$4:$H$9,"=3")+COUNTIFS($D$4:$D$9,$P4,$I$4:$I$9,"=3")</f>
        <v>2</v>
      </c>
      <c r="V4" s="398">
        <f ca="1">$Q4*FactorPts+(GDzero+$R4)*FactorGD+$S4*FactorFor+$U4*FactorWins+$W4*FactorDirC3+$X4*FactorDirC2+$Y4*FactorDirC43+$Z4*FactorDirC42+$AA4*FactorDirC42+$AB4*FactorFairPlay+$AE4*FactorPenalty+(100-$AF4)*($M$10&gt;0)*FactorRank+(8-ROW())*FactorRow</f>
        <v>70052022.000097051</v>
      </c>
      <c r="W4" s="465">
        <f ca="1">SUMIFS($X$18:$X$35,$P$18:$P$35,$P4)</f>
        <v>0</v>
      </c>
      <c r="X4" s="465">
        <f ca="1">IF($L18="",0,$L18)+SUMIFS($Z$18:$Z$35,$P$18:$P$35,$P4)</f>
        <v>0</v>
      </c>
      <c r="Y4">
        <f ca="1">SUMIFS($AD$18:$AD$35,$P$18:$P$35,$P4)</f>
        <v>0</v>
      </c>
      <c r="Z4">
        <f ca="1">SUMIFS($AE$18:$AE$35,$P$18:$P$35,$P4)</f>
        <v>0</v>
      </c>
      <c r="AA4" s="466">
        <f ca="1">IF($M18="",0,$M18)</f>
        <v>0</v>
      </c>
      <c r="AB4" s="466">
        <f>SUMIFS(FairPlayPoints1,FairPlayTeams1,$P4)+SUMIFS(FairPlayPoints2,FairPlayTeams2,$P4)</f>
        <v>0</v>
      </c>
      <c r="AC4" s="466" t="b">
        <f ca="1">(Q4+T4&gt;0)</f>
        <v>1</v>
      </c>
      <c r="AD4" s="313">
        <f ca="1">$Q4*FactorPts+(GDzero+$R4)*FactorGD+$S4*FactorFor</f>
        <v>70052020</v>
      </c>
      <c r="AE4" s="466">
        <f ca="1">IF(OR(AND($Y$11&gt;0,OR(AND($B$8=$P4,$J$8&gt;$L$8),AND($D$8=$P4,$J$8&lt;$L$8))),AND($Y$12&gt;0,OR(AND($B$9=$P4,$J$9&gt;$L$9),AND($D$9=$P4,$J$9&lt;$L$9)))),1,0)</f>
        <v>0</v>
      </c>
      <c r="AF4" s="466">
        <f>INDEX(Language!$D$5:$D$59,MATCH($P4,Language!$E$5:$E$59,0),1)</f>
        <v>3</v>
      </c>
      <c r="AG4" s="466"/>
    </row>
    <row r="5" spans="1:33" x14ac:dyDescent="0.25">
      <c r="B5" s="278" t="str">
        <f ca="1">INDIRECT("'"&amp;References!$A$1&amp;"'!"&amp;$B$1&amp;References!$G6)</f>
        <v>Schottland</v>
      </c>
      <c r="C5" s="279" t="s">
        <v>36</v>
      </c>
      <c r="D5" s="280" t="str">
        <f ca="1">INDIRECT("'"&amp;References!$A$1&amp;"'!"&amp;$D$1&amp;References!$G6)</f>
        <v>Tschechien</v>
      </c>
      <c r="E5" s="278">
        <f ca="1">IF(OR(INDIRECT("'"&amp;References!$A$1&amp;"'!"&amp;$B$1&amp;References!$H6)="",INDIRECT("'"&amp;References!$A$1&amp;"'!"&amp;$D$1&amp;References!$H6)=""),"",INDIRECT("'"&amp;References!$A$1&amp;"'!"&amp;$B$1&amp;References!$H6))</f>
        <v>0</v>
      </c>
      <c r="F5" s="279" t="s">
        <v>36</v>
      </c>
      <c r="G5" s="282">
        <f ca="1">IF(OR(INDIRECT("'"&amp;References!$A$1&amp;"'!"&amp;$B$1&amp;References!$H6)="",INDIRECT("'"&amp;References!$A$1&amp;"'!"&amp;$D$1&amp;References!$H6)=""),"",INDIRECT("'"&amp;References!$A$1&amp;"'!"&amp;$D$1&amp;References!$H6))</f>
        <v>2</v>
      </c>
      <c r="H5" s="489">
        <f t="shared" ca="1" si="0"/>
        <v>0</v>
      </c>
      <c r="I5" s="489">
        <f t="shared" ca="1" si="1"/>
        <v>3</v>
      </c>
      <c r="L5" s="35"/>
      <c r="M5" s="466">
        <f t="shared" ca="1" si="2"/>
        <v>1</v>
      </c>
      <c r="N5" s="466"/>
      <c r="O5" s="466" t="s">
        <v>33</v>
      </c>
      <c r="P5" s="44" t="str">
        <f>VLOOKUP($Q$1&amp;ROW($A2),Groups!$B$7:$D$35,3,0)</f>
        <v>Kroatien</v>
      </c>
      <c r="Q5" s="466">
        <f t="shared" ref="Q5:Q7" ca="1" si="3">SUMIF($B$4:$B$9,P5,$H$4:$H$9)+SUMIF($D$4:$D$9,P5,$I$4:$I$9)</f>
        <v>4</v>
      </c>
      <c r="R5" s="466">
        <f ca="1">S5-T5</f>
        <v>1</v>
      </c>
      <c r="S5" s="466">
        <f ca="1">SUMIF($B$4:$B$9,$P5,$E$4:$E$9)+SUMIF($D$4:$D$9,$P5,$G$4:$G$9)</f>
        <v>4</v>
      </c>
      <c r="T5" s="466">
        <f ca="1">SUMIF($B$4:$B$9,$P5,$G$4:$G$9)+SUMIF($D$4:$D$9,$P5,$E$4:$E$9)</f>
        <v>3</v>
      </c>
      <c r="U5" s="466">
        <f t="shared" ref="U5:U7" ca="1" si="4">COUNTIFS($B$4:$B$9,$P5,$H$4:$H$9,"=3")+COUNTIFS($D$4:$D$9,$P5,$I$4:$I$9,"=3")</f>
        <v>1</v>
      </c>
      <c r="V5" s="398">
        <f ca="1">$Q5*FactorPts+(GDzero+$R5)*FactorGD+$S5*FactorFor+$U5*FactorWins+$W5*FactorDirC3+$X5*FactorDirC2+$Y5*FactorDirC43+$Z5*FactorDirC42+$AA5*FactorDirC42+$AB5*FactorFairPlay+$AE5*FactorPenalty+(100-$AF5)*($M$10&gt;0)*FactorRank+(8-ROW())*FactorRow</f>
        <v>40151041.000090033</v>
      </c>
      <c r="W5" s="465">
        <f t="shared" ref="W5:W7" ca="1" si="5">SUMIFS($X$18:$X$35,$P$18:$P$35,$P5)</f>
        <v>0</v>
      </c>
      <c r="X5" s="465">
        <f ca="1">IF($L19="",0,$L19)+SUMIFS($Z$18:$Z$35,$P$18:$P$35,$P5)</f>
        <v>1</v>
      </c>
      <c r="Y5">
        <f t="shared" ref="Y5:Y7" ca="1" si="6">SUMIFS($AD$18:$AD$35,$P$18:$P$35,$P5)</f>
        <v>0</v>
      </c>
      <c r="Z5">
        <f t="shared" ref="Z5:Z7" ca="1" si="7">SUMIFS($AE$18:$AE$35,$P$18:$P$35,$P5)</f>
        <v>0</v>
      </c>
      <c r="AA5" s="466">
        <f ca="1">IF($M19="",0,$M19)</f>
        <v>0</v>
      </c>
      <c r="AB5" s="466">
        <f>SUMIFS(FairPlayPoints1,FairPlayTeams1,$P5)+SUMIFS(FairPlayPoints2,FairPlayTeams2,$P5)</f>
        <v>0</v>
      </c>
      <c r="AC5" s="466" t="b">
        <f ca="1">(Q5+T5&gt;0)</f>
        <v>1</v>
      </c>
      <c r="AD5" s="313">
        <f ca="1">$Q5*FactorPts+(GDzero+$R5)*FactorGD+$S5*FactorFor</f>
        <v>40051040</v>
      </c>
      <c r="AE5" s="466">
        <f ca="1">IF(OR(AND($Y$11&gt;0,OR(AND($B$8=$P5,$J$8&gt;$L$8),AND($D$8=$P5,$J$8&lt;$L$8))),AND($Y$12&gt;0,OR(AND($B$9=$P5,$J$9&gt;$L$9),AND($D$9=$P5,$J$9&lt;$L$9)))),1,0)</f>
        <v>0</v>
      </c>
      <c r="AF5" s="466">
        <f>INDEX(Language!$D$5:$D$59,MATCH($P5,Language!$E$5:$E$59,0),1)</f>
        <v>10</v>
      </c>
    </row>
    <row r="6" spans="1:33" x14ac:dyDescent="0.25">
      <c r="B6" s="278" t="str">
        <f ca="1">INDIRECT("'"&amp;References!$A$1&amp;"'!"&amp;$B$1&amp;References!$G7)</f>
        <v>England</v>
      </c>
      <c r="C6" s="279" t="s">
        <v>36</v>
      </c>
      <c r="D6" s="280" t="str">
        <f ca="1">INDIRECT("'"&amp;References!$A$1&amp;"'!"&amp;$D$1&amp;References!$G7)</f>
        <v>Schottland</v>
      </c>
      <c r="E6" s="278">
        <f ca="1">IF(OR(INDIRECT("'"&amp;References!$A$1&amp;"'!"&amp;$B$1&amp;References!$H7)="",INDIRECT("'"&amp;References!$A$1&amp;"'!"&amp;$D$1&amp;References!$H7)=""),"",INDIRECT("'"&amp;References!$A$1&amp;"'!"&amp;$B$1&amp;References!$H7))</f>
        <v>0</v>
      </c>
      <c r="F6" s="279" t="s">
        <v>36</v>
      </c>
      <c r="G6" s="282">
        <f ca="1">IF(OR(INDIRECT("'"&amp;References!$A$1&amp;"'!"&amp;$B$1&amp;References!$H7)="",INDIRECT("'"&amp;References!$A$1&amp;"'!"&amp;$D$1&amp;References!$H7)=""),"",INDIRECT("'"&amp;References!$A$1&amp;"'!"&amp;$D$1&amp;References!$H7))</f>
        <v>0</v>
      </c>
      <c r="H6" s="489">
        <f t="shared" ca="1" si="0"/>
        <v>1</v>
      </c>
      <c r="I6" s="489">
        <f t="shared" ca="1" si="1"/>
        <v>1</v>
      </c>
      <c r="L6" s="35"/>
      <c r="M6" s="466">
        <f t="shared" ca="1" si="2"/>
        <v>1</v>
      </c>
      <c r="N6" s="466"/>
      <c r="O6" s="466" t="s">
        <v>34</v>
      </c>
      <c r="P6" s="44" t="str">
        <f>VLOOKUP($Q$1&amp;ROW($A3),Groups!$B$7:$D$35,3,0)</f>
        <v>Schottland</v>
      </c>
      <c r="Q6" s="466">
        <f t="shared" ca="1" si="3"/>
        <v>1</v>
      </c>
      <c r="R6" s="466">
        <f ca="1">S6-T6</f>
        <v>-4</v>
      </c>
      <c r="S6" s="466">
        <f ca="1">SUMIF($B$4:$B$9,$P6,$E$4:$E$9)+SUMIF($D$4:$D$9,$P6,$G$4:$G$9)</f>
        <v>1</v>
      </c>
      <c r="T6" s="466">
        <f ca="1">SUMIF($B$4:$B$9,$P6,$G$4:$G$9)+SUMIF($D$4:$D$9,$P6,$E$4:$E$9)</f>
        <v>5</v>
      </c>
      <c r="U6" s="466">
        <f t="shared" ca="1" si="4"/>
        <v>0</v>
      </c>
      <c r="V6" s="398">
        <f ca="1">$Q6*FactorPts+(GDzero+$R6)*FactorGD+$S6*FactorFor+$U6*FactorWins+$W6*FactorDirC3+$X6*FactorDirC2+$Y6*FactorDirC43+$Z6*FactorDirC42+$AA6*FactorDirC42+$AB6*FactorFairPlay+$AE6*FactorPenalty+(100-$AF6)*($M$10&gt;0)*FactorRank+(8-ROW())*FactorRow</f>
        <v>10046010.000071021</v>
      </c>
      <c r="W6" s="465">
        <f t="shared" ca="1" si="5"/>
        <v>0</v>
      </c>
      <c r="X6" s="465">
        <f ca="1">IF($L20="",0,$L20)+SUMIFS($Z$18:$Z$35,$P$18:$P$35,$P6)</f>
        <v>0</v>
      </c>
      <c r="Y6">
        <f t="shared" ca="1" si="6"/>
        <v>0</v>
      </c>
      <c r="Z6">
        <f t="shared" ca="1" si="7"/>
        <v>0</v>
      </c>
      <c r="AA6" s="466">
        <f ca="1">IF($M20="",0,$M20)</f>
        <v>0</v>
      </c>
      <c r="AB6" s="466">
        <f>SUMIFS(FairPlayPoints1,FairPlayTeams1,$P6)+SUMIFS(FairPlayPoints2,FairPlayTeams2,$P6)</f>
        <v>0</v>
      </c>
      <c r="AC6" s="466" t="b">
        <f ca="1">(Q6+T6&gt;0)</f>
        <v>1</v>
      </c>
      <c r="AD6" s="313">
        <f ca="1">$Q6*FactorPts+(GDzero+$R6)*FactorGD+$S6*FactorFor</f>
        <v>10046010</v>
      </c>
      <c r="AE6" s="466">
        <f ca="1">IF(OR(AND($Y$11&gt;0,OR(AND($B$8=$P6,$J$8&gt;$L$8),AND($D$8=$P6,$J$8&lt;$L$8))),AND($Y$12&gt;0,OR(AND($B$9=$P6,$J$9&gt;$L$9),AND($D$9=$P6,$J$9&lt;$L$9)))),1,0)</f>
        <v>0</v>
      </c>
      <c r="AF6" s="466">
        <f>INDEX(Language!$D$5:$D$59,MATCH($P6,Language!$E$5:$E$59,0),1)</f>
        <v>29</v>
      </c>
    </row>
    <row r="7" spans="1:33" x14ac:dyDescent="0.25">
      <c r="B7" s="278" t="str">
        <f ca="1">INDIRECT("'"&amp;References!$A$1&amp;"'!"&amp;$B$1&amp;References!$G8)</f>
        <v>Kroatien</v>
      </c>
      <c r="C7" s="279" t="s">
        <v>36</v>
      </c>
      <c r="D7" s="280" t="str">
        <f ca="1">INDIRECT("'"&amp;References!$A$1&amp;"'!"&amp;$D$1&amp;References!$G8)</f>
        <v>Tschechien</v>
      </c>
      <c r="E7" s="278">
        <f ca="1">IF(OR(INDIRECT("'"&amp;References!$A$1&amp;"'!"&amp;$B$1&amp;References!$H8)="",INDIRECT("'"&amp;References!$A$1&amp;"'!"&amp;$D$1&amp;References!$H8)=""),"",INDIRECT("'"&amp;References!$A$1&amp;"'!"&amp;$B$1&amp;References!$H8))</f>
        <v>1</v>
      </c>
      <c r="F7" s="279" t="s">
        <v>36</v>
      </c>
      <c r="G7" s="282">
        <f ca="1">IF(OR(INDIRECT("'"&amp;References!$A$1&amp;"'!"&amp;$B$1&amp;References!$H8)="",INDIRECT("'"&amp;References!$A$1&amp;"'!"&amp;$D$1&amp;References!$H8)=""),"",INDIRECT("'"&amp;References!$A$1&amp;"'!"&amp;$D$1&amp;References!$H8))</f>
        <v>1</v>
      </c>
      <c r="H7" s="489">
        <f t="shared" ca="1" si="0"/>
        <v>1</v>
      </c>
      <c r="I7" s="489">
        <f t="shared" ca="1" si="1"/>
        <v>1</v>
      </c>
      <c r="L7" s="35"/>
      <c r="M7" s="466">
        <f t="shared" ca="1" si="2"/>
        <v>1</v>
      </c>
      <c r="N7" s="466"/>
      <c r="O7" s="466" t="s">
        <v>35</v>
      </c>
      <c r="P7" s="44" t="str">
        <f>VLOOKUP($Q$1&amp;ROW($A4),Groups!$B$7:$D$35,3,0)</f>
        <v>Tschechien</v>
      </c>
      <c r="Q7" s="466">
        <f t="shared" ca="1" si="3"/>
        <v>4</v>
      </c>
      <c r="R7" s="466">
        <f ca="1">S7-T7</f>
        <v>1</v>
      </c>
      <c r="S7" s="466">
        <f ca="1">SUMIF($B$4:$B$9,$P7,$E$4:$E$9)+SUMIF($D$4:$D$9,$P7,$G$4:$G$9)</f>
        <v>3</v>
      </c>
      <c r="T7" s="466">
        <f ca="1">SUMIF($B$4:$B$9,$P7,$G$4:$G$9)+SUMIF($D$4:$D$9,$P7,$E$4:$E$9)</f>
        <v>2</v>
      </c>
      <c r="U7" s="466">
        <f t="shared" ca="1" si="4"/>
        <v>1</v>
      </c>
      <c r="V7" s="398">
        <f ca="1">$Q7*FactorPts+(GDzero+$R7)*FactorGD+$S7*FactorFor+$U7*FactorWins+$W7*FactorDirC3+$X7*FactorDirC2+$Y7*FactorDirC43+$Z7*FactorDirC42+$AA7*FactorDirC42+$AB7*FactorFairPlay+$AE7*FactorPenalty+(100-$AF7)*($M$10&gt;0)*FactorRank+(8-ROW())*FactorRow</f>
        <v>40151031.000082009</v>
      </c>
      <c r="W7" s="465">
        <f t="shared" ca="1" si="5"/>
        <v>0</v>
      </c>
      <c r="X7" s="465">
        <f ca="1">IF($L21="",0,$L21)+SUMIFS($Z$18:$Z$35,$P$18:$P$35,$P7)</f>
        <v>1</v>
      </c>
      <c r="Y7">
        <f t="shared" ca="1" si="6"/>
        <v>0</v>
      </c>
      <c r="Z7">
        <f t="shared" ca="1" si="7"/>
        <v>0</v>
      </c>
      <c r="AA7" s="466">
        <f ca="1">IF($M21="",0,$M21)</f>
        <v>0</v>
      </c>
      <c r="AB7" s="466">
        <f>SUMIFS(FairPlayPoints1,FairPlayTeams1,$P7)+SUMIFS(FairPlayPoints2,FairPlayTeams2,$P7)</f>
        <v>0</v>
      </c>
      <c r="AC7" s="466" t="b">
        <f ca="1">(Q7+T7&gt;0)</f>
        <v>1</v>
      </c>
      <c r="AD7" s="313">
        <f ca="1">$Q7*FactorPts+(GDzero+$R7)*FactorGD+$S7*FactorFor</f>
        <v>40051030</v>
      </c>
      <c r="AE7" s="466">
        <f ca="1">IF(OR(AND($Y$11&gt;0,OR(AND($B$8=$P7,$J$8&gt;$L$8),AND($D$8=$P7,$J$8&lt;$L$8))),AND($Y$12&gt;0,OR(AND($B$9=$P7,$J$9&gt;$L$9),AND($D$9=$P7,$J$9&lt;$L$9)))),1,0)</f>
        <v>0</v>
      </c>
      <c r="AF7" s="466">
        <f>INDEX(Language!$D$5:$D$59,MATCH($P7,Language!$E$5:$E$59,0),1)</f>
        <v>18</v>
      </c>
    </row>
    <row r="8" spans="1:33" x14ac:dyDescent="0.25">
      <c r="B8" s="278" t="str">
        <f ca="1">INDIRECT("'"&amp;References!$A$1&amp;"'!"&amp;$B$1&amp;References!$G9)</f>
        <v>Tschechien</v>
      </c>
      <c r="C8" s="279" t="s">
        <v>36</v>
      </c>
      <c r="D8" s="280" t="str">
        <f ca="1">INDIRECT("'"&amp;References!$A$1&amp;"'!"&amp;$D$1&amp;References!$G9)</f>
        <v>England</v>
      </c>
      <c r="E8" s="278">
        <f ca="1">IF(OR(INDIRECT("'"&amp;References!$A$1&amp;"'!"&amp;$B$1&amp;References!$H9)="",INDIRECT("'"&amp;References!$A$1&amp;"'!"&amp;$D$1&amp;References!$H9)=""),"",INDIRECT("'"&amp;References!$A$1&amp;"'!"&amp;$B$1&amp;References!$H9))</f>
        <v>0</v>
      </c>
      <c r="F8" s="279" t="s">
        <v>36</v>
      </c>
      <c r="G8" s="282">
        <f ca="1">IF(OR(INDIRECT("'"&amp;References!$A$1&amp;"'!"&amp;$B$1&amp;References!$H9)="",INDIRECT("'"&amp;References!$A$1&amp;"'!"&amp;$D$1&amp;References!$H9)=""),"",INDIRECT("'"&amp;References!$A$1&amp;"'!"&amp;$D$1&amp;References!$H9))</f>
        <v>1</v>
      </c>
      <c r="H8" s="489">
        <f t="shared" ca="1" si="0"/>
        <v>0</v>
      </c>
      <c r="I8" s="489">
        <f t="shared" ca="1" si="1"/>
        <v>3</v>
      </c>
      <c r="J8" t="str">
        <f ca="1">IF(OR(INDIRECT("'"&amp;References!$A$1&amp;"'!"&amp;$B$1&amp;(References!$H9+2))="",INDIRECT("'"&amp;References!$A$1&amp;"'!"&amp;$D$1&amp;(References!$H9+2))=""),"",INDIRECT("'"&amp;References!$A$1&amp;"'!"&amp;$B$1&amp;(References!$H9+2)))</f>
        <v/>
      </c>
      <c r="K8" s="531" t="s">
        <v>551</v>
      </c>
      <c r="L8" s="35" t="str">
        <f ca="1">IF(OR(INDIRECT("'"&amp;References!$A$1&amp;"'!"&amp;$B$1&amp;(References!$H9+2))="",INDIRECT("'"&amp;References!$A$1&amp;"'!"&amp;$D$1&amp;(References!$H9+2))=""),"",INDIRECT("'"&amp;References!$A$1&amp;"'!"&amp;$D$1&amp;(References!$H9+2)))</f>
        <v/>
      </c>
      <c r="M8" s="531">
        <f t="shared" ca="1" si="2"/>
        <v>1</v>
      </c>
      <c r="N8" s="531"/>
      <c r="O8" s="531"/>
      <c r="Z8" s="55"/>
    </row>
    <row r="9" spans="1:33" x14ac:dyDescent="0.25">
      <c r="B9" s="278" t="str">
        <f ca="1">INDIRECT("'"&amp;References!$A$1&amp;"'!"&amp;$B$1&amp;References!$G10)</f>
        <v>Kroatien</v>
      </c>
      <c r="C9" s="279" t="s">
        <v>36</v>
      </c>
      <c r="D9" s="280" t="str">
        <f ca="1">INDIRECT("'"&amp;References!$A$1&amp;"'!"&amp;$D$1&amp;References!$G10)</f>
        <v>Schottland</v>
      </c>
      <c r="E9" s="278">
        <f ca="1">IF(OR(INDIRECT("'"&amp;References!$A$1&amp;"'!"&amp;$B$1&amp;References!$H10)="",INDIRECT("'"&amp;References!$A$1&amp;"'!"&amp;$D$1&amp;References!$H10)=""),"",INDIRECT("'"&amp;References!$A$1&amp;"'!"&amp;$B$1&amp;References!$H10))</f>
        <v>3</v>
      </c>
      <c r="F9" s="279" t="s">
        <v>36</v>
      </c>
      <c r="G9" s="282">
        <f ca="1">IF(OR(INDIRECT("'"&amp;References!$A$1&amp;"'!"&amp;$B$1&amp;References!$H10)="",INDIRECT("'"&amp;References!$A$1&amp;"'!"&amp;$D$1&amp;References!$H10)=""),"",INDIRECT("'"&amp;References!$A$1&amp;"'!"&amp;$D$1&amp;References!$H10))</f>
        <v>1</v>
      </c>
      <c r="H9" s="489">
        <f t="shared" ca="1" si="0"/>
        <v>3</v>
      </c>
      <c r="I9" s="489">
        <f t="shared" ca="1" si="1"/>
        <v>0</v>
      </c>
      <c r="J9" t="str">
        <f ca="1">IF(OR(INDIRECT("'"&amp;References!$A$1&amp;"'!"&amp;$B$1&amp;(References!$H10+2))="",INDIRECT("'"&amp;References!$A$1&amp;"'!"&amp;$D$1&amp;(References!$H10+2))=""),"",INDIRECT("'"&amp;References!$A$1&amp;"'!"&amp;$B$1&amp;(References!$H10+2)))</f>
        <v/>
      </c>
      <c r="K9" s="531" t="s">
        <v>551</v>
      </c>
      <c r="L9" s="35" t="str">
        <f ca="1">IF(OR(INDIRECT("'"&amp;References!$A$1&amp;"'!"&amp;$B$1&amp;(References!$H10+2))="",INDIRECT("'"&amp;References!$A$1&amp;"'!"&amp;$D$1&amp;(References!$H10+2))=""),"",INDIRECT("'"&amp;References!$A$1&amp;"'!"&amp;$D$1&amp;(References!$H10+2)))</f>
        <v/>
      </c>
      <c r="M9" s="531">
        <f t="shared" ca="1" si="2"/>
        <v>1</v>
      </c>
      <c r="N9" s="531"/>
      <c r="O9" s="531"/>
      <c r="Z9" s="688" t="s">
        <v>537</v>
      </c>
      <c r="AA9" s="688"/>
      <c r="AB9" s="688"/>
      <c r="AC9" s="688"/>
      <c r="AD9" s="688"/>
      <c r="AE9" s="688"/>
    </row>
    <row r="10" spans="1:33" ht="15.75" thickBot="1" x14ac:dyDescent="0.3">
      <c r="L10" s="59" t="s">
        <v>217</v>
      </c>
      <c r="M10" s="61">
        <f ca="1">SUM($M$4:$M$9)</f>
        <v>6</v>
      </c>
      <c r="N10" s="141"/>
      <c r="O10" s="531"/>
      <c r="P10" s="227" t="s">
        <v>364</v>
      </c>
      <c r="Q10" s="56" t="s">
        <v>221</v>
      </c>
      <c r="R10" s="56" t="s">
        <v>218</v>
      </c>
      <c r="S10" s="56" t="s">
        <v>804</v>
      </c>
      <c r="T10" s="56" t="s">
        <v>805</v>
      </c>
      <c r="U10" s="56" t="s">
        <v>812</v>
      </c>
      <c r="V10" s="56" t="s">
        <v>222</v>
      </c>
      <c r="X10" s="78" t="s">
        <v>868</v>
      </c>
      <c r="Y10" s="56" t="s">
        <v>842</v>
      </c>
      <c r="Z10" s="56" t="s">
        <v>532</v>
      </c>
      <c r="AA10" s="56" t="s">
        <v>533</v>
      </c>
      <c r="AB10" s="56" t="s">
        <v>534</v>
      </c>
      <c r="AC10" s="56" t="s">
        <v>535</v>
      </c>
      <c r="AD10" s="56" t="s">
        <v>536</v>
      </c>
      <c r="AE10" s="56" t="s">
        <v>555</v>
      </c>
    </row>
    <row r="11" spans="1:33" ht="16.5" thickTop="1" thickBot="1" x14ac:dyDescent="0.3">
      <c r="B11" s="85"/>
      <c r="C11" s="489"/>
      <c r="D11" s="85"/>
      <c r="O11" s="42" t="s">
        <v>32</v>
      </c>
      <c r="P11" s="41" t="str">
        <f t="shared" ref="P11:U12" ca="1" si="8">INDEX(P$4:P$7,MATCH($V11,$V$4:$V$7,0))</f>
        <v>England</v>
      </c>
      <c r="Q11" s="271">
        <f t="shared" ca="1" si="8"/>
        <v>7</v>
      </c>
      <c r="R11" s="40">
        <f t="shared" ca="1" si="8"/>
        <v>2</v>
      </c>
      <c r="S11" s="40">
        <f t="shared" ca="1" si="8"/>
        <v>2</v>
      </c>
      <c r="T11" s="40">
        <f t="shared" ca="1" si="8"/>
        <v>0</v>
      </c>
      <c r="U11" s="40">
        <f t="shared" ca="1" si="8"/>
        <v>2</v>
      </c>
      <c r="V11" s="399">
        <f ca="1">LARGE($V$4:$V$7,ROW(A1))</f>
        <v>70052022.000097051</v>
      </c>
      <c r="X11" s="79">
        <f ca="1">IF(AND(OR(TRUNC($V$11,4)=TRUNC($V$12,4),TRUNC($V$11,4)=TRUNC($V$13,4),TRUNC($V$11,4)=TRUNC($V$14,4),TRUNC($V$12,4)=TRUNC($V$13,4),TRUNC($V$12,4)=TRUNC($V$14,4),TRUNC($V$13,4)=TRUNC($V$14,4)),$M$10&gt;0),1,0)</f>
        <v>0</v>
      </c>
      <c r="Y11" s="323">
        <f ca="1">IF(AND(VLOOKUP($B$8,$P$4:$AD$7,15,0)=VLOOKUP($D$8,$P$4:$AD$7,15,0),$E$8=$G$8,COUNTIF($Q$4:$Q$7,VLOOKUP($B$8,$P$4:$Q$7,2,0))=2,$M$10=6),1,0)</f>
        <v>0</v>
      </c>
      <c r="Z11" s="305" t="b">
        <f ca="1">VLOOKUP($P11,$E$18:$M$21,8,0)&lt;&gt;""</f>
        <v>0</v>
      </c>
      <c r="AA11" s="306" t="b">
        <f ca="1">VLOOKUP($P11,$E$18:$M$21,9,0)&lt;&gt;""</f>
        <v>0</v>
      </c>
      <c r="AB11" s="307" t="b">
        <f ca="1">SUMPRODUCT(1*(LEN($Z$18:$Z$35)&gt;0)*($P$18:$P$35=$P11))&gt;0</f>
        <v>0</v>
      </c>
      <c r="AC11" s="307" t="b">
        <f ca="1">SUMPRODUCT(1*(LEN($AE$18:$AE$35)&gt;0)*($P$18:$P$35=$P11))&gt;0</f>
        <v>0</v>
      </c>
      <c r="AD11" s="538" t="str">
        <f ca="1">IF($Z11,VLOOKUP($P11,$E$18:$M$21,8,0),IF($AA11,VLOOKUP($P11,$E$18:$M$21,9,0),IF($AB11,SUMIFS($Z$18:$Z$35,$P$18:$P$35,$P11),IF($AC11,SUMIFS($AE$18:$AE$35,$P$18:$P$35,$P11),""))))</f>
        <v/>
      </c>
      <c r="AE11" s="541" t="str">
        <f ca="1">IF(OR(AND($Y$11&gt;0,OR($B$8=$P11,$D$8=$P11)),AND($Y$12&gt;0,OR($B$9=$P11,$D$9=$P11))),SUMIF($B$8:$B$9,$P11,$J$8:$J$9)+SUMIF($D$8:$D$9,$P11,$L$8:$L$9),"")</f>
        <v/>
      </c>
    </row>
    <row r="12" spans="1:33" ht="15.75" thickTop="1" x14ac:dyDescent="0.25">
      <c r="B12" s="489"/>
      <c r="C12" s="489"/>
      <c r="D12" s="489"/>
      <c r="O12" s="39" t="s">
        <v>33</v>
      </c>
      <c r="P12" s="30" t="str">
        <f t="shared" ca="1" si="8"/>
        <v>Kroatien</v>
      </c>
      <c r="Q12" s="272">
        <f t="shared" ca="1" si="8"/>
        <v>4</v>
      </c>
      <c r="R12" s="530">
        <f t="shared" ca="1" si="8"/>
        <v>1</v>
      </c>
      <c r="S12" s="530">
        <f t="shared" ca="1" si="8"/>
        <v>4</v>
      </c>
      <c r="T12" s="530">
        <f t="shared" ca="1" si="8"/>
        <v>3</v>
      </c>
      <c r="U12" s="530">
        <f t="shared" ca="1" si="8"/>
        <v>1</v>
      </c>
      <c r="V12" s="400">
        <f ca="1">LARGE($V$4:$V$7,ROW(A2))</f>
        <v>40151041.000090033</v>
      </c>
      <c r="Y12" s="323">
        <f ca="1">IF(AND(VLOOKUP($B$9,$P$4:$AD$7,15,0)=VLOOKUP($D$9,$P$4:$AD$7,15,0),$E$9=$G$9,COUNTIF($Q$4:$Q$7,VLOOKUP($B$9,$P$4:$Q$7,2,0))=2,$M$10=6),1,0)</f>
        <v>0</v>
      </c>
      <c r="Z12" s="308" t="b">
        <f ca="1">VLOOKUP($P12,$E$18:$M$21,8,0)&lt;&gt;""</f>
        <v>1</v>
      </c>
      <c r="AA12" s="536" t="b">
        <f ca="1">VLOOKUP($P12,$E$18:$M$21,9,0)&lt;&gt;""</f>
        <v>0</v>
      </c>
      <c r="AB12" s="30" t="b">
        <f t="shared" ref="AB12:AB14" ca="1" si="9">SUMPRODUCT(1*(LEN($Z$18:$Z$35)&gt;0)*($P$18:$P$35=$P12))&gt;0</f>
        <v>0</v>
      </c>
      <c r="AC12" s="30" t="b">
        <f t="shared" ref="AC12:AC14" ca="1" si="10">SUMPRODUCT(1*(LEN($AE$18:$AE$35)&gt;0)*($P$18:$P$35=$P12))&gt;0</f>
        <v>0</v>
      </c>
      <c r="AD12" s="539">
        <f ca="1">IF($Z12,VLOOKUP($P12,$E$18:$M$21,8,0),IF($AA12,VLOOKUP($P12,$E$18:$M$21,9,0),IF($AB12,SUMIFS($Z$18:$Z$35,$P$18:$P$35,$P12),IF($AC12,SUMIFS($AE$18:$AE$35,$P$18:$P$35,$P12),""))))</f>
        <v>1</v>
      </c>
      <c r="AE12" s="542" t="str">
        <f ca="1">IF(OR(AND($Y$11&gt;0,OR($B$8=$P12,$D$8=$P12)),AND($Y$12&gt;0,OR($B$9=$P12,$D$9=$P12))),SUMIF($B$8:$B$9,$P12,$J$8:$J$9)+SUMIF($D$8:$D$9,$P12,$L$8:$L$9),"")</f>
        <v/>
      </c>
    </row>
    <row r="13" spans="1:33" x14ac:dyDescent="0.25">
      <c r="B13" s="489"/>
      <c r="C13" s="489"/>
      <c r="D13" s="60"/>
      <c r="O13" s="39" t="s">
        <v>34</v>
      </c>
      <c r="P13" s="30" t="str">
        <f t="shared" ref="P13:U14" ca="1" si="11">INDEX(P$4:P$7,MATCH($V13,$V$4:$V$7,0))</f>
        <v>Tschechien</v>
      </c>
      <c r="Q13" s="272">
        <f t="shared" ca="1" si="11"/>
        <v>4</v>
      </c>
      <c r="R13" s="465">
        <f t="shared" ca="1" si="11"/>
        <v>1</v>
      </c>
      <c r="S13" s="465">
        <f t="shared" ca="1" si="11"/>
        <v>3</v>
      </c>
      <c r="T13" s="465">
        <f t="shared" ca="1" si="11"/>
        <v>2</v>
      </c>
      <c r="U13" s="522">
        <f t="shared" ca="1" si="11"/>
        <v>1</v>
      </c>
      <c r="V13" s="400">
        <f ca="1">LARGE($V$4:$V$7,ROW(A3))</f>
        <v>40151031.000082009</v>
      </c>
      <c r="Z13" s="308" t="b">
        <f ca="1">VLOOKUP($P13,$E$18:$M$21,8,0)&lt;&gt;""</f>
        <v>1</v>
      </c>
      <c r="AA13" s="536" t="b">
        <f ca="1">VLOOKUP($P13,$E$18:$M$21,9,0)&lt;&gt;""</f>
        <v>0</v>
      </c>
      <c r="AB13" s="30" t="b">
        <f t="shared" ca="1" si="9"/>
        <v>0</v>
      </c>
      <c r="AC13" s="30" t="b">
        <f t="shared" ca="1" si="10"/>
        <v>0</v>
      </c>
      <c r="AD13" s="539">
        <f ca="1">IF($Z13,VLOOKUP($P13,$E$18:$M$21,8,0),IF($AA13,VLOOKUP($P13,$E$18:$M$21,9,0),IF($AB13,SUMIFS($Z$18:$Z$35,$P$18:$P$35,$P13),IF($AC13,SUMIFS($AE$18:$AE$35,$P$18:$P$35,$P13),""))))</f>
        <v>1</v>
      </c>
      <c r="AE13" s="542" t="str">
        <f ca="1">IF(OR(AND($Y$11&gt;0,OR($B$8=$P13,$D$8=$P13)),AND($Y$12&gt;0,OR($B$9=$P13,$D$9=$P13))),SUMIF($B$8:$B$9,$P13,$J$8:$J$9)+SUMIF($D$8:$D$9,$P13,$L$8:$L$9),"")</f>
        <v/>
      </c>
    </row>
    <row r="14" spans="1:33" ht="15.75" thickBot="1" x14ac:dyDescent="0.3">
      <c r="B14" s="489"/>
      <c r="C14" s="489"/>
      <c r="D14" s="60"/>
      <c r="F14" s="489"/>
      <c r="G14" s="35"/>
      <c r="O14" s="38" t="s">
        <v>35</v>
      </c>
      <c r="P14" s="37" t="str">
        <f t="shared" ca="1" si="11"/>
        <v>Schottland</v>
      </c>
      <c r="Q14" s="273">
        <f t="shared" ca="1" si="11"/>
        <v>1</v>
      </c>
      <c r="R14" s="36">
        <f t="shared" ca="1" si="11"/>
        <v>-4</v>
      </c>
      <c r="S14" s="36">
        <f t="shared" ca="1" si="11"/>
        <v>1</v>
      </c>
      <c r="T14" s="36">
        <f t="shared" ca="1" si="11"/>
        <v>5</v>
      </c>
      <c r="U14" s="36">
        <f t="shared" ca="1" si="11"/>
        <v>0</v>
      </c>
      <c r="V14" s="401">
        <f ca="1">LARGE($V$4:$V$7,ROW(A4))</f>
        <v>10046010.000071021</v>
      </c>
      <c r="Z14" s="309" t="b">
        <f ca="1">VLOOKUP($P14,$E$18:$M$21,8,0)&lt;&gt;""</f>
        <v>0</v>
      </c>
      <c r="AA14" s="310" t="b">
        <f ca="1">VLOOKUP($P14,$E$18:$M$21,9,0)&lt;&gt;""</f>
        <v>0</v>
      </c>
      <c r="AB14" s="311" t="b">
        <f t="shared" ca="1" si="9"/>
        <v>0</v>
      </c>
      <c r="AC14" s="311" t="b">
        <f t="shared" ca="1" si="10"/>
        <v>0</v>
      </c>
      <c r="AD14" s="540" t="str">
        <f ca="1">IF($Z14,VLOOKUP($P14,$E$18:$M$21,8,0),IF($AA14,VLOOKUP($P14,$E$18:$M$21,9,0),IF($AB14,SUMIFS($Z$18:$Z$35,$P$18:$P$35,$P14),IF($AC14,SUMIFS($AE$18:$AE$35,$P$18:$P$35,$P14),""))))</f>
        <v/>
      </c>
      <c r="AE14" s="543" t="str">
        <f ca="1">IF(OR(AND($Y$11&gt;0,OR($B$8=$P14,$D$8=$P14)),AND($Y$12&gt;0,OR($B$9=$P14,$D$9=$P14))),SUMIF($B$8:$B$9,$P14,$J$8:$J$9)+SUMIF($D$8:$D$9,$P14,$L$8:$L$9),"")</f>
        <v/>
      </c>
    </row>
    <row r="15" spans="1:33" ht="16.5" thickTop="1" thickBot="1" x14ac:dyDescent="0.3">
      <c r="B15" s="489"/>
      <c r="C15" s="489"/>
      <c r="D15" s="87"/>
      <c r="E15" s="30"/>
      <c r="F15" s="488"/>
      <c r="G15" s="80"/>
      <c r="H15" s="30"/>
      <c r="I15" s="30"/>
      <c r="J15" s="30"/>
      <c r="K15" s="30"/>
      <c r="L15" s="83"/>
      <c r="M15" s="56"/>
      <c r="N15" s="56"/>
    </row>
    <row r="16" spans="1:33" ht="15.75" thickBot="1" x14ac:dyDescent="0.3">
      <c r="B16" s="489"/>
      <c r="C16" s="489"/>
      <c r="D16" s="86"/>
      <c r="E16" s="84"/>
      <c r="F16" s="84"/>
      <c r="G16" s="686" t="s">
        <v>521</v>
      </c>
      <c r="H16" s="686"/>
      <c r="I16" s="686"/>
      <c r="J16" s="686"/>
      <c r="K16" s="686"/>
      <c r="L16" s="686"/>
      <c r="M16" s="66"/>
      <c r="N16" s="66"/>
      <c r="W16" s="677" t="s">
        <v>522</v>
      </c>
      <c r="X16" s="677"/>
      <c r="Y16" s="677"/>
      <c r="Z16" s="677"/>
      <c r="AD16" s="677" t="s">
        <v>523</v>
      </c>
      <c r="AE16" s="677"/>
      <c r="AF16" s="312" t="b">
        <f ca="1">AND($Q$4=$Q$5,$Q$4=$Q$6,$Q$4=$Q$7)</f>
        <v>0</v>
      </c>
    </row>
    <row r="17" spans="2:31" ht="16.5" thickTop="1" thickBot="1" x14ac:dyDescent="0.3">
      <c r="B17" s="489"/>
      <c r="C17" s="489"/>
      <c r="D17" s="488"/>
      <c r="E17" s="520"/>
      <c r="F17" s="520"/>
      <c r="G17" s="521"/>
      <c r="H17" s="40" t="str">
        <f>LEFT($P$4,3)</f>
        <v>Eng</v>
      </c>
      <c r="I17" s="40" t="str">
        <f>LEFT($P$5,3)</f>
        <v>Kro</v>
      </c>
      <c r="J17" s="40" t="str">
        <f>LEFT($P$6,3)</f>
        <v>Sch</v>
      </c>
      <c r="K17" s="133" t="str">
        <f>LEFT($P$7,3)</f>
        <v>Tsc</v>
      </c>
      <c r="L17" s="56" t="s">
        <v>520</v>
      </c>
      <c r="M17" s="56" t="s">
        <v>529</v>
      </c>
      <c r="N17" s="56"/>
      <c r="Q17" s="56" t="s">
        <v>221</v>
      </c>
      <c r="R17" s="56" t="s">
        <v>218</v>
      </c>
      <c r="S17" s="56" t="s">
        <v>804</v>
      </c>
      <c r="T17" s="56" t="s">
        <v>805</v>
      </c>
      <c r="U17" s="56"/>
      <c r="V17" s="56" t="s">
        <v>227</v>
      </c>
      <c r="W17" s="56" t="s">
        <v>806</v>
      </c>
      <c r="X17" s="66" t="s">
        <v>524</v>
      </c>
      <c r="Y17" s="56" t="s">
        <v>528</v>
      </c>
      <c r="Z17" s="56" t="s">
        <v>528</v>
      </c>
      <c r="AA17" s="678" t="s">
        <v>519</v>
      </c>
      <c r="AB17" s="678"/>
      <c r="AC17" s="678"/>
      <c r="AD17" s="66" t="s">
        <v>526</v>
      </c>
      <c r="AE17" s="56" t="s">
        <v>527</v>
      </c>
    </row>
    <row r="18" spans="2:31" ht="15.75" thickTop="1" x14ac:dyDescent="0.25">
      <c r="B18" s="466"/>
      <c r="C18" s="466"/>
      <c r="D18" s="465"/>
      <c r="E18" s="682" t="str">
        <f>$P$4</f>
        <v>England</v>
      </c>
      <c r="F18" s="683"/>
      <c r="G18" s="683"/>
      <c r="H18" s="132"/>
      <c r="I18" s="40">
        <f ca="1">SUMIFS($E$4:$E$9,$B$4:$B$9,$P$4,$D$4:$D$9,$P$5)+SUMIFS($G$4:$G$9,$B$4:$B$9,$P$5,$D$4:$D$9,$P$4)</f>
        <v>1</v>
      </c>
      <c r="J18" s="40">
        <f ca="1">SUMIFS($E$4:$E$9,$B$4:$B$9,$P$4,$D$4:$D$9,$P$6)+SUMIFS($G$4:$G$9,$B$4:$B$9,$P$6,$D$4:$D$9,$P$4)</f>
        <v>0</v>
      </c>
      <c r="K18" s="133">
        <f ca="1">SUMIFS($E$4:$E$9,$B$4:$B$9,$P$4,$D$4:$D$9,$P$7)+SUMIFS($G$4:$G$9,$B$4:$B$9,$P$7,$D$4:$D$9,$P$4)</f>
        <v>1</v>
      </c>
      <c r="L18" s="75" t="str">
        <f ca="1">IF(AND($Q$4=$Q$5,$Q$4&lt;&gt;$Q$6,$Q$4&lt;&gt;$Q$7),IF(I18&gt;H19,3,IF(I18=H19,1,0)),IF(AND($Q$4=$Q$6,$Q$4&lt;&gt;$Q$5,$Q$4&lt;&gt;$Q$7),IF(J18&gt;H20,3,IF(J18=H20,1,0)),IF(AND($Q$4=$Q$7,$Q$4&lt;&gt;$Q$5,$Q$4&lt;&gt;$Q$6),IF(K18&gt;H21,3,IF(K18=H21,1,0)),"")))</f>
        <v/>
      </c>
      <c r="M18" s="75" t="str">
        <f ca="1">IF($AF$16,IF(AND($AD$4=$AD$5,$AD$4&lt;&gt;$AD$6,$AD$4&lt;&gt;$AD$7),IF(I18&gt;H19,3,IF(I18=H19,1,0)),IF(AND($AD$4&lt;&gt;$AD$5,$AD$4=$AD$6,$AD$4&lt;&gt;$AD$7),IF(J18&gt;H20,3,IF(J18=H20,1,0)),IF(AND($AD$4&lt;&gt;$AD$5,$AD$4&lt;&gt;$AD$6,$AD$4=$AD$7),IF(K18&gt;H21,3,IF(K18=H21,1,0)),""))),"")</f>
        <v/>
      </c>
      <c r="N18" s="465"/>
      <c r="O18" s="466" t="s">
        <v>32</v>
      </c>
      <c r="P18" t="str">
        <f>$P$4</f>
        <v>England</v>
      </c>
      <c r="Q18" s="466">
        <f ca="1">SUMIFS($H$4:$H$9,$B$4:$B$9,$P18,$D$4:$D$9,"&lt;&gt;"&amp;$P$21)+SUMIFS($I$4:$I$9,$B$4:$B$9,"&lt;&gt;"&amp;$P$21,$D$4:$D$9,$P18)</f>
        <v>4</v>
      </c>
      <c r="R18" s="466">
        <f ca="1">S18-T18</f>
        <v>1</v>
      </c>
      <c r="S18" s="466">
        <f ca="1">SUMIFS($E$4:$E$9,$B$4:$B$9,$P18,$D$4:$D$9,"&lt;&gt;"&amp;$P$21)+SUMIFS($G$4:$G$9,$B$4:$B$9,"&lt;&gt;"&amp;$P$21,$D$4:$D$9,$P18)</f>
        <v>1</v>
      </c>
      <c r="T18" s="466">
        <f ca="1">SUMIFS($G$4:$G$9,$B$4:$B$9,$P18,$D$4:$D$9,"&lt;&gt;"&amp;$P$21)+SUMIFS($E$4:$E$9,$B$4:$B$9,"&lt;&gt;"&amp;$P$21,$D$4:$D$9,$P18)</f>
        <v>0</v>
      </c>
      <c r="U18" s="466"/>
      <c r="V18" s="300">
        <f ca="1">Q18*FactorPts+(GDzero+R18)*FactorGD+S18*FactorFor</f>
        <v>40051010</v>
      </c>
      <c r="W18" s="466">
        <f ca="1">RANK(V18,V$18:V$20,1)</f>
        <v>3</v>
      </c>
      <c r="X18" s="466">
        <f ca="1">IF(AND($Q$4=$Q$5,$Q$4=$Q$6,$Q$4&lt;&gt;$Q$7),W18,0)</f>
        <v>0</v>
      </c>
      <c r="Y18" s="466" t="str">
        <f ca="1">IF(AND(V18=V19,V18&lt;&gt;V20),IF(AA18&gt;AA19,3,IF(AA18=AA19,1,0)),IF(AND(V18=V20,V18&lt;&gt;V19),IF(AB18&gt;AB20,3,IF(AB18=AB20,1,0)),""))</f>
        <v/>
      </c>
      <c r="Z18" s="465" t="str">
        <f ca="1">IF(X18&gt;0,Y18,"")</f>
        <v/>
      </c>
      <c r="AA18" s="284">
        <f ca="1">$I$18</f>
        <v>1</v>
      </c>
      <c r="AB18" s="285">
        <f ca="1">$J$18</f>
        <v>0</v>
      </c>
      <c r="AC18" s="286"/>
      <c r="AD18" s="465">
        <f ca="1">IF(AND($AF$16,$AD$4=$AD$5,$AD$4=$AD$6,$AD$4&lt;&gt;$AD$7),W18,0)</f>
        <v>0</v>
      </c>
      <c r="AE18" s="465" t="str">
        <f ca="1">IF(AD18&gt;0,Y18,"")</f>
        <v/>
      </c>
    </row>
    <row r="19" spans="2:31" x14ac:dyDescent="0.25">
      <c r="B19" s="466"/>
      <c r="C19" s="466"/>
      <c r="D19" s="465"/>
      <c r="E19" s="684" t="str">
        <f>$P$5</f>
        <v>Kroatien</v>
      </c>
      <c r="F19" s="685"/>
      <c r="G19" s="685"/>
      <c r="H19" s="39">
        <f ca="1">SUMIFS($E$4:$E$9,$B$4:$B$9,$P$5,$D$4:$D$9,$P$4)+SUMIFS($G$4:$G$9,$B$4:$B$9,$P$4,$D$4:$D$9,$P$5)</f>
        <v>0</v>
      </c>
      <c r="I19" s="81"/>
      <c r="J19" s="465">
        <f ca="1">SUMIFS($E$4:$E$9,$B$4:$B$9,$P$5,$D$4:$D$9,$P$6)+SUMIFS($G$4:$G$9,$B$4:$B$9,$P$6,$D$4:$D$9,$P$5)</f>
        <v>3</v>
      </c>
      <c r="K19" s="57">
        <f ca="1">SUMIFS($E$4:$E$9,$B$4:$B$9,$P$5,$D$4:$D$9,$P$7)+SUMIFS($G$4:$G$9,$B$4:$B$9,$P$7,$D$4:$D$9,$P$5)</f>
        <v>1</v>
      </c>
      <c r="L19" s="76">
        <f ca="1">IF(AND($Q$5=$Q$4,$Q$5&lt;&gt;$Q$6,$Q$5&lt;&gt;$Q$7),IF(H19&gt;I18,3,IF(H19=I18,1,0)),IF(AND($Q$5=$Q$6,$Q$5&lt;&gt;$Q$4,$Q$5&lt;&gt;$Q$7),IF(J19&gt;I20,3,IF(J19=I20,1,0)),IF(AND($Q$5=$Q$7,$Q$5&lt;&gt;$Q$4,$Q$5&lt;&gt;$Q$6),IF(K19&gt;I21,3,IF(K19=I21,1,0)),"")))</f>
        <v>1</v>
      </c>
      <c r="M19" s="76" t="str">
        <f ca="1">IF($AF$16,IF(AND($AD$5=$AD$4,$AD$5&lt;&gt;$AD$6,$AD$5&lt;&gt;$AD$7),IF(H19&gt;I18,3,IF(H19=I18,1,0)),IF(AND($AD$5&lt;&gt;$AD$4,$AD$5=$AD$6,$AD$5&lt;&gt;$AD$7),IF(J19&gt;I20,3,IF(J19=I20,1,0)),IF(AND($AD$5&lt;&gt;$AD$4,$AD$5&lt;&gt;$AD$6,$AD$5=$AD$7),IF(K19&gt;I21,3,IF(K19=I21,1,0)),""))),"")</f>
        <v/>
      </c>
      <c r="N19" s="465"/>
      <c r="O19" s="466" t="s">
        <v>33</v>
      </c>
      <c r="P19" t="str">
        <f>$P$5</f>
        <v>Kroatien</v>
      </c>
      <c r="Q19" s="466">
        <f ca="1">SUMIFS($H$4:$H$9,$B$4:$B$9,$P19,$D$4:$D$9,"&lt;&gt;"&amp;$P$21)+SUMIFS($I$4:$I$9,$B$4:$B$9,"&lt;&gt;"&amp;$P$21,$D$4:$D$9,$P19)</f>
        <v>3</v>
      </c>
      <c r="R19" s="466">
        <f ca="1">S19-T19</f>
        <v>1</v>
      </c>
      <c r="S19" s="466">
        <f ca="1">SUMIFS($E$4:$E$9,$B$4:$B$9,$P19,$D$4:$D$9,"&lt;&gt;"&amp;$P$21)+SUMIFS($G$4:$G$9,$B$4:$B$9,"&lt;&gt;"&amp;$P$21,$D$4:$D$9,$P19)</f>
        <v>3</v>
      </c>
      <c r="T19" s="466">
        <f ca="1">SUMIFS($G$4:$G$9,$B$4:$B$9,$P19,$D$4:$D$9,"&lt;&gt;"&amp;$P$21)+SUMIFS($E$4:$E$9,$B$4:$B$9,"&lt;&gt;"&amp;$P$21,$D$4:$D$9,$P19)</f>
        <v>2</v>
      </c>
      <c r="U19" s="466"/>
      <c r="V19" s="300">
        <f ca="1">Q19*FactorPts+(GDzero+R19)*FactorGD+S19*FactorFor</f>
        <v>30051030</v>
      </c>
      <c r="W19" s="466">
        <f ca="1">RANK(V19,V$18:V$20,1)</f>
        <v>2</v>
      </c>
      <c r="X19" s="466">
        <f ca="1">IF(AND($Q$4=$Q$5,$Q$4=$Q$6,$Q$4&lt;&gt;$Q$7),W19,0)</f>
        <v>0</v>
      </c>
      <c r="Y19" s="466" t="str">
        <f ca="1">IF(AND(V19=V18,V19&lt;&gt;V20),IF(AA19&gt;AA18,3,IF(AA19=AA18,1,0)),IF(AND(V19=V20,V19&lt;&gt;V18),IF(AC19&gt;AC20,3,IF(AC19=AC20,1,0)),""))</f>
        <v/>
      </c>
      <c r="Z19" s="465" t="str">
        <f t="shared" ref="Z19:Z20" ca="1" si="12">IF(X19&gt;0,Y19,"")</f>
        <v/>
      </c>
      <c r="AA19" s="287">
        <f ca="1">$H$19</f>
        <v>0</v>
      </c>
      <c r="AB19" s="465"/>
      <c r="AC19" s="468">
        <f ca="1">$J$19</f>
        <v>3</v>
      </c>
      <c r="AD19" s="465">
        <f ca="1">IF(AND($AF$16,$AD$4=$AD$5,$AD$4=$AD$6,$AD$4&lt;&gt;$AD$7),W19,0)</f>
        <v>0</v>
      </c>
      <c r="AE19" s="465" t="str">
        <f t="shared" ref="AE19:AE20" ca="1" si="13">IF(AD19&gt;0,Y19,"")</f>
        <v/>
      </c>
    </row>
    <row r="20" spans="2:31" x14ac:dyDescent="0.25">
      <c r="D20" s="30"/>
      <c r="E20" s="684" t="str">
        <f>$P$6</f>
        <v>Schottland</v>
      </c>
      <c r="F20" s="685"/>
      <c r="G20" s="685"/>
      <c r="H20" s="39">
        <f ca="1">SUMIFS($E$4:$E$9,$B$4:$B$9,$P$6,$D$4:$D$9,$P$4)+SUMIFS($G$4:$G$9,$B$4:$B$9,$P$4,$D$4:$D$9,$P$6)</f>
        <v>0</v>
      </c>
      <c r="I20" s="465">
        <f ca="1">SUMIFS($E$4:$E$9,$B$4:$B$9,$P$6,$D$4:$D$9,$P$5)+SUMIFS($G$4:$G$9,$B$4:$B$9,$P$5,$D$4:$D$9,$P$6)</f>
        <v>1</v>
      </c>
      <c r="J20" s="81"/>
      <c r="K20" s="57">
        <f ca="1">SUMIFS($E$4:$E$9,$B$4:$B$9,$P$6,$D$4:$D$9,$P$7)+SUMIFS($G$4:$G$9,$B$4:$B$9,$P$7,$D$4:$D$9,$P$6)</f>
        <v>0</v>
      </c>
      <c r="L20" s="76" t="str">
        <f ca="1">IF(AND($Q$6=$Q$4,$Q$6&lt;&gt;$Q$5,$Q$6&lt;&gt;$Q$7),IF(H20&gt;J18,3,IF(H20=J18,1,0)),IF(AND($Q$6=$Q$5,$Q$6&lt;&gt;$Q$4,$Q$6&lt;&gt;$Q$7),IF(I20&gt;J19,3,IF(I20=J19,1,0)),IF(AND($Q$6=$Q$7,$Q$6&lt;&gt;$Q$4,$Q$6&lt;&gt;$Q$5),IF(K20&gt;J21,3,IF(K20=J21,1,0)),"")))</f>
        <v/>
      </c>
      <c r="M20" s="76" t="str">
        <f ca="1">IF($AF$16,IF(AND($AD$6=$AD$4,$AD$6&lt;&gt;$AD$5,$AD$6&lt;&gt;$AD$7),IF(H20&gt;J18,3,IF(H20=J18,1,0)),IF(AND($AD$6&lt;&gt;$AD$4,$AD$6=$AD$5,$AD$6&lt;&gt;$AD$7),IF(I20&gt;J19,3,IF(I20=J19,1,0)),IF(AND($AD$6&lt;&gt;$AD$4,$AD$6&lt;&gt;$AD$5,$AD$6=$AD$7),IF(K20&gt;J21,3,IF(K20=J21,1,0)),""))),"")</f>
        <v/>
      </c>
      <c r="N20" s="465"/>
      <c r="O20" s="466" t="s">
        <v>34</v>
      </c>
      <c r="P20" t="str">
        <f>$P$6</f>
        <v>Schottland</v>
      </c>
      <c r="Q20" s="466">
        <f ca="1">SUMIFS($H$4:$H$9,$B$4:$B$9,$P20,$D$4:$D$9,"&lt;&gt;"&amp;$P$21)+SUMIFS($I$4:$I$9,$B$4:$B$9,"&lt;&gt;"&amp;$P$21,$D$4:$D$9,$P20)</f>
        <v>1</v>
      </c>
      <c r="R20" s="466">
        <f ca="1">S20-T20</f>
        <v>-2</v>
      </c>
      <c r="S20" s="466">
        <f ca="1">SUMIFS($E$4:$E$9,$B$4:$B$9,$P20,$D$4:$D$9,"&lt;&gt;"&amp;$P$21)+SUMIFS($G$4:$G$9,$B$4:$B$9,"&lt;&gt;"&amp;$P$21,$D$4:$D$9,$P20)</f>
        <v>1</v>
      </c>
      <c r="T20" s="466">
        <f ca="1">SUMIFS($G$4:$G$9,$B$4:$B$9,$P20,$D$4:$D$9,"&lt;&gt;"&amp;$P$21)+SUMIFS($E$4:$E$9,$B$4:$B$9,"&lt;&gt;"&amp;$P$21,$D$4:$D$9,$P20)</f>
        <v>3</v>
      </c>
      <c r="U20" s="466"/>
      <c r="V20" s="300">
        <f ca="1">Q20*FactorPts+(GDzero+R20)*FactorGD+S20*FactorFor</f>
        <v>10048010</v>
      </c>
      <c r="W20" s="466">
        <f ca="1">RANK(V20,V$18:V$20,1)</f>
        <v>1</v>
      </c>
      <c r="X20" s="466">
        <f ca="1">IF(AND($Q$4=$Q$5,$Q$4=$Q$6,$Q$4&lt;&gt;$Q$7),W20,0)</f>
        <v>0</v>
      </c>
      <c r="Y20" s="466" t="str">
        <f ca="1">IF(AND(V20=V18,V20&lt;&gt;V19),IF(AB20&gt;AB18,3,IF(AB20=AB18,1,0)),IF(AND(V20=V19,V20&lt;&gt;V18),IF(AC20&gt;AC19,3,IF(AC20=AC19,1,0)),""))</f>
        <v/>
      </c>
      <c r="Z20" s="465" t="str">
        <f t="shared" ca="1" si="12"/>
        <v/>
      </c>
      <c r="AA20" s="287"/>
      <c r="AB20" s="465">
        <f ca="1">$H$20</f>
        <v>0</v>
      </c>
      <c r="AC20" s="468">
        <f ca="1">$I$20</f>
        <v>1</v>
      </c>
      <c r="AD20" s="465">
        <f ca="1">IF(AND($AF$16,$AD$4=$AD$5,$AD$4=$AD$6,$AD$4&lt;&gt;$AD$7),W20,0)</f>
        <v>0</v>
      </c>
      <c r="AE20" s="465" t="str">
        <f t="shared" ca="1" si="13"/>
        <v/>
      </c>
    </row>
    <row r="21" spans="2:31" ht="15.75" thickBot="1" x14ac:dyDescent="0.3">
      <c r="B21" s="49"/>
      <c r="C21" s="50"/>
      <c r="D21" s="51"/>
      <c r="E21" s="679" t="str">
        <f>$P$7</f>
        <v>Tschechien</v>
      </c>
      <c r="F21" s="680"/>
      <c r="G21" s="680"/>
      <c r="H21" s="38">
        <f ca="1">SUMIFS($E$4:$E$9,$B$4:$B$9,$P$7,$D$4:$D$9,$P$4)+SUMIFS($G$4:$G$9,$B$4:$B$9,$P$4,$D$4:$D$9,$P$7)</f>
        <v>0</v>
      </c>
      <c r="I21" s="36">
        <f ca="1">SUMIFS($E$4:$E$9,$B$4:$B$9,$P$7,$D$4:$D$9,$P$5)+SUMIFS($G$4:$G$9,$B$4:$B$9,$P$5,$D$4:$D$9,$P$7)</f>
        <v>1</v>
      </c>
      <c r="J21" s="36">
        <f ca="1">SUMIFS($E$4:$E$9,$B$4:$B$9,$P$7,$D$4:$D$9,$P$6)+SUMIFS($G$4:$G$9,$B$4:$B$9,$P$6,$D$4:$D$9,$P$7)</f>
        <v>2</v>
      </c>
      <c r="K21" s="82"/>
      <c r="L21" s="77">
        <f ca="1">IF(AND($Q$7=$Q$4,$Q$7&lt;&gt;$Q$5,$Q$7&lt;&gt;$Q$6),IF(H21&gt;K18,3,IF(H21=K18,1,0)),IF(AND($Q$7=$Q$5,$Q$7&lt;&gt;$Q$4,$Q$7&lt;&gt;$Q$6),IF(I21&gt;K19,3,IF(I21=K19,1,0)),IF(AND($Q$7=$Q$6,$Q$7&lt;&gt;$Q$4,$Q$7&lt;&gt;$Q$5),IF(J21&gt;K20,3,IF(J21=K20,1,0)),"")))</f>
        <v>1</v>
      </c>
      <c r="M21" s="77" t="str">
        <f ca="1">IF($AF$16,IF(AND($AD$7=$AD$4,$AD$7&lt;&gt;$AD$5,$AD$7&lt;&gt;$AD$6),IF(H21&gt;K18,3,IF(H21=K18,1,0)),IF(AND($AD$7&lt;&gt;$AD$4,$AD$7=$AD$5,$AD$7&lt;&gt;$AD$6),IF(I21&gt;K19,3,IF(I21=K19,1,0)),IF(AND($AD$7&lt;&gt;$AD$4,$AD$7&lt;&gt;$AD$5,$AD$7=$AD$6),IF(J21&gt;K20,3,IF(J21=K20,1,0)),""))),"")</f>
        <v/>
      </c>
      <c r="N21" s="465"/>
      <c r="P21" s="34" t="str">
        <f>$P$7</f>
        <v>Tschechien</v>
      </c>
      <c r="Q21" s="293"/>
      <c r="R21" s="293"/>
      <c r="S21" s="293"/>
      <c r="T21" s="293"/>
      <c r="U21" s="293"/>
      <c r="V21" s="294"/>
      <c r="W21" s="294"/>
      <c r="X21" s="293"/>
      <c r="Y21" s="293"/>
      <c r="Z21" s="295"/>
      <c r="AA21" s="296"/>
      <c r="AB21" s="295"/>
      <c r="AC21" s="297"/>
      <c r="AD21" s="298"/>
      <c r="AE21" s="295"/>
    </row>
    <row r="22" spans="2:31" ht="15.75" thickTop="1" x14ac:dyDescent="0.25">
      <c r="B22" s="49"/>
      <c r="C22" s="50"/>
      <c r="D22" s="51"/>
      <c r="F22" s="466"/>
      <c r="G22" s="35"/>
      <c r="L22" s="56"/>
      <c r="Q22" s="294"/>
      <c r="R22" s="294"/>
      <c r="S22" s="294"/>
      <c r="T22" s="294"/>
      <c r="U22" s="294"/>
      <c r="V22" s="294"/>
      <c r="W22" s="294"/>
      <c r="X22" s="293"/>
      <c r="Y22" s="293"/>
      <c r="Z22" s="295"/>
      <c r="AA22" s="296"/>
      <c r="AB22" s="295"/>
      <c r="AC22" s="297"/>
      <c r="AD22" s="298"/>
      <c r="AE22" s="295"/>
    </row>
    <row r="23" spans="2:31" x14ac:dyDescent="0.25">
      <c r="B23" s="43"/>
      <c r="C23" s="466"/>
      <c r="O23" s="466" t="s">
        <v>32</v>
      </c>
      <c r="P23" t="str">
        <f>$P$4</f>
        <v>England</v>
      </c>
      <c r="Q23" s="466">
        <f ca="1">SUMIFS($H$4:$H$9,$B$4:$B$9,$P23,$D$4:$D$9,"&lt;&gt;"&amp;$P$26)+SUMIFS($I$4:$I$9,$B$4:$B$9,"&lt;&gt;"&amp;$P$26,$D$4:$D$9,$P23)</f>
        <v>6</v>
      </c>
      <c r="R23" s="466">
        <f ca="1">S23-T23</f>
        <v>2</v>
      </c>
      <c r="S23" s="466">
        <f ca="1">SUMIFS($E$4:$E$9,$B$4:$B$9,$P23,$D$4:$D$9,"&lt;&gt;"&amp;$P$26)+SUMIFS($G$4:$G$9,$B$4:$B$9,"&lt;&gt;"&amp;$P$26,$D$4:$D$9,$P23)</f>
        <v>2</v>
      </c>
      <c r="T23" s="466">
        <f ca="1">SUMIFS($G$4:$G$9,$B$4:$B$9,$P23,$D$4:$D$9,"&lt;&gt;"&amp;$P$26)+SUMIFS($E$4:$E$9,$B$4:$B$9,"&lt;&gt;"&amp;$P$26,$D$4:$D$9,$P23)</f>
        <v>0</v>
      </c>
      <c r="U23" s="466"/>
      <c r="V23" s="300">
        <f ca="1">Q23*FactorPts+(GDzero+R23)*FactorGD+S23*FactorFor</f>
        <v>60052020</v>
      </c>
      <c r="W23" s="466">
        <f ca="1">RANK(V23,V$23:V$25,1)</f>
        <v>3</v>
      </c>
      <c r="X23" s="466">
        <f ca="1">IF(AND($Q$4=$Q$5,$Q$4=$Q$7,$Q$4&lt;&gt;$Q$6),W23,0)</f>
        <v>0</v>
      </c>
      <c r="Y23" s="466" t="str">
        <f ca="1">IF(AND(V23=V24,V23&lt;&gt;V25),IF(AA23&gt;AA24,3,IF(AA23=AA24,1,0)),IF(AND(V23=V25,V23&lt;&gt;V24),IF(AB23&gt;AB25,3,IF(AB23=AB25,1,0)),""))</f>
        <v/>
      </c>
      <c r="Z23" s="465" t="str">
        <f ca="1">IF(X23&gt;0,Y23,"")</f>
        <v/>
      </c>
      <c r="AA23" s="287">
        <f ca="1">$I$18</f>
        <v>1</v>
      </c>
      <c r="AB23" s="465">
        <f ca="1">$K$18</f>
        <v>1</v>
      </c>
      <c r="AC23" s="468"/>
      <c r="AD23" s="465">
        <f ca="1">IF(AND($AF$16,$AD$4=$AD$5,$AD$4=$AD$7,$AD$4&lt;&gt;$AD$6),W23,0)</f>
        <v>0</v>
      </c>
      <c r="AE23" s="465" t="str">
        <f ca="1">IF(AD23&gt;0,Y23,"")</f>
        <v/>
      </c>
    </row>
    <row r="24" spans="2:31" x14ac:dyDescent="0.25">
      <c r="B24" s="43"/>
      <c r="C24" s="466"/>
      <c r="O24" s="466" t="s">
        <v>33</v>
      </c>
      <c r="P24" t="str">
        <f>$P$5</f>
        <v>Kroatien</v>
      </c>
      <c r="Q24" s="466">
        <f ca="1">SUMIFS($H$4:$H$9,$B$4:$B$9,$P24,$D$4:$D$9,"&lt;&gt;"&amp;$P$26)+SUMIFS($I$4:$I$9,$B$4:$B$9,"&lt;&gt;"&amp;$P$26,$D$4:$D$9,$P24)</f>
        <v>1</v>
      </c>
      <c r="R24" s="466">
        <f ca="1">S24-T24</f>
        <v>-1</v>
      </c>
      <c r="S24" s="466">
        <f ca="1">SUMIFS($E$4:$E$9,$B$4:$B$9,$P24,$D$4:$D$9,"&lt;&gt;"&amp;$P$26)+SUMIFS($G$4:$G$9,$B$4:$B$9,"&lt;&gt;"&amp;$P$26,$D$4:$D$9,$P24)</f>
        <v>1</v>
      </c>
      <c r="T24" s="466">
        <f ca="1">SUMIFS($G$4:$G$9,$B$4:$B$9,$P24,$D$4:$D$9,"&lt;&gt;"&amp;$P$26)+SUMIFS($E$4:$E$9,$B$4:$B$9,"&lt;&gt;"&amp;$P$26,$D$4:$D$9,$P24)</f>
        <v>2</v>
      </c>
      <c r="U24" s="466"/>
      <c r="V24" s="300">
        <f ca="1">Q24*FactorPts+(GDzero+R24)*FactorGD+S24*FactorFor</f>
        <v>10049010</v>
      </c>
      <c r="W24" s="466">
        <f ca="1">RANK(V24,V$23:V$25,1)</f>
        <v>1</v>
      </c>
      <c r="X24" s="466">
        <f ca="1">IF(AND($Q$4=$Q$5,$Q$4=$Q$7,$Q$4&lt;&gt;$Q$6),W24,0)</f>
        <v>0</v>
      </c>
      <c r="Y24" s="466">
        <f ca="1">IF(AND(V24=V23,V24&lt;&gt;V25),IF(AA24&gt;AA23,3,IF(AA24=AA23,1,0)),IF(AND(V24=V25,V24&lt;&gt;V23),IF(AC24&gt;AC25,3,IF(AC24=AC25,1,0)),""))</f>
        <v>1</v>
      </c>
      <c r="Z24" s="465" t="str">
        <f t="shared" ref="Z24:Z25" ca="1" si="14">IF(X24&gt;0,Y24,"")</f>
        <v/>
      </c>
      <c r="AA24" s="287">
        <f ca="1">$H$19</f>
        <v>0</v>
      </c>
      <c r="AB24" s="465"/>
      <c r="AC24" s="468">
        <f ca="1">$K$19</f>
        <v>1</v>
      </c>
      <c r="AD24" s="465">
        <f ca="1">IF(AND($AF$16,$AD$4=$AD$5,$AD$4=$AD$7,$AD$4&lt;&gt;$AD$6),W24,0)</f>
        <v>0</v>
      </c>
      <c r="AE24" s="465" t="str">
        <f t="shared" ref="AE24:AE25" ca="1" si="15">IF(AD24&gt;0,Y24,"")</f>
        <v/>
      </c>
    </row>
    <row r="25" spans="2:31" x14ac:dyDescent="0.25">
      <c r="B25" s="43"/>
      <c r="C25" s="466"/>
      <c r="O25" s="466" t="s">
        <v>34</v>
      </c>
      <c r="P25" t="str">
        <f>$P$7</f>
        <v>Tschechien</v>
      </c>
      <c r="Q25" s="466">
        <f ca="1">SUMIFS($H$4:$H$9,$B$4:$B$9,$P25,$D$4:$D$9,"&lt;&gt;"&amp;$P$26)+SUMIFS($I$4:$I$9,$B$4:$B$9,"&lt;&gt;"&amp;$P$26,$D$4:$D$9,$P25)</f>
        <v>1</v>
      </c>
      <c r="R25" s="466">
        <f ca="1">S25-T25</f>
        <v>-1</v>
      </c>
      <c r="S25" s="466">
        <f ca="1">SUMIFS($E$4:$E$9,$B$4:$B$9,$P25,$D$4:$D$9,"&lt;&gt;"&amp;$P$26)+SUMIFS($G$4:$G$9,$B$4:$B$9,"&lt;&gt;"&amp;$P$26,$D$4:$D$9,$P25)</f>
        <v>1</v>
      </c>
      <c r="T25" s="466">
        <f ca="1">SUMIFS($G$4:$G$9,$B$4:$B$9,$P25,$D$4:$D$9,"&lt;&gt;"&amp;$P$26)+SUMIFS($E$4:$E$9,$B$4:$B$9,"&lt;&gt;"&amp;$P$26,$D$4:$D$9,$P25)</f>
        <v>2</v>
      </c>
      <c r="U25" s="466"/>
      <c r="V25" s="300">
        <f ca="1">Q25*FactorPts+(GDzero+R25)*FactorGD+S25*FactorFor</f>
        <v>10049010</v>
      </c>
      <c r="W25" s="466">
        <f ca="1">RANK(V25,V$23:V$25,1)</f>
        <v>1</v>
      </c>
      <c r="X25" s="466">
        <f ca="1">IF(AND($Q$4=$Q$5,$Q$4=$Q$7,$Q$4&lt;&gt;$Q$6),W25,0)</f>
        <v>0</v>
      </c>
      <c r="Y25" s="466">
        <f ca="1">IF(AND(V25=V23,V25&lt;&gt;V24),IF(AB25&gt;AB23,3,IF(AB25=AB23,1,0)),IF(AND(V25=V24,V25&lt;&gt;V23),IF(AC25&gt;AC24,3,IF(AC25=AC24,1,0)),""))</f>
        <v>1</v>
      </c>
      <c r="Z25" s="465" t="str">
        <f t="shared" ca="1" si="14"/>
        <v/>
      </c>
      <c r="AA25" s="287"/>
      <c r="AB25" s="465">
        <f ca="1">$H$21</f>
        <v>0</v>
      </c>
      <c r="AC25" s="468">
        <f ca="1">$I$21</f>
        <v>1</v>
      </c>
      <c r="AD25" s="465">
        <f ca="1">IF(AND($AF$16,$AD$4=$AD$5,$AD$4=$AD$7,$AD$4&lt;&gt;$AD$6),W25,0)</f>
        <v>0</v>
      </c>
      <c r="AE25" s="465" t="str">
        <f t="shared" ca="1" si="15"/>
        <v/>
      </c>
    </row>
    <row r="26" spans="2:31" x14ac:dyDescent="0.25">
      <c r="B26" s="43"/>
      <c r="C26" s="466"/>
      <c r="P26" s="34" t="str">
        <f>$P$6</f>
        <v>Schottland</v>
      </c>
      <c r="Q26" s="293"/>
      <c r="R26" s="293"/>
      <c r="S26" s="293"/>
      <c r="T26" s="293"/>
      <c r="U26" s="293"/>
      <c r="V26" s="294"/>
      <c r="W26" s="294"/>
      <c r="X26" s="293"/>
      <c r="Y26" s="293"/>
      <c r="Z26" s="295"/>
      <c r="AA26" s="296"/>
      <c r="AB26" s="295"/>
      <c r="AC26" s="297"/>
      <c r="AD26" s="298"/>
      <c r="AE26" s="295"/>
    </row>
    <row r="27" spans="2:31" x14ac:dyDescent="0.25">
      <c r="Q27" s="294"/>
      <c r="R27" s="294"/>
      <c r="S27" s="294"/>
      <c r="T27" s="294"/>
      <c r="U27" s="294"/>
      <c r="V27" s="294"/>
      <c r="W27" s="294"/>
      <c r="X27" s="293"/>
      <c r="Y27" s="293"/>
      <c r="Z27" s="295"/>
      <c r="AA27" s="296"/>
      <c r="AB27" s="295"/>
      <c r="AC27" s="297"/>
      <c r="AD27" s="298"/>
      <c r="AE27" s="295"/>
    </row>
    <row r="28" spans="2:31" x14ac:dyDescent="0.25">
      <c r="O28" s="466" t="s">
        <v>32</v>
      </c>
      <c r="P28" t="str">
        <f>$P$4</f>
        <v>England</v>
      </c>
      <c r="Q28" s="466">
        <f ca="1">SUMIFS($H$4:$H$9,$B$4:$B$9,$P28,$D$4:$D$9,"&lt;&gt;"&amp;$P$31)+SUMIFS($I$4:$I$9,$B$4:$B$9,"&lt;&gt;"&amp;$P$31,$D$4:$D$9,$P28)</f>
        <v>4</v>
      </c>
      <c r="R28" s="466">
        <f ca="1">S28-T28</f>
        <v>1</v>
      </c>
      <c r="S28" s="466">
        <f ca="1">SUMIFS($E$4:$E$9,$B$4:$B$9,$P28,$D$4:$D$9,"&lt;&gt;"&amp;$P$31)+SUMIFS($G$4:$G$9,$B$4:$B$9,"&lt;&gt;"&amp;$P$31,$D$4:$D$9,$P28)</f>
        <v>1</v>
      </c>
      <c r="T28" s="466">
        <f ca="1">SUMIFS($G$4:$G$9,$B$4:$B$9,$P28,$D$4:$D$9,"&lt;&gt;"&amp;$P$31)+SUMIFS($E$4:$E$9,$B$4:$B$9,"&lt;&gt;"&amp;$P$31,$D$4:$D$9,$P28)</f>
        <v>0</v>
      </c>
      <c r="U28" s="466"/>
      <c r="V28" s="300">
        <f ca="1">Q28*FactorPts+(GDzero+R28)*FactorGD+S28*FactorFor</f>
        <v>40051010</v>
      </c>
      <c r="W28" s="466">
        <f ca="1">_xlfn.RANK.EQ(V28,V$28:V$30,1)</f>
        <v>3</v>
      </c>
      <c r="X28" s="466">
        <f ca="1">IF(AND($Q$4=$Q$6,$Q$4=$Q$7,$Q$4&lt;&gt;$Q$5),W28,0)</f>
        <v>0</v>
      </c>
      <c r="Y28" s="466" t="str">
        <f ca="1">IF(AND(V28=V29,V28&lt;&gt;V30),IF(AA28&gt;AA29,3,IF(AA28=AA29,1,0)),IF(AND(V28=V30,V28&lt;&gt;V29),IF(AB28&gt;AB30,3,IF(AB28=AB30,1,0)),""))</f>
        <v/>
      </c>
      <c r="Z28" s="465" t="str">
        <f ca="1">IF(X28&gt;0,Y28,"")</f>
        <v/>
      </c>
      <c r="AA28" s="287">
        <f ca="1">$J$18</f>
        <v>0</v>
      </c>
      <c r="AB28" s="465">
        <f ca="1">$K$18</f>
        <v>1</v>
      </c>
      <c r="AC28" s="468"/>
      <c r="AD28" s="465">
        <f ca="1">IF(AND($AF$16,$AD$4=$AD$6,$AD$4=$AD$7,$AD$4&lt;&gt;$AD$5),W28,0)</f>
        <v>0</v>
      </c>
      <c r="AE28" s="465" t="str">
        <f ca="1">IF(AD28&gt;0,Y28,"")</f>
        <v/>
      </c>
    </row>
    <row r="29" spans="2:31" x14ac:dyDescent="0.25">
      <c r="O29" s="466" t="s">
        <v>33</v>
      </c>
      <c r="P29" t="str">
        <f>$P$6</f>
        <v>Schottland</v>
      </c>
      <c r="Q29" s="466">
        <f ca="1">SUMIFS($H$4:$H$9,$B$4:$B$9,$P29,$D$4:$D$9,"&lt;&gt;"&amp;$P$31)+SUMIFS($I$4:$I$9,$B$4:$B$9,"&lt;&gt;"&amp;$P$31,$D$4:$D$9,$P29)</f>
        <v>1</v>
      </c>
      <c r="R29" s="466">
        <f ca="1">S29-T29</f>
        <v>-2</v>
      </c>
      <c r="S29" s="466">
        <f ca="1">SUMIFS($E$4:$E$9,$B$4:$B$9,$P29,$D$4:$D$9,"&lt;&gt;"&amp;$P$31)+SUMIFS($G$4:$G$9,$B$4:$B$9,"&lt;&gt;"&amp;$P$31,$D$4:$D$9,$P29)</f>
        <v>0</v>
      </c>
      <c r="T29" s="466">
        <f ca="1">SUMIFS($G$4:$G$9,$B$4:$B$9,$P29,$D$4:$D$9,"&lt;&gt;"&amp;$P$31)+SUMIFS($E$4:$E$9,$B$4:$B$9,"&lt;&gt;"&amp;$P$31,$D$4:$D$9,$P29)</f>
        <v>2</v>
      </c>
      <c r="U29" s="466"/>
      <c r="V29" s="300">
        <f ca="1">Q29*FactorPts+(GDzero+R29)*FactorGD+S29*FactorFor</f>
        <v>10048000</v>
      </c>
      <c r="W29" s="466">
        <f ca="1">_xlfn.RANK.EQ(V29,V$28:V$30,1)</f>
        <v>1</v>
      </c>
      <c r="X29" s="466">
        <f ca="1">IF(AND($Q$4=$Q$6,$Q$4=$Q$7,$Q$4&lt;&gt;$Q$5),W29,0)</f>
        <v>0</v>
      </c>
      <c r="Y29" s="466" t="str">
        <f ca="1">IF(AND(V29=V28,V29&lt;&gt;V30),IF(AA29&gt;AA28,3,IF(AA29=AA28,1,0)),IF(AND(V29=V30,V29&lt;&gt;V28),IF(AC29&gt;AC30,3,IF(AC29=AC30,1,0)),""))</f>
        <v/>
      </c>
      <c r="Z29" s="465" t="str">
        <f t="shared" ref="Z29:Z30" ca="1" si="16">IF(X29&gt;0,Y29,"")</f>
        <v/>
      </c>
      <c r="AA29" s="287">
        <f ca="1">$H$20</f>
        <v>0</v>
      </c>
      <c r="AB29" s="465"/>
      <c r="AC29" s="468">
        <f ca="1">$K$20</f>
        <v>0</v>
      </c>
      <c r="AD29" s="465">
        <f ca="1">IF(AND($AF$16,$AD$4=$AD$6,$AD$4=$AD$7,$AD$4&lt;&gt;$AD$5),W29,0)</f>
        <v>0</v>
      </c>
      <c r="AE29" s="465" t="str">
        <f t="shared" ref="AE29:AE30" ca="1" si="17">IF(AD29&gt;0,Y29,"")</f>
        <v/>
      </c>
    </row>
    <row r="30" spans="2:31" x14ac:dyDescent="0.25">
      <c r="O30" s="466" t="s">
        <v>34</v>
      </c>
      <c r="P30" t="str">
        <f>$P$7</f>
        <v>Tschechien</v>
      </c>
      <c r="Q30" s="466">
        <f ca="1">SUMIFS($H$4:$H$9,$B$4:$B$9,$P30,$D$4:$D$9,"&lt;&gt;"&amp;$P$31)+SUMIFS($I$4:$I$9,$B$4:$B$9,"&lt;&gt;"&amp;$P$31,$D$4:$D$9,$P30)</f>
        <v>3</v>
      </c>
      <c r="R30" s="466">
        <f ca="1">S30-T30</f>
        <v>1</v>
      </c>
      <c r="S30" s="466">
        <f ca="1">SUMIFS($E$4:$E$9,$B$4:$B$9,$P30,$D$4:$D$9,"&lt;&gt;"&amp;$P$31)+SUMIFS($G$4:$G$9,$B$4:$B$9,"&lt;&gt;"&amp;$P$31,$D$4:$D$9,$P30)</f>
        <v>2</v>
      </c>
      <c r="T30" s="466">
        <f ca="1">SUMIFS($G$4:$G$9,$B$4:$B$9,$P30,$D$4:$D$9,"&lt;&gt;"&amp;$P$31)+SUMIFS($E$4:$E$9,$B$4:$B$9,"&lt;&gt;"&amp;$P$31,$D$4:$D$9,$P30)</f>
        <v>1</v>
      </c>
      <c r="U30" s="466"/>
      <c r="V30" s="300">
        <f ca="1">Q30*FactorPts+(GDzero+R30)*FactorGD+S30*FactorFor</f>
        <v>30051020</v>
      </c>
      <c r="W30" s="466">
        <f ca="1">_xlfn.RANK.EQ(V30,V$28:V$30,1)</f>
        <v>2</v>
      </c>
      <c r="X30" s="466">
        <f ca="1">IF(AND($Q$4=$Q$6,$Q$4=$Q$7,$Q$4&lt;&gt;$Q$5),W30,0)</f>
        <v>0</v>
      </c>
      <c r="Y30" s="466" t="str">
        <f ca="1">IF(AND(V30=V28,V30&lt;&gt;V29),IF(AB30&gt;AB28,3,IF(AB30=AB28,1,0)),IF(AND(V30=V29,V30&lt;&gt;V28),IF(AC30&gt;AC29,3,IF(AC30=AC29,1,0)),""))</f>
        <v/>
      </c>
      <c r="Z30" s="465" t="str">
        <f t="shared" ca="1" si="16"/>
        <v/>
      </c>
      <c r="AA30" s="287"/>
      <c r="AB30" s="465">
        <f ca="1">$H$21</f>
        <v>0</v>
      </c>
      <c r="AC30" s="468">
        <f ca="1">$J$21</f>
        <v>2</v>
      </c>
      <c r="AD30" s="465">
        <f ca="1">IF(AND($AF$16,$AD$4=$AD$6,$AD$4=$AD$7,$AD$4&lt;&gt;$AD$5),W30,0)</f>
        <v>0</v>
      </c>
      <c r="AE30" s="465" t="str">
        <f t="shared" ca="1" si="17"/>
        <v/>
      </c>
    </row>
    <row r="31" spans="2:31" x14ac:dyDescent="0.25">
      <c r="P31" s="34" t="str">
        <f>$P$5</f>
        <v>Kroatien</v>
      </c>
      <c r="Q31" s="293"/>
      <c r="R31" s="293"/>
      <c r="S31" s="293"/>
      <c r="T31" s="293"/>
      <c r="U31" s="293"/>
      <c r="V31" s="294"/>
      <c r="W31" s="294"/>
      <c r="X31" s="293"/>
      <c r="Y31" s="293"/>
      <c r="Z31" s="295"/>
      <c r="AA31" s="296"/>
      <c r="AB31" s="295"/>
      <c r="AC31" s="297"/>
      <c r="AD31" s="298"/>
      <c r="AE31" s="295"/>
    </row>
    <row r="32" spans="2:31" x14ac:dyDescent="0.25">
      <c r="Q32" s="294"/>
      <c r="R32" s="294"/>
      <c r="S32" s="294"/>
      <c r="T32" s="294"/>
      <c r="U32" s="294"/>
      <c r="V32" s="294"/>
      <c r="W32" s="294"/>
      <c r="X32" s="293"/>
      <c r="Y32" s="293"/>
      <c r="Z32" s="295"/>
      <c r="AA32" s="296"/>
      <c r="AB32" s="295"/>
      <c r="AC32" s="297"/>
      <c r="AD32" s="298"/>
      <c r="AE32" s="295"/>
    </row>
    <row r="33" spans="15:31" x14ac:dyDescent="0.25">
      <c r="O33" s="466" t="s">
        <v>32</v>
      </c>
      <c r="P33" t="str">
        <f>$P$5</f>
        <v>Kroatien</v>
      </c>
      <c r="Q33" s="466">
        <f ca="1">SUMIFS($H$4:$H$9,$B$4:$B$9,$P33,$D$4:$D$9,"&lt;&gt;"&amp;$P$36)+SUMIFS($I$4:$I$9,$B$4:$B$9,"&lt;&gt;"&amp;$P$36,$D$4:$D$9,$P33)</f>
        <v>4</v>
      </c>
      <c r="R33" s="466">
        <f ca="1">S33-T33</f>
        <v>2</v>
      </c>
      <c r="S33" s="466">
        <f ca="1">SUMIFS($E$4:$E$9,$B$4:$B$9,$P33,$D$4:$D$9,"&lt;&gt;"&amp;$P$36)+SUMIFS($G$4:$G$9,$B$4:$B$9,"&lt;&gt;"&amp;$P$36,$D$4:$D$9,$P33)</f>
        <v>4</v>
      </c>
      <c r="T33" s="466">
        <f ca="1">SUMIFS($G$4:$G$9,$B$4:$B$9,$P33,$D$4:$D$9,"&lt;&gt;"&amp;$P$36)+SUMIFS($E$4:$E$9,$B$4:$B$9,"&lt;&gt;"&amp;$P$36,$D$4:$D$9,$P33)</f>
        <v>2</v>
      </c>
      <c r="U33" s="466"/>
      <c r="V33" s="300">
        <f ca="1">Q33*FactorPts+(GDzero+R33)*FactorGD+S33*FactorFor</f>
        <v>40052040</v>
      </c>
      <c r="W33" s="466">
        <f ca="1">RANK(V33,V$33:V$35,1)</f>
        <v>3</v>
      </c>
      <c r="X33" s="466">
        <f ca="1">IF(AND($Q$5=$Q$6,$Q$5=$Q$7,$Q$5&lt;&gt;$Q$4),W33,0)</f>
        <v>0</v>
      </c>
      <c r="Y33" s="466" t="str">
        <f ca="1">IF(AND(V33=V34,V33&lt;&gt;V35),IF(AA33&gt;AA34,3,IF(AA33=AA34,1,0)),IF(AND(V33=V35,V33&lt;&gt;V34),IF(AB33&gt;AB35,3,IF(AB33=AB35,1,0)),""))</f>
        <v/>
      </c>
      <c r="Z33" s="465" t="str">
        <f ca="1">IF(X33&gt;0,Y33,"")</f>
        <v/>
      </c>
      <c r="AA33" s="287">
        <f ca="1">$J$19</f>
        <v>3</v>
      </c>
      <c r="AB33" s="465">
        <f ca="1">$K$19</f>
        <v>1</v>
      </c>
      <c r="AC33" s="468"/>
      <c r="AD33" s="465">
        <f ca="1">IF(AND($AF$16,$AD$5=$AD$6,$AD$5=$AD$7,$AD$5&lt;&gt;$AD$4),W33,0)</f>
        <v>0</v>
      </c>
      <c r="AE33" s="465" t="str">
        <f ca="1">IF(AD33&gt;0,Y33,"")</f>
        <v/>
      </c>
    </row>
    <row r="34" spans="15:31" x14ac:dyDescent="0.25">
      <c r="O34" s="466" t="s">
        <v>33</v>
      </c>
      <c r="P34" t="str">
        <f>$P$6</f>
        <v>Schottland</v>
      </c>
      <c r="Q34" s="466">
        <f ca="1">SUMIFS($H$4:$H$9,$B$4:$B$9,$P34,$D$4:$D$9,"&lt;&gt;"&amp;$P$36)+SUMIFS($I$4:$I$9,$B$4:$B$9,"&lt;&gt;"&amp;$P$36,$D$4:$D$9,$P34)</f>
        <v>0</v>
      </c>
      <c r="R34" s="466">
        <f ca="1">S34-T34</f>
        <v>-4</v>
      </c>
      <c r="S34" s="466">
        <f ca="1">SUMIFS($E$4:$E$9,$B$4:$B$9,$P34,$D$4:$D$9,"&lt;&gt;"&amp;$P$36)+SUMIFS($G$4:$G$9,$B$4:$B$9,"&lt;&gt;"&amp;$P$36,$D$4:$D$9,$P34)</f>
        <v>1</v>
      </c>
      <c r="T34" s="466">
        <f ca="1">SUMIFS($G$4:$G$9,$B$4:$B$9,$P34,$D$4:$D$9,"&lt;&gt;"&amp;$P$36)+SUMIFS($E$4:$E$9,$B$4:$B$9,"&lt;&gt;"&amp;$P$36,$D$4:$D$9,$P34)</f>
        <v>5</v>
      </c>
      <c r="U34" s="466"/>
      <c r="V34" s="300">
        <f ca="1">Q34*FactorPts+(GDzero+R34)*FactorGD+S34*FactorFor</f>
        <v>46010</v>
      </c>
      <c r="W34" s="466">
        <f ca="1">RANK(V34,V$33:V$35,1)</f>
        <v>1</v>
      </c>
      <c r="X34" s="466">
        <f ca="1">IF(AND($Q$5=$Q$6,$Q$5=$Q$7,$Q$5&lt;&gt;$Q$4),W34,0)</f>
        <v>0</v>
      </c>
      <c r="Y34" s="466" t="str">
        <f ca="1">IF(AND(V34=V33,V34&lt;&gt;V35),IF(AA34&gt;AA33,3,IF(AA34=AA33,1,0)),IF(AND(V34=V35,V34&lt;&gt;V33),IF(AC34&gt;AC35,3,IF(AC34=AC35,1,0)),""))</f>
        <v/>
      </c>
      <c r="Z34" s="465" t="str">
        <f t="shared" ref="Z34:Z35" ca="1" si="18">IF(X34&gt;0,Y34,"")</f>
        <v/>
      </c>
      <c r="AA34" s="287">
        <f ca="1">$I$20</f>
        <v>1</v>
      </c>
      <c r="AB34" s="465"/>
      <c r="AC34" s="468">
        <f ca="1">$K$20</f>
        <v>0</v>
      </c>
      <c r="AD34" s="465">
        <f ca="1">IF(AND($AF$16,$AD$5=$AD$6,$AD$5=$AD$7,$AD$5&lt;&gt;$AD$4),W34,0)</f>
        <v>0</v>
      </c>
      <c r="AE34" s="465" t="str">
        <f t="shared" ref="AE34:AE35" ca="1" si="19">IF(AD34&gt;0,Y34,"")</f>
        <v/>
      </c>
    </row>
    <row r="35" spans="15:31" ht="15.75" thickBot="1" x14ac:dyDescent="0.3">
      <c r="O35" s="466" t="s">
        <v>34</v>
      </c>
      <c r="P35" t="str">
        <f>$P$7</f>
        <v>Tschechien</v>
      </c>
      <c r="Q35" s="466">
        <f ca="1">SUMIFS($H$4:$H$9,$B$4:$B$9,$P35,$D$4:$D$9,"&lt;&gt;"&amp;$P$36)+SUMIFS($I$4:$I$9,$B$4:$B$9,"&lt;&gt;"&amp;$P$36,$D$4:$D$9,$P35)</f>
        <v>4</v>
      </c>
      <c r="R35" s="466">
        <f ca="1">S35-T35</f>
        <v>2</v>
      </c>
      <c r="S35" s="466">
        <f ca="1">SUMIFS($E$4:$E$9,$B$4:$B$9,$P35,$D$4:$D$9,"&lt;&gt;"&amp;$P$36)+SUMIFS($G$4:$G$9,$B$4:$B$9,"&lt;&gt;"&amp;$P$36,$D$4:$D$9,$P35)</f>
        <v>3</v>
      </c>
      <c r="T35" s="466">
        <f ca="1">SUMIFS($G$4:$G$9,$B$4:$B$9,$P35,$D$4:$D$9,"&lt;&gt;"&amp;$P$36)+SUMIFS($E$4:$E$9,$B$4:$B$9,"&lt;&gt;"&amp;$P$36,$D$4:$D$9,$P35)</f>
        <v>1</v>
      </c>
      <c r="U35" s="466"/>
      <c r="V35" s="300">
        <f ca="1">Q35*FactorPts+(GDzero+R35)*FactorGD+S35*FactorFor</f>
        <v>40052030</v>
      </c>
      <c r="W35" s="466">
        <f ca="1">RANK(V35,V$33:V$35,1)</f>
        <v>2</v>
      </c>
      <c r="X35" s="466">
        <f ca="1">IF(AND($Q$5=$Q$6,$Q$5=$Q$7,$Q$5&lt;&gt;$Q$4),W35,0)</f>
        <v>0</v>
      </c>
      <c r="Y35" s="466" t="str">
        <f ca="1">IF(AND(V35=V33,V35&lt;&gt;V34),IF(AB35&gt;AB33,3,IF(AB35=AB33,1,0)),IF(AND(V35=V34,V35&lt;&gt;V33),IF(AC35&gt;AC34,3,IF(AC35=AC34,1,0)),""))</f>
        <v/>
      </c>
      <c r="Z35" s="465" t="str">
        <f t="shared" ca="1" si="18"/>
        <v/>
      </c>
      <c r="AA35" s="288"/>
      <c r="AB35" s="289">
        <f ca="1">$I$21</f>
        <v>1</v>
      </c>
      <c r="AC35" s="290">
        <f ca="1">$J$21</f>
        <v>2</v>
      </c>
      <c r="AD35" s="465">
        <f ca="1">IF(AND($AF$16,$AD$5=$AD$6,$AD$5=$AD$7,$AD$5&lt;&gt;$AD$4),W35,0)</f>
        <v>0</v>
      </c>
      <c r="AE35" s="465" t="str">
        <f t="shared" ca="1" si="19"/>
        <v/>
      </c>
    </row>
    <row r="36" spans="15:31" x14ac:dyDescent="0.25">
      <c r="P36" s="34" t="str">
        <f>$P$4</f>
        <v>England</v>
      </c>
      <c r="Q36" s="466"/>
      <c r="R36" s="466"/>
      <c r="S36" s="466"/>
      <c r="T36" s="466"/>
      <c r="U36" s="466"/>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314B2-2753-4F21-864F-F0C654E41A48}">
  <sheetPr codeName="Tabelle12"/>
  <dimension ref="A1:AG36"/>
  <sheetViews>
    <sheetView workbookViewId="0">
      <selection activeCell="I21" sqref="I21"/>
    </sheetView>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466"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42578125" customWidth="1"/>
  </cols>
  <sheetData>
    <row r="1" spans="1:33" ht="23.25" x14ac:dyDescent="0.35">
      <c r="A1" s="48"/>
      <c r="B1" s="47" t="str">
        <f>VLOOKUP($Q$1,References!$B$5:$D$10,2,0)</f>
        <v>N</v>
      </c>
      <c r="D1" s="47" t="str">
        <f>VLOOKUP($Q$1,References!$B$5:$D$10,3,0)</f>
        <v>O</v>
      </c>
      <c r="P1" s="231" t="s">
        <v>239</v>
      </c>
      <c r="Q1" s="232" t="s">
        <v>28</v>
      </c>
    </row>
    <row r="2" spans="1:33" ht="8.25" customHeight="1" x14ac:dyDescent="0.25"/>
    <row r="3" spans="1:33" x14ac:dyDescent="0.25">
      <c r="B3" s="681" t="s">
        <v>225</v>
      </c>
      <c r="C3" s="681"/>
      <c r="D3" s="681"/>
      <c r="E3" s="681" t="s">
        <v>226</v>
      </c>
      <c r="F3" s="681"/>
      <c r="G3" s="681"/>
      <c r="H3" s="681" t="s">
        <v>221</v>
      </c>
      <c r="I3" s="681"/>
      <c r="J3" s="687" t="s">
        <v>554</v>
      </c>
      <c r="K3" s="687"/>
      <c r="L3" s="687"/>
      <c r="M3" s="467" t="s">
        <v>196</v>
      </c>
      <c r="N3" s="86"/>
      <c r="O3" s="46"/>
      <c r="P3" s="45"/>
      <c r="Q3" s="467" t="s">
        <v>221</v>
      </c>
      <c r="R3" s="467" t="s">
        <v>218</v>
      </c>
      <c r="S3" s="467" t="s">
        <v>804</v>
      </c>
      <c r="T3" s="467" t="s">
        <v>805</v>
      </c>
      <c r="U3" s="467" t="s">
        <v>803</v>
      </c>
      <c r="V3" s="467" t="s">
        <v>222</v>
      </c>
      <c r="W3" s="467" t="s">
        <v>223</v>
      </c>
      <c r="X3" s="467" t="s">
        <v>224</v>
      </c>
      <c r="Y3" s="467" t="s">
        <v>539</v>
      </c>
      <c r="Z3" s="467" t="s">
        <v>540</v>
      </c>
      <c r="AA3" s="467" t="s">
        <v>531</v>
      </c>
      <c r="AB3" s="467" t="s">
        <v>37</v>
      </c>
      <c r="AC3" s="467" t="s">
        <v>349</v>
      </c>
      <c r="AD3" s="467" t="s">
        <v>227</v>
      </c>
      <c r="AE3" s="467" t="s">
        <v>555</v>
      </c>
      <c r="AF3" s="467" t="s">
        <v>640</v>
      </c>
    </row>
    <row r="4" spans="1:33" x14ac:dyDescent="0.25">
      <c r="B4" s="275" t="str">
        <f ca="1">INDIRECT("'"&amp;References!$A$1&amp;"'!"&amp;$B$1&amp;References!$G5)</f>
        <v>Spanien</v>
      </c>
      <c r="C4" s="276" t="s">
        <v>36</v>
      </c>
      <c r="D4" s="277" t="str">
        <f ca="1">INDIRECT("'"&amp;References!$A$1&amp;"'!"&amp;$D$1&amp;References!$G5)</f>
        <v>Schweden</v>
      </c>
      <c r="E4" s="275">
        <f ca="1">IF(OR(INDIRECT("'"&amp;References!$A$1&amp;"'!"&amp;$B$1&amp;References!$H5)="",INDIRECT("'"&amp;References!$A$1&amp;"'!"&amp;$D$1&amp;References!$H5)=""),"",INDIRECT("'"&amp;References!$A$1&amp;"'!"&amp;$B$1&amp;References!$H5))</f>
        <v>0</v>
      </c>
      <c r="F4" s="276" t="s">
        <v>36</v>
      </c>
      <c r="G4" s="281">
        <f ca="1">IF(OR(INDIRECT("'"&amp;References!$A$1&amp;"'!"&amp;$B$1&amp;References!$H5)="",INDIRECT("'"&amp;References!$A$1&amp;"'!"&amp;$D$1&amp;References!$H5)=""),"",INDIRECT("'"&amp;References!$A$1&amp;"'!"&amp;$D$1&amp;References!$H5))</f>
        <v>0</v>
      </c>
      <c r="H4" s="489">
        <f t="shared" ref="H4:H9" ca="1" si="0">IF($M4&gt;0,IF($E4&gt;$G4,3,IF($E4=$G4,1,0)),0)</f>
        <v>1</v>
      </c>
      <c r="I4" s="489">
        <f t="shared" ref="I4:I9" ca="1" si="1">IF($M4&gt;0,IF($E4&lt;$G4,3,IF($E4=$G4,1,0)),0)</f>
        <v>1</v>
      </c>
      <c r="L4" s="35"/>
      <c r="M4" s="466">
        <f t="shared" ref="M4:M9" ca="1" si="2">IF(AND($E4&lt;&gt;"",$G4&lt;&gt;""),1,0)</f>
        <v>1</v>
      </c>
      <c r="N4" s="466"/>
      <c r="O4" s="466" t="s">
        <v>32</v>
      </c>
      <c r="P4" s="44" t="str">
        <f>VLOOKUP($Q$1&amp;ROW($A1),Groups!$B$7:$D$35,3,0)</f>
        <v>Spanien</v>
      </c>
      <c r="Q4" s="466">
        <f ca="1">SUMIF($B$4:$B$9,P4,$H$4:$H$9)+SUMIF($D$4:$D$9,P4,$I$4:$I$9)</f>
        <v>5</v>
      </c>
      <c r="R4" s="466">
        <f ca="1">S4-T4</f>
        <v>5</v>
      </c>
      <c r="S4" s="466">
        <f ca="1">SUMIF($B$4:$B$9,$P4,$E$4:$E$9)+SUMIF($D$4:$D$9,$P4,$G$4:$G$9)</f>
        <v>6</v>
      </c>
      <c r="T4" s="466">
        <f ca="1">SUMIF($B$4:$B$9,$P4,$G$4:$G$9)+SUMIF($D$4:$D$9,$P4,$E$4:$E$9)</f>
        <v>1</v>
      </c>
      <c r="U4" s="466">
        <f ca="1">COUNTIFS($B$4:$B$9,$P4,$H$4:$H$9,"=3")+COUNTIFS($D$4:$D$9,$P4,$I$4:$I$9,"=3")</f>
        <v>1</v>
      </c>
      <c r="V4" s="398">
        <f ca="1">$Q4*FactorPts+(GDzero+$R4)*FactorGD+$S4*FactorFor+$U4*FactorWins+$W4*FactorDirC3+$X4*FactorDirC2+$Y4*FactorDirC43+$Z4*FactorDirC42+$AA4*FactorDirC42+$AB4*FactorFairPlay+$AE4*FactorPenalty+(100-$AF4)*($M$10&gt;0)*FactorRank+(8-ROW())*FactorRow</f>
        <v>50055061.00009504</v>
      </c>
      <c r="W4" s="465">
        <f ca="1">SUMIFS($X$18:$X$35,$P$18:$P$35,$P4)</f>
        <v>0</v>
      </c>
      <c r="X4" s="465">
        <f ca="1">IF($L18="",0,$L18)+SUMIFS($Z$18:$Z$35,$P$18:$P$35,$P4)</f>
        <v>0</v>
      </c>
      <c r="Y4">
        <f ca="1">SUMIFS($AD$18:$AD$35,$P$18:$P$35,$P4)</f>
        <v>0</v>
      </c>
      <c r="Z4">
        <f ca="1">SUMIFS($AE$18:$AE$35,$P$18:$P$35,$P4)</f>
        <v>0</v>
      </c>
      <c r="AA4" s="466">
        <f ca="1">IF($M18="",0,$M18)</f>
        <v>0</v>
      </c>
      <c r="AB4" s="466">
        <f>SUMIFS(FairPlayPoints1,FairPlayTeams1,$P4)+SUMIFS(FairPlayPoints2,FairPlayTeams2,$P4)</f>
        <v>0</v>
      </c>
      <c r="AC4" s="466" t="b">
        <f ca="1">(Q4+T4&gt;0)</f>
        <v>1</v>
      </c>
      <c r="AD4" s="313">
        <f ca="1">$Q4*FactorPts+(GDzero+$R4)*FactorGD+$S4*FactorFor</f>
        <v>50055060</v>
      </c>
      <c r="AE4" s="466">
        <f ca="1">IF(OR(AND($Y$11&gt;0,OR(AND($B$8=$P4,$J$8&gt;$L$8),AND($D$8=$P4,$J$8&lt;$L$8))),AND($Y$12&gt;0,OR(AND($B$9=$P4,$J$9&gt;$L$9),AND($D$9=$P4,$J$9&lt;$L$9)))),1,0)</f>
        <v>0</v>
      </c>
      <c r="AF4" s="466">
        <f>INDEX(Language!$D$5:$D$59,MATCH($P4,Language!$E$5:$E$59,0),1)</f>
        <v>5</v>
      </c>
      <c r="AG4" s="466"/>
    </row>
    <row r="5" spans="1:33" x14ac:dyDescent="0.25">
      <c r="B5" s="278" t="str">
        <f ca="1">INDIRECT("'"&amp;References!$A$1&amp;"'!"&amp;$B$1&amp;References!$G6)</f>
        <v>Polen</v>
      </c>
      <c r="C5" s="279" t="s">
        <v>36</v>
      </c>
      <c r="D5" s="280" t="str">
        <f ca="1">INDIRECT("'"&amp;References!$A$1&amp;"'!"&amp;$D$1&amp;References!$G6)</f>
        <v>Slowakei</v>
      </c>
      <c r="E5" s="278">
        <f ca="1">IF(OR(INDIRECT("'"&amp;References!$A$1&amp;"'!"&amp;$B$1&amp;References!$H6)="",INDIRECT("'"&amp;References!$A$1&amp;"'!"&amp;$D$1&amp;References!$H6)=""),"",INDIRECT("'"&amp;References!$A$1&amp;"'!"&amp;$B$1&amp;References!$H6))</f>
        <v>1</v>
      </c>
      <c r="F5" s="279" t="s">
        <v>36</v>
      </c>
      <c r="G5" s="282">
        <f ca="1">IF(OR(INDIRECT("'"&amp;References!$A$1&amp;"'!"&amp;$B$1&amp;References!$H6)="",INDIRECT("'"&amp;References!$A$1&amp;"'!"&amp;$D$1&amp;References!$H6)=""),"",INDIRECT("'"&amp;References!$A$1&amp;"'!"&amp;$D$1&amp;References!$H6))</f>
        <v>2</v>
      </c>
      <c r="H5" s="489">
        <f t="shared" ca="1" si="0"/>
        <v>0</v>
      </c>
      <c r="I5" s="489">
        <f t="shared" ca="1" si="1"/>
        <v>3</v>
      </c>
      <c r="L5" s="35"/>
      <c r="M5" s="466">
        <f t="shared" ca="1" si="2"/>
        <v>1</v>
      </c>
      <c r="N5" s="466"/>
      <c r="O5" s="466" t="s">
        <v>33</v>
      </c>
      <c r="P5" s="44" t="str">
        <f>VLOOKUP($Q$1&amp;ROW($A2),Groups!$B$7:$D$35,3,0)</f>
        <v>Schweden</v>
      </c>
      <c r="Q5" s="466">
        <f t="shared" ref="Q5:Q7" ca="1" si="3">SUMIF($B$4:$B$9,P5,$H$4:$H$9)+SUMIF($D$4:$D$9,P5,$I$4:$I$9)</f>
        <v>7</v>
      </c>
      <c r="R5" s="466">
        <f ca="1">S5-T5</f>
        <v>2</v>
      </c>
      <c r="S5" s="466">
        <f ca="1">SUMIF($B$4:$B$9,$P5,$E$4:$E$9)+SUMIF($D$4:$D$9,$P5,$G$4:$G$9)</f>
        <v>4</v>
      </c>
      <c r="T5" s="466">
        <f ca="1">SUMIF($B$4:$B$9,$P5,$G$4:$G$9)+SUMIF($D$4:$D$9,$P5,$E$4:$E$9)</f>
        <v>2</v>
      </c>
      <c r="U5" s="466">
        <f t="shared" ref="U5:U7" ca="1" si="4">COUNTIFS($B$4:$B$9,$P5,$H$4:$H$9,"=3")+COUNTIFS($D$4:$D$9,$P5,$I$4:$I$9,"=3")</f>
        <v>2</v>
      </c>
      <c r="V5" s="398">
        <f ca="1">$Q5*FactorPts+(GDzero+$R5)*FactorGD+$S5*FactorFor+$U5*FactorWins+$W5*FactorDirC3+$X5*FactorDirC2+$Y5*FactorDirC43+$Z5*FactorDirC42+$AA5*FactorDirC42+$AB5*FactorFairPlay+$AE5*FactorPenalty+(100-$AF5)*($M$10&gt;0)*FactorRank+(8-ROW())*FactorRow</f>
        <v>70052042.000083029</v>
      </c>
      <c r="W5" s="465">
        <f t="shared" ref="W5:W7" ca="1" si="5">SUMIFS($X$18:$X$35,$P$18:$P$35,$P5)</f>
        <v>0</v>
      </c>
      <c r="X5" s="465">
        <f ca="1">IF($L19="",0,$L19)+SUMIFS($Z$18:$Z$35,$P$18:$P$35,$P5)</f>
        <v>0</v>
      </c>
      <c r="Y5">
        <f t="shared" ref="Y5:Y7" ca="1" si="6">SUMIFS($AD$18:$AD$35,$P$18:$P$35,$P5)</f>
        <v>0</v>
      </c>
      <c r="Z5">
        <f t="shared" ref="Z5:Z7" ca="1" si="7">SUMIFS($AE$18:$AE$35,$P$18:$P$35,$P5)</f>
        <v>0</v>
      </c>
      <c r="AA5" s="466">
        <f ca="1">IF($M19="",0,$M19)</f>
        <v>0</v>
      </c>
      <c r="AB5" s="466">
        <f>SUMIFS(FairPlayPoints1,FairPlayTeams1,$P5)+SUMIFS(FairPlayPoints2,FairPlayTeams2,$P5)</f>
        <v>0</v>
      </c>
      <c r="AC5" s="466" t="b">
        <f ca="1">(Q5+T5&gt;0)</f>
        <v>1</v>
      </c>
      <c r="AD5" s="313">
        <f ca="1">$Q5*FactorPts+(GDzero+$R5)*FactorGD+$S5*FactorFor</f>
        <v>70052040</v>
      </c>
      <c r="AE5" s="466">
        <f ca="1">IF(OR(AND($Y$11&gt;0,OR(AND($B$8=$P5,$J$8&gt;$L$8),AND($D$8=$P5,$J$8&lt;$L$8))),AND($Y$12&gt;0,OR(AND($B$9=$P5,$J$9&gt;$L$9),AND($D$9=$P5,$J$9&lt;$L$9)))),1,0)</f>
        <v>0</v>
      </c>
      <c r="AF5" s="466">
        <f>INDEX(Language!$D$5:$D$59,MATCH($P5,Language!$E$5:$E$59,0),1)</f>
        <v>17</v>
      </c>
    </row>
    <row r="6" spans="1:33" x14ac:dyDescent="0.25">
      <c r="B6" s="278" t="str">
        <f ca="1">INDIRECT("'"&amp;References!$A$1&amp;"'!"&amp;$B$1&amp;References!$G7)</f>
        <v>Spanien</v>
      </c>
      <c r="C6" s="279" t="s">
        <v>36</v>
      </c>
      <c r="D6" s="280" t="str">
        <f ca="1">INDIRECT("'"&amp;References!$A$1&amp;"'!"&amp;$D$1&amp;References!$G7)</f>
        <v>Polen</v>
      </c>
      <c r="E6" s="278">
        <f ca="1">IF(OR(INDIRECT("'"&amp;References!$A$1&amp;"'!"&amp;$B$1&amp;References!$H7)="",INDIRECT("'"&amp;References!$A$1&amp;"'!"&amp;$D$1&amp;References!$H7)=""),"",INDIRECT("'"&amp;References!$A$1&amp;"'!"&amp;$B$1&amp;References!$H7))</f>
        <v>1</v>
      </c>
      <c r="F6" s="279" t="s">
        <v>36</v>
      </c>
      <c r="G6" s="282">
        <f ca="1">IF(OR(INDIRECT("'"&amp;References!$A$1&amp;"'!"&amp;$B$1&amp;References!$H7)="",INDIRECT("'"&amp;References!$A$1&amp;"'!"&amp;$D$1&amp;References!$H7)=""),"",INDIRECT("'"&amp;References!$A$1&amp;"'!"&amp;$D$1&amp;References!$H7))</f>
        <v>1</v>
      </c>
      <c r="H6" s="489">
        <f t="shared" ca="1" si="0"/>
        <v>1</v>
      </c>
      <c r="I6" s="489">
        <f t="shared" ca="1" si="1"/>
        <v>1</v>
      </c>
      <c r="L6" s="35"/>
      <c r="M6" s="466">
        <f t="shared" ca="1" si="2"/>
        <v>1</v>
      </c>
      <c r="N6" s="466"/>
      <c r="O6" s="466" t="s">
        <v>34</v>
      </c>
      <c r="P6" s="44" t="str">
        <f>VLOOKUP($Q$1&amp;ROW($A3),Groups!$B$7:$D$35,3,0)</f>
        <v>Polen</v>
      </c>
      <c r="Q6" s="466">
        <f t="shared" ca="1" si="3"/>
        <v>1</v>
      </c>
      <c r="R6" s="466">
        <f ca="1">S6-T6</f>
        <v>-2</v>
      </c>
      <c r="S6" s="466">
        <f ca="1">SUMIF($B$4:$B$9,$P6,$E$4:$E$9)+SUMIF($D$4:$D$9,$P6,$G$4:$G$9)</f>
        <v>4</v>
      </c>
      <c r="T6" s="466">
        <f ca="1">SUMIF($B$4:$B$9,$P6,$G$4:$G$9)+SUMIF($D$4:$D$9,$P6,$E$4:$E$9)</f>
        <v>6</v>
      </c>
      <c r="U6" s="466">
        <f t="shared" ca="1" si="4"/>
        <v>0</v>
      </c>
      <c r="V6" s="398">
        <f ca="1">$Q6*FactorPts+(GDzero+$R6)*FactorGD+$S6*FactorFor+$U6*FactorWins+$W6*FactorDirC3+$X6*FactorDirC2+$Y6*FactorDirC43+$Z6*FactorDirC42+$AA6*FactorDirC42+$AB6*FactorFairPlay+$AE6*FactorPenalty+(100-$AF6)*($M$10&gt;0)*FactorRank+(8-ROW())*FactorRow</f>
        <v>10048040.00009202</v>
      </c>
      <c r="W6" s="465">
        <f t="shared" ca="1" si="5"/>
        <v>0</v>
      </c>
      <c r="X6" s="465">
        <f ca="1">IF($L20="",0,$L20)+SUMIFS($Z$18:$Z$35,$P$18:$P$35,$P6)</f>
        <v>0</v>
      </c>
      <c r="Y6">
        <f t="shared" ca="1" si="6"/>
        <v>0</v>
      </c>
      <c r="Z6">
        <f t="shared" ca="1" si="7"/>
        <v>0</v>
      </c>
      <c r="AA6" s="466">
        <f ca="1">IF($M20="",0,$M20)</f>
        <v>0</v>
      </c>
      <c r="AB6" s="466">
        <f>SUMIFS(FairPlayPoints1,FairPlayTeams1,$P6)+SUMIFS(FairPlayPoints2,FairPlayTeams2,$P6)</f>
        <v>0</v>
      </c>
      <c r="AC6" s="466" t="b">
        <f ca="1">(Q6+T6&gt;0)</f>
        <v>1</v>
      </c>
      <c r="AD6" s="313">
        <f ca="1">$Q6*FactorPts+(GDzero+$R6)*FactorGD+$S6*FactorFor</f>
        <v>10048040</v>
      </c>
      <c r="AE6" s="466">
        <f ca="1">IF(OR(AND($Y$11&gt;0,OR(AND($B$8=$P6,$J$8&gt;$L$8),AND($D$8=$P6,$J$8&lt;$L$8))),AND($Y$12&gt;0,OR(AND($B$9=$P6,$J$9&gt;$L$9),AND($D$9=$P6,$J$9&lt;$L$9)))),1,0)</f>
        <v>0</v>
      </c>
      <c r="AF6" s="466">
        <f>INDEX(Language!$D$5:$D$59,MATCH($P6,Language!$E$5:$E$59,0),1)</f>
        <v>8</v>
      </c>
    </row>
    <row r="7" spans="1:33" x14ac:dyDescent="0.25">
      <c r="B7" s="278" t="str">
        <f ca="1">INDIRECT("'"&amp;References!$A$1&amp;"'!"&amp;$B$1&amp;References!$G8)</f>
        <v>Schweden</v>
      </c>
      <c r="C7" s="279" t="s">
        <v>36</v>
      </c>
      <c r="D7" s="280" t="str">
        <f ca="1">INDIRECT("'"&amp;References!$A$1&amp;"'!"&amp;$D$1&amp;References!$G8)</f>
        <v>Slowakei</v>
      </c>
      <c r="E7" s="278">
        <f ca="1">IF(OR(INDIRECT("'"&amp;References!$A$1&amp;"'!"&amp;$B$1&amp;References!$H8)="",INDIRECT("'"&amp;References!$A$1&amp;"'!"&amp;$D$1&amp;References!$H8)=""),"",INDIRECT("'"&amp;References!$A$1&amp;"'!"&amp;$B$1&amp;References!$H8))</f>
        <v>1</v>
      </c>
      <c r="F7" s="279" t="s">
        <v>36</v>
      </c>
      <c r="G7" s="282">
        <f ca="1">IF(OR(INDIRECT("'"&amp;References!$A$1&amp;"'!"&amp;$B$1&amp;References!$H8)="",INDIRECT("'"&amp;References!$A$1&amp;"'!"&amp;$D$1&amp;References!$H8)=""),"",INDIRECT("'"&amp;References!$A$1&amp;"'!"&amp;$D$1&amp;References!$H8))</f>
        <v>0</v>
      </c>
      <c r="H7" s="489">
        <f t="shared" ca="1" si="0"/>
        <v>3</v>
      </c>
      <c r="I7" s="489">
        <f t="shared" ca="1" si="1"/>
        <v>0</v>
      </c>
      <c r="L7" s="35"/>
      <c r="M7" s="466">
        <f t="shared" ca="1" si="2"/>
        <v>1</v>
      </c>
      <c r="N7" s="466"/>
      <c r="O7" s="466" t="s">
        <v>35</v>
      </c>
      <c r="P7" s="44" t="str">
        <f>VLOOKUP($Q$1&amp;ROW($A4),Groups!$B$7:$D$35,3,0)</f>
        <v>Slowakei</v>
      </c>
      <c r="Q7" s="466">
        <f t="shared" ca="1" si="3"/>
        <v>3</v>
      </c>
      <c r="R7" s="466">
        <f ca="1">S7-T7</f>
        <v>-5</v>
      </c>
      <c r="S7" s="466">
        <f ca="1">SUMIF($B$4:$B$9,$P7,$E$4:$E$9)+SUMIF($D$4:$D$9,$P7,$G$4:$G$9)</f>
        <v>2</v>
      </c>
      <c r="T7" s="466">
        <f ca="1">SUMIF($B$4:$B$9,$P7,$G$4:$G$9)+SUMIF($D$4:$D$9,$P7,$E$4:$E$9)</f>
        <v>7</v>
      </c>
      <c r="U7" s="466">
        <f t="shared" ca="1" si="4"/>
        <v>1</v>
      </c>
      <c r="V7" s="398">
        <f ca="1">$Q7*FactorPts+(GDzero+$R7)*FactorGD+$S7*FactorFor+$U7*FactorWins+$W7*FactorDirC3+$X7*FactorDirC2+$Y7*FactorDirC43+$Z7*FactorDirC42+$AA7*FactorDirC42+$AB7*FactorFairPlay+$AE7*FactorPenalty+(100-$AF7)*($M$10&gt;0)*FactorRank+(8-ROW())*FactorRow</f>
        <v>30045021.000078011</v>
      </c>
      <c r="W7" s="465">
        <f t="shared" ca="1" si="5"/>
        <v>0</v>
      </c>
      <c r="X7" s="465">
        <f ca="1">IF($L21="",0,$L21)+SUMIFS($Z$18:$Z$35,$P$18:$P$35,$P7)</f>
        <v>0</v>
      </c>
      <c r="Y7">
        <f t="shared" ca="1" si="6"/>
        <v>0</v>
      </c>
      <c r="Z7">
        <f t="shared" ca="1" si="7"/>
        <v>0</v>
      </c>
      <c r="AA7" s="466">
        <f ca="1">IF($M21="",0,$M21)</f>
        <v>0</v>
      </c>
      <c r="AB7" s="466">
        <f>SUMIFS(FairPlayPoints1,FairPlayTeams1,$P7)+SUMIFS(FairPlayPoints2,FairPlayTeams2,$P7)</f>
        <v>0</v>
      </c>
      <c r="AC7" s="466" t="b">
        <f ca="1">(Q7+T7&gt;0)</f>
        <v>1</v>
      </c>
      <c r="AD7" s="313">
        <f ca="1">$Q7*FactorPts+(GDzero+$R7)*FactorGD+$S7*FactorFor</f>
        <v>30045020</v>
      </c>
      <c r="AE7" s="466">
        <f ca="1">IF(OR(AND($Y$11&gt;0,OR(AND($B$8=$P7,$J$8&gt;$L$8),AND($D$8=$P7,$J$8&lt;$L$8))),AND($Y$12&gt;0,OR(AND($B$9=$P7,$J$9&gt;$L$9),AND($D$9=$P7,$J$9&lt;$L$9)))),1,0)</f>
        <v>0</v>
      </c>
      <c r="AF7" s="466">
        <f>INDEX(Language!$D$5:$D$59,MATCH($P7,Language!$E$5:$E$59,0),1)</f>
        <v>22</v>
      </c>
    </row>
    <row r="8" spans="1:33" x14ac:dyDescent="0.25">
      <c r="B8" s="278" t="str">
        <f ca="1">INDIRECT("'"&amp;References!$A$1&amp;"'!"&amp;$B$1&amp;References!$G9)</f>
        <v>Slowakei</v>
      </c>
      <c r="C8" s="279" t="s">
        <v>36</v>
      </c>
      <c r="D8" s="280" t="str">
        <f ca="1">INDIRECT("'"&amp;References!$A$1&amp;"'!"&amp;$D$1&amp;References!$G9)</f>
        <v>Spanien</v>
      </c>
      <c r="E8" s="278">
        <f ca="1">IF(OR(INDIRECT("'"&amp;References!$A$1&amp;"'!"&amp;$B$1&amp;References!$H9)="",INDIRECT("'"&amp;References!$A$1&amp;"'!"&amp;$D$1&amp;References!$H9)=""),"",INDIRECT("'"&amp;References!$A$1&amp;"'!"&amp;$B$1&amp;References!$H9))</f>
        <v>0</v>
      </c>
      <c r="F8" s="279" t="s">
        <v>36</v>
      </c>
      <c r="G8" s="282">
        <f ca="1">IF(OR(INDIRECT("'"&amp;References!$A$1&amp;"'!"&amp;$B$1&amp;References!$H9)="",INDIRECT("'"&amp;References!$A$1&amp;"'!"&amp;$D$1&amp;References!$H9)=""),"",INDIRECT("'"&amp;References!$A$1&amp;"'!"&amp;$D$1&amp;References!$H9))</f>
        <v>5</v>
      </c>
      <c r="H8" s="489">
        <f t="shared" ca="1" si="0"/>
        <v>0</v>
      </c>
      <c r="I8" s="489">
        <f t="shared" ca="1" si="1"/>
        <v>3</v>
      </c>
      <c r="J8" t="str">
        <f ca="1">IF(OR(INDIRECT("'"&amp;References!$A$1&amp;"'!"&amp;$B$1&amp;(References!$H9+2))="",INDIRECT("'"&amp;References!$A$1&amp;"'!"&amp;$D$1&amp;(References!$H9+2))=""),"",INDIRECT("'"&amp;References!$A$1&amp;"'!"&amp;$B$1&amp;(References!$H9+2)))</f>
        <v/>
      </c>
      <c r="K8" s="531" t="s">
        <v>551</v>
      </c>
      <c r="L8" s="35" t="str">
        <f ca="1">IF(OR(INDIRECT("'"&amp;References!$A$1&amp;"'!"&amp;$B$1&amp;(References!$H9+2))="",INDIRECT("'"&amp;References!$A$1&amp;"'!"&amp;$D$1&amp;(References!$H9+2))=""),"",INDIRECT("'"&amp;References!$A$1&amp;"'!"&amp;$D$1&amp;(References!$H9+2)))</f>
        <v/>
      </c>
      <c r="M8" s="531">
        <f t="shared" ca="1" si="2"/>
        <v>1</v>
      </c>
      <c r="N8" s="531"/>
      <c r="O8" s="531"/>
      <c r="Z8" s="55"/>
    </row>
    <row r="9" spans="1:33" x14ac:dyDescent="0.25">
      <c r="B9" s="278" t="str">
        <f ca="1">INDIRECT("'"&amp;References!$A$1&amp;"'!"&amp;$B$1&amp;References!$G10)</f>
        <v>Schweden</v>
      </c>
      <c r="C9" s="279" t="s">
        <v>36</v>
      </c>
      <c r="D9" s="280" t="str">
        <f ca="1">INDIRECT("'"&amp;References!$A$1&amp;"'!"&amp;$D$1&amp;References!$G10)</f>
        <v>Polen</v>
      </c>
      <c r="E9" s="278">
        <f ca="1">IF(OR(INDIRECT("'"&amp;References!$A$1&amp;"'!"&amp;$B$1&amp;References!$H10)="",INDIRECT("'"&amp;References!$A$1&amp;"'!"&amp;$D$1&amp;References!$H10)=""),"",INDIRECT("'"&amp;References!$A$1&amp;"'!"&amp;$B$1&amp;References!$H10))</f>
        <v>3</v>
      </c>
      <c r="F9" s="279" t="s">
        <v>36</v>
      </c>
      <c r="G9" s="282">
        <f ca="1">IF(OR(INDIRECT("'"&amp;References!$A$1&amp;"'!"&amp;$B$1&amp;References!$H10)="",INDIRECT("'"&amp;References!$A$1&amp;"'!"&amp;$D$1&amp;References!$H10)=""),"",INDIRECT("'"&amp;References!$A$1&amp;"'!"&amp;$D$1&amp;References!$H10))</f>
        <v>2</v>
      </c>
      <c r="H9" s="489">
        <f t="shared" ca="1" si="0"/>
        <v>3</v>
      </c>
      <c r="I9" s="489">
        <f t="shared" ca="1" si="1"/>
        <v>0</v>
      </c>
      <c r="J9" t="str">
        <f ca="1">IF(OR(INDIRECT("'"&amp;References!$A$1&amp;"'!"&amp;$B$1&amp;(References!$H10+2))="",INDIRECT("'"&amp;References!$A$1&amp;"'!"&amp;$D$1&amp;(References!$H10+2))=""),"",INDIRECT("'"&amp;References!$A$1&amp;"'!"&amp;$B$1&amp;(References!$H10+2)))</f>
        <v/>
      </c>
      <c r="K9" s="531" t="s">
        <v>551</v>
      </c>
      <c r="L9" s="35" t="str">
        <f ca="1">IF(OR(INDIRECT("'"&amp;References!$A$1&amp;"'!"&amp;$B$1&amp;(References!$H10+2))="",INDIRECT("'"&amp;References!$A$1&amp;"'!"&amp;$D$1&amp;(References!$H10+2))=""),"",INDIRECT("'"&amp;References!$A$1&amp;"'!"&amp;$D$1&amp;(References!$H10+2)))</f>
        <v/>
      </c>
      <c r="M9" s="531">
        <f t="shared" ca="1" si="2"/>
        <v>1</v>
      </c>
      <c r="N9" s="531"/>
      <c r="O9" s="531"/>
      <c r="Z9" s="688" t="s">
        <v>537</v>
      </c>
      <c r="AA9" s="688"/>
      <c r="AB9" s="688"/>
      <c r="AC9" s="688"/>
      <c r="AD9" s="688"/>
      <c r="AE9" s="688"/>
    </row>
    <row r="10" spans="1:33" ht="15.75" thickBot="1" x14ac:dyDescent="0.3">
      <c r="L10" s="59" t="s">
        <v>217</v>
      </c>
      <c r="M10" s="61">
        <f ca="1">SUM($M$4:$M$9)</f>
        <v>6</v>
      </c>
      <c r="N10" s="141"/>
      <c r="O10" s="531"/>
      <c r="P10" s="227" t="s">
        <v>364</v>
      </c>
      <c r="Q10" s="56" t="s">
        <v>221</v>
      </c>
      <c r="R10" s="56" t="s">
        <v>218</v>
      </c>
      <c r="S10" s="56" t="s">
        <v>804</v>
      </c>
      <c r="T10" s="56" t="s">
        <v>805</v>
      </c>
      <c r="U10" s="56" t="s">
        <v>812</v>
      </c>
      <c r="V10" s="56" t="s">
        <v>222</v>
      </c>
      <c r="X10" s="78" t="s">
        <v>868</v>
      </c>
      <c r="Y10" s="56" t="s">
        <v>842</v>
      </c>
      <c r="Z10" s="56" t="s">
        <v>532</v>
      </c>
      <c r="AA10" s="56" t="s">
        <v>533</v>
      </c>
      <c r="AB10" s="56" t="s">
        <v>534</v>
      </c>
      <c r="AC10" s="56" t="s">
        <v>535</v>
      </c>
      <c r="AD10" s="56" t="s">
        <v>536</v>
      </c>
      <c r="AE10" s="56" t="s">
        <v>555</v>
      </c>
    </row>
    <row r="11" spans="1:33" ht="16.5" thickTop="1" thickBot="1" x14ac:dyDescent="0.3">
      <c r="B11" s="85"/>
      <c r="C11" s="489"/>
      <c r="D11" s="85"/>
      <c r="O11" s="42" t="s">
        <v>32</v>
      </c>
      <c r="P11" s="41" t="str">
        <f t="shared" ref="P11:U12" ca="1" si="8">INDEX(P$4:P$7,MATCH($V11,$V$4:$V$7,0))</f>
        <v>Schweden</v>
      </c>
      <c r="Q11" s="271">
        <f t="shared" ca="1" si="8"/>
        <v>7</v>
      </c>
      <c r="R11" s="40">
        <f t="shared" ca="1" si="8"/>
        <v>2</v>
      </c>
      <c r="S11" s="40">
        <f t="shared" ca="1" si="8"/>
        <v>4</v>
      </c>
      <c r="T11" s="40">
        <f t="shared" ca="1" si="8"/>
        <v>2</v>
      </c>
      <c r="U11" s="40">
        <f t="shared" ca="1" si="8"/>
        <v>2</v>
      </c>
      <c r="V11" s="399">
        <f ca="1">LARGE($V$4:$V$7,ROW(A1))</f>
        <v>70052042.000083029</v>
      </c>
      <c r="X11" s="79">
        <f ca="1">IF(AND(OR(TRUNC($V$11,4)=TRUNC($V$12,4),TRUNC($V$11,4)=TRUNC($V$13,4),TRUNC($V$11,4)=TRUNC($V$14,4),TRUNC($V$12,4)=TRUNC($V$13,4),TRUNC($V$12,4)=TRUNC($V$14,4),TRUNC($V$13,4)=TRUNC($V$14,4)),$M$10&gt;0),1,0)</f>
        <v>0</v>
      </c>
      <c r="Y11" s="323">
        <f ca="1">IF(AND(VLOOKUP($B$8,$P$4:$AD$7,15,0)=VLOOKUP($D$8,$P$4:$AD$7,15,0),$E$8=$G$8,COUNTIF($Q$4:$Q$7,VLOOKUP($B$8,$P$4:$Q$7,2,0))=2,$M$10=6),1,0)</f>
        <v>0</v>
      </c>
      <c r="Z11" s="305" t="b">
        <f ca="1">VLOOKUP($P11,$E$18:$M$21,8,0)&lt;&gt;""</f>
        <v>0</v>
      </c>
      <c r="AA11" s="306" t="b">
        <f ca="1">VLOOKUP($P11,$E$18:$M$21,9,0)&lt;&gt;""</f>
        <v>0</v>
      </c>
      <c r="AB11" s="307" t="b">
        <f ca="1">SUMPRODUCT(1*(LEN($Z$18:$Z$35)&gt;0)*($P$18:$P$35=$P11))&gt;0</f>
        <v>0</v>
      </c>
      <c r="AC11" s="307" t="b">
        <f ca="1">SUMPRODUCT(1*(LEN($AE$18:$AE$35)&gt;0)*($P$18:$P$35=$P11))&gt;0</f>
        <v>0</v>
      </c>
      <c r="AD11" s="538" t="str">
        <f ca="1">IF($Z11,VLOOKUP($P11,$E$18:$M$21,8,0),IF($AA11,VLOOKUP($P11,$E$18:$M$21,9,0),IF($AB11,SUMIFS($Z$18:$Z$35,$P$18:$P$35,$P11),IF($AC11,SUMIFS($AE$18:$AE$35,$P$18:$P$35,$P11),""))))</f>
        <v/>
      </c>
      <c r="AE11" s="541" t="str">
        <f ca="1">IF(OR(AND($Y$11&gt;0,OR($B$8=$P11,$D$8=$P11)),AND($Y$12&gt;0,OR($B$9=$P11,$D$9=$P11))),SUMIF($B$8:$B$9,$P11,$J$8:$J$9)+SUMIF($D$8:$D$9,$P11,$L$8:$L$9),"")</f>
        <v/>
      </c>
    </row>
    <row r="12" spans="1:33" ht="15.75" thickTop="1" x14ac:dyDescent="0.25">
      <c r="B12" s="489"/>
      <c r="C12" s="489"/>
      <c r="D12" s="489"/>
      <c r="O12" s="39" t="s">
        <v>33</v>
      </c>
      <c r="P12" s="30" t="str">
        <f t="shared" ca="1" si="8"/>
        <v>Spanien</v>
      </c>
      <c r="Q12" s="272">
        <f t="shared" ca="1" si="8"/>
        <v>5</v>
      </c>
      <c r="R12" s="530">
        <f t="shared" ca="1" si="8"/>
        <v>5</v>
      </c>
      <c r="S12" s="530">
        <f t="shared" ca="1" si="8"/>
        <v>6</v>
      </c>
      <c r="T12" s="530">
        <f t="shared" ca="1" si="8"/>
        <v>1</v>
      </c>
      <c r="U12" s="530">
        <f t="shared" ca="1" si="8"/>
        <v>1</v>
      </c>
      <c r="V12" s="400">
        <f ca="1">LARGE($V$4:$V$7,ROW(A2))</f>
        <v>50055061.00009504</v>
      </c>
      <c r="Y12" s="323">
        <f ca="1">IF(AND(VLOOKUP($B$9,$P$4:$AD$7,15,0)=VLOOKUP($D$9,$P$4:$AD$7,15,0),$E$9=$G$9,COUNTIF($Q$4:$Q$7,VLOOKUP($B$9,$P$4:$Q$7,2,0))=2,$M$10=6),1,0)</f>
        <v>0</v>
      </c>
      <c r="Z12" s="308" t="b">
        <f ca="1">VLOOKUP($P12,$E$18:$M$21,8,0)&lt;&gt;""</f>
        <v>0</v>
      </c>
      <c r="AA12" s="536" t="b">
        <f ca="1">VLOOKUP($P12,$E$18:$M$21,9,0)&lt;&gt;""</f>
        <v>0</v>
      </c>
      <c r="AB12" s="30" t="b">
        <f t="shared" ref="AB12:AB14" ca="1" si="9">SUMPRODUCT(1*(LEN($Z$18:$Z$35)&gt;0)*($P$18:$P$35=$P12))&gt;0</f>
        <v>0</v>
      </c>
      <c r="AC12" s="30" t="b">
        <f t="shared" ref="AC12:AC14" ca="1" si="10">SUMPRODUCT(1*(LEN($AE$18:$AE$35)&gt;0)*($P$18:$P$35=$P12))&gt;0</f>
        <v>0</v>
      </c>
      <c r="AD12" s="539" t="str">
        <f ca="1">IF($Z12,VLOOKUP($P12,$E$18:$M$21,8,0),IF($AA12,VLOOKUP($P12,$E$18:$M$21,9,0),IF($AB12,SUMIFS($Z$18:$Z$35,$P$18:$P$35,$P12),IF($AC12,SUMIFS($AE$18:$AE$35,$P$18:$P$35,$P12),""))))</f>
        <v/>
      </c>
      <c r="AE12" s="542" t="str">
        <f ca="1">IF(OR(AND($Y$11&gt;0,OR($B$8=$P12,$D$8=$P12)),AND($Y$12&gt;0,OR($B$9=$P12,$D$9=$P12))),SUMIF($B$8:$B$9,$P12,$J$8:$J$9)+SUMIF($D$8:$D$9,$P12,$L$8:$L$9),"")</f>
        <v/>
      </c>
    </row>
    <row r="13" spans="1:33" x14ac:dyDescent="0.25">
      <c r="B13" s="489"/>
      <c r="C13" s="489"/>
      <c r="D13" s="60"/>
      <c r="O13" s="39" t="s">
        <v>34</v>
      </c>
      <c r="P13" s="30" t="str">
        <f t="shared" ref="P13:U14" ca="1" si="11">INDEX(P$4:P$7,MATCH($V13,$V$4:$V$7,0))</f>
        <v>Slowakei</v>
      </c>
      <c r="Q13" s="272">
        <f t="shared" ca="1" si="11"/>
        <v>3</v>
      </c>
      <c r="R13" s="465">
        <f t="shared" ca="1" si="11"/>
        <v>-5</v>
      </c>
      <c r="S13" s="465">
        <f t="shared" ca="1" si="11"/>
        <v>2</v>
      </c>
      <c r="T13" s="465">
        <f t="shared" ca="1" si="11"/>
        <v>7</v>
      </c>
      <c r="U13" s="522">
        <f t="shared" ca="1" si="11"/>
        <v>1</v>
      </c>
      <c r="V13" s="400">
        <f ca="1">LARGE($V$4:$V$7,ROW(A3))</f>
        <v>30045021.000078011</v>
      </c>
      <c r="Z13" s="308" t="b">
        <f ca="1">VLOOKUP($P13,$E$18:$M$21,8,0)&lt;&gt;""</f>
        <v>0</v>
      </c>
      <c r="AA13" s="536" t="b">
        <f ca="1">VLOOKUP($P13,$E$18:$M$21,9,0)&lt;&gt;""</f>
        <v>0</v>
      </c>
      <c r="AB13" s="30" t="b">
        <f t="shared" ca="1" si="9"/>
        <v>0</v>
      </c>
      <c r="AC13" s="30" t="b">
        <f t="shared" ca="1" si="10"/>
        <v>0</v>
      </c>
      <c r="AD13" s="539" t="str">
        <f ca="1">IF($Z13,VLOOKUP($P13,$E$18:$M$21,8,0),IF($AA13,VLOOKUP($P13,$E$18:$M$21,9,0),IF($AB13,SUMIFS($Z$18:$Z$35,$P$18:$P$35,$P13),IF($AC13,SUMIFS($AE$18:$AE$35,$P$18:$P$35,$P13),""))))</f>
        <v/>
      </c>
      <c r="AE13" s="542" t="str">
        <f ca="1">IF(OR(AND($Y$11&gt;0,OR($B$8=$P13,$D$8=$P13)),AND($Y$12&gt;0,OR($B$9=$P13,$D$9=$P13))),SUMIF($B$8:$B$9,$P13,$J$8:$J$9)+SUMIF($D$8:$D$9,$P13,$L$8:$L$9),"")</f>
        <v/>
      </c>
    </row>
    <row r="14" spans="1:33" ht="15.75" thickBot="1" x14ac:dyDescent="0.3">
      <c r="B14" s="489"/>
      <c r="C14" s="489"/>
      <c r="D14" s="60"/>
      <c r="F14" s="489"/>
      <c r="G14" s="35"/>
      <c r="O14" s="38" t="s">
        <v>35</v>
      </c>
      <c r="P14" s="37" t="str">
        <f t="shared" ca="1" si="11"/>
        <v>Polen</v>
      </c>
      <c r="Q14" s="273">
        <f t="shared" ca="1" si="11"/>
        <v>1</v>
      </c>
      <c r="R14" s="36">
        <f t="shared" ca="1" si="11"/>
        <v>-2</v>
      </c>
      <c r="S14" s="36">
        <f t="shared" ca="1" si="11"/>
        <v>4</v>
      </c>
      <c r="T14" s="36">
        <f t="shared" ca="1" si="11"/>
        <v>6</v>
      </c>
      <c r="U14" s="36">
        <f t="shared" ca="1" si="11"/>
        <v>0</v>
      </c>
      <c r="V14" s="401">
        <f ca="1">LARGE($V$4:$V$7,ROW(A4))</f>
        <v>10048040.00009202</v>
      </c>
      <c r="Z14" s="309" t="b">
        <f ca="1">VLOOKUP($P14,$E$18:$M$21,8,0)&lt;&gt;""</f>
        <v>0</v>
      </c>
      <c r="AA14" s="310" t="b">
        <f ca="1">VLOOKUP($P14,$E$18:$M$21,9,0)&lt;&gt;""</f>
        <v>0</v>
      </c>
      <c r="AB14" s="311" t="b">
        <f t="shared" ca="1" si="9"/>
        <v>0</v>
      </c>
      <c r="AC14" s="311" t="b">
        <f t="shared" ca="1" si="10"/>
        <v>0</v>
      </c>
      <c r="AD14" s="540" t="str">
        <f ca="1">IF($Z14,VLOOKUP($P14,$E$18:$M$21,8,0),IF($AA14,VLOOKUP($P14,$E$18:$M$21,9,0),IF($AB14,SUMIFS($Z$18:$Z$35,$P$18:$P$35,$P14),IF($AC14,SUMIFS($AE$18:$AE$35,$P$18:$P$35,$P14),""))))</f>
        <v/>
      </c>
      <c r="AE14" s="543" t="str">
        <f ca="1">IF(OR(AND($Y$11&gt;0,OR($B$8=$P14,$D$8=$P14)),AND($Y$12&gt;0,OR($B$9=$P14,$D$9=$P14))),SUMIF($B$8:$B$9,$P14,$J$8:$J$9)+SUMIF($D$8:$D$9,$P14,$L$8:$L$9),"")</f>
        <v/>
      </c>
    </row>
    <row r="15" spans="1:33" ht="16.5" thickTop="1" thickBot="1" x14ac:dyDescent="0.3">
      <c r="B15" s="489"/>
      <c r="C15" s="489"/>
      <c r="D15" s="87"/>
      <c r="E15" s="30"/>
      <c r="F15" s="488"/>
      <c r="G15" s="80"/>
      <c r="H15" s="30"/>
      <c r="I15" s="30"/>
      <c r="J15" s="30"/>
      <c r="K15" s="30"/>
      <c r="L15" s="83"/>
      <c r="M15" s="56"/>
      <c r="N15" s="56"/>
    </row>
    <row r="16" spans="1:33" ht="15.75" thickBot="1" x14ac:dyDescent="0.3">
      <c r="B16" s="489"/>
      <c r="C16" s="489"/>
      <c r="D16" s="86"/>
      <c r="E16" s="84"/>
      <c r="F16" s="84"/>
      <c r="G16" s="686" t="s">
        <v>521</v>
      </c>
      <c r="H16" s="686"/>
      <c r="I16" s="686"/>
      <c r="J16" s="686"/>
      <c r="K16" s="686"/>
      <c r="L16" s="686"/>
      <c r="M16" s="66"/>
      <c r="N16" s="66"/>
      <c r="W16" s="677" t="s">
        <v>522</v>
      </c>
      <c r="X16" s="677"/>
      <c r="Y16" s="677"/>
      <c r="Z16" s="677"/>
      <c r="AD16" s="677" t="s">
        <v>523</v>
      </c>
      <c r="AE16" s="677"/>
      <c r="AF16" s="312" t="b">
        <f ca="1">AND($Q$4=$Q$5,$Q$4=$Q$6,$Q$4=$Q$7)</f>
        <v>0</v>
      </c>
    </row>
    <row r="17" spans="2:31" ht="16.5" thickTop="1" thickBot="1" x14ac:dyDescent="0.3">
      <c r="B17" s="489"/>
      <c r="C17" s="489"/>
      <c r="D17" s="488"/>
      <c r="E17" s="520"/>
      <c r="F17" s="520"/>
      <c r="G17" s="521"/>
      <c r="H17" s="40" t="str">
        <f>LEFT($P$4,3)</f>
        <v>Spa</v>
      </c>
      <c r="I17" s="40" t="str">
        <f>LEFT($P$5,3)</f>
        <v>Sch</v>
      </c>
      <c r="J17" s="40" t="str">
        <f>LEFT($P$6,3)</f>
        <v>Pol</v>
      </c>
      <c r="K17" s="133" t="str">
        <f>LEFT($P$7,3)</f>
        <v>Slo</v>
      </c>
      <c r="L17" s="56" t="s">
        <v>520</v>
      </c>
      <c r="M17" s="56" t="s">
        <v>529</v>
      </c>
      <c r="N17" s="56"/>
      <c r="Q17" s="56" t="s">
        <v>221</v>
      </c>
      <c r="R17" s="56" t="s">
        <v>218</v>
      </c>
      <c r="S17" s="56" t="s">
        <v>804</v>
      </c>
      <c r="T17" s="56" t="s">
        <v>805</v>
      </c>
      <c r="U17" s="56"/>
      <c r="V17" s="56" t="s">
        <v>227</v>
      </c>
      <c r="W17" s="56" t="s">
        <v>806</v>
      </c>
      <c r="X17" s="66" t="s">
        <v>524</v>
      </c>
      <c r="Y17" s="56" t="s">
        <v>528</v>
      </c>
      <c r="Z17" s="56" t="s">
        <v>528</v>
      </c>
      <c r="AA17" s="678" t="s">
        <v>519</v>
      </c>
      <c r="AB17" s="678"/>
      <c r="AC17" s="678"/>
      <c r="AD17" s="66" t="s">
        <v>526</v>
      </c>
      <c r="AE17" s="56" t="s">
        <v>527</v>
      </c>
    </row>
    <row r="18" spans="2:31" ht="15.75" thickTop="1" x14ac:dyDescent="0.25">
      <c r="B18" s="466"/>
      <c r="C18" s="466"/>
      <c r="D18" s="465"/>
      <c r="E18" s="682" t="str">
        <f>$P$4</f>
        <v>Spanien</v>
      </c>
      <c r="F18" s="683"/>
      <c r="G18" s="683"/>
      <c r="H18" s="132"/>
      <c r="I18" s="40">
        <f ca="1">SUMIFS($E$4:$E$9,$B$4:$B$9,$P$4,$D$4:$D$9,$P$5)+SUMIFS($G$4:$G$9,$B$4:$B$9,$P$5,$D$4:$D$9,$P$4)</f>
        <v>0</v>
      </c>
      <c r="J18" s="40">
        <f ca="1">SUMIFS($E$4:$E$9,$B$4:$B$9,$P$4,$D$4:$D$9,$P$6)+SUMIFS($G$4:$G$9,$B$4:$B$9,$P$6,$D$4:$D$9,$P$4)</f>
        <v>1</v>
      </c>
      <c r="K18" s="133">
        <f ca="1">SUMIFS($E$4:$E$9,$B$4:$B$9,$P$4,$D$4:$D$9,$P$7)+SUMIFS($G$4:$G$9,$B$4:$B$9,$P$7,$D$4:$D$9,$P$4)</f>
        <v>5</v>
      </c>
      <c r="L18" s="75" t="str">
        <f ca="1">IF(AND($Q$4=$Q$5,$Q$4&lt;&gt;$Q$6,$Q$4&lt;&gt;$Q$7),IF(I18&gt;H19,3,IF(I18=H19,1,0)),IF(AND($Q$4=$Q$6,$Q$4&lt;&gt;$Q$5,$Q$4&lt;&gt;$Q$7),IF(J18&gt;H20,3,IF(J18=H20,1,0)),IF(AND($Q$4=$Q$7,$Q$4&lt;&gt;$Q$5,$Q$4&lt;&gt;$Q$6),IF(K18&gt;H21,3,IF(K18=H21,1,0)),"")))</f>
        <v/>
      </c>
      <c r="M18" s="75" t="str">
        <f ca="1">IF($AF$16,IF(AND($AD$4=$AD$5,$AD$4&lt;&gt;$AD$6,$AD$4&lt;&gt;$AD$7),IF(I18&gt;H19,3,IF(I18=H19,1,0)),IF(AND($AD$4&lt;&gt;$AD$5,$AD$4=$AD$6,$AD$4&lt;&gt;$AD$7),IF(J18&gt;H20,3,IF(J18=H20,1,0)),IF(AND($AD$4&lt;&gt;$AD$5,$AD$4&lt;&gt;$AD$6,$AD$4=$AD$7),IF(K18&gt;H21,3,IF(K18=H21,1,0)),""))),"")</f>
        <v/>
      </c>
      <c r="N18" s="465"/>
      <c r="O18" s="466" t="s">
        <v>32</v>
      </c>
      <c r="P18" t="str">
        <f>$P$4</f>
        <v>Spanien</v>
      </c>
      <c r="Q18" s="466">
        <f ca="1">SUMIFS($H$4:$H$9,$B$4:$B$9,$P18,$D$4:$D$9,"&lt;&gt;"&amp;$P$21)+SUMIFS($I$4:$I$9,$B$4:$B$9,"&lt;&gt;"&amp;$P$21,$D$4:$D$9,$P18)</f>
        <v>2</v>
      </c>
      <c r="R18" s="466">
        <f ca="1">S18-T18</f>
        <v>0</v>
      </c>
      <c r="S18" s="466">
        <f ca="1">SUMIFS($E$4:$E$9,$B$4:$B$9,$P18,$D$4:$D$9,"&lt;&gt;"&amp;$P$21)+SUMIFS($G$4:$G$9,$B$4:$B$9,"&lt;&gt;"&amp;$P$21,$D$4:$D$9,$P18)</f>
        <v>1</v>
      </c>
      <c r="T18" s="466">
        <f ca="1">SUMIFS($G$4:$G$9,$B$4:$B$9,$P18,$D$4:$D$9,"&lt;&gt;"&amp;$P$21)+SUMIFS($E$4:$E$9,$B$4:$B$9,"&lt;&gt;"&amp;$P$21,$D$4:$D$9,$P18)</f>
        <v>1</v>
      </c>
      <c r="U18" s="466"/>
      <c r="V18" s="300">
        <f ca="1">Q18*FactorPts+(GDzero+R18)*FactorGD+S18*FactorFor</f>
        <v>20050010</v>
      </c>
      <c r="W18" s="466">
        <f ca="1">RANK(V18,V$18:V$20,1)</f>
        <v>2</v>
      </c>
      <c r="X18" s="466">
        <f ca="1">IF(AND($Q$4=$Q$5,$Q$4=$Q$6,$Q$4&lt;&gt;$Q$7),W18,0)</f>
        <v>0</v>
      </c>
      <c r="Y18" s="466" t="str">
        <f ca="1">IF(AND(V18=V19,V18&lt;&gt;V20),IF(AA18&gt;AA19,3,IF(AA18=AA19,1,0)),IF(AND(V18=V20,V18&lt;&gt;V19),IF(AB18&gt;AB20,3,IF(AB18=AB20,1,0)),""))</f>
        <v/>
      </c>
      <c r="Z18" s="465" t="str">
        <f ca="1">IF(X18&gt;0,Y18,"")</f>
        <v/>
      </c>
      <c r="AA18" s="284">
        <f ca="1">$I$18</f>
        <v>0</v>
      </c>
      <c r="AB18" s="285">
        <f ca="1">$J$18</f>
        <v>1</v>
      </c>
      <c r="AC18" s="286"/>
      <c r="AD18" s="465">
        <f ca="1">IF(AND($AF$16,$AD$4=$AD$5,$AD$4=$AD$6,$AD$4&lt;&gt;$AD$7),W18,0)</f>
        <v>0</v>
      </c>
      <c r="AE18" s="465" t="str">
        <f ca="1">IF(AD18&gt;0,Y18,"")</f>
        <v/>
      </c>
    </row>
    <row r="19" spans="2:31" x14ac:dyDescent="0.25">
      <c r="B19" s="466"/>
      <c r="C19" s="466"/>
      <c r="D19" s="465"/>
      <c r="E19" s="684" t="str">
        <f>$P$5</f>
        <v>Schweden</v>
      </c>
      <c r="F19" s="685"/>
      <c r="G19" s="685"/>
      <c r="H19" s="39">
        <f ca="1">SUMIFS($E$4:$E$9,$B$4:$B$9,$P$5,$D$4:$D$9,$P$4)+SUMIFS($G$4:$G$9,$B$4:$B$9,$P$4,$D$4:$D$9,$P$5)</f>
        <v>0</v>
      </c>
      <c r="I19" s="81"/>
      <c r="J19" s="465">
        <f ca="1">SUMIFS($E$4:$E$9,$B$4:$B$9,$P$5,$D$4:$D$9,$P$6)+SUMIFS($G$4:$G$9,$B$4:$B$9,$P$6,$D$4:$D$9,$P$5)</f>
        <v>3</v>
      </c>
      <c r="K19" s="57">
        <f ca="1">SUMIFS($E$4:$E$9,$B$4:$B$9,$P$5,$D$4:$D$9,$P$7)+SUMIFS($G$4:$G$9,$B$4:$B$9,$P$7,$D$4:$D$9,$P$5)</f>
        <v>1</v>
      </c>
      <c r="L19" s="76" t="str">
        <f ca="1">IF(AND($Q$5=$Q$4,$Q$5&lt;&gt;$Q$6,$Q$5&lt;&gt;$Q$7),IF(H19&gt;I18,3,IF(H19=I18,1,0)),IF(AND($Q$5=$Q$6,$Q$5&lt;&gt;$Q$4,$Q$5&lt;&gt;$Q$7),IF(J19&gt;I20,3,IF(J19=I20,1,0)),IF(AND($Q$5=$Q$7,$Q$5&lt;&gt;$Q$4,$Q$5&lt;&gt;$Q$6),IF(K19&gt;I21,3,IF(K19=I21,1,0)),"")))</f>
        <v/>
      </c>
      <c r="M19" s="76" t="str">
        <f ca="1">IF($AF$16,IF(AND($AD$5=$AD$4,$AD$5&lt;&gt;$AD$6,$AD$5&lt;&gt;$AD$7),IF(H19&gt;I18,3,IF(H19=I18,1,0)),IF(AND($AD$5&lt;&gt;$AD$4,$AD$5=$AD$6,$AD$5&lt;&gt;$AD$7),IF(J19&gt;I20,3,IF(J19=I20,1,0)),IF(AND($AD$5&lt;&gt;$AD$4,$AD$5&lt;&gt;$AD$6,$AD$5=$AD$7),IF(K19&gt;I21,3,IF(K19=I21,1,0)),""))),"")</f>
        <v/>
      </c>
      <c r="N19" s="465"/>
      <c r="O19" s="466" t="s">
        <v>33</v>
      </c>
      <c r="P19" t="str">
        <f>$P$5</f>
        <v>Schweden</v>
      </c>
      <c r="Q19" s="466">
        <f ca="1">SUMIFS($H$4:$H$9,$B$4:$B$9,$P19,$D$4:$D$9,"&lt;&gt;"&amp;$P$21)+SUMIFS($I$4:$I$9,$B$4:$B$9,"&lt;&gt;"&amp;$P$21,$D$4:$D$9,$P19)</f>
        <v>4</v>
      </c>
      <c r="R19" s="466">
        <f ca="1">S19-T19</f>
        <v>1</v>
      </c>
      <c r="S19" s="466">
        <f ca="1">SUMIFS($E$4:$E$9,$B$4:$B$9,$P19,$D$4:$D$9,"&lt;&gt;"&amp;$P$21)+SUMIFS($G$4:$G$9,$B$4:$B$9,"&lt;&gt;"&amp;$P$21,$D$4:$D$9,$P19)</f>
        <v>3</v>
      </c>
      <c r="T19" s="466">
        <f ca="1">SUMIFS($G$4:$G$9,$B$4:$B$9,$P19,$D$4:$D$9,"&lt;&gt;"&amp;$P$21)+SUMIFS($E$4:$E$9,$B$4:$B$9,"&lt;&gt;"&amp;$P$21,$D$4:$D$9,$P19)</f>
        <v>2</v>
      </c>
      <c r="U19" s="466"/>
      <c r="V19" s="300">
        <f ca="1">Q19*FactorPts+(GDzero+R19)*FactorGD+S19*FactorFor</f>
        <v>40051030</v>
      </c>
      <c r="W19" s="466">
        <f ca="1">RANK(V19,V$18:V$20,1)</f>
        <v>3</v>
      </c>
      <c r="X19" s="466">
        <f ca="1">IF(AND($Q$4=$Q$5,$Q$4=$Q$6,$Q$4&lt;&gt;$Q$7),W19,0)</f>
        <v>0</v>
      </c>
      <c r="Y19" s="466" t="str">
        <f ca="1">IF(AND(V19=V18,V19&lt;&gt;V20),IF(AA19&gt;AA18,3,IF(AA19=AA18,1,0)),IF(AND(V19=V20,V19&lt;&gt;V18),IF(AC19&gt;AC20,3,IF(AC19=AC20,1,0)),""))</f>
        <v/>
      </c>
      <c r="Z19" s="465" t="str">
        <f t="shared" ref="Z19:Z20" ca="1" si="12">IF(X19&gt;0,Y19,"")</f>
        <v/>
      </c>
      <c r="AA19" s="287">
        <f ca="1">$H$19</f>
        <v>0</v>
      </c>
      <c r="AB19" s="465"/>
      <c r="AC19" s="468">
        <f ca="1">$J$19</f>
        <v>3</v>
      </c>
      <c r="AD19" s="465">
        <f ca="1">IF(AND($AF$16,$AD$4=$AD$5,$AD$4=$AD$6,$AD$4&lt;&gt;$AD$7),W19,0)</f>
        <v>0</v>
      </c>
      <c r="AE19" s="465" t="str">
        <f t="shared" ref="AE19:AE20" ca="1" si="13">IF(AD19&gt;0,Y19,"")</f>
        <v/>
      </c>
    </row>
    <row r="20" spans="2:31" x14ac:dyDescent="0.25">
      <c r="D20" s="30"/>
      <c r="E20" s="684" t="str">
        <f>$P$6</f>
        <v>Polen</v>
      </c>
      <c r="F20" s="685"/>
      <c r="G20" s="685"/>
      <c r="H20" s="39">
        <f ca="1">SUMIFS($E$4:$E$9,$B$4:$B$9,$P$6,$D$4:$D$9,$P$4)+SUMIFS($G$4:$G$9,$B$4:$B$9,$P$4,$D$4:$D$9,$P$6)</f>
        <v>1</v>
      </c>
      <c r="I20" s="465">
        <f ca="1">SUMIFS($E$4:$E$9,$B$4:$B$9,$P$6,$D$4:$D$9,$P$5)+SUMIFS($G$4:$G$9,$B$4:$B$9,$P$5,$D$4:$D$9,$P$6)</f>
        <v>2</v>
      </c>
      <c r="J20" s="81"/>
      <c r="K20" s="57">
        <f ca="1">SUMIFS($E$4:$E$9,$B$4:$B$9,$P$6,$D$4:$D$9,$P$7)+SUMIFS($G$4:$G$9,$B$4:$B$9,$P$7,$D$4:$D$9,$P$6)</f>
        <v>1</v>
      </c>
      <c r="L20" s="76" t="str">
        <f ca="1">IF(AND($Q$6=$Q$4,$Q$6&lt;&gt;$Q$5,$Q$6&lt;&gt;$Q$7),IF(H20&gt;J18,3,IF(H20=J18,1,0)),IF(AND($Q$6=$Q$5,$Q$6&lt;&gt;$Q$4,$Q$6&lt;&gt;$Q$7),IF(I20&gt;J19,3,IF(I20=J19,1,0)),IF(AND($Q$6=$Q$7,$Q$6&lt;&gt;$Q$4,$Q$6&lt;&gt;$Q$5),IF(K20&gt;J21,3,IF(K20=J21,1,0)),"")))</f>
        <v/>
      </c>
      <c r="M20" s="76" t="str">
        <f ca="1">IF($AF$16,IF(AND($AD$6=$AD$4,$AD$6&lt;&gt;$AD$5,$AD$6&lt;&gt;$AD$7),IF(H20&gt;J18,3,IF(H20=J18,1,0)),IF(AND($AD$6&lt;&gt;$AD$4,$AD$6=$AD$5,$AD$6&lt;&gt;$AD$7),IF(I20&gt;J19,3,IF(I20=J19,1,0)),IF(AND($AD$6&lt;&gt;$AD$4,$AD$6&lt;&gt;$AD$5,$AD$6=$AD$7),IF(K20&gt;J21,3,IF(K20=J21,1,0)),""))),"")</f>
        <v/>
      </c>
      <c r="N20" s="465"/>
      <c r="O20" s="466" t="s">
        <v>34</v>
      </c>
      <c r="P20" t="str">
        <f>$P$6</f>
        <v>Polen</v>
      </c>
      <c r="Q20" s="466">
        <f ca="1">SUMIFS($H$4:$H$9,$B$4:$B$9,$P20,$D$4:$D$9,"&lt;&gt;"&amp;$P$21)+SUMIFS($I$4:$I$9,$B$4:$B$9,"&lt;&gt;"&amp;$P$21,$D$4:$D$9,$P20)</f>
        <v>1</v>
      </c>
      <c r="R20" s="466">
        <f ca="1">S20-T20</f>
        <v>-1</v>
      </c>
      <c r="S20" s="466">
        <f ca="1">SUMIFS($E$4:$E$9,$B$4:$B$9,$P20,$D$4:$D$9,"&lt;&gt;"&amp;$P$21)+SUMIFS($G$4:$G$9,$B$4:$B$9,"&lt;&gt;"&amp;$P$21,$D$4:$D$9,$P20)</f>
        <v>3</v>
      </c>
      <c r="T20" s="466">
        <f ca="1">SUMIFS($G$4:$G$9,$B$4:$B$9,$P20,$D$4:$D$9,"&lt;&gt;"&amp;$P$21)+SUMIFS($E$4:$E$9,$B$4:$B$9,"&lt;&gt;"&amp;$P$21,$D$4:$D$9,$P20)</f>
        <v>4</v>
      </c>
      <c r="U20" s="466"/>
      <c r="V20" s="300">
        <f ca="1">Q20*FactorPts+(GDzero+R20)*FactorGD+S20*FactorFor</f>
        <v>10049030</v>
      </c>
      <c r="W20" s="466">
        <f ca="1">RANK(V20,V$18:V$20,1)</f>
        <v>1</v>
      </c>
      <c r="X20" s="466">
        <f ca="1">IF(AND($Q$4=$Q$5,$Q$4=$Q$6,$Q$4&lt;&gt;$Q$7),W20,0)</f>
        <v>0</v>
      </c>
      <c r="Y20" s="466" t="str">
        <f ca="1">IF(AND(V20=V18,V20&lt;&gt;V19),IF(AB20&gt;AB18,3,IF(AB20=AB18,1,0)),IF(AND(V20=V19,V20&lt;&gt;V18),IF(AC20&gt;AC19,3,IF(AC20=AC19,1,0)),""))</f>
        <v/>
      </c>
      <c r="Z20" s="465" t="str">
        <f t="shared" ca="1" si="12"/>
        <v/>
      </c>
      <c r="AA20" s="287"/>
      <c r="AB20" s="465">
        <f ca="1">$H$20</f>
        <v>1</v>
      </c>
      <c r="AC20" s="468">
        <f ca="1">$I$20</f>
        <v>2</v>
      </c>
      <c r="AD20" s="465">
        <f ca="1">IF(AND($AF$16,$AD$4=$AD$5,$AD$4=$AD$6,$AD$4&lt;&gt;$AD$7),W20,0)</f>
        <v>0</v>
      </c>
      <c r="AE20" s="465" t="str">
        <f t="shared" ca="1" si="13"/>
        <v/>
      </c>
    </row>
    <row r="21" spans="2:31" ht="15.75" thickBot="1" x14ac:dyDescent="0.3">
      <c r="B21" s="49"/>
      <c r="C21" s="50"/>
      <c r="D21" s="51"/>
      <c r="E21" s="679" t="str">
        <f>$P$7</f>
        <v>Slowakei</v>
      </c>
      <c r="F21" s="680"/>
      <c r="G21" s="680"/>
      <c r="H21" s="38">
        <f ca="1">SUMIFS($E$4:$E$9,$B$4:$B$9,$P$7,$D$4:$D$9,$P$4)+SUMIFS($G$4:$G$9,$B$4:$B$9,$P$4,$D$4:$D$9,$P$7)</f>
        <v>0</v>
      </c>
      <c r="I21" s="36">
        <f ca="1">SUMIFS($E$4:$E$9,$B$4:$B$9,$P$7,$D$4:$D$9,$P$5)+SUMIFS($G$4:$G$9,$B$4:$B$9,$P$5,$D$4:$D$9,$P$7)</f>
        <v>0</v>
      </c>
      <c r="J21" s="36">
        <f ca="1">SUMIFS($E$4:$E$9,$B$4:$B$9,$P$7,$D$4:$D$9,$P$6)+SUMIFS($G$4:$G$9,$B$4:$B$9,$P$6,$D$4:$D$9,$P$7)</f>
        <v>2</v>
      </c>
      <c r="K21" s="82"/>
      <c r="L21" s="77" t="str">
        <f ca="1">IF(AND($Q$7=$Q$4,$Q$7&lt;&gt;$Q$5,$Q$7&lt;&gt;$Q$6),IF(H21&gt;K18,3,IF(H21=K18,1,0)),IF(AND($Q$7=$Q$5,$Q$7&lt;&gt;$Q$4,$Q$7&lt;&gt;$Q$6),IF(I21&gt;K19,3,IF(I21=K19,1,0)),IF(AND($Q$7=$Q$6,$Q$7&lt;&gt;$Q$4,$Q$7&lt;&gt;$Q$5),IF(J21&gt;K20,3,IF(J21=K20,1,0)),"")))</f>
        <v/>
      </c>
      <c r="M21" s="77" t="str">
        <f ca="1">IF($AF$16,IF(AND($AD$7=$AD$4,$AD$7&lt;&gt;$AD$5,$AD$7&lt;&gt;$AD$6),IF(H21&gt;K18,3,IF(H21=K18,1,0)),IF(AND($AD$7&lt;&gt;$AD$4,$AD$7=$AD$5,$AD$7&lt;&gt;$AD$6),IF(I21&gt;K19,3,IF(I21=K19,1,0)),IF(AND($AD$7&lt;&gt;$AD$4,$AD$7&lt;&gt;$AD$5,$AD$7=$AD$6),IF(J21&gt;K20,3,IF(J21=K20,1,0)),""))),"")</f>
        <v/>
      </c>
      <c r="N21" s="465"/>
      <c r="P21" s="34" t="str">
        <f>$P$7</f>
        <v>Slowakei</v>
      </c>
      <c r="Q21" s="293"/>
      <c r="R21" s="293"/>
      <c r="S21" s="293"/>
      <c r="T21" s="293"/>
      <c r="U21" s="293"/>
      <c r="V21" s="294"/>
      <c r="W21" s="294"/>
      <c r="X21" s="293"/>
      <c r="Y21" s="293"/>
      <c r="Z21" s="295"/>
      <c r="AA21" s="296"/>
      <c r="AB21" s="295"/>
      <c r="AC21" s="297"/>
      <c r="AD21" s="298"/>
      <c r="AE21" s="295"/>
    </row>
    <row r="22" spans="2:31" ht="15.75" thickTop="1" x14ac:dyDescent="0.25">
      <c r="B22" s="49"/>
      <c r="C22" s="50"/>
      <c r="D22" s="51"/>
      <c r="F22" s="466"/>
      <c r="G22" s="35"/>
      <c r="L22" s="56"/>
      <c r="Q22" s="294"/>
      <c r="R22" s="294"/>
      <c r="S22" s="294"/>
      <c r="T22" s="294"/>
      <c r="U22" s="294"/>
      <c r="V22" s="294"/>
      <c r="W22" s="294"/>
      <c r="X22" s="293"/>
      <c r="Y22" s="293"/>
      <c r="Z22" s="295"/>
      <c r="AA22" s="296"/>
      <c r="AB22" s="295"/>
      <c r="AC22" s="297"/>
      <c r="AD22" s="298"/>
      <c r="AE22" s="295"/>
    </row>
    <row r="23" spans="2:31" x14ac:dyDescent="0.25">
      <c r="B23" s="43"/>
      <c r="C23" s="466"/>
      <c r="O23" s="466" t="s">
        <v>32</v>
      </c>
      <c r="P23" t="str">
        <f>$P$4</f>
        <v>Spanien</v>
      </c>
      <c r="Q23" s="466">
        <f ca="1">SUMIFS($H$4:$H$9,$B$4:$B$9,$P23,$D$4:$D$9,"&lt;&gt;"&amp;$P$26)+SUMIFS($I$4:$I$9,$B$4:$B$9,"&lt;&gt;"&amp;$P$26,$D$4:$D$9,$P23)</f>
        <v>4</v>
      </c>
      <c r="R23" s="466">
        <f ca="1">S23-T23</f>
        <v>5</v>
      </c>
      <c r="S23" s="466">
        <f ca="1">SUMIFS($E$4:$E$9,$B$4:$B$9,$P23,$D$4:$D$9,"&lt;&gt;"&amp;$P$26)+SUMIFS($G$4:$G$9,$B$4:$B$9,"&lt;&gt;"&amp;$P$26,$D$4:$D$9,$P23)</f>
        <v>5</v>
      </c>
      <c r="T23" s="466">
        <f ca="1">SUMIFS($G$4:$G$9,$B$4:$B$9,$P23,$D$4:$D$9,"&lt;&gt;"&amp;$P$26)+SUMIFS($E$4:$E$9,$B$4:$B$9,"&lt;&gt;"&amp;$P$26,$D$4:$D$9,$P23)</f>
        <v>0</v>
      </c>
      <c r="U23" s="466"/>
      <c r="V23" s="300">
        <f ca="1">Q23*FactorPts+(GDzero+R23)*FactorGD+S23*FactorFor</f>
        <v>40055050</v>
      </c>
      <c r="W23" s="466">
        <f ca="1">RANK(V23,V$23:V$25,1)</f>
        <v>3</v>
      </c>
      <c r="X23" s="466">
        <f ca="1">IF(AND($Q$4=$Q$5,$Q$4=$Q$7,$Q$4&lt;&gt;$Q$6),W23,0)</f>
        <v>0</v>
      </c>
      <c r="Y23" s="466" t="str">
        <f ca="1">IF(AND(V23=V24,V23&lt;&gt;V25),IF(AA23&gt;AA24,3,IF(AA23=AA24,1,0)),IF(AND(V23=V25,V23&lt;&gt;V24),IF(AB23&gt;AB25,3,IF(AB23=AB25,1,0)),""))</f>
        <v/>
      </c>
      <c r="Z23" s="465" t="str">
        <f ca="1">IF(X23&gt;0,Y23,"")</f>
        <v/>
      </c>
      <c r="AA23" s="287">
        <f ca="1">$I$18</f>
        <v>0</v>
      </c>
      <c r="AB23" s="465">
        <f ca="1">$K$18</f>
        <v>5</v>
      </c>
      <c r="AC23" s="468"/>
      <c r="AD23" s="465">
        <f ca="1">IF(AND($AF$16,$AD$4=$AD$5,$AD$4=$AD$7,$AD$4&lt;&gt;$AD$6),W23,0)</f>
        <v>0</v>
      </c>
      <c r="AE23" s="465" t="str">
        <f ca="1">IF(AD23&gt;0,Y23,"")</f>
        <v/>
      </c>
    </row>
    <row r="24" spans="2:31" x14ac:dyDescent="0.25">
      <c r="B24" s="43"/>
      <c r="C24" s="466"/>
      <c r="O24" s="466" t="s">
        <v>33</v>
      </c>
      <c r="P24" t="str">
        <f>$P$5</f>
        <v>Schweden</v>
      </c>
      <c r="Q24" s="466">
        <f ca="1">SUMIFS($H$4:$H$9,$B$4:$B$9,$P24,$D$4:$D$9,"&lt;&gt;"&amp;$P$26)+SUMIFS($I$4:$I$9,$B$4:$B$9,"&lt;&gt;"&amp;$P$26,$D$4:$D$9,$P24)</f>
        <v>4</v>
      </c>
      <c r="R24" s="466">
        <f ca="1">S24-T24</f>
        <v>1</v>
      </c>
      <c r="S24" s="466">
        <f ca="1">SUMIFS($E$4:$E$9,$B$4:$B$9,$P24,$D$4:$D$9,"&lt;&gt;"&amp;$P$26)+SUMIFS($G$4:$G$9,$B$4:$B$9,"&lt;&gt;"&amp;$P$26,$D$4:$D$9,$P24)</f>
        <v>1</v>
      </c>
      <c r="T24" s="466">
        <f ca="1">SUMIFS($G$4:$G$9,$B$4:$B$9,$P24,$D$4:$D$9,"&lt;&gt;"&amp;$P$26)+SUMIFS($E$4:$E$9,$B$4:$B$9,"&lt;&gt;"&amp;$P$26,$D$4:$D$9,$P24)</f>
        <v>0</v>
      </c>
      <c r="U24" s="466"/>
      <c r="V24" s="300">
        <f ca="1">Q24*FactorPts+(GDzero+R24)*FactorGD+S24*FactorFor</f>
        <v>40051010</v>
      </c>
      <c r="W24" s="466">
        <f ca="1">RANK(V24,V$23:V$25,1)</f>
        <v>2</v>
      </c>
      <c r="X24" s="466">
        <f ca="1">IF(AND($Q$4=$Q$5,$Q$4=$Q$7,$Q$4&lt;&gt;$Q$6),W24,0)</f>
        <v>0</v>
      </c>
      <c r="Y24" s="466" t="str">
        <f ca="1">IF(AND(V24=V23,V24&lt;&gt;V25),IF(AA24&gt;AA23,3,IF(AA24=AA23,1,0)),IF(AND(V24=V25,V24&lt;&gt;V23),IF(AC24&gt;AC25,3,IF(AC24=AC25,1,0)),""))</f>
        <v/>
      </c>
      <c r="Z24" s="465" t="str">
        <f t="shared" ref="Z24:Z25" ca="1" si="14">IF(X24&gt;0,Y24,"")</f>
        <v/>
      </c>
      <c r="AA24" s="287">
        <f ca="1">$H$19</f>
        <v>0</v>
      </c>
      <c r="AB24" s="465"/>
      <c r="AC24" s="468">
        <f ca="1">$K$19</f>
        <v>1</v>
      </c>
      <c r="AD24" s="465">
        <f ca="1">IF(AND($AF$16,$AD$4=$AD$5,$AD$4=$AD$7,$AD$4&lt;&gt;$AD$6),W24,0)</f>
        <v>0</v>
      </c>
      <c r="AE24" s="465" t="str">
        <f t="shared" ref="AE24:AE25" ca="1" si="15">IF(AD24&gt;0,Y24,"")</f>
        <v/>
      </c>
    </row>
    <row r="25" spans="2:31" x14ac:dyDescent="0.25">
      <c r="B25" s="43"/>
      <c r="C25" s="466"/>
      <c r="O25" s="466" t="s">
        <v>34</v>
      </c>
      <c r="P25" t="str">
        <f>$P$7</f>
        <v>Slowakei</v>
      </c>
      <c r="Q25" s="466">
        <f ca="1">SUMIFS($H$4:$H$9,$B$4:$B$9,$P25,$D$4:$D$9,"&lt;&gt;"&amp;$P$26)+SUMIFS($I$4:$I$9,$B$4:$B$9,"&lt;&gt;"&amp;$P$26,$D$4:$D$9,$P25)</f>
        <v>0</v>
      </c>
      <c r="R25" s="466">
        <f ca="1">S25-T25</f>
        <v>-6</v>
      </c>
      <c r="S25" s="466">
        <f ca="1">SUMIFS($E$4:$E$9,$B$4:$B$9,$P25,$D$4:$D$9,"&lt;&gt;"&amp;$P$26)+SUMIFS($G$4:$G$9,$B$4:$B$9,"&lt;&gt;"&amp;$P$26,$D$4:$D$9,$P25)</f>
        <v>0</v>
      </c>
      <c r="T25" s="466">
        <f ca="1">SUMIFS($G$4:$G$9,$B$4:$B$9,$P25,$D$4:$D$9,"&lt;&gt;"&amp;$P$26)+SUMIFS($E$4:$E$9,$B$4:$B$9,"&lt;&gt;"&amp;$P$26,$D$4:$D$9,$P25)</f>
        <v>6</v>
      </c>
      <c r="U25" s="466"/>
      <c r="V25" s="300">
        <f ca="1">Q25*FactorPts+(GDzero+R25)*FactorGD+S25*FactorFor</f>
        <v>44000</v>
      </c>
      <c r="W25" s="466">
        <f ca="1">RANK(V25,V$23:V$25,1)</f>
        <v>1</v>
      </c>
      <c r="X25" s="466">
        <f ca="1">IF(AND($Q$4=$Q$5,$Q$4=$Q$7,$Q$4&lt;&gt;$Q$6),W25,0)</f>
        <v>0</v>
      </c>
      <c r="Y25" s="466" t="str">
        <f ca="1">IF(AND(V25=V23,V25&lt;&gt;V24),IF(AB25&gt;AB23,3,IF(AB25=AB23,1,0)),IF(AND(V25=V24,V25&lt;&gt;V23),IF(AC25&gt;AC24,3,IF(AC25=AC24,1,0)),""))</f>
        <v/>
      </c>
      <c r="Z25" s="465" t="str">
        <f t="shared" ca="1" si="14"/>
        <v/>
      </c>
      <c r="AA25" s="287"/>
      <c r="AB25" s="465">
        <f ca="1">$H$21</f>
        <v>0</v>
      </c>
      <c r="AC25" s="468">
        <f ca="1">$I$21</f>
        <v>0</v>
      </c>
      <c r="AD25" s="465">
        <f ca="1">IF(AND($AF$16,$AD$4=$AD$5,$AD$4=$AD$7,$AD$4&lt;&gt;$AD$6),W25,0)</f>
        <v>0</v>
      </c>
      <c r="AE25" s="465" t="str">
        <f t="shared" ca="1" si="15"/>
        <v/>
      </c>
    </row>
    <row r="26" spans="2:31" x14ac:dyDescent="0.25">
      <c r="B26" s="43"/>
      <c r="C26" s="466"/>
      <c r="P26" s="34" t="str">
        <f>$P$6</f>
        <v>Polen</v>
      </c>
      <c r="Q26" s="293"/>
      <c r="R26" s="293"/>
      <c r="S26" s="293"/>
      <c r="T26" s="293"/>
      <c r="U26" s="293"/>
      <c r="V26" s="294"/>
      <c r="W26" s="294"/>
      <c r="X26" s="293"/>
      <c r="Y26" s="293"/>
      <c r="Z26" s="295"/>
      <c r="AA26" s="296"/>
      <c r="AB26" s="295"/>
      <c r="AC26" s="297"/>
      <c r="AD26" s="298"/>
      <c r="AE26" s="295"/>
    </row>
    <row r="27" spans="2:31" x14ac:dyDescent="0.25">
      <c r="Q27" s="294"/>
      <c r="R27" s="294"/>
      <c r="S27" s="294"/>
      <c r="T27" s="294"/>
      <c r="U27" s="294"/>
      <c r="V27" s="294"/>
      <c r="W27" s="294"/>
      <c r="X27" s="293"/>
      <c r="Y27" s="293"/>
      <c r="Z27" s="295"/>
      <c r="AA27" s="296"/>
      <c r="AB27" s="295"/>
      <c r="AC27" s="297"/>
      <c r="AD27" s="298"/>
      <c r="AE27" s="295"/>
    </row>
    <row r="28" spans="2:31" x14ac:dyDescent="0.25">
      <c r="O28" s="466" t="s">
        <v>32</v>
      </c>
      <c r="P28" t="str">
        <f>$P$4</f>
        <v>Spanien</v>
      </c>
      <c r="Q28" s="466">
        <f ca="1">SUMIFS($H$4:$H$9,$B$4:$B$9,$P28,$D$4:$D$9,"&lt;&gt;"&amp;$P$31)+SUMIFS($I$4:$I$9,$B$4:$B$9,"&lt;&gt;"&amp;$P$31,$D$4:$D$9,$P28)</f>
        <v>4</v>
      </c>
      <c r="R28" s="466">
        <f ca="1">S28-T28</f>
        <v>5</v>
      </c>
      <c r="S28" s="466">
        <f ca="1">SUMIFS($E$4:$E$9,$B$4:$B$9,$P28,$D$4:$D$9,"&lt;&gt;"&amp;$P$31)+SUMIFS($G$4:$G$9,$B$4:$B$9,"&lt;&gt;"&amp;$P$31,$D$4:$D$9,$P28)</f>
        <v>6</v>
      </c>
      <c r="T28" s="466">
        <f ca="1">SUMIFS($G$4:$G$9,$B$4:$B$9,$P28,$D$4:$D$9,"&lt;&gt;"&amp;$P$31)+SUMIFS($E$4:$E$9,$B$4:$B$9,"&lt;&gt;"&amp;$P$31,$D$4:$D$9,$P28)</f>
        <v>1</v>
      </c>
      <c r="U28" s="466"/>
      <c r="V28" s="300">
        <f ca="1">Q28*FactorPts+(GDzero+R28)*FactorGD+S28*FactorFor</f>
        <v>40055060</v>
      </c>
      <c r="W28" s="466">
        <f ca="1">_xlfn.RANK.EQ(V28,V$28:V$30,1)</f>
        <v>3</v>
      </c>
      <c r="X28" s="466">
        <f ca="1">IF(AND($Q$4=$Q$6,$Q$4=$Q$7,$Q$4&lt;&gt;$Q$5),W28,0)</f>
        <v>0</v>
      </c>
      <c r="Y28" s="466" t="str">
        <f ca="1">IF(AND(V28=V29,V28&lt;&gt;V30),IF(AA28&gt;AA29,3,IF(AA28=AA29,1,0)),IF(AND(V28=V30,V28&lt;&gt;V29),IF(AB28&gt;AB30,3,IF(AB28=AB30,1,0)),""))</f>
        <v/>
      </c>
      <c r="Z28" s="465" t="str">
        <f ca="1">IF(X28&gt;0,Y28,"")</f>
        <v/>
      </c>
      <c r="AA28" s="287">
        <f ca="1">$J$18</f>
        <v>1</v>
      </c>
      <c r="AB28" s="465">
        <f ca="1">$K$18</f>
        <v>5</v>
      </c>
      <c r="AC28" s="468"/>
      <c r="AD28" s="465">
        <f ca="1">IF(AND($AF$16,$AD$4=$AD$6,$AD$4=$AD$7,$AD$4&lt;&gt;$AD$5),W28,0)</f>
        <v>0</v>
      </c>
      <c r="AE28" s="465" t="str">
        <f ca="1">IF(AD28&gt;0,Y28,"")</f>
        <v/>
      </c>
    </row>
    <row r="29" spans="2:31" x14ac:dyDescent="0.25">
      <c r="O29" s="466" t="s">
        <v>33</v>
      </c>
      <c r="P29" t="str">
        <f>$P$6</f>
        <v>Polen</v>
      </c>
      <c r="Q29" s="466">
        <f ca="1">SUMIFS($H$4:$H$9,$B$4:$B$9,$P29,$D$4:$D$9,"&lt;&gt;"&amp;$P$31)+SUMIFS($I$4:$I$9,$B$4:$B$9,"&lt;&gt;"&amp;$P$31,$D$4:$D$9,$P29)</f>
        <v>1</v>
      </c>
      <c r="R29" s="466">
        <f ca="1">S29-T29</f>
        <v>-1</v>
      </c>
      <c r="S29" s="466">
        <f ca="1">SUMIFS($E$4:$E$9,$B$4:$B$9,$P29,$D$4:$D$9,"&lt;&gt;"&amp;$P$31)+SUMIFS($G$4:$G$9,$B$4:$B$9,"&lt;&gt;"&amp;$P$31,$D$4:$D$9,$P29)</f>
        <v>2</v>
      </c>
      <c r="T29" s="466">
        <f ca="1">SUMIFS($G$4:$G$9,$B$4:$B$9,$P29,$D$4:$D$9,"&lt;&gt;"&amp;$P$31)+SUMIFS($E$4:$E$9,$B$4:$B$9,"&lt;&gt;"&amp;$P$31,$D$4:$D$9,$P29)</f>
        <v>3</v>
      </c>
      <c r="U29" s="466"/>
      <c r="V29" s="300">
        <f ca="1">Q29*FactorPts+(GDzero+R29)*FactorGD+S29*FactorFor</f>
        <v>10049020</v>
      </c>
      <c r="W29" s="466">
        <f ca="1">_xlfn.RANK.EQ(V29,V$28:V$30,1)</f>
        <v>1</v>
      </c>
      <c r="X29" s="466">
        <f ca="1">IF(AND($Q$4=$Q$6,$Q$4=$Q$7,$Q$4&lt;&gt;$Q$5),W29,0)</f>
        <v>0</v>
      </c>
      <c r="Y29" s="466" t="str">
        <f ca="1">IF(AND(V29=V28,V29&lt;&gt;V30),IF(AA29&gt;AA28,3,IF(AA29=AA28,1,0)),IF(AND(V29=V30,V29&lt;&gt;V28),IF(AC29&gt;AC30,3,IF(AC29=AC30,1,0)),""))</f>
        <v/>
      </c>
      <c r="Z29" s="465" t="str">
        <f t="shared" ref="Z29:Z30" ca="1" si="16">IF(X29&gt;0,Y29,"")</f>
        <v/>
      </c>
      <c r="AA29" s="287">
        <f ca="1">$H$20</f>
        <v>1</v>
      </c>
      <c r="AB29" s="465"/>
      <c r="AC29" s="468">
        <f ca="1">$K$20</f>
        <v>1</v>
      </c>
      <c r="AD29" s="465">
        <f ca="1">IF(AND($AF$16,$AD$4=$AD$6,$AD$4=$AD$7,$AD$4&lt;&gt;$AD$5),W29,0)</f>
        <v>0</v>
      </c>
      <c r="AE29" s="465" t="str">
        <f t="shared" ref="AE29:AE30" ca="1" si="17">IF(AD29&gt;0,Y29,"")</f>
        <v/>
      </c>
    </row>
    <row r="30" spans="2:31" x14ac:dyDescent="0.25">
      <c r="O30" s="466" t="s">
        <v>34</v>
      </c>
      <c r="P30" t="str">
        <f>$P$7</f>
        <v>Slowakei</v>
      </c>
      <c r="Q30" s="466">
        <f ca="1">SUMIFS($H$4:$H$9,$B$4:$B$9,$P30,$D$4:$D$9,"&lt;&gt;"&amp;$P$31)+SUMIFS($I$4:$I$9,$B$4:$B$9,"&lt;&gt;"&amp;$P$31,$D$4:$D$9,$P30)</f>
        <v>3</v>
      </c>
      <c r="R30" s="466">
        <f ca="1">S30-T30</f>
        <v>-4</v>
      </c>
      <c r="S30" s="466">
        <f ca="1">SUMIFS($E$4:$E$9,$B$4:$B$9,$P30,$D$4:$D$9,"&lt;&gt;"&amp;$P$31)+SUMIFS($G$4:$G$9,$B$4:$B$9,"&lt;&gt;"&amp;$P$31,$D$4:$D$9,$P30)</f>
        <v>2</v>
      </c>
      <c r="T30" s="466">
        <f ca="1">SUMIFS($G$4:$G$9,$B$4:$B$9,$P30,$D$4:$D$9,"&lt;&gt;"&amp;$P$31)+SUMIFS($E$4:$E$9,$B$4:$B$9,"&lt;&gt;"&amp;$P$31,$D$4:$D$9,$P30)</f>
        <v>6</v>
      </c>
      <c r="U30" s="466"/>
      <c r="V30" s="300">
        <f ca="1">Q30*FactorPts+(GDzero+R30)*FactorGD+S30*FactorFor</f>
        <v>30046020</v>
      </c>
      <c r="W30" s="466">
        <f ca="1">_xlfn.RANK.EQ(V30,V$28:V$30,1)</f>
        <v>2</v>
      </c>
      <c r="X30" s="466">
        <f ca="1">IF(AND($Q$4=$Q$6,$Q$4=$Q$7,$Q$4&lt;&gt;$Q$5),W30,0)</f>
        <v>0</v>
      </c>
      <c r="Y30" s="466" t="str">
        <f ca="1">IF(AND(V30=V28,V30&lt;&gt;V29),IF(AB30&gt;AB28,3,IF(AB30=AB28,1,0)),IF(AND(V30=V29,V30&lt;&gt;V28),IF(AC30&gt;AC29,3,IF(AC30=AC29,1,0)),""))</f>
        <v/>
      </c>
      <c r="Z30" s="465" t="str">
        <f t="shared" ca="1" si="16"/>
        <v/>
      </c>
      <c r="AA30" s="287"/>
      <c r="AB30" s="465">
        <f ca="1">$H$21</f>
        <v>0</v>
      </c>
      <c r="AC30" s="468">
        <f ca="1">$J$21</f>
        <v>2</v>
      </c>
      <c r="AD30" s="465">
        <f ca="1">IF(AND($AF$16,$AD$4=$AD$6,$AD$4=$AD$7,$AD$4&lt;&gt;$AD$5),W30,0)</f>
        <v>0</v>
      </c>
      <c r="AE30" s="465" t="str">
        <f t="shared" ca="1" si="17"/>
        <v/>
      </c>
    </row>
    <row r="31" spans="2:31" x14ac:dyDescent="0.25">
      <c r="P31" s="34" t="str">
        <f>$P$5</f>
        <v>Schweden</v>
      </c>
      <c r="Q31" s="293"/>
      <c r="R31" s="293"/>
      <c r="S31" s="293"/>
      <c r="T31" s="293"/>
      <c r="U31" s="293"/>
      <c r="V31" s="294"/>
      <c r="W31" s="294"/>
      <c r="X31" s="293"/>
      <c r="Y31" s="293"/>
      <c r="Z31" s="295"/>
      <c r="AA31" s="296"/>
      <c r="AB31" s="295"/>
      <c r="AC31" s="297"/>
      <c r="AD31" s="298"/>
      <c r="AE31" s="295"/>
    </row>
    <row r="32" spans="2:31" x14ac:dyDescent="0.25">
      <c r="Q32" s="294"/>
      <c r="R32" s="294"/>
      <c r="S32" s="294"/>
      <c r="T32" s="294"/>
      <c r="U32" s="294"/>
      <c r="V32" s="294"/>
      <c r="W32" s="294"/>
      <c r="X32" s="293"/>
      <c r="Y32" s="293"/>
      <c r="Z32" s="295"/>
      <c r="AA32" s="296"/>
      <c r="AB32" s="295"/>
      <c r="AC32" s="297"/>
      <c r="AD32" s="298"/>
      <c r="AE32" s="295"/>
    </row>
    <row r="33" spans="15:31" x14ac:dyDescent="0.25">
      <c r="O33" s="466" t="s">
        <v>32</v>
      </c>
      <c r="P33" t="str">
        <f>$P$5</f>
        <v>Schweden</v>
      </c>
      <c r="Q33" s="466">
        <f ca="1">SUMIFS($H$4:$H$9,$B$4:$B$9,$P33,$D$4:$D$9,"&lt;&gt;"&amp;$P$36)+SUMIFS($I$4:$I$9,$B$4:$B$9,"&lt;&gt;"&amp;$P$36,$D$4:$D$9,$P33)</f>
        <v>6</v>
      </c>
      <c r="R33" s="466">
        <f ca="1">S33-T33</f>
        <v>2</v>
      </c>
      <c r="S33" s="466">
        <f ca="1">SUMIFS($E$4:$E$9,$B$4:$B$9,$P33,$D$4:$D$9,"&lt;&gt;"&amp;$P$36)+SUMIFS($G$4:$G$9,$B$4:$B$9,"&lt;&gt;"&amp;$P$36,$D$4:$D$9,$P33)</f>
        <v>4</v>
      </c>
      <c r="T33" s="466">
        <f ca="1">SUMIFS($G$4:$G$9,$B$4:$B$9,$P33,$D$4:$D$9,"&lt;&gt;"&amp;$P$36)+SUMIFS($E$4:$E$9,$B$4:$B$9,"&lt;&gt;"&amp;$P$36,$D$4:$D$9,$P33)</f>
        <v>2</v>
      </c>
      <c r="U33" s="466"/>
      <c r="V33" s="300">
        <f ca="1">Q33*FactorPts+(GDzero+R33)*FactorGD+S33*FactorFor</f>
        <v>60052040</v>
      </c>
      <c r="W33" s="466">
        <f ca="1">RANK(V33,V$33:V$35,1)</f>
        <v>3</v>
      </c>
      <c r="X33" s="466">
        <f ca="1">IF(AND($Q$5=$Q$6,$Q$5=$Q$7,$Q$5&lt;&gt;$Q$4),W33,0)</f>
        <v>0</v>
      </c>
      <c r="Y33" s="466" t="str">
        <f ca="1">IF(AND(V33=V34,V33&lt;&gt;V35),IF(AA33&gt;AA34,3,IF(AA33=AA34,1,0)),IF(AND(V33=V35,V33&lt;&gt;V34),IF(AB33&gt;AB35,3,IF(AB33=AB35,1,0)),""))</f>
        <v/>
      </c>
      <c r="Z33" s="465" t="str">
        <f ca="1">IF(X33&gt;0,Y33,"")</f>
        <v/>
      </c>
      <c r="AA33" s="287">
        <f ca="1">$J$19</f>
        <v>3</v>
      </c>
      <c r="AB33" s="465">
        <f ca="1">$K$19</f>
        <v>1</v>
      </c>
      <c r="AC33" s="468"/>
      <c r="AD33" s="465">
        <f ca="1">IF(AND($AF$16,$AD$5=$AD$6,$AD$5=$AD$7,$AD$5&lt;&gt;$AD$4),W33,0)</f>
        <v>0</v>
      </c>
      <c r="AE33" s="465" t="str">
        <f ca="1">IF(AD33&gt;0,Y33,"")</f>
        <v/>
      </c>
    </row>
    <row r="34" spans="15:31" x14ac:dyDescent="0.25">
      <c r="O34" s="466" t="s">
        <v>33</v>
      </c>
      <c r="P34" t="str">
        <f>$P$6</f>
        <v>Polen</v>
      </c>
      <c r="Q34" s="466">
        <f ca="1">SUMIFS($H$4:$H$9,$B$4:$B$9,$P34,$D$4:$D$9,"&lt;&gt;"&amp;$P$36)+SUMIFS($I$4:$I$9,$B$4:$B$9,"&lt;&gt;"&amp;$P$36,$D$4:$D$9,$P34)</f>
        <v>0</v>
      </c>
      <c r="R34" s="466">
        <f ca="1">S34-T34</f>
        <v>-2</v>
      </c>
      <c r="S34" s="466">
        <f ca="1">SUMIFS($E$4:$E$9,$B$4:$B$9,$P34,$D$4:$D$9,"&lt;&gt;"&amp;$P$36)+SUMIFS($G$4:$G$9,$B$4:$B$9,"&lt;&gt;"&amp;$P$36,$D$4:$D$9,$P34)</f>
        <v>3</v>
      </c>
      <c r="T34" s="466">
        <f ca="1">SUMIFS($G$4:$G$9,$B$4:$B$9,$P34,$D$4:$D$9,"&lt;&gt;"&amp;$P$36)+SUMIFS($E$4:$E$9,$B$4:$B$9,"&lt;&gt;"&amp;$P$36,$D$4:$D$9,$P34)</f>
        <v>5</v>
      </c>
      <c r="U34" s="466"/>
      <c r="V34" s="300">
        <f ca="1">Q34*FactorPts+(GDzero+R34)*FactorGD+S34*FactorFor</f>
        <v>48030</v>
      </c>
      <c r="W34" s="466">
        <f ca="1">RANK(V34,V$33:V$35,1)</f>
        <v>1</v>
      </c>
      <c r="X34" s="466">
        <f ca="1">IF(AND($Q$5=$Q$6,$Q$5=$Q$7,$Q$5&lt;&gt;$Q$4),W34,0)</f>
        <v>0</v>
      </c>
      <c r="Y34" s="466" t="str">
        <f ca="1">IF(AND(V34=V33,V34&lt;&gt;V35),IF(AA34&gt;AA33,3,IF(AA34=AA33,1,0)),IF(AND(V34=V35,V34&lt;&gt;V33),IF(AC34&gt;AC35,3,IF(AC34=AC35,1,0)),""))</f>
        <v/>
      </c>
      <c r="Z34" s="465" t="str">
        <f t="shared" ref="Z34:Z35" ca="1" si="18">IF(X34&gt;0,Y34,"")</f>
        <v/>
      </c>
      <c r="AA34" s="287">
        <f ca="1">$I$20</f>
        <v>2</v>
      </c>
      <c r="AB34" s="465"/>
      <c r="AC34" s="468">
        <f ca="1">$K$20</f>
        <v>1</v>
      </c>
      <c r="AD34" s="465">
        <f ca="1">IF(AND($AF$16,$AD$5=$AD$6,$AD$5=$AD$7,$AD$5&lt;&gt;$AD$4),W34,0)</f>
        <v>0</v>
      </c>
      <c r="AE34" s="465" t="str">
        <f t="shared" ref="AE34:AE35" ca="1" si="19">IF(AD34&gt;0,Y34,"")</f>
        <v/>
      </c>
    </row>
    <row r="35" spans="15:31" ht="15.75" thickBot="1" x14ac:dyDescent="0.3">
      <c r="O35" s="466" t="s">
        <v>34</v>
      </c>
      <c r="P35" t="str">
        <f>$P$7</f>
        <v>Slowakei</v>
      </c>
      <c r="Q35" s="466">
        <f ca="1">SUMIFS($H$4:$H$9,$B$4:$B$9,$P35,$D$4:$D$9,"&lt;&gt;"&amp;$P$36)+SUMIFS($I$4:$I$9,$B$4:$B$9,"&lt;&gt;"&amp;$P$36,$D$4:$D$9,$P35)</f>
        <v>3</v>
      </c>
      <c r="R35" s="466">
        <f ca="1">S35-T35</f>
        <v>0</v>
      </c>
      <c r="S35" s="466">
        <f ca="1">SUMIFS($E$4:$E$9,$B$4:$B$9,$P35,$D$4:$D$9,"&lt;&gt;"&amp;$P$36)+SUMIFS($G$4:$G$9,$B$4:$B$9,"&lt;&gt;"&amp;$P$36,$D$4:$D$9,$P35)</f>
        <v>2</v>
      </c>
      <c r="T35" s="466">
        <f ca="1">SUMIFS($G$4:$G$9,$B$4:$B$9,$P35,$D$4:$D$9,"&lt;&gt;"&amp;$P$36)+SUMIFS($E$4:$E$9,$B$4:$B$9,"&lt;&gt;"&amp;$P$36,$D$4:$D$9,$P35)</f>
        <v>2</v>
      </c>
      <c r="U35" s="466"/>
      <c r="V35" s="300">
        <f ca="1">Q35*FactorPts+(GDzero+R35)*FactorGD+S35*FactorFor</f>
        <v>30050020</v>
      </c>
      <c r="W35" s="466">
        <f ca="1">RANK(V35,V$33:V$35,1)</f>
        <v>2</v>
      </c>
      <c r="X35" s="466">
        <f ca="1">IF(AND($Q$5=$Q$6,$Q$5=$Q$7,$Q$5&lt;&gt;$Q$4),W35,0)</f>
        <v>0</v>
      </c>
      <c r="Y35" s="466" t="str">
        <f ca="1">IF(AND(V35=V33,V35&lt;&gt;V34),IF(AB35&gt;AB33,3,IF(AB35=AB33,1,0)),IF(AND(V35=V34,V35&lt;&gt;V33),IF(AC35&gt;AC34,3,IF(AC35=AC34,1,0)),""))</f>
        <v/>
      </c>
      <c r="Z35" s="465" t="str">
        <f t="shared" ca="1" si="18"/>
        <v/>
      </c>
      <c r="AA35" s="288"/>
      <c r="AB35" s="289">
        <f ca="1">$I$21</f>
        <v>0</v>
      </c>
      <c r="AC35" s="290">
        <f ca="1">$J$21</f>
        <v>2</v>
      </c>
      <c r="AD35" s="465">
        <f ca="1">IF(AND($AF$16,$AD$5=$AD$6,$AD$5=$AD$7,$AD$5&lt;&gt;$AD$4),W35,0)</f>
        <v>0</v>
      </c>
      <c r="AE35" s="465" t="str">
        <f t="shared" ca="1" si="19"/>
        <v/>
      </c>
    </row>
    <row r="36" spans="15:31" x14ac:dyDescent="0.25">
      <c r="P36" s="34" t="str">
        <f>$P$4</f>
        <v>Spanien</v>
      </c>
      <c r="Q36" s="466"/>
      <c r="R36" s="466"/>
      <c r="S36" s="466"/>
      <c r="T36" s="466"/>
      <c r="U36" s="466"/>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AA0BD-C159-4A95-8B18-794C4FA7B1DC}">
  <sheetPr codeName="Tabelle13"/>
  <dimension ref="A1:AG36"/>
  <sheetViews>
    <sheetView workbookViewId="0">
      <selection activeCell="I21" sqref="I21"/>
    </sheetView>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466"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5703125" customWidth="1"/>
  </cols>
  <sheetData>
    <row r="1" spans="1:33" ht="23.25" x14ac:dyDescent="0.35">
      <c r="A1" s="48"/>
      <c r="B1" s="47" t="str">
        <f>VLOOKUP($Q$1,References!$B$5:$D$10,2,0)</f>
        <v>Q</v>
      </c>
      <c r="D1" s="47" t="str">
        <f>VLOOKUP($Q$1,References!$B$5:$D$10,3,0)</f>
        <v>R</v>
      </c>
      <c r="P1" s="231" t="s">
        <v>239</v>
      </c>
      <c r="Q1" s="232" t="s">
        <v>29</v>
      </c>
    </row>
    <row r="2" spans="1:33" ht="8.25" customHeight="1" x14ac:dyDescent="0.25"/>
    <row r="3" spans="1:33" x14ac:dyDescent="0.25">
      <c r="B3" s="681" t="s">
        <v>225</v>
      </c>
      <c r="C3" s="681"/>
      <c r="D3" s="681"/>
      <c r="E3" s="681" t="s">
        <v>226</v>
      </c>
      <c r="F3" s="681"/>
      <c r="G3" s="681"/>
      <c r="H3" s="681" t="s">
        <v>221</v>
      </c>
      <c r="I3" s="681"/>
      <c r="J3" s="687" t="s">
        <v>554</v>
      </c>
      <c r="K3" s="687"/>
      <c r="L3" s="687"/>
      <c r="M3" s="467" t="s">
        <v>196</v>
      </c>
      <c r="N3" s="86"/>
      <c r="O3" s="46"/>
      <c r="P3" s="45"/>
      <c r="Q3" s="467" t="s">
        <v>221</v>
      </c>
      <c r="R3" s="467" t="s">
        <v>218</v>
      </c>
      <c r="S3" s="467" t="s">
        <v>804</v>
      </c>
      <c r="T3" s="467" t="s">
        <v>805</v>
      </c>
      <c r="U3" s="467" t="s">
        <v>803</v>
      </c>
      <c r="V3" s="467" t="s">
        <v>222</v>
      </c>
      <c r="W3" s="467" t="s">
        <v>223</v>
      </c>
      <c r="X3" s="467" t="s">
        <v>224</v>
      </c>
      <c r="Y3" s="467" t="s">
        <v>539</v>
      </c>
      <c r="Z3" s="467" t="s">
        <v>540</v>
      </c>
      <c r="AA3" s="467" t="s">
        <v>531</v>
      </c>
      <c r="AB3" s="467" t="s">
        <v>37</v>
      </c>
      <c r="AC3" s="467" t="s">
        <v>349</v>
      </c>
      <c r="AD3" s="467" t="s">
        <v>227</v>
      </c>
      <c r="AE3" s="467" t="s">
        <v>555</v>
      </c>
      <c r="AF3" s="467" t="s">
        <v>640</v>
      </c>
    </row>
    <row r="4" spans="1:33" x14ac:dyDescent="0.25">
      <c r="B4" s="275" t="str">
        <f ca="1">INDIRECT("'"&amp;References!$A$1&amp;"'!"&amp;$B$1&amp;References!$G5)</f>
        <v>Ungarn</v>
      </c>
      <c r="C4" s="276" t="s">
        <v>36</v>
      </c>
      <c r="D4" s="277" t="str">
        <f ca="1">INDIRECT("'"&amp;References!$A$1&amp;"'!"&amp;$D$1&amp;References!$G5)</f>
        <v>Portugal</v>
      </c>
      <c r="E4" s="275">
        <f ca="1">IF(OR(INDIRECT("'"&amp;References!$A$1&amp;"'!"&amp;$B$1&amp;References!$H5)="",INDIRECT("'"&amp;References!$A$1&amp;"'!"&amp;$D$1&amp;References!$H5)=""),"",INDIRECT("'"&amp;References!$A$1&amp;"'!"&amp;$B$1&amp;References!$H5))</f>
        <v>0</v>
      </c>
      <c r="F4" s="276" t="s">
        <v>36</v>
      </c>
      <c r="G4" s="281">
        <f ca="1">IF(OR(INDIRECT("'"&amp;References!$A$1&amp;"'!"&amp;$B$1&amp;References!$H5)="",INDIRECT("'"&amp;References!$A$1&amp;"'!"&amp;$D$1&amp;References!$H5)=""),"",INDIRECT("'"&amp;References!$A$1&amp;"'!"&amp;$D$1&amp;References!$H5))</f>
        <v>3</v>
      </c>
      <c r="H4" s="489">
        <f t="shared" ref="H4:H9" ca="1" si="0">IF($M4&gt;0,IF($E4&gt;$G4,3,IF($E4=$G4,1,0)),0)</f>
        <v>0</v>
      </c>
      <c r="I4" s="489">
        <f t="shared" ref="I4:I9" ca="1" si="1">IF($M4&gt;0,IF($E4&lt;$G4,3,IF($E4=$G4,1,0)),0)</f>
        <v>3</v>
      </c>
      <c r="L4" s="35"/>
      <c r="M4" s="466">
        <f t="shared" ref="M4:M9" ca="1" si="2">IF(AND($E4&lt;&gt;"",$G4&lt;&gt;""),1,0)</f>
        <v>1</v>
      </c>
      <c r="N4" s="466"/>
      <c r="O4" s="466" t="s">
        <v>32</v>
      </c>
      <c r="P4" s="44" t="str">
        <f>VLOOKUP($Q$1&amp;ROW($A1),Groups!$B$7:$D$35,3,0)</f>
        <v>Ungarn</v>
      </c>
      <c r="Q4" s="466">
        <f ca="1">SUMIF($B$4:$B$9,P4,$H$4:$H$9)+SUMIF($D$4:$D$9,P4,$I$4:$I$9)</f>
        <v>2</v>
      </c>
      <c r="R4" s="466">
        <f ca="1">S4-T4</f>
        <v>-3</v>
      </c>
      <c r="S4" s="466">
        <f ca="1">SUMIF($B$4:$B$9,$P4,$E$4:$E$9)+SUMIF($D$4:$D$9,$P4,$G$4:$G$9)</f>
        <v>3</v>
      </c>
      <c r="T4" s="466">
        <f ca="1">SUMIF($B$4:$B$9,$P4,$G$4:$G$9)+SUMIF($D$4:$D$9,$P4,$E$4:$E$9)</f>
        <v>6</v>
      </c>
      <c r="U4" s="466">
        <f ca="1">COUNTIFS($B$4:$B$9,$P4,$H$4:$H$9,"=3")+COUNTIFS($D$4:$D$9,$P4,$I$4:$I$9,"=3")</f>
        <v>0</v>
      </c>
      <c r="V4" s="398">
        <f ca="1">$Q4*FactorPts+(GDzero+$R4)*FactorGD+$S4*FactorFor+$U4*FactorWins+$W4*FactorDirC3+$X4*FactorDirC2+$Y4*FactorDirC43+$Z4*FactorDirC42+$AA4*FactorDirC42+$AB4*FactorFairPlay+$AE4*FactorPenalty+(100-$AF4)*($M$10&gt;0)*FactorRank+(8-ROW())*FactorRow</f>
        <v>20047030.000069041</v>
      </c>
      <c r="W4" s="465">
        <f ca="1">SUMIFS($X$18:$X$35,$P$18:$P$35,$P4)</f>
        <v>0</v>
      </c>
      <c r="X4" s="465">
        <f ca="1">IF($L18="",0,$L18)+SUMIFS($Z$18:$Z$35,$P$18:$P$35,$P4)</f>
        <v>0</v>
      </c>
      <c r="Y4">
        <f ca="1">SUMIFS($AD$18:$AD$35,$P$18:$P$35,$P4)</f>
        <v>0</v>
      </c>
      <c r="Z4">
        <f ca="1">SUMIFS($AE$18:$AE$35,$P$18:$P$35,$P4)</f>
        <v>0</v>
      </c>
      <c r="AA4" s="466">
        <f ca="1">IF($M18="",0,$M18)</f>
        <v>0</v>
      </c>
      <c r="AB4" s="466">
        <f>SUMIFS(FairPlayPoints1,FairPlayTeams1,$P4)+SUMIFS(FairPlayPoints2,FairPlayTeams2,$P4)</f>
        <v>0</v>
      </c>
      <c r="AC4" s="466" t="b">
        <f ca="1">(Q4+T4&gt;0)</f>
        <v>1</v>
      </c>
      <c r="AD4" s="313">
        <f ca="1">$Q4*FactorPts+(GDzero+$R4)*FactorGD+$S4*FactorFor</f>
        <v>20047030</v>
      </c>
      <c r="AE4" s="466">
        <f ca="1">IF(OR(AND($Y$11&gt;0,OR(AND($B$8=$P4,$J$8&gt;$L$8),AND($D$8=$P4,$J$8&lt;$L$8))),AND($Y$12&gt;0,OR(AND($B$9=$P4,$J$9&gt;$L$9),AND($D$9=$P4,$J$9&lt;$L$9)))),1,0)</f>
        <v>0</v>
      </c>
      <c r="AF4" s="466">
        <f>INDEX(Language!$D$5:$D$59,MATCH($P4,Language!$E$5:$E$59,0),1)</f>
        <v>31</v>
      </c>
      <c r="AG4" s="466"/>
    </row>
    <row r="5" spans="1:33" x14ac:dyDescent="0.25">
      <c r="B5" s="278" t="str">
        <f ca="1">INDIRECT("'"&amp;References!$A$1&amp;"'!"&amp;$B$1&amp;References!$G6)</f>
        <v>Frankreich</v>
      </c>
      <c r="C5" s="279" t="s">
        <v>36</v>
      </c>
      <c r="D5" s="280" t="str">
        <f ca="1">INDIRECT("'"&amp;References!$A$1&amp;"'!"&amp;$D$1&amp;References!$G6)</f>
        <v>Deutschland</v>
      </c>
      <c r="E5" s="278">
        <f ca="1">IF(OR(INDIRECT("'"&amp;References!$A$1&amp;"'!"&amp;$B$1&amp;References!$H6)="",INDIRECT("'"&amp;References!$A$1&amp;"'!"&amp;$D$1&amp;References!$H6)=""),"",INDIRECT("'"&amp;References!$A$1&amp;"'!"&amp;$B$1&amp;References!$H6))</f>
        <v>1</v>
      </c>
      <c r="F5" s="279" t="s">
        <v>36</v>
      </c>
      <c r="G5" s="282">
        <f ca="1">IF(OR(INDIRECT("'"&amp;References!$A$1&amp;"'!"&amp;$B$1&amp;References!$H6)="",INDIRECT("'"&amp;References!$A$1&amp;"'!"&amp;$D$1&amp;References!$H6)=""),"",INDIRECT("'"&amp;References!$A$1&amp;"'!"&amp;$D$1&amp;References!$H6))</f>
        <v>0</v>
      </c>
      <c r="H5" s="489">
        <f t="shared" ca="1" si="0"/>
        <v>3</v>
      </c>
      <c r="I5" s="489">
        <f t="shared" ca="1" si="1"/>
        <v>0</v>
      </c>
      <c r="L5" s="35"/>
      <c r="M5" s="466">
        <f t="shared" ca="1" si="2"/>
        <v>1</v>
      </c>
      <c r="N5" s="466"/>
      <c r="O5" s="466" t="s">
        <v>33</v>
      </c>
      <c r="P5" s="44" t="str">
        <f>VLOOKUP($Q$1&amp;ROW($A2),Groups!$B$7:$D$35,3,0)</f>
        <v>Portugal</v>
      </c>
      <c r="Q5" s="466">
        <f t="shared" ref="Q5:Q7" ca="1" si="3">SUMIF($B$4:$B$9,P5,$H$4:$H$9)+SUMIF($D$4:$D$9,P5,$I$4:$I$9)</f>
        <v>4</v>
      </c>
      <c r="R5" s="466">
        <f ca="1">S5-T5</f>
        <v>1</v>
      </c>
      <c r="S5" s="466">
        <f ca="1">SUMIF($B$4:$B$9,$P5,$E$4:$E$9)+SUMIF($D$4:$D$9,$P5,$G$4:$G$9)</f>
        <v>7</v>
      </c>
      <c r="T5" s="466">
        <f ca="1">SUMIF($B$4:$B$9,$P5,$G$4:$G$9)+SUMIF($D$4:$D$9,$P5,$E$4:$E$9)</f>
        <v>6</v>
      </c>
      <c r="U5" s="466">
        <f t="shared" ref="U5:U7" ca="1" si="4">COUNTIFS($B$4:$B$9,$P5,$H$4:$H$9,"=3")+COUNTIFS($D$4:$D$9,$P5,$I$4:$I$9,"=3")</f>
        <v>1</v>
      </c>
      <c r="V5" s="398">
        <f ca="1">$Q5*FactorPts+(GDzero+$R5)*FactorGD+$S5*FactorFor+$U5*FactorWins+$W5*FactorDirC3+$X5*FactorDirC2+$Y5*FactorDirC43+$Z5*FactorDirC42+$AA5*FactorDirC42+$AB5*FactorFairPlay+$AE5*FactorPenalty+(100-$AF5)*($M$10&gt;0)*FactorRank+(8-ROW())*FactorRow</f>
        <v>40051071.00008703</v>
      </c>
      <c r="W5" s="465">
        <f t="shared" ref="W5:W7" ca="1" si="5">SUMIFS($X$18:$X$35,$P$18:$P$35,$P5)</f>
        <v>0</v>
      </c>
      <c r="X5" s="465">
        <f ca="1">IF($L19="",0,$L19)+SUMIFS($Z$18:$Z$35,$P$18:$P$35,$P5)</f>
        <v>0</v>
      </c>
      <c r="Y5">
        <f t="shared" ref="Y5:Y7" ca="1" si="6">SUMIFS($AD$18:$AD$35,$P$18:$P$35,$P5)</f>
        <v>0</v>
      </c>
      <c r="Z5">
        <f t="shared" ref="Z5:Z7" ca="1" si="7">SUMIFS($AE$18:$AE$35,$P$18:$P$35,$P5)</f>
        <v>0</v>
      </c>
      <c r="AA5" s="466">
        <f ca="1">IF($M19="",0,$M19)</f>
        <v>0</v>
      </c>
      <c r="AB5" s="466">
        <f>SUMIFS(FairPlayPoints1,FairPlayTeams1,$P5)+SUMIFS(FairPlayPoints2,FairPlayTeams2,$P5)</f>
        <v>0</v>
      </c>
      <c r="AC5" s="466" t="b">
        <f ca="1">(Q5+T5&gt;0)</f>
        <v>1</v>
      </c>
      <c r="AD5" s="313">
        <f ca="1">$Q5*FactorPts+(GDzero+$R5)*FactorGD+$S5*FactorFor</f>
        <v>40051070</v>
      </c>
      <c r="AE5" s="466">
        <f ca="1">IF(OR(AND($Y$11&gt;0,OR(AND($B$8=$P5,$J$8&gt;$L$8),AND($D$8=$P5,$J$8&lt;$L$8))),AND($Y$12&gt;0,OR(AND($B$9=$P5,$J$9&gt;$L$9),AND($D$9=$P5,$J$9&lt;$L$9)))),1,0)</f>
        <v>0</v>
      </c>
      <c r="AF5" s="466">
        <f>INDEX(Language!$D$5:$D$59,MATCH($P5,Language!$E$5:$E$59,0),1)</f>
        <v>13</v>
      </c>
    </row>
    <row r="6" spans="1:33" x14ac:dyDescent="0.25">
      <c r="B6" s="278" t="str">
        <f ca="1">INDIRECT("'"&amp;References!$A$1&amp;"'!"&amp;$B$1&amp;References!$G7)</f>
        <v>Ungarn</v>
      </c>
      <c r="C6" s="279" t="s">
        <v>36</v>
      </c>
      <c r="D6" s="280" t="str">
        <f ca="1">INDIRECT("'"&amp;References!$A$1&amp;"'!"&amp;$D$1&amp;References!$G7)</f>
        <v>Frankreich</v>
      </c>
      <c r="E6" s="278">
        <f ca="1">IF(OR(INDIRECT("'"&amp;References!$A$1&amp;"'!"&amp;$B$1&amp;References!$H7)="",INDIRECT("'"&amp;References!$A$1&amp;"'!"&amp;$D$1&amp;References!$H7)=""),"",INDIRECT("'"&amp;References!$A$1&amp;"'!"&amp;$B$1&amp;References!$H7))</f>
        <v>1</v>
      </c>
      <c r="F6" s="279" t="s">
        <v>36</v>
      </c>
      <c r="G6" s="282">
        <f ca="1">IF(OR(INDIRECT("'"&amp;References!$A$1&amp;"'!"&amp;$B$1&amp;References!$H7)="",INDIRECT("'"&amp;References!$A$1&amp;"'!"&amp;$D$1&amp;References!$H7)=""),"",INDIRECT("'"&amp;References!$A$1&amp;"'!"&amp;$D$1&amp;References!$H7))</f>
        <v>1</v>
      </c>
      <c r="H6" s="489">
        <f t="shared" ca="1" si="0"/>
        <v>1</v>
      </c>
      <c r="I6" s="489">
        <f t="shared" ca="1" si="1"/>
        <v>1</v>
      </c>
      <c r="L6" s="35"/>
      <c r="M6" s="466">
        <f t="shared" ca="1" si="2"/>
        <v>1</v>
      </c>
      <c r="N6" s="466"/>
      <c r="O6" s="466" t="s">
        <v>34</v>
      </c>
      <c r="P6" s="44" t="str">
        <f>VLOOKUP($Q$1&amp;ROW($A3),Groups!$B$7:$D$35,3,0)</f>
        <v>Frankreich</v>
      </c>
      <c r="Q6" s="466">
        <f t="shared" ca="1" si="3"/>
        <v>5</v>
      </c>
      <c r="R6" s="466">
        <f ca="1">S6-T6</f>
        <v>1</v>
      </c>
      <c r="S6" s="466">
        <f ca="1">SUMIF($B$4:$B$9,$P6,$E$4:$E$9)+SUMIF($D$4:$D$9,$P6,$G$4:$G$9)</f>
        <v>4</v>
      </c>
      <c r="T6" s="466">
        <f ca="1">SUMIF($B$4:$B$9,$P6,$G$4:$G$9)+SUMIF($D$4:$D$9,$P6,$E$4:$E$9)</f>
        <v>3</v>
      </c>
      <c r="U6" s="466">
        <f t="shared" ca="1" si="4"/>
        <v>1</v>
      </c>
      <c r="V6" s="398">
        <f ca="1">$Q6*FactorPts+(GDzero+$R6)*FactorGD+$S6*FactorFor+$U6*FactorWins+$W6*FactorDirC3+$X6*FactorDirC2+$Y6*FactorDirC43+$Z6*FactorDirC42+$AA6*FactorDirC42+$AB6*FactorFairPlay+$AE6*FactorPenalty+(100-$AF6)*($M$10&gt;0)*FactorRank+(8-ROW())*FactorRow</f>
        <v>50051041.00009302</v>
      </c>
      <c r="W6" s="465">
        <f t="shared" ca="1" si="5"/>
        <v>0</v>
      </c>
      <c r="X6" s="465">
        <f ca="1">IF($L20="",0,$L20)+SUMIFS($Z$18:$Z$35,$P$18:$P$35,$P6)</f>
        <v>0</v>
      </c>
      <c r="Y6">
        <f t="shared" ca="1" si="6"/>
        <v>0</v>
      </c>
      <c r="Z6">
        <f t="shared" ca="1" si="7"/>
        <v>0</v>
      </c>
      <c r="AA6" s="466">
        <f ca="1">IF($M20="",0,$M20)</f>
        <v>0</v>
      </c>
      <c r="AB6" s="466">
        <f>SUMIFS(FairPlayPoints1,FairPlayTeams1,$P6)+SUMIFS(FairPlayPoints2,FairPlayTeams2,$P6)</f>
        <v>0</v>
      </c>
      <c r="AC6" s="466" t="b">
        <f ca="1">(Q6+T6&gt;0)</f>
        <v>1</v>
      </c>
      <c r="AD6" s="313">
        <f ca="1">$Q6*FactorPts+(GDzero+$R6)*FactorGD+$S6*FactorFor</f>
        <v>50051040</v>
      </c>
      <c r="AE6" s="466">
        <f ca="1">IF(OR(AND($Y$11&gt;0,OR(AND($B$8=$P6,$J$8&gt;$L$8),AND($D$8=$P6,$J$8&lt;$L$8))),AND($Y$12&gt;0,OR(AND($B$9=$P6,$J$9&gt;$L$9),AND($D$9=$P6,$J$9&lt;$L$9)))),1,0)</f>
        <v>0</v>
      </c>
      <c r="AF6" s="466">
        <f>INDEX(Language!$D$5:$D$59,MATCH($P6,Language!$E$5:$E$59,0),1)</f>
        <v>7</v>
      </c>
    </row>
    <row r="7" spans="1:33" x14ac:dyDescent="0.25">
      <c r="B7" s="278" t="str">
        <f ca="1">INDIRECT("'"&amp;References!$A$1&amp;"'!"&amp;$B$1&amp;References!$G8)</f>
        <v>Portugal</v>
      </c>
      <c r="C7" s="279" t="s">
        <v>36</v>
      </c>
      <c r="D7" s="280" t="str">
        <f ca="1">INDIRECT("'"&amp;References!$A$1&amp;"'!"&amp;$D$1&amp;References!$G8)</f>
        <v>Deutschland</v>
      </c>
      <c r="E7" s="278">
        <f ca="1">IF(OR(INDIRECT("'"&amp;References!$A$1&amp;"'!"&amp;$B$1&amp;References!$H8)="",INDIRECT("'"&amp;References!$A$1&amp;"'!"&amp;$D$1&amp;References!$H8)=""),"",INDIRECT("'"&amp;References!$A$1&amp;"'!"&amp;$B$1&amp;References!$H8))</f>
        <v>2</v>
      </c>
      <c r="F7" s="279" t="s">
        <v>36</v>
      </c>
      <c r="G7" s="282">
        <f ca="1">IF(OR(INDIRECT("'"&amp;References!$A$1&amp;"'!"&amp;$B$1&amp;References!$H8)="",INDIRECT("'"&amp;References!$A$1&amp;"'!"&amp;$D$1&amp;References!$H8)=""),"",INDIRECT("'"&amp;References!$A$1&amp;"'!"&amp;$D$1&amp;References!$H8))</f>
        <v>4</v>
      </c>
      <c r="H7" s="489">
        <f t="shared" ca="1" si="0"/>
        <v>0</v>
      </c>
      <c r="I7" s="489">
        <f t="shared" ca="1" si="1"/>
        <v>3</v>
      </c>
      <c r="L7" s="35"/>
      <c r="M7" s="466">
        <f t="shared" ca="1" si="2"/>
        <v>1</v>
      </c>
      <c r="N7" s="466"/>
      <c r="O7" s="466" t="s">
        <v>35</v>
      </c>
      <c r="P7" s="44" t="str">
        <f>VLOOKUP($Q$1&amp;ROW($A4),Groups!$B$7:$D$35,3,0)</f>
        <v>Deutschland</v>
      </c>
      <c r="Q7" s="466">
        <f t="shared" ca="1" si="3"/>
        <v>4</v>
      </c>
      <c r="R7" s="466">
        <f ca="1">S7-T7</f>
        <v>1</v>
      </c>
      <c r="S7" s="466">
        <f ca="1">SUMIF($B$4:$B$9,$P7,$E$4:$E$9)+SUMIF($D$4:$D$9,$P7,$G$4:$G$9)</f>
        <v>6</v>
      </c>
      <c r="T7" s="466">
        <f ca="1">SUMIF($B$4:$B$9,$P7,$G$4:$G$9)+SUMIF($D$4:$D$9,$P7,$E$4:$E$9)</f>
        <v>5</v>
      </c>
      <c r="U7" s="466">
        <f t="shared" ca="1" si="4"/>
        <v>1</v>
      </c>
      <c r="V7" s="398">
        <f ca="1">$Q7*FactorPts+(GDzero+$R7)*FactorGD+$S7*FactorFor+$U7*FactorWins+$W7*FactorDirC3+$X7*FactorDirC2+$Y7*FactorDirC43+$Z7*FactorDirC42+$AA7*FactorDirC42+$AB7*FactorFairPlay+$AE7*FactorPenalty+(100-$AF7)*($M$10&gt;0)*FactorRank+(8-ROW())*FactorRow</f>
        <v>40351061.000096008</v>
      </c>
      <c r="W7" s="465">
        <f t="shared" ca="1" si="5"/>
        <v>0</v>
      </c>
      <c r="X7" s="465">
        <f ca="1">IF($L21="",0,$L21)+SUMIFS($Z$18:$Z$35,$P$18:$P$35,$P7)</f>
        <v>3</v>
      </c>
      <c r="Y7">
        <f t="shared" ca="1" si="6"/>
        <v>0</v>
      </c>
      <c r="Z7">
        <f t="shared" ca="1" si="7"/>
        <v>0</v>
      </c>
      <c r="AA7" s="466">
        <f ca="1">IF($M21="",0,$M21)</f>
        <v>0</v>
      </c>
      <c r="AB7" s="466">
        <f>SUMIFS(FairPlayPoints1,FairPlayTeams1,$P7)+SUMIFS(FairPlayPoints2,FairPlayTeams2,$P7)</f>
        <v>0</v>
      </c>
      <c r="AC7" s="466" t="b">
        <f ca="1">(Q7+T7&gt;0)</f>
        <v>1</v>
      </c>
      <c r="AD7" s="313">
        <f ca="1">$Q7*FactorPts+(GDzero+$R7)*FactorGD+$S7*FactorFor</f>
        <v>40051060</v>
      </c>
      <c r="AE7" s="466">
        <f ca="1">IF(OR(AND($Y$11&gt;0,OR(AND($B$8=$P7,$J$8&gt;$L$8),AND($D$8=$P7,$J$8&lt;$L$8))),AND($Y$12&gt;0,OR(AND($B$9=$P7,$J$9&gt;$L$9),AND($D$9=$P7,$J$9&lt;$L$9)))),1,0)</f>
        <v>0</v>
      </c>
      <c r="AF7" s="466">
        <f>INDEX(Language!$D$5:$D$59,MATCH($P7,Language!$E$5:$E$59,0),1)</f>
        <v>4</v>
      </c>
    </row>
    <row r="8" spans="1:33" x14ac:dyDescent="0.25">
      <c r="B8" s="278" t="str">
        <f ca="1">INDIRECT("'"&amp;References!$A$1&amp;"'!"&amp;$B$1&amp;References!$G9)</f>
        <v>Deutschland</v>
      </c>
      <c r="C8" s="279" t="s">
        <v>36</v>
      </c>
      <c r="D8" s="280" t="str">
        <f ca="1">INDIRECT("'"&amp;References!$A$1&amp;"'!"&amp;$D$1&amp;References!$G9)</f>
        <v>Ungarn</v>
      </c>
      <c r="E8" s="278">
        <f ca="1">IF(OR(INDIRECT("'"&amp;References!$A$1&amp;"'!"&amp;$B$1&amp;References!$H9)="",INDIRECT("'"&amp;References!$A$1&amp;"'!"&amp;$D$1&amp;References!$H9)=""),"",INDIRECT("'"&amp;References!$A$1&amp;"'!"&amp;$B$1&amp;References!$H9))</f>
        <v>2</v>
      </c>
      <c r="F8" s="279" t="s">
        <v>36</v>
      </c>
      <c r="G8" s="282">
        <f ca="1">IF(OR(INDIRECT("'"&amp;References!$A$1&amp;"'!"&amp;$B$1&amp;References!$H9)="",INDIRECT("'"&amp;References!$A$1&amp;"'!"&amp;$D$1&amp;References!$H9)=""),"",INDIRECT("'"&amp;References!$A$1&amp;"'!"&amp;$D$1&amp;References!$H9))</f>
        <v>2</v>
      </c>
      <c r="H8" s="489">
        <f t="shared" ca="1" si="0"/>
        <v>1</v>
      </c>
      <c r="I8" s="489">
        <f t="shared" ca="1" si="1"/>
        <v>1</v>
      </c>
      <c r="J8" t="str">
        <f ca="1">IF(OR(INDIRECT("'"&amp;References!$A$1&amp;"'!"&amp;$B$1&amp;(References!$H9+2))="",INDIRECT("'"&amp;References!$A$1&amp;"'!"&amp;$D$1&amp;(References!$H9+2))=""),"",INDIRECT("'"&amp;References!$A$1&amp;"'!"&amp;$B$1&amp;(References!$H9+2)))</f>
        <v/>
      </c>
      <c r="K8" s="531" t="s">
        <v>551</v>
      </c>
      <c r="L8" s="35" t="str">
        <f ca="1">IF(OR(INDIRECT("'"&amp;References!$A$1&amp;"'!"&amp;$B$1&amp;(References!$H9+2))="",INDIRECT("'"&amp;References!$A$1&amp;"'!"&amp;$D$1&amp;(References!$H9+2))=""),"",INDIRECT("'"&amp;References!$A$1&amp;"'!"&amp;$D$1&amp;(References!$H9+2)))</f>
        <v/>
      </c>
      <c r="M8" s="531">
        <f t="shared" ca="1" si="2"/>
        <v>1</v>
      </c>
      <c r="N8" s="531"/>
      <c r="O8" s="531"/>
      <c r="Z8" s="55"/>
    </row>
    <row r="9" spans="1:33" x14ac:dyDescent="0.25">
      <c r="B9" s="278" t="str">
        <f ca="1">INDIRECT("'"&amp;References!$A$1&amp;"'!"&amp;$B$1&amp;References!$G10)</f>
        <v>Portugal</v>
      </c>
      <c r="C9" s="279" t="s">
        <v>36</v>
      </c>
      <c r="D9" s="280" t="str">
        <f ca="1">INDIRECT("'"&amp;References!$A$1&amp;"'!"&amp;$D$1&amp;References!$G10)</f>
        <v>Frankreich</v>
      </c>
      <c r="E9" s="278">
        <f ca="1">IF(OR(INDIRECT("'"&amp;References!$A$1&amp;"'!"&amp;$B$1&amp;References!$H10)="",INDIRECT("'"&amp;References!$A$1&amp;"'!"&amp;$D$1&amp;References!$H10)=""),"",INDIRECT("'"&amp;References!$A$1&amp;"'!"&amp;$B$1&amp;References!$H10))</f>
        <v>2</v>
      </c>
      <c r="F9" s="279" t="s">
        <v>36</v>
      </c>
      <c r="G9" s="282">
        <f ca="1">IF(OR(INDIRECT("'"&amp;References!$A$1&amp;"'!"&amp;$B$1&amp;References!$H10)="",INDIRECT("'"&amp;References!$A$1&amp;"'!"&amp;$D$1&amp;References!$H10)=""),"",INDIRECT("'"&amp;References!$A$1&amp;"'!"&amp;$D$1&amp;References!$H10))</f>
        <v>2</v>
      </c>
      <c r="H9" s="489">
        <f t="shared" ca="1" si="0"/>
        <v>1</v>
      </c>
      <c r="I9" s="489">
        <f t="shared" ca="1" si="1"/>
        <v>1</v>
      </c>
      <c r="J9" t="str">
        <f ca="1">IF(OR(INDIRECT("'"&amp;References!$A$1&amp;"'!"&amp;$B$1&amp;(References!$H10+2))="",INDIRECT("'"&amp;References!$A$1&amp;"'!"&amp;$D$1&amp;(References!$H10+2))=""),"",INDIRECT("'"&amp;References!$A$1&amp;"'!"&amp;$B$1&amp;(References!$H10+2)))</f>
        <v/>
      </c>
      <c r="K9" s="531" t="s">
        <v>551</v>
      </c>
      <c r="L9" s="35" t="str">
        <f ca="1">IF(OR(INDIRECT("'"&amp;References!$A$1&amp;"'!"&amp;$B$1&amp;(References!$H10+2))="",INDIRECT("'"&amp;References!$A$1&amp;"'!"&amp;$D$1&amp;(References!$H10+2))=""),"",INDIRECT("'"&amp;References!$A$1&amp;"'!"&amp;$D$1&amp;(References!$H10+2)))</f>
        <v/>
      </c>
      <c r="M9" s="531">
        <f t="shared" ca="1" si="2"/>
        <v>1</v>
      </c>
      <c r="N9" s="531"/>
      <c r="O9" s="531"/>
      <c r="Z9" s="688" t="s">
        <v>537</v>
      </c>
      <c r="AA9" s="688"/>
      <c r="AB9" s="688"/>
      <c r="AC9" s="688"/>
      <c r="AD9" s="688"/>
      <c r="AE9" s="688"/>
    </row>
    <row r="10" spans="1:33" ht="15.75" thickBot="1" x14ac:dyDescent="0.3">
      <c r="L10" s="59" t="s">
        <v>217</v>
      </c>
      <c r="M10" s="61">
        <f ca="1">SUM($M$4:$M$9)</f>
        <v>6</v>
      </c>
      <c r="N10" s="141"/>
      <c r="O10" s="531"/>
      <c r="P10" s="227" t="s">
        <v>364</v>
      </c>
      <c r="Q10" s="56" t="s">
        <v>221</v>
      </c>
      <c r="R10" s="56" t="s">
        <v>218</v>
      </c>
      <c r="S10" s="56" t="s">
        <v>804</v>
      </c>
      <c r="T10" s="56" t="s">
        <v>805</v>
      </c>
      <c r="U10" s="56" t="s">
        <v>812</v>
      </c>
      <c r="V10" s="56" t="s">
        <v>222</v>
      </c>
      <c r="X10" s="78" t="s">
        <v>868</v>
      </c>
      <c r="Y10" s="56" t="s">
        <v>842</v>
      </c>
      <c r="Z10" s="56" t="s">
        <v>532</v>
      </c>
      <c r="AA10" s="56" t="s">
        <v>533</v>
      </c>
      <c r="AB10" s="56" t="s">
        <v>534</v>
      </c>
      <c r="AC10" s="56" t="s">
        <v>535</v>
      </c>
      <c r="AD10" s="56" t="s">
        <v>536</v>
      </c>
      <c r="AE10" s="56" t="s">
        <v>555</v>
      </c>
    </row>
    <row r="11" spans="1:33" ht="16.5" thickTop="1" thickBot="1" x14ac:dyDescent="0.3">
      <c r="B11" s="85"/>
      <c r="C11" s="489"/>
      <c r="D11" s="85"/>
      <c r="O11" s="42" t="s">
        <v>32</v>
      </c>
      <c r="P11" s="41" t="str">
        <f t="shared" ref="P11:U12" ca="1" si="8">INDEX(P$4:P$7,MATCH($V11,$V$4:$V$7,0))</f>
        <v>Frankreich</v>
      </c>
      <c r="Q11" s="271">
        <f t="shared" ca="1" si="8"/>
        <v>5</v>
      </c>
      <c r="R11" s="40">
        <f t="shared" ca="1" si="8"/>
        <v>1</v>
      </c>
      <c r="S11" s="40">
        <f t="shared" ca="1" si="8"/>
        <v>4</v>
      </c>
      <c r="T11" s="40">
        <f t="shared" ca="1" si="8"/>
        <v>3</v>
      </c>
      <c r="U11" s="40">
        <f t="shared" ca="1" si="8"/>
        <v>1</v>
      </c>
      <c r="V11" s="399">
        <f ca="1">LARGE($V$4:$V$7,ROW(A1))</f>
        <v>50051041.00009302</v>
      </c>
      <c r="X11" s="79">
        <f ca="1">IF(AND(OR(TRUNC($V$11,4)=TRUNC($V$12,4),TRUNC($V$11,4)=TRUNC($V$13,4),TRUNC($V$11,4)=TRUNC($V$14,4),TRUNC($V$12,4)=TRUNC($V$13,4),TRUNC($V$12,4)=TRUNC($V$14,4),TRUNC($V$13,4)=TRUNC($V$14,4)),$M$10&gt;0),1,0)</f>
        <v>0</v>
      </c>
      <c r="Y11" s="323">
        <f ca="1">IF(AND(VLOOKUP($B$8,$P$4:$AD$7,15,0)=VLOOKUP($D$8,$P$4:$AD$7,15,0),$E$8=$G$8,COUNTIF($Q$4:$Q$7,VLOOKUP($B$8,$P$4:$Q$7,2,0))=2,$M$10=6),1,0)</f>
        <v>0</v>
      </c>
      <c r="Z11" s="305" t="b">
        <f ca="1">VLOOKUP($P11,$E$18:$M$21,8,0)&lt;&gt;""</f>
        <v>0</v>
      </c>
      <c r="AA11" s="306" t="b">
        <f ca="1">VLOOKUP($P11,$E$18:$M$21,9,0)&lt;&gt;""</f>
        <v>0</v>
      </c>
      <c r="AB11" s="307" t="b">
        <f ca="1">SUMPRODUCT(1*(LEN($Z$18:$Z$35)&gt;0)*($P$18:$P$35=$P11))&gt;0</f>
        <v>0</v>
      </c>
      <c r="AC11" s="307" t="b">
        <f ca="1">SUMPRODUCT(1*(LEN($AE$18:$AE$35)&gt;0)*($P$18:$P$35=$P11))&gt;0</f>
        <v>0</v>
      </c>
      <c r="AD11" s="538" t="str">
        <f ca="1">IF($Z11,VLOOKUP($P11,$E$18:$M$21,8,0),IF($AA11,VLOOKUP($P11,$E$18:$M$21,9,0),IF($AB11,SUMIFS($Z$18:$Z$35,$P$18:$P$35,$P11),IF($AC11,SUMIFS($AE$18:$AE$35,$P$18:$P$35,$P11),""))))</f>
        <v/>
      </c>
      <c r="AE11" s="541" t="str">
        <f ca="1">IF(OR(AND($Y$11&gt;0,OR($B$8=$P11,$D$8=$P11)),AND($Y$12&gt;0,OR($B$9=$P11,$D$9=$P11))),SUMIF($B$8:$B$9,$P11,$J$8:$J$9)+SUMIF($D$8:$D$9,$P11,$L$8:$L$9),"")</f>
        <v/>
      </c>
    </row>
    <row r="12" spans="1:33" ht="15.75" thickTop="1" x14ac:dyDescent="0.25">
      <c r="B12" s="489"/>
      <c r="C12" s="489"/>
      <c r="D12" s="489"/>
      <c r="O12" s="39" t="s">
        <v>33</v>
      </c>
      <c r="P12" s="30" t="str">
        <f t="shared" ca="1" si="8"/>
        <v>Deutschland</v>
      </c>
      <c r="Q12" s="272">
        <f t="shared" ca="1" si="8"/>
        <v>4</v>
      </c>
      <c r="R12" s="530">
        <f t="shared" ca="1" si="8"/>
        <v>1</v>
      </c>
      <c r="S12" s="530">
        <f t="shared" ca="1" si="8"/>
        <v>6</v>
      </c>
      <c r="T12" s="530">
        <f t="shared" ca="1" si="8"/>
        <v>5</v>
      </c>
      <c r="U12" s="530">
        <f t="shared" ca="1" si="8"/>
        <v>1</v>
      </c>
      <c r="V12" s="400">
        <f ca="1">LARGE($V$4:$V$7,ROW(A2))</f>
        <v>40351061.000096008</v>
      </c>
      <c r="Y12" s="323">
        <f ca="1">IF(AND(VLOOKUP($B$9,$P$4:$AD$7,15,0)=VLOOKUP($D$9,$P$4:$AD$7,15,0),$E$9=$G$9,COUNTIF($Q$4:$Q$7,VLOOKUP($B$9,$P$4:$Q$7,2,0))=2,$M$10=6),1,0)</f>
        <v>0</v>
      </c>
      <c r="Z12" s="308" t="b">
        <f ca="1">VLOOKUP($P12,$E$18:$M$21,8,0)&lt;&gt;""</f>
        <v>1</v>
      </c>
      <c r="AA12" s="536" t="b">
        <f ca="1">VLOOKUP($P12,$E$18:$M$21,9,0)&lt;&gt;""</f>
        <v>0</v>
      </c>
      <c r="AB12" s="30" t="b">
        <f t="shared" ref="AB12:AB14" ca="1" si="9">SUMPRODUCT(1*(LEN($Z$18:$Z$35)&gt;0)*($P$18:$P$35=$P12))&gt;0</f>
        <v>0</v>
      </c>
      <c r="AC12" s="30" t="b">
        <f t="shared" ref="AC12:AC14" ca="1" si="10">SUMPRODUCT(1*(LEN($AE$18:$AE$35)&gt;0)*($P$18:$P$35=$P12))&gt;0</f>
        <v>0</v>
      </c>
      <c r="AD12" s="539">
        <f ca="1">IF($Z12,VLOOKUP($P12,$E$18:$M$21,8,0),IF($AA12,VLOOKUP($P12,$E$18:$M$21,9,0),IF($AB12,SUMIFS($Z$18:$Z$35,$P$18:$P$35,$P12),IF($AC12,SUMIFS($AE$18:$AE$35,$P$18:$P$35,$P12),""))))</f>
        <v>3</v>
      </c>
      <c r="AE12" s="542" t="str">
        <f ca="1">IF(OR(AND($Y$11&gt;0,OR($B$8=$P12,$D$8=$P12)),AND($Y$12&gt;0,OR($B$9=$P12,$D$9=$P12))),SUMIF($B$8:$B$9,$P12,$J$8:$J$9)+SUMIF($D$8:$D$9,$P12,$L$8:$L$9),"")</f>
        <v/>
      </c>
    </row>
    <row r="13" spans="1:33" x14ac:dyDescent="0.25">
      <c r="B13" s="489"/>
      <c r="C13" s="489"/>
      <c r="D13" s="60"/>
      <c r="O13" s="39" t="s">
        <v>34</v>
      </c>
      <c r="P13" s="30" t="str">
        <f t="shared" ref="P13:U14" ca="1" si="11">INDEX(P$4:P$7,MATCH($V13,$V$4:$V$7,0))</f>
        <v>Portugal</v>
      </c>
      <c r="Q13" s="272">
        <f t="shared" ca="1" si="11"/>
        <v>4</v>
      </c>
      <c r="R13" s="465">
        <f t="shared" ca="1" si="11"/>
        <v>1</v>
      </c>
      <c r="S13" s="465">
        <f t="shared" ca="1" si="11"/>
        <v>7</v>
      </c>
      <c r="T13" s="465">
        <f t="shared" ca="1" si="11"/>
        <v>6</v>
      </c>
      <c r="U13" s="522">
        <f t="shared" ca="1" si="11"/>
        <v>1</v>
      </c>
      <c r="V13" s="400">
        <f ca="1">LARGE($V$4:$V$7,ROW(A3))</f>
        <v>40051071.00008703</v>
      </c>
      <c r="Z13" s="308" t="b">
        <f ca="1">VLOOKUP($P13,$E$18:$M$21,8,0)&lt;&gt;""</f>
        <v>1</v>
      </c>
      <c r="AA13" s="536" t="b">
        <f ca="1">VLOOKUP($P13,$E$18:$M$21,9,0)&lt;&gt;""</f>
        <v>0</v>
      </c>
      <c r="AB13" s="30" t="b">
        <f t="shared" ca="1" si="9"/>
        <v>0</v>
      </c>
      <c r="AC13" s="30" t="b">
        <f t="shared" ca="1" si="10"/>
        <v>0</v>
      </c>
      <c r="AD13" s="539">
        <f ca="1">IF($Z13,VLOOKUP($P13,$E$18:$M$21,8,0),IF($AA13,VLOOKUP($P13,$E$18:$M$21,9,0),IF($AB13,SUMIFS($Z$18:$Z$35,$P$18:$P$35,$P13),IF($AC13,SUMIFS($AE$18:$AE$35,$P$18:$P$35,$P13),""))))</f>
        <v>0</v>
      </c>
      <c r="AE13" s="542" t="str">
        <f ca="1">IF(OR(AND($Y$11&gt;0,OR($B$8=$P13,$D$8=$P13)),AND($Y$12&gt;0,OR($B$9=$P13,$D$9=$P13))),SUMIF($B$8:$B$9,$P13,$J$8:$J$9)+SUMIF($D$8:$D$9,$P13,$L$8:$L$9),"")</f>
        <v/>
      </c>
    </row>
    <row r="14" spans="1:33" ht="15.75" thickBot="1" x14ac:dyDescent="0.3">
      <c r="B14" s="489"/>
      <c r="C14" s="489"/>
      <c r="D14" s="60"/>
      <c r="F14" s="489"/>
      <c r="G14" s="35"/>
      <c r="O14" s="38" t="s">
        <v>35</v>
      </c>
      <c r="P14" s="37" t="str">
        <f t="shared" ca="1" si="11"/>
        <v>Ungarn</v>
      </c>
      <c r="Q14" s="273">
        <f t="shared" ca="1" si="11"/>
        <v>2</v>
      </c>
      <c r="R14" s="36">
        <f t="shared" ca="1" si="11"/>
        <v>-3</v>
      </c>
      <c r="S14" s="36">
        <f t="shared" ca="1" si="11"/>
        <v>3</v>
      </c>
      <c r="T14" s="36">
        <f t="shared" ca="1" si="11"/>
        <v>6</v>
      </c>
      <c r="U14" s="36">
        <f t="shared" ca="1" si="11"/>
        <v>0</v>
      </c>
      <c r="V14" s="401">
        <f ca="1">LARGE($V$4:$V$7,ROW(A4))</f>
        <v>20047030.000069041</v>
      </c>
      <c r="Z14" s="309" t="b">
        <f ca="1">VLOOKUP($P14,$E$18:$M$21,8,0)&lt;&gt;""</f>
        <v>0</v>
      </c>
      <c r="AA14" s="310" t="b">
        <f ca="1">VLOOKUP($P14,$E$18:$M$21,9,0)&lt;&gt;""</f>
        <v>0</v>
      </c>
      <c r="AB14" s="311" t="b">
        <f t="shared" ca="1" si="9"/>
        <v>0</v>
      </c>
      <c r="AC14" s="311" t="b">
        <f t="shared" ca="1" si="10"/>
        <v>0</v>
      </c>
      <c r="AD14" s="540" t="str">
        <f ca="1">IF($Z14,VLOOKUP($P14,$E$18:$M$21,8,0),IF($AA14,VLOOKUP($P14,$E$18:$M$21,9,0),IF($AB14,SUMIFS($Z$18:$Z$35,$P$18:$P$35,$P14),IF($AC14,SUMIFS($AE$18:$AE$35,$P$18:$P$35,$P14),""))))</f>
        <v/>
      </c>
      <c r="AE14" s="543" t="str">
        <f ca="1">IF(OR(AND($Y$11&gt;0,OR($B$8=$P14,$D$8=$P14)),AND($Y$12&gt;0,OR($B$9=$P14,$D$9=$P14))),SUMIF($B$8:$B$9,$P14,$J$8:$J$9)+SUMIF($D$8:$D$9,$P14,$L$8:$L$9),"")</f>
        <v/>
      </c>
    </row>
    <row r="15" spans="1:33" ht="16.5" thickTop="1" thickBot="1" x14ac:dyDescent="0.3">
      <c r="B15" s="489"/>
      <c r="C15" s="489"/>
      <c r="D15" s="87"/>
      <c r="E15" s="30"/>
      <c r="F15" s="488"/>
      <c r="G15" s="80"/>
      <c r="H15" s="30"/>
      <c r="I15" s="30"/>
      <c r="J15" s="30"/>
      <c r="K15" s="30"/>
      <c r="L15" s="83"/>
      <c r="M15" s="56"/>
      <c r="N15" s="56"/>
    </row>
    <row r="16" spans="1:33" ht="15.75" thickBot="1" x14ac:dyDescent="0.3">
      <c r="B16" s="489"/>
      <c r="C16" s="489"/>
      <c r="D16" s="86"/>
      <c r="E16" s="84"/>
      <c r="F16" s="84"/>
      <c r="G16" s="686" t="s">
        <v>521</v>
      </c>
      <c r="H16" s="686"/>
      <c r="I16" s="686"/>
      <c r="J16" s="686"/>
      <c r="K16" s="686"/>
      <c r="L16" s="686"/>
      <c r="M16" s="66"/>
      <c r="N16" s="66"/>
      <c r="W16" s="677" t="s">
        <v>522</v>
      </c>
      <c r="X16" s="677"/>
      <c r="Y16" s="677"/>
      <c r="Z16" s="677"/>
      <c r="AD16" s="677" t="s">
        <v>523</v>
      </c>
      <c r="AE16" s="677"/>
      <c r="AF16" s="312" t="b">
        <f ca="1">AND($Q$4=$Q$5,$Q$4=$Q$6,$Q$4=$Q$7)</f>
        <v>0</v>
      </c>
    </row>
    <row r="17" spans="2:31" ht="16.5" thickTop="1" thickBot="1" x14ac:dyDescent="0.3">
      <c r="B17" s="489"/>
      <c r="C17" s="489"/>
      <c r="D17" s="488"/>
      <c r="E17" s="520"/>
      <c r="F17" s="520"/>
      <c r="G17" s="521"/>
      <c r="H17" s="40" t="str">
        <f>LEFT($P$4,3)</f>
        <v>Ung</v>
      </c>
      <c r="I17" s="40" t="str">
        <f>LEFT($P$5,3)</f>
        <v>Por</v>
      </c>
      <c r="J17" s="40" t="str">
        <f>LEFT($P$6,3)</f>
        <v>Fra</v>
      </c>
      <c r="K17" s="133" t="str">
        <f>LEFT($P$7,3)</f>
        <v>Deu</v>
      </c>
      <c r="L17" s="56" t="s">
        <v>520</v>
      </c>
      <c r="M17" s="56" t="s">
        <v>529</v>
      </c>
      <c r="N17" s="56"/>
      <c r="Q17" s="56" t="s">
        <v>221</v>
      </c>
      <c r="R17" s="56" t="s">
        <v>218</v>
      </c>
      <c r="S17" s="56" t="s">
        <v>804</v>
      </c>
      <c r="T17" s="56" t="s">
        <v>805</v>
      </c>
      <c r="U17" s="56"/>
      <c r="V17" s="56" t="s">
        <v>227</v>
      </c>
      <c r="W17" s="56" t="s">
        <v>806</v>
      </c>
      <c r="X17" s="66" t="s">
        <v>524</v>
      </c>
      <c r="Y17" s="56" t="s">
        <v>528</v>
      </c>
      <c r="Z17" s="56" t="s">
        <v>528</v>
      </c>
      <c r="AA17" s="678" t="s">
        <v>519</v>
      </c>
      <c r="AB17" s="678"/>
      <c r="AC17" s="678"/>
      <c r="AD17" s="66" t="s">
        <v>526</v>
      </c>
      <c r="AE17" s="56" t="s">
        <v>527</v>
      </c>
    </row>
    <row r="18" spans="2:31" ht="15.75" thickTop="1" x14ac:dyDescent="0.25">
      <c r="B18" s="466"/>
      <c r="C18" s="466"/>
      <c r="D18" s="465"/>
      <c r="E18" s="682" t="str">
        <f>$P$4</f>
        <v>Ungarn</v>
      </c>
      <c r="F18" s="683"/>
      <c r="G18" s="683"/>
      <c r="H18" s="132"/>
      <c r="I18" s="40">
        <f ca="1">SUMIFS($E$4:$E$9,$B$4:$B$9,$P$4,$D$4:$D$9,$P$5)+SUMIFS($G$4:$G$9,$B$4:$B$9,$P$5,$D$4:$D$9,$P$4)</f>
        <v>0</v>
      </c>
      <c r="J18" s="40">
        <f ca="1">SUMIFS($E$4:$E$9,$B$4:$B$9,$P$4,$D$4:$D$9,$P$6)+SUMIFS($G$4:$G$9,$B$4:$B$9,$P$6,$D$4:$D$9,$P$4)</f>
        <v>1</v>
      </c>
      <c r="K18" s="133">
        <f ca="1">SUMIFS($E$4:$E$9,$B$4:$B$9,$P$4,$D$4:$D$9,$P$7)+SUMIFS($G$4:$G$9,$B$4:$B$9,$P$7,$D$4:$D$9,$P$4)</f>
        <v>2</v>
      </c>
      <c r="L18" s="75" t="str">
        <f ca="1">IF(AND($Q$4=$Q$5,$Q$4&lt;&gt;$Q$6,$Q$4&lt;&gt;$Q$7),IF(I18&gt;H19,3,IF(I18=H19,1,0)),IF(AND($Q$4=$Q$6,$Q$4&lt;&gt;$Q$5,$Q$4&lt;&gt;$Q$7),IF(J18&gt;H20,3,IF(J18=H20,1,0)),IF(AND($Q$4=$Q$7,$Q$4&lt;&gt;$Q$5,$Q$4&lt;&gt;$Q$6),IF(K18&gt;H21,3,IF(K18=H21,1,0)),"")))</f>
        <v/>
      </c>
      <c r="M18" s="75" t="str">
        <f ca="1">IF($AF$16,IF(AND($AD$4=$AD$5,$AD$4&lt;&gt;$AD$6,$AD$4&lt;&gt;$AD$7),IF(I18&gt;H19,3,IF(I18=H19,1,0)),IF(AND($AD$4&lt;&gt;$AD$5,$AD$4=$AD$6,$AD$4&lt;&gt;$AD$7),IF(J18&gt;H20,3,IF(J18=H20,1,0)),IF(AND($AD$4&lt;&gt;$AD$5,$AD$4&lt;&gt;$AD$6,$AD$4=$AD$7),IF(K18&gt;H21,3,IF(K18=H21,1,0)),""))),"")</f>
        <v/>
      </c>
      <c r="N18" s="465"/>
      <c r="O18" s="466" t="s">
        <v>32</v>
      </c>
      <c r="P18" t="str">
        <f>$P$4</f>
        <v>Ungarn</v>
      </c>
      <c r="Q18" s="466">
        <f ca="1">SUMIFS($H$4:$H$9,$B$4:$B$9,$P18,$D$4:$D$9,"&lt;&gt;"&amp;$P$21)+SUMIFS($I$4:$I$9,$B$4:$B$9,"&lt;&gt;"&amp;$P$21,$D$4:$D$9,$P18)</f>
        <v>1</v>
      </c>
      <c r="R18" s="466">
        <f ca="1">S18-T18</f>
        <v>-3</v>
      </c>
      <c r="S18" s="466">
        <f ca="1">SUMIFS($E$4:$E$9,$B$4:$B$9,$P18,$D$4:$D$9,"&lt;&gt;"&amp;$P$21)+SUMIFS($G$4:$G$9,$B$4:$B$9,"&lt;&gt;"&amp;$P$21,$D$4:$D$9,$P18)</f>
        <v>1</v>
      </c>
      <c r="T18" s="466">
        <f ca="1">SUMIFS($G$4:$G$9,$B$4:$B$9,$P18,$D$4:$D$9,"&lt;&gt;"&amp;$P$21)+SUMIFS($E$4:$E$9,$B$4:$B$9,"&lt;&gt;"&amp;$P$21,$D$4:$D$9,$P18)</f>
        <v>4</v>
      </c>
      <c r="U18" s="466"/>
      <c r="V18" s="300">
        <f ca="1">Q18*FactorPts+(GDzero+R18)*FactorGD+S18*FactorFor</f>
        <v>10047010</v>
      </c>
      <c r="W18" s="466">
        <f ca="1">RANK(V18,V$18:V$20,1)</f>
        <v>1</v>
      </c>
      <c r="X18" s="466">
        <f ca="1">IF(AND($Q$4=$Q$5,$Q$4=$Q$6,$Q$4&lt;&gt;$Q$7),W18,0)</f>
        <v>0</v>
      </c>
      <c r="Y18" s="466" t="str">
        <f ca="1">IF(AND(V18=V19,V18&lt;&gt;V20),IF(AA18&gt;AA19,3,IF(AA18=AA19,1,0)),IF(AND(V18=V20,V18&lt;&gt;V19),IF(AB18&gt;AB20,3,IF(AB18=AB20,1,0)),""))</f>
        <v/>
      </c>
      <c r="Z18" s="465" t="str">
        <f ca="1">IF(X18&gt;0,Y18,"")</f>
        <v/>
      </c>
      <c r="AA18" s="284">
        <f ca="1">$I$18</f>
        <v>0</v>
      </c>
      <c r="AB18" s="285">
        <f ca="1">$J$18</f>
        <v>1</v>
      </c>
      <c r="AC18" s="286"/>
      <c r="AD18" s="465">
        <f ca="1">IF(AND($AF$16,$AD$4=$AD$5,$AD$4=$AD$6,$AD$4&lt;&gt;$AD$7),W18,0)</f>
        <v>0</v>
      </c>
      <c r="AE18" s="465" t="str">
        <f ca="1">IF(AD18&gt;0,Y18,"")</f>
        <v/>
      </c>
    </row>
    <row r="19" spans="2:31" x14ac:dyDescent="0.25">
      <c r="B19" s="466"/>
      <c r="C19" s="466"/>
      <c r="D19" s="465"/>
      <c r="E19" s="684" t="str">
        <f>$P$5</f>
        <v>Portugal</v>
      </c>
      <c r="F19" s="685"/>
      <c r="G19" s="685"/>
      <c r="H19" s="39">
        <f ca="1">SUMIFS($E$4:$E$9,$B$4:$B$9,$P$5,$D$4:$D$9,$P$4)+SUMIFS($G$4:$G$9,$B$4:$B$9,$P$4,$D$4:$D$9,$P$5)</f>
        <v>3</v>
      </c>
      <c r="I19" s="81"/>
      <c r="J19" s="465">
        <f ca="1">SUMIFS($E$4:$E$9,$B$4:$B$9,$P$5,$D$4:$D$9,$P$6)+SUMIFS($G$4:$G$9,$B$4:$B$9,$P$6,$D$4:$D$9,$P$5)</f>
        <v>2</v>
      </c>
      <c r="K19" s="57">
        <f ca="1">SUMIFS($E$4:$E$9,$B$4:$B$9,$P$5,$D$4:$D$9,$P$7)+SUMIFS($G$4:$G$9,$B$4:$B$9,$P$7,$D$4:$D$9,$P$5)</f>
        <v>2</v>
      </c>
      <c r="L19" s="76">
        <f ca="1">IF(AND($Q$5=$Q$4,$Q$5&lt;&gt;$Q$6,$Q$5&lt;&gt;$Q$7),IF(H19&gt;I18,3,IF(H19=I18,1,0)),IF(AND($Q$5=$Q$6,$Q$5&lt;&gt;$Q$4,$Q$5&lt;&gt;$Q$7),IF(J19&gt;I20,3,IF(J19=I20,1,0)),IF(AND($Q$5=$Q$7,$Q$5&lt;&gt;$Q$4,$Q$5&lt;&gt;$Q$6),IF(K19&gt;I21,3,IF(K19=I21,1,0)),"")))</f>
        <v>0</v>
      </c>
      <c r="M19" s="76" t="str">
        <f ca="1">IF($AF$16,IF(AND($AD$5=$AD$4,$AD$5&lt;&gt;$AD$6,$AD$5&lt;&gt;$AD$7),IF(H19&gt;I18,3,IF(H19=I18,1,0)),IF(AND($AD$5&lt;&gt;$AD$4,$AD$5=$AD$6,$AD$5&lt;&gt;$AD$7),IF(J19&gt;I20,3,IF(J19=I20,1,0)),IF(AND($AD$5&lt;&gt;$AD$4,$AD$5&lt;&gt;$AD$6,$AD$5=$AD$7),IF(K19&gt;I21,3,IF(K19=I21,1,0)),""))),"")</f>
        <v/>
      </c>
      <c r="N19" s="465"/>
      <c r="O19" s="466" t="s">
        <v>33</v>
      </c>
      <c r="P19" t="str">
        <f>$P$5</f>
        <v>Portugal</v>
      </c>
      <c r="Q19" s="466">
        <f ca="1">SUMIFS($H$4:$H$9,$B$4:$B$9,$P19,$D$4:$D$9,"&lt;&gt;"&amp;$P$21)+SUMIFS($I$4:$I$9,$B$4:$B$9,"&lt;&gt;"&amp;$P$21,$D$4:$D$9,$P19)</f>
        <v>4</v>
      </c>
      <c r="R19" s="466">
        <f ca="1">S19-T19</f>
        <v>3</v>
      </c>
      <c r="S19" s="466">
        <f ca="1">SUMIFS($E$4:$E$9,$B$4:$B$9,$P19,$D$4:$D$9,"&lt;&gt;"&amp;$P$21)+SUMIFS($G$4:$G$9,$B$4:$B$9,"&lt;&gt;"&amp;$P$21,$D$4:$D$9,$P19)</f>
        <v>5</v>
      </c>
      <c r="T19" s="466">
        <f ca="1">SUMIFS($G$4:$G$9,$B$4:$B$9,$P19,$D$4:$D$9,"&lt;&gt;"&amp;$P$21)+SUMIFS($E$4:$E$9,$B$4:$B$9,"&lt;&gt;"&amp;$P$21,$D$4:$D$9,$P19)</f>
        <v>2</v>
      </c>
      <c r="U19" s="466"/>
      <c r="V19" s="300">
        <f ca="1">Q19*FactorPts+(GDzero+R19)*FactorGD+S19*FactorFor</f>
        <v>40053050</v>
      </c>
      <c r="W19" s="466">
        <f ca="1">RANK(V19,V$18:V$20,1)</f>
        <v>3</v>
      </c>
      <c r="X19" s="466">
        <f ca="1">IF(AND($Q$4=$Q$5,$Q$4=$Q$6,$Q$4&lt;&gt;$Q$7),W19,0)</f>
        <v>0</v>
      </c>
      <c r="Y19" s="466" t="str">
        <f ca="1">IF(AND(V19=V18,V19&lt;&gt;V20),IF(AA19&gt;AA18,3,IF(AA19=AA18,1,0)),IF(AND(V19=V20,V19&lt;&gt;V18),IF(AC19&gt;AC20,3,IF(AC19=AC20,1,0)),""))</f>
        <v/>
      </c>
      <c r="Z19" s="465" t="str">
        <f t="shared" ref="Z19:Z20" ca="1" si="12">IF(X19&gt;0,Y19,"")</f>
        <v/>
      </c>
      <c r="AA19" s="287">
        <f ca="1">$H$19</f>
        <v>3</v>
      </c>
      <c r="AB19" s="465"/>
      <c r="AC19" s="468">
        <f ca="1">$J$19</f>
        <v>2</v>
      </c>
      <c r="AD19" s="465">
        <f ca="1">IF(AND($AF$16,$AD$4=$AD$5,$AD$4=$AD$6,$AD$4&lt;&gt;$AD$7),W19,0)</f>
        <v>0</v>
      </c>
      <c r="AE19" s="465" t="str">
        <f t="shared" ref="AE19:AE20" ca="1" si="13">IF(AD19&gt;0,Y19,"")</f>
        <v/>
      </c>
    </row>
    <row r="20" spans="2:31" x14ac:dyDescent="0.25">
      <c r="D20" s="30"/>
      <c r="E20" s="684" t="str">
        <f>$P$6</f>
        <v>Frankreich</v>
      </c>
      <c r="F20" s="685"/>
      <c r="G20" s="685"/>
      <c r="H20" s="39">
        <f ca="1">SUMIFS($E$4:$E$9,$B$4:$B$9,$P$6,$D$4:$D$9,$P$4)+SUMIFS($G$4:$G$9,$B$4:$B$9,$P$4,$D$4:$D$9,$P$6)</f>
        <v>1</v>
      </c>
      <c r="I20" s="465">
        <f ca="1">SUMIFS($E$4:$E$9,$B$4:$B$9,$P$6,$D$4:$D$9,$P$5)+SUMIFS($G$4:$G$9,$B$4:$B$9,$P$5,$D$4:$D$9,$P$6)</f>
        <v>2</v>
      </c>
      <c r="J20" s="81"/>
      <c r="K20" s="57">
        <f ca="1">SUMIFS($E$4:$E$9,$B$4:$B$9,$P$6,$D$4:$D$9,$P$7)+SUMIFS($G$4:$G$9,$B$4:$B$9,$P$7,$D$4:$D$9,$P$6)</f>
        <v>1</v>
      </c>
      <c r="L20" s="76" t="str">
        <f ca="1">IF(AND($Q$6=$Q$4,$Q$6&lt;&gt;$Q$5,$Q$6&lt;&gt;$Q$7),IF(H20&gt;J18,3,IF(H20=J18,1,0)),IF(AND($Q$6=$Q$5,$Q$6&lt;&gt;$Q$4,$Q$6&lt;&gt;$Q$7),IF(I20&gt;J19,3,IF(I20=J19,1,0)),IF(AND($Q$6=$Q$7,$Q$6&lt;&gt;$Q$4,$Q$6&lt;&gt;$Q$5),IF(K20&gt;J21,3,IF(K20=J21,1,0)),"")))</f>
        <v/>
      </c>
      <c r="M20" s="76" t="str">
        <f ca="1">IF($AF$16,IF(AND($AD$6=$AD$4,$AD$6&lt;&gt;$AD$5,$AD$6&lt;&gt;$AD$7),IF(H20&gt;J18,3,IF(H20=J18,1,0)),IF(AND($AD$6&lt;&gt;$AD$4,$AD$6=$AD$5,$AD$6&lt;&gt;$AD$7),IF(I20&gt;J19,3,IF(I20=J19,1,0)),IF(AND($AD$6&lt;&gt;$AD$4,$AD$6&lt;&gt;$AD$5,$AD$6=$AD$7),IF(K20&gt;J21,3,IF(K20=J21,1,0)),""))),"")</f>
        <v/>
      </c>
      <c r="N20" s="465"/>
      <c r="O20" s="466" t="s">
        <v>34</v>
      </c>
      <c r="P20" t="str">
        <f>$P$6</f>
        <v>Frankreich</v>
      </c>
      <c r="Q20" s="466">
        <f ca="1">SUMIFS($H$4:$H$9,$B$4:$B$9,$P20,$D$4:$D$9,"&lt;&gt;"&amp;$P$21)+SUMIFS($I$4:$I$9,$B$4:$B$9,"&lt;&gt;"&amp;$P$21,$D$4:$D$9,$P20)</f>
        <v>2</v>
      </c>
      <c r="R20" s="466">
        <f ca="1">S20-T20</f>
        <v>0</v>
      </c>
      <c r="S20" s="466">
        <f ca="1">SUMIFS($E$4:$E$9,$B$4:$B$9,$P20,$D$4:$D$9,"&lt;&gt;"&amp;$P$21)+SUMIFS($G$4:$G$9,$B$4:$B$9,"&lt;&gt;"&amp;$P$21,$D$4:$D$9,$P20)</f>
        <v>3</v>
      </c>
      <c r="T20" s="466">
        <f ca="1">SUMIFS($G$4:$G$9,$B$4:$B$9,$P20,$D$4:$D$9,"&lt;&gt;"&amp;$P$21)+SUMIFS($E$4:$E$9,$B$4:$B$9,"&lt;&gt;"&amp;$P$21,$D$4:$D$9,$P20)</f>
        <v>3</v>
      </c>
      <c r="U20" s="466"/>
      <c r="V20" s="300">
        <f ca="1">Q20*FactorPts+(GDzero+R20)*FactorGD+S20*FactorFor</f>
        <v>20050030</v>
      </c>
      <c r="W20" s="466">
        <f ca="1">RANK(V20,V$18:V$20,1)</f>
        <v>2</v>
      </c>
      <c r="X20" s="466">
        <f ca="1">IF(AND($Q$4=$Q$5,$Q$4=$Q$6,$Q$4&lt;&gt;$Q$7),W20,0)</f>
        <v>0</v>
      </c>
      <c r="Y20" s="466" t="str">
        <f ca="1">IF(AND(V20=V18,V20&lt;&gt;V19),IF(AB20&gt;AB18,3,IF(AB20=AB18,1,0)),IF(AND(V20=V19,V20&lt;&gt;V18),IF(AC20&gt;AC19,3,IF(AC20=AC19,1,0)),""))</f>
        <v/>
      </c>
      <c r="Z20" s="465" t="str">
        <f t="shared" ca="1" si="12"/>
        <v/>
      </c>
      <c r="AA20" s="287"/>
      <c r="AB20" s="465">
        <f ca="1">$H$20</f>
        <v>1</v>
      </c>
      <c r="AC20" s="468">
        <f ca="1">$I$20</f>
        <v>2</v>
      </c>
      <c r="AD20" s="465">
        <f ca="1">IF(AND($AF$16,$AD$4=$AD$5,$AD$4=$AD$6,$AD$4&lt;&gt;$AD$7),W20,0)</f>
        <v>0</v>
      </c>
      <c r="AE20" s="465" t="str">
        <f t="shared" ca="1" si="13"/>
        <v/>
      </c>
    </row>
    <row r="21" spans="2:31" ht="15.75" thickBot="1" x14ac:dyDescent="0.3">
      <c r="B21" s="49"/>
      <c r="C21" s="50"/>
      <c r="D21" s="51"/>
      <c r="E21" s="679" t="str">
        <f>$P$7</f>
        <v>Deutschland</v>
      </c>
      <c r="F21" s="680"/>
      <c r="G21" s="680"/>
      <c r="H21" s="38">
        <f ca="1">SUMIFS($E$4:$E$9,$B$4:$B$9,$P$7,$D$4:$D$9,$P$4)+SUMIFS($G$4:$G$9,$B$4:$B$9,$P$4,$D$4:$D$9,$P$7)</f>
        <v>2</v>
      </c>
      <c r="I21" s="36">
        <f ca="1">SUMIFS($E$4:$E$9,$B$4:$B$9,$P$7,$D$4:$D$9,$P$5)+SUMIFS($G$4:$G$9,$B$4:$B$9,$P$5,$D$4:$D$9,$P$7)</f>
        <v>4</v>
      </c>
      <c r="J21" s="36">
        <f ca="1">SUMIFS($E$4:$E$9,$B$4:$B$9,$P$7,$D$4:$D$9,$P$6)+SUMIFS($G$4:$G$9,$B$4:$B$9,$P$6,$D$4:$D$9,$P$7)</f>
        <v>0</v>
      </c>
      <c r="K21" s="82"/>
      <c r="L21" s="77">
        <f ca="1">IF(AND($Q$7=$Q$4,$Q$7&lt;&gt;$Q$5,$Q$7&lt;&gt;$Q$6),IF(H21&gt;K18,3,IF(H21=K18,1,0)),IF(AND($Q$7=$Q$5,$Q$7&lt;&gt;$Q$4,$Q$7&lt;&gt;$Q$6),IF(I21&gt;K19,3,IF(I21=K19,1,0)),IF(AND($Q$7=$Q$6,$Q$7&lt;&gt;$Q$4,$Q$7&lt;&gt;$Q$5),IF(J21&gt;K20,3,IF(J21=K20,1,0)),"")))</f>
        <v>3</v>
      </c>
      <c r="M21" s="77" t="str">
        <f ca="1">IF($AF$16,IF(AND($AD$7=$AD$4,$AD$7&lt;&gt;$AD$5,$AD$7&lt;&gt;$AD$6),IF(H21&gt;K18,3,IF(H21=K18,1,0)),IF(AND($AD$7&lt;&gt;$AD$4,$AD$7=$AD$5,$AD$7&lt;&gt;$AD$6),IF(I21&gt;K19,3,IF(I21=K19,1,0)),IF(AND($AD$7&lt;&gt;$AD$4,$AD$7&lt;&gt;$AD$5,$AD$7=$AD$6),IF(J21&gt;K20,3,IF(J21=K20,1,0)),""))),"")</f>
        <v/>
      </c>
      <c r="N21" s="465"/>
      <c r="P21" s="34" t="str">
        <f>$P$7</f>
        <v>Deutschland</v>
      </c>
      <c r="Q21" s="293"/>
      <c r="R21" s="293"/>
      <c r="S21" s="293"/>
      <c r="T21" s="293"/>
      <c r="U21" s="293"/>
      <c r="V21" s="294"/>
      <c r="W21" s="294"/>
      <c r="X21" s="293"/>
      <c r="Y21" s="293"/>
      <c r="Z21" s="295"/>
      <c r="AA21" s="296"/>
      <c r="AB21" s="295"/>
      <c r="AC21" s="297"/>
      <c r="AD21" s="298"/>
      <c r="AE21" s="295"/>
    </row>
    <row r="22" spans="2:31" ht="15.75" thickTop="1" x14ac:dyDescent="0.25">
      <c r="B22" s="49"/>
      <c r="C22" s="50"/>
      <c r="D22" s="51"/>
      <c r="F22" s="466"/>
      <c r="G22" s="35"/>
      <c r="L22" s="56"/>
      <c r="Q22" s="294"/>
      <c r="R22" s="294"/>
      <c r="S22" s="294"/>
      <c r="T22" s="294"/>
      <c r="U22" s="294"/>
      <c r="V22" s="294"/>
      <c r="W22" s="294"/>
      <c r="X22" s="293"/>
      <c r="Y22" s="293"/>
      <c r="Z22" s="295"/>
      <c r="AA22" s="296"/>
      <c r="AB22" s="295"/>
      <c r="AC22" s="297"/>
      <c r="AD22" s="298"/>
      <c r="AE22" s="295"/>
    </row>
    <row r="23" spans="2:31" x14ac:dyDescent="0.25">
      <c r="B23" s="43"/>
      <c r="C23" s="466"/>
      <c r="O23" s="466" t="s">
        <v>32</v>
      </c>
      <c r="P23" t="str">
        <f>$P$4</f>
        <v>Ungarn</v>
      </c>
      <c r="Q23" s="466">
        <f ca="1">SUMIFS($H$4:$H$9,$B$4:$B$9,$P23,$D$4:$D$9,"&lt;&gt;"&amp;$P$26)+SUMIFS($I$4:$I$9,$B$4:$B$9,"&lt;&gt;"&amp;$P$26,$D$4:$D$9,$P23)</f>
        <v>1</v>
      </c>
      <c r="R23" s="466">
        <f ca="1">S23-T23</f>
        <v>-3</v>
      </c>
      <c r="S23" s="466">
        <f ca="1">SUMIFS($E$4:$E$9,$B$4:$B$9,$P23,$D$4:$D$9,"&lt;&gt;"&amp;$P$26)+SUMIFS($G$4:$G$9,$B$4:$B$9,"&lt;&gt;"&amp;$P$26,$D$4:$D$9,$P23)</f>
        <v>2</v>
      </c>
      <c r="T23" s="466">
        <f ca="1">SUMIFS($G$4:$G$9,$B$4:$B$9,$P23,$D$4:$D$9,"&lt;&gt;"&amp;$P$26)+SUMIFS($E$4:$E$9,$B$4:$B$9,"&lt;&gt;"&amp;$P$26,$D$4:$D$9,$P23)</f>
        <v>5</v>
      </c>
      <c r="U23" s="466"/>
      <c r="V23" s="300">
        <f ca="1">Q23*FactorPts+(GDzero+R23)*FactorGD+S23*FactorFor</f>
        <v>10047020</v>
      </c>
      <c r="W23" s="466">
        <f ca="1">RANK(V23,V$23:V$25,1)</f>
        <v>1</v>
      </c>
      <c r="X23" s="466">
        <f ca="1">IF(AND($Q$4=$Q$5,$Q$4=$Q$7,$Q$4&lt;&gt;$Q$6),W23,0)</f>
        <v>0</v>
      </c>
      <c r="Y23" s="466" t="str">
        <f ca="1">IF(AND(V23=V24,V23&lt;&gt;V25),IF(AA23&gt;AA24,3,IF(AA23=AA24,1,0)),IF(AND(V23=V25,V23&lt;&gt;V24),IF(AB23&gt;AB25,3,IF(AB23=AB25,1,0)),""))</f>
        <v/>
      </c>
      <c r="Z23" s="465" t="str">
        <f ca="1">IF(X23&gt;0,Y23,"")</f>
        <v/>
      </c>
      <c r="AA23" s="287">
        <f ca="1">$I$18</f>
        <v>0</v>
      </c>
      <c r="AB23" s="465">
        <f ca="1">$K$18</f>
        <v>2</v>
      </c>
      <c r="AC23" s="468"/>
      <c r="AD23" s="465">
        <f ca="1">IF(AND($AF$16,$AD$4=$AD$5,$AD$4=$AD$7,$AD$4&lt;&gt;$AD$6),W23,0)</f>
        <v>0</v>
      </c>
      <c r="AE23" s="465" t="str">
        <f ca="1">IF(AD23&gt;0,Y23,"")</f>
        <v/>
      </c>
    </row>
    <row r="24" spans="2:31" x14ac:dyDescent="0.25">
      <c r="B24" s="43"/>
      <c r="C24" s="466"/>
      <c r="O24" s="466" t="s">
        <v>33</v>
      </c>
      <c r="P24" t="str">
        <f>$P$5</f>
        <v>Portugal</v>
      </c>
      <c r="Q24" s="466">
        <f ca="1">SUMIFS($H$4:$H$9,$B$4:$B$9,$P24,$D$4:$D$9,"&lt;&gt;"&amp;$P$26)+SUMIFS($I$4:$I$9,$B$4:$B$9,"&lt;&gt;"&amp;$P$26,$D$4:$D$9,$P24)</f>
        <v>3</v>
      </c>
      <c r="R24" s="466">
        <f ca="1">S24-T24</f>
        <v>1</v>
      </c>
      <c r="S24" s="466">
        <f ca="1">SUMIFS($E$4:$E$9,$B$4:$B$9,$P24,$D$4:$D$9,"&lt;&gt;"&amp;$P$26)+SUMIFS($G$4:$G$9,$B$4:$B$9,"&lt;&gt;"&amp;$P$26,$D$4:$D$9,$P24)</f>
        <v>5</v>
      </c>
      <c r="T24" s="466">
        <f ca="1">SUMIFS($G$4:$G$9,$B$4:$B$9,$P24,$D$4:$D$9,"&lt;&gt;"&amp;$P$26)+SUMIFS($E$4:$E$9,$B$4:$B$9,"&lt;&gt;"&amp;$P$26,$D$4:$D$9,$P24)</f>
        <v>4</v>
      </c>
      <c r="U24" s="466"/>
      <c r="V24" s="300">
        <f ca="1">Q24*FactorPts+(GDzero+R24)*FactorGD+S24*FactorFor</f>
        <v>30051050</v>
      </c>
      <c r="W24" s="466">
        <f ca="1">RANK(V24,V$23:V$25,1)</f>
        <v>2</v>
      </c>
      <c r="X24" s="466">
        <f ca="1">IF(AND($Q$4=$Q$5,$Q$4=$Q$7,$Q$4&lt;&gt;$Q$6),W24,0)</f>
        <v>0</v>
      </c>
      <c r="Y24" s="466" t="str">
        <f ca="1">IF(AND(V24=V23,V24&lt;&gt;V25),IF(AA24&gt;AA23,3,IF(AA24=AA23,1,0)),IF(AND(V24=V25,V24&lt;&gt;V23),IF(AC24&gt;AC25,3,IF(AC24=AC25,1,0)),""))</f>
        <v/>
      </c>
      <c r="Z24" s="465" t="str">
        <f t="shared" ref="Z24:Z25" ca="1" si="14">IF(X24&gt;0,Y24,"")</f>
        <v/>
      </c>
      <c r="AA24" s="287">
        <f ca="1">$H$19</f>
        <v>3</v>
      </c>
      <c r="AB24" s="465"/>
      <c r="AC24" s="468">
        <f ca="1">$K$19</f>
        <v>2</v>
      </c>
      <c r="AD24" s="465">
        <f ca="1">IF(AND($AF$16,$AD$4=$AD$5,$AD$4=$AD$7,$AD$4&lt;&gt;$AD$6),W24,0)</f>
        <v>0</v>
      </c>
      <c r="AE24" s="465" t="str">
        <f t="shared" ref="AE24:AE25" ca="1" si="15">IF(AD24&gt;0,Y24,"")</f>
        <v/>
      </c>
    </row>
    <row r="25" spans="2:31" x14ac:dyDescent="0.25">
      <c r="B25" s="43"/>
      <c r="C25" s="466"/>
      <c r="O25" s="466" t="s">
        <v>34</v>
      </c>
      <c r="P25" t="str">
        <f>$P$7</f>
        <v>Deutschland</v>
      </c>
      <c r="Q25" s="466">
        <f ca="1">SUMIFS($H$4:$H$9,$B$4:$B$9,$P25,$D$4:$D$9,"&lt;&gt;"&amp;$P$26)+SUMIFS($I$4:$I$9,$B$4:$B$9,"&lt;&gt;"&amp;$P$26,$D$4:$D$9,$P25)</f>
        <v>4</v>
      </c>
      <c r="R25" s="466">
        <f ca="1">S25-T25</f>
        <v>2</v>
      </c>
      <c r="S25" s="466">
        <f ca="1">SUMIFS($E$4:$E$9,$B$4:$B$9,$P25,$D$4:$D$9,"&lt;&gt;"&amp;$P$26)+SUMIFS($G$4:$G$9,$B$4:$B$9,"&lt;&gt;"&amp;$P$26,$D$4:$D$9,$P25)</f>
        <v>6</v>
      </c>
      <c r="T25" s="466">
        <f ca="1">SUMIFS($G$4:$G$9,$B$4:$B$9,$P25,$D$4:$D$9,"&lt;&gt;"&amp;$P$26)+SUMIFS($E$4:$E$9,$B$4:$B$9,"&lt;&gt;"&amp;$P$26,$D$4:$D$9,$P25)</f>
        <v>4</v>
      </c>
      <c r="U25" s="466"/>
      <c r="V25" s="300">
        <f ca="1">Q25*FactorPts+(GDzero+R25)*FactorGD+S25*FactorFor</f>
        <v>40052060</v>
      </c>
      <c r="W25" s="466">
        <f ca="1">RANK(V25,V$23:V$25,1)</f>
        <v>3</v>
      </c>
      <c r="X25" s="466">
        <f ca="1">IF(AND($Q$4=$Q$5,$Q$4=$Q$7,$Q$4&lt;&gt;$Q$6),W25,0)</f>
        <v>0</v>
      </c>
      <c r="Y25" s="466" t="str">
        <f ca="1">IF(AND(V25=V23,V25&lt;&gt;V24),IF(AB25&gt;AB23,3,IF(AB25=AB23,1,0)),IF(AND(V25=V24,V25&lt;&gt;V23),IF(AC25&gt;AC24,3,IF(AC25=AC24,1,0)),""))</f>
        <v/>
      </c>
      <c r="Z25" s="465" t="str">
        <f t="shared" ca="1" si="14"/>
        <v/>
      </c>
      <c r="AA25" s="287"/>
      <c r="AB25" s="465">
        <f ca="1">$H$21</f>
        <v>2</v>
      </c>
      <c r="AC25" s="468">
        <f ca="1">$I$21</f>
        <v>4</v>
      </c>
      <c r="AD25" s="465">
        <f ca="1">IF(AND($AF$16,$AD$4=$AD$5,$AD$4=$AD$7,$AD$4&lt;&gt;$AD$6),W25,0)</f>
        <v>0</v>
      </c>
      <c r="AE25" s="465" t="str">
        <f t="shared" ca="1" si="15"/>
        <v/>
      </c>
    </row>
    <row r="26" spans="2:31" x14ac:dyDescent="0.25">
      <c r="B26" s="43"/>
      <c r="C26" s="466"/>
      <c r="P26" s="34" t="str">
        <f>$P$6</f>
        <v>Frankreich</v>
      </c>
      <c r="Q26" s="293"/>
      <c r="R26" s="293"/>
      <c r="S26" s="293"/>
      <c r="T26" s="293"/>
      <c r="U26" s="293"/>
      <c r="V26" s="294"/>
      <c r="W26" s="294"/>
      <c r="X26" s="293"/>
      <c r="Y26" s="293"/>
      <c r="Z26" s="295"/>
      <c r="AA26" s="296"/>
      <c r="AB26" s="295"/>
      <c r="AC26" s="297"/>
      <c r="AD26" s="298"/>
      <c r="AE26" s="295"/>
    </row>
    <row r="27" spans="2:31" x14ac:dyDescent="0.25">
      <c r="Q27" s="294"/>
      <c r="R27" s="294"/>
      <c r="S27" s="294"/>
      <c r="T27" s="294"/>
      <c r="U27" s="294"/>
      <c r="V27" s="294"/>
      <c r="W27" s="294"/>
      <c r="X27" s="293"/>
      <c r="Y27" s="293"/>
      <c r="Z27" s="295"/>
      <c r="AA27" s="296"/>
      <c r="AB27" s="295"/>
      <c r="AC27" s="297"/>
      <c r="AD27" s="298"/>
      <c r="AE27" s="295"/>
    </row>
    <row r="28" spans="2:31" x14ac:dyDescent="0.25">
      <c r="O28" s="466" t="s">
        <v>32</v>
      </c>
      <c r="P28" t="str">
        <f>$P$4</f>
        <v>Ungarn</v>
      </c>
      <c r="Q28" s="466">
        <f ca="1">SUMIFS($H$4:$H$9,$B$4:$B$9,$P28,$D$4:$D$9,"&lt;&gt;"&amp;$P$31)+SUMIFS($I$4:$I$9,$B$4:$B$9,"&lt;&gt;"&amp;$P$31,$D$4:$D$9,$P28)</f>
        <v>2</v>
      </c>
      <c r="R28" s="466">
        <f ca="1">S28-T28</f>
        <v>0</v>
      </c>
      <c r="S28" s="466">
        <f ca="1">SUMIFS($E$4:$E$9,$B$4:$B$9,$P28,$D$4:$D$9,"&lt;&gt;"&amp;$P$31)+SUMIFS($G$4:$G$9,$B$4:$B$9,"&lt;&gt;"&amp;$P$31,$D$4:$D$9,$P28)</f>
        <v>3</v>
      </c>
      <c r="T28" s="466">
        <f ca="1">SUMIFS($G$4:$G$9,$B$4:$B$9,$P28,$D$4:$D$9,"&lt;&gt;"&amp;$P$31)+SUMIFS($E$4:$E$9,$B$4:$B$9,"&lt;&gt;"&amp;$P$31,$D$4:$D$9,$P28)</f>
        <v>3</v>
      </c>
      <c r="U28" s="466"/>
      <c r="V28" s="300">
        <f ca="1">Q28*FactorPts+(GDzero+R28)*FactorGD+S28*FactorFor</f>
        <v>20050030</v>
      </c>
      <c r="W28" s="466">
        <f ca="1">_xlfn.RANK.EQ(V28,V$28:V$30,1)</f>
        <v>2</v>
      </c>
      <c r="X28" s="466">
        <f ca="1">IF(AND($Q$4=$Q$6,$Q$4=$Q$7,$Q$4&lt;&gt;$Q$5),W28,0)</f>
        <v>0</v>
      </c>
      <c r="Y28" s="466" t="str">
        <f ca="1">IF(AND(V28=V29,V28&lt;&gt;V30),IF(AA28&gt;AA29,3,IF(AA28=AA29,1,0)),IF(AND(V28=V30,V28&lt;&gt;V29),IF(AB28&gt;AB30,3,IF(AB28=AB30,1,0)),""))</f>
        <v/>
      </c>
      <c r="Z28" s="465" t="str">
        <f ca="1">IF(X28&gt;0,Y28,"")</f>
        <v/>
      </c>
      <c r="AA28" s="287">
        <f ca="1">$J$18</f>
        <v>1</v>
      </c>
      <c r="AB28" s="465">
        <f ca="1">$K$18</f>
        <v>2</v>
      </c>
      <c r="AC28" s="468"/>
      <c r="AD28" s="465">
        <f ca="1">IF(AND($AF$16,$AD$4=$AD$6,$AD$4=$AD$7,$AD$4&lt;&gt;$AD$5),W28,0)</f>
        <v>0</v>
      </c>
      <c r="AE28" s="465" t="str">
        <f ca="1">IF(AD28&gt;0,Y28,"")</f>
        <v/>
      </c>
    </row>
    <row r="29" spans="2:31" x14ac:dyDescent="0.25">
      <c r="O29" s="466" t="s">
        <v>33</v>
      </c>
      <c r="P29" t="str">
        <f>$P$6</f>
        <v>Frankreich</v>
      </c>
      <c r="Q29" s="466">
        <f ca="1">SUMIFS($H$4:$H$9,$B$4:$B$9,$P29,$D$4:$D$9,"&lt;&gt;"&amp;$P$31)+SUMIFS($I$4:$I$9,$B$4:$B$9,"&lt;&gt;"&amp;$P$31,$D$4:$D$9,$P29)</f>
        <v>4</v>
      </c>
      <c r="R29" s="466">
        <f ca="1">S29-T29</f>
        <v>1</v>
      </c>
      <c r="S29" s="466">
        <f ca="1">SUMIFS($E$4:$E$9,$B$4:$B$9,$P29,$D$4:$D$9,"&lt;&gt;"&amp;$P$31)+SUMIFS($G$4:$G$9,$B$4:$B$9,"&lt;&gt;"&amp;$P$31,$D$4:$D$9,$P29)</f>
        <v>2</v>
      </c>
      <c r="T29" s="466">
        <f ca="1">SUMIFS($G$4:$G$9,$B$4:$B$9,$P29,$D$4:$D$9,"&lt;&gt;"&amp;$P$31)+SUMIFS($E$4:$E$9,$B$4:$B$9,"&lt;&gt;"&amp;$P$31,$D$4:$D$9,$P29)</f>
        <v>1</v>
      </c>
      <c r="U29" s="466"/>
      <c r="V29" s="300">
        <f ca="1">Q29*FactorPts+(GDzero+R29)*FactorGD+S29*FactorFor</f>
        <v>40051020</v>
      </c>
      <c r="W29" s="466">
        <f ca="1">_xlfn.RANK.EQ(V29,V$28:V$30,1)</f>
        <v>3</v>
      </c>
      <c r="X29" s="466">
        <f ca="1">IF(AND($Q$4=$Q$6,$Q$4=$Q$7,$Q$4&lt;&gt;$Q$5),W29,0)</f>
        <v>0</v>
      </c>
      <c r="Y29" s="466" t="str">
        <f ca="1">IF(AND(V29=V28,V29&lt;&gt;V30),IF(AA29&gt;AA28,3,IF(AA29=AA28,1,0)),IF(AND(V29=V30,V29&lt;&gt;V28),IF(AC29&gt;AC30,3,IF(AC29=AC30,1,0)),""))</f>
        <v/>
      </c>
      <c r="Z29" s="465" t="str">
        <f t="shared" ref="Z29:Z30" ca="1" si="16">IF(X29&gt;0,Y29,"")</f>
        <v/>
      </c>
      <c r="AA29" s="287">
        <f ca="1">$H$20</f>
        <v>1</v>
      </c>
      <c r="AB29" s="465"/>
      <c r="AC29" s="468">
        <f ca="1">$K$20</f>
        <v>1</v>
      </c>
      <c r="AD29" s="465">
        <f ca="1">IF(AND($AF$16,$AD$4=$AD$6,$AD$4=$AD$7,$AD$4&lt;&gt;$AD$5),W29,0)</f>
        <v>0</v>
      </c>
      <c r="AE29" s="465" t="str">
        <f t="shared" ref="AE29:AE30" ca="1" si="17">IF(AD29&gt;0,Y29,"")</f>
        <v/>
      </c>
    </row>
    <row r="30" spans="2:31" x14ac:dyDescent="0.25">
      <c r="O30" s="466" t="s">
        <v>34</v>
      </c>
      <c r="P30" t="str">
        <f>$P$7</f>
        <v>Deutschland</v>
      </c>
      <c r="Q30" s="466">
        <f ca="1">SUMIFS($H$4:$H$9,$B$4:$B$9,$P30,$D$4:$D$9,"&lt;&gt;"&amp;$P$31)+SUMIFS($I$4:$I$9,$B$4:$B$9,"&lt;&gt;"&amp;$P$31,$D$4:$D$9,$P30)</f>
        <v>1</v>
      </c>
      <c r="R30" s="466">
        <f ca="1">S30-T30</f>
        <v>-1</v>
      </c>
      <c r="S30" s="466">
        <f ca="1">SUMIFS($E$4:$E$9,$B$4:$B$9,$P30,$D$4:$D$9,"&lt;&gt;"&amp;$P$31)+SUMIFS($G$4:$G$9,$B$4:$B$9,"&lt;&gt;"&amp;$P$31,$D$4:$D$9,$P30)</f>
        <v>2</v>
      </c>
      <c r="T30" s="466">
        <f ca="1">SUMIFS($G$4:$G$9,$B$4:$B$9,$P30,$D$4:$D$9,"&lt;&gt;"&amp;$P$31)+SUMIFS($E$4:$E$9,$B$4:$B$9,"&lt;&gt;"&amp;$P$31,$D$4:$D$9,$P30)</f>
        <v>3</v>
      </c>
      <c r="U30" s="466"/>
      <c r="V30" s="300">
        <f ca="1">Q30*FactorPts+(GDzero+R30)*FactorGD+S30*FactorFor</f>
        <v>10049020</v>
      </c>
      <c r="W30" s="466">
        <f ca="1">_xlfn.RANK.EQ(V30,V$28:V$30,1)</f>
        <v>1</v>
      </c>
      <c r="X30" s="466">
        <f ca="1">IF(AND($Q$4=$Q$6,$Q$4=$Q$7,$Q$4&lt;&gt;$Q$5),W30,0)</f>
        <v>0</v>
      </c>
      <c r="Y30" s="466" t="str">
        <f ca="1">IF(AND(V30=V28,V30&lt;&gt;V29),IF(AB30&gt;AB28,3,IF(AB30=AB28,1,0)),IF(AND(V30=V29,V30&lt;&gt;V28),IF(AC30&gt;AC29,3,IF(AC30=AC29,1,0)),""))</f>
        <v/>
      </c>
      <c r="Z30" s="465" t="str">
        <f t="shared" ca="1" si="16"/>
        <v/>
      </c>
      <c r="AA30" s="287"/>
      <c r="AB30" s="465">
        <f ca="1">$H$21</f>
        <v>2</v>
      </c>
      <c r="AC30" s="468">
        <f ca="1">$J$21</f>
        <v>0</v>
      </c>
      <c r="AD30" s="465">
        <f ca="1">IF(AND($AF$16,$AD$4=$AD$6,$AD$4=$AD$7,$AD$4&lt;&gt;$AD$5),W30,0)</f>
        <v>0</v>
      </c>
      <c r="AE30" s="465" t="str">
        <f t="shared" ca="1" si="17"/>
        <v/>
      </c>
    </row>
    <row r="31" spans="2:31" x14ac:dyDescent="0.25">
      <c r="P31" s="34" t="str">
        <f>$P$5</f>
        <v>Portugal</v>
      </c>
      <c r="Q31" s="293"/>
      <c r="R31" s="293"/>
      <c r="S31" s="293"/>
      <c r="T31" s="293"/>
      <c r="U31" s="293"/>
      <c r="V31" s="294"/>
      <c r="W31" s="294"/>
      <c r="X31" s="293"/>
      <c r="Y31" s="293"/>
      <c r="Z31" s="295"/>
      <c r="AA31" s="296"/>
      <c r="AB31" s="295"/>
      <c r="AC31" s="297"/>
      <c r="AD31" s="298"/>
      <c r="AE31" s="295"/>
    </row>
    <row r="32" spans="2:31" x14ac:dyDescent="0.25">
      <c r="Q32" s="294"/>
      <c r="R32" s="294"/>
      <c r="S32" s="294"/>
      <c r="T32" s="294"/>
      <c r="U32" s="294"/>
      <c r="V32" s="294"/>
      <c r="W32" s="294"/>
      <c r="X32" s="293"/>
      <c r="Y32" s="293"/>
      <c r="Z32" s="295"/>
      <c r="AA32" s="296"/>
      <c r="AB32" s="295"/>
      <c r="AC32" s="297"/>
      <c r="AD32" s="298"/>
      <c r="AE32" s="295"/>
    </row>
    <row r="33" spans="15:31" x14ac:dyDescent="0.25">
      <c r="O33" s="466" t="s">
        <v>32</v>
      </c>
      <c r="P33" t="str">
        <f>$P$5</f>
        <v>Portugal</v>
      </c>
      <c r="Q33" s="466">
        <f ca="1">SUMIFS($H$4:$H$9,$B$4:$B$9,$P33,$D$4:$D$9,"&lt;&gt;"&amp;$P$36)+SUMIFS($I$4:$I$9,$B$4:$B$9,"&lt;&gt;"&amp;$P$36,$D$4:$D$9,$P33)</f>
        <v>1</v>
      </c>
      <c r="R33" s="466">
        <f ca="1">S33-T33</f>
        <v>-2</v>
      </c>
      <c r="S33" s="466">
        <f ca="1">SUMIFS($E$4:$E$9,$B$4:$B$9,$P33,$D$4:$D$9,"&lt;&gt;"&amp;$P$36)+SUMIFS($G$4:$G$9,$B$4:$B$9,"&lt;&gt;"&amp;$P$36,$D$4:$D$9,$P33)</f>
        <v>4</v>
      </c>
      <c r="T33" s="466">
        <f ca="1">SUMIFS($G$4:$G$9,$B$4:$B$9,$P33,$D$4:$D$9,"&lt;&gt;"&amp;$P$36)+SUMIFS($E$4:$E$9,$B$4:$B$9,"&lt;&gt;"&amp;$P$36,$D$4:$D$9,$P33)</f>
        <v>6</v>
      </c>
      <c r="U33" s="466"/>
      <c r="V33" s="300">
        <f ca="1">Q33*FactorPts+(GDzero+R33)*FactorGD+S33*FactorFor</f>
        <v>10048040</v>
      </c>
      <c r="W33" s="466">
        <f ca="1">RANK(V33,V$33:V$35,1)</f>
        <v>1</v>
      </c>
      <c r="X33" s="466">
        <f ca="1">IF(AND($Q$5=$Q$6,$Q$5=$Q$7,$Q$5&lt;&gt;$Q$4),W33,0)</f>
        <v>0</v>
      </c>
      <c r="Y33" s="466" t="str">
        <f ca="1">IF(AND(V33=V34,V33&lt;&gt;V35),IF(AA33&gt;AA34,3,IF(AA33=AA34,1,0)),IF(AND(V33=V35,V33&lt;&gt;V34),IF(AB33&gt;AB35,3,IF(AB33=AB35,1,0)),""))</f>
        <v/>
      </c>
      <c r="Z33" s="465" t="str">
        <f ca="1">IF(X33&gt;0,Y33,"")</f>
        <v/>
      </c>
      <c r="AA33" s="287">
        <f ca="1">$J$19</f>
        <v>2</v>
      </c>
      <c r="AB33" s="465">
        <f ca="1">$K$19</f>
        <v>2</v>
      </c>
      <c r="AC33" s="468"/>
      <c r="AD33" s="465">
        <f ca="1">IF(AND($AF$16,$AD$5=$AD$6,$AD$5=$AD$7,$AD$5&lt;&gt;$AD$4),W33,0)</f>
        <v>0</v>
      </c>
      <c r="AE33" s="465" t="str">
        <f ca="1">IF(AD33&gt;0,Y33,"")</f>
        <v/>
      </c>
    </row>
    <row r="34" spans="15:31" x14ac:dyDescent="0.25">
      <c r="O34" s="466" t="s">
        <v>33</v>
      </c>
      <c r="P34" t="str">
        <f>$P$6</f>
        <v>Frankreich</v>
      </c>
      <c r="Q34" s="466">
        <f ca="1">SUMIFS($H$4:$H$9,$B$4:$B$9,$P34,$D$4:$D$9,"&lt;&gt;"&amp;$P$36)+SUMIFS($I$4:$I$9,$B$4:$B$9,"&lt;&gt;"&amp;$P$36,$D$4:$D$9,$P34)</f>
        <v>4</v>
      </c>
      <c r="R34" s="466">
        <f ca="1">S34-T34</f>
        <v>1</v>
      </c>
      <c r="S34" s="466">
        <f ca="1">SUMIFS($E$4:$E$9,$B$4:$B$9,$P34,$D$4:$D$9,"&lt;&gt;"&amp;$P$36)+SUMIFS($G$4:$G$9,$B$4:$B$9,"&lt;&gt;"&amp;$P$36,$D$4:$D$9,$P34)</f>
        <v>3</v>
      </c>
      <c r="T34" s="466">
        <f ca="1">SUMIFS($G$4:$G$9,$B$4:$B$9,$P34,$D$4:$D$9,"&lt;&gt;"&amp;$P$36)+SUMIFS($E$4:$E$9,$B$4:$B$9,"&lt;&gt;"&amp;$P$36,$D$4:$D$9,$P34)</f>
        <v>2</v>
      </c>
      <c r="U34" s="466"/>
      <c r="V34" s="300">
        <f ca="1">Q34*FactorPts+(GDzero+R34)*FactorGD+S34*FactorFor</f>
        <v>40051030</v>
      </c>
      <c r="W34" s="466">
        <f ca="1">RANK(V34,V$33:V$35,1)</f>
        <v>3</v>
      </c>
      <c r="X34" s="466">
        <f ca="1">IF(AND($Q$5=$Q$6,$Q$5=$Q$7,$Q$5&lt;&gt;$Q$4),W34,0)</f>
        <v>0</v>
      </c>
      <c r="Y34" s="466" t="str">
        <f ca="1">IF(AND(V34=V33,V34&lt;&gt;V35),IF(AA34&gt;AA33,3,IF(AA34=AA33,1,0)),IF(AND(V34=V35,V34&lt;&gt;V33),IF(AC34&gt;AC35,3,IF(AC34=AC35,1,0)),""))</f>
        <v/>
      </c>
      <c r="Z34" s="465" t="str">
        <f t="shared" ref="Z34:Z35" ca="1" si="18">IF(X34&gt;0,Y34,"")</f>
        <v/>
      </c>
      <c r="AA34" s="287">
        <f ca="1">$I$20</f>
        <v>2</v>
      </c>
      <c r="AB34" s="465"/>
      <c r="AC34" s="468">
        <f ca="1">$K$20</f>
        <v>1</v>
      </c>
      <c r="AD34" s="465">
        <f ca="1">IF(AND($AF$16,$AD$5=$AD$6,$AD$5=$AD$7,$AD$5&lt;&gt;$AD$4),W34,0)</f>
        <v>0</v>
      </c>
      <c r="AE34" s="465" t="str">
        <f t="shared" ref="AE34:AE35" ca="1" si="19">IF(AD34&gt;0,Y34,"")</f>
        <v/>
      </c>
    </row>
    <row r="35" spans="15:31" ht="15.75" thickBot="1" x14ac:dyDescent="0.3">
      <c r="O35" s="466" t="s">
        <v>34</v>
      </c>
      <c r="P35" t="str">
        <f>$P$7</f>
        <v>Deutschland</v>
      </c>
      <c r="Q35" s="466">
        <f ca="1">SUMIFS($H$4:$H$9,$B$4:$B$9,$P35,$D$4:$D$9,"&lt;&gt;"&amp;$P$36)+SUMIFS($I$4:$I$9,$B$4:$B$9,"&lt;&gt;"&amp;$P$36,$D$4:$D$9,$P35)</f>
        <v>3</v>
      </c>
      <c r="R35" s="466">
        <f ca="1">S35-T35</f>
        <v>1</v>
      </c>
      <c r="S35" s="466">
        <f ca="1">SUMIFS($E$4:$E$9,$B$4:$B$9,$P35,$D$4:$D$9,"&lt;&gt;"&amp;$P$36)+SUMIFS($G$4:$G$9,$B$4:$B$9,"&lt;&gt;"&amp;$P$36,$D$4:$D$9,$P35)</f>
        <v>4</v>
      </c>
      <c r="T35" s="466">
        <f ca="1">SUMIFS($G$4:$G$9,$B$4:$B$9,$P35,$D$4:$D$9,"&lt;&gt;"&amp;$P$36)+SUMIFS($E$4:$E$9,$B$4:$B$9,"&lt;&gt;"&amp;$P$36,$D$4:$D$9,$P35)</f>
        <v>3</v>
      </c>
      <c r="U35" s="466"/>
      <c r="V35" s="300">
        <f ca="1">Q35*FactorPts+(GDzero+R35)*FactorGD+S35*FactorFor</f>
        <v>30051040</v>
      </c>
      <c r="W35" s="466">
        <f ca="1">RANK(V35,V$33:V$35,1)</f>
        <v>2</v>
      </c>
      <c r="X35" s="466">
        <f ca="1">IF(AND($Q$5=$Q$6,$Q$5=$Q$7,$Q$5&lt;&gt;$Q$4),W35,0)</f>
        <v>0</v>
      </c>
      <c r="Y35" s="466" t="str">
        <f ca="1">IF(AND(V35=V33,V35&lt;&gt;V34),IF(AB35&gt;AB33,3,IF(AB35=AB33,1,0)),IF(AND(V35=V34,V35&lt;&gt;V33),IF(AC35&gt;AC34,3,IF(AC35=AC34,1,0)),""))</f>
        <v/>
      </c>
      <c r="Z35" s="465" t="str">
        <f t="shared" ca="1" si="18"/>
        <v/>
      </c>
      <c r="AA35" s="288"/>
      <c r="AB35" s="289">
        <f ca="1">$I$21</f>
        <v>4</v>
      </c>
      <c r="AC35" s="290">
        <f ca="1">$J$21</f>
        <v>0</v>
      </c>
      <c r="AD35" s="465">
        <f ca="1">IF(AND($AF$16,$AD$5=$AD$6,$AD$5=$AD$7,$AD$5&lt;&gt;$AD$4),W35,0)</f>
        <v>0</v>
      </c>
      <c r="AE35" s="465" t="str">
        <f t="shared" ca="1" si="19"/>
        <v/>
      </c>
    </row>
    <row r="36" spans="15:31" x14ac:dyDescent="0.25">
      <c r="P36" s="34" t="str">
        <f>$P$4</f>
        <v>Ungarn</v>
      </c>
      <c r="Q36" s="466"/>
      <c r="R36" s="466"/>
      <c r="S36" s="466"/>
      <c r="T36" s="466"/>
      <c r="U36" s="466"/>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61E18-B273-4FE2-B324-CC70CED7D9BB}">
  <sheetPr codeName="Tabelle3"/>
  <dimension ref="A1:G27"/>
  <sheetViews>
    <sheetView showGridLines="0" showRowColHeaders="0" workbookViewId="0">
      <selection activeCell="C6" sqref="C6"/>
    </sheetView>
  </sheetViews>
  <sheetFormatPr baseColWidth="10" defaultColWidth="0" defaultRowHeight="15" zeroHeight="1" x14ac:dyDescent="0.25"/>
  <cols>
    <col min="1" max="1" width="11.42578125" customWidth="1"/>
    <col min="2" max="2" width="16.7109375" customWidth="1"/>
    <col min="3" max="3" width="13" customWidth="1"/>
    <col min="4" max="4" width="11.42578125" customWidth="1"/>
    <col min="5" max="5" width="16.7109375" customWidth="1"/>
    <col min="6" max="7" width="11.42578125" customWidth="1"/>
    <col min="8" max="16384" width="11.42578125" hidden="1"/>
  </cols>
  <sheetData>
    <row r="1" spans="1:6" x14ac:dyDescent="0.25"/>
    <row r="2" spans="1:6" ht="38.25" customHeight="1" x14ac:dyDescent="0.25">
      <c r="B2" s="628" t="str">
        <f>Language!$E$86</f>
        <v>Fair-Play</v>
      </c>
      <c r="C2" s="629"/>
      <c r="D2" s="629"/>
      <c r="E2" s="629"/>
      <c r="F2" s="629"/>
    </row>
    <row r="3" spans="1:6" ht="75.75" customHeight="1" x14ac:dyDescent="0.25">
      <c r="B3" s="630" t="str">
        <f>Language!$E$139</f>
        <v>Entscheidet bei zwei Mannschaften die Fair-Play-Wertung über die bessere Platzierung in der Gruppe, so wird hier für die bessere Mannschaft eine "1" eingetragen.</v>
      </c>
      <c r="C3" s="630"/>
      <c r="D3" s="630"/>
      <c r="E3" s="630"/>
      <c r="F3" s="630"/>
    </row>
    <row r="4" spans="1:6" ht="18" customHeight="1" x14ac:dyDescent="0.25">
      <c r="B4" s="99"/>
      <c r="C4" s="99"/>
      <c r="D4" s="99"/>
      <c r="E4" s="99"/>
      <c r="F4" s="99"/>
    </row>
    <row r="5" spans="1:6" ht="19.5" thickBot="1" x14ac:dyDescent="0.35">
      <c r="A5" s="274" t="s">
        <v>30</v>
      </c>
      <c r="B5" s="434" t="str">
        <f>Language!$E$93&amp;" "&amp;A5</f>
        <v>Gruppe A</v>
      </c>
      <c r="C5" s="435" t="str">
        <f>Language!$E$124</f>
        <v>Bonus</v>
      </c>
      <c r="D5" s="274" t="s">
        <v>31</v>
      </c>
      <c r="E5" s="434" t="str">
        <f>Language!$E$93&amp;" "&amp;D5</f>
        <v>Gruppe D</v>
      </c>
      <c r="F5" s="435" t="str">
        <f>Language!$E$124</f>
        <v>Bonus</v>
      </c>
    </row>
    <row r="6" spans="1:6" x14ac:dyDescent="0.25">
      <c r="B6" s="31" t="str">
        <f>VLOOKUP(A5&amp;"1",Groups!$B$7:$D$35,3,0)</f>
        <v>Türkei</v>
      </c>
      <c r="C6" s="100">
        <v>0</v>
      </c>
      <c r="E6" s="31" t="str">
        <f>VLOOKUP(D5&amp;"1",Groups!$B$7:$D$35,3,0)</f>
        <v>England</v>
      </c>
      <c r="F6" s="100">
        <v>0</v>
      </c>
    </row>
    <row r="7" spans="1:6" x14ac:dyDescent="0.25">
      <c r="B7" s="31" t="str">
        <f>VLOOKUP(A5&amp;"2",Groups!$B$7:$D$35,3,0)</f>
        <v>Italien</v>
      </c>
      <c r="C7" s="101">
        <v>0</v>
      </c>
      <c r="E7" s="31" t="str">
        <f>VLOOKUP(D5&amp;"2",Groups!$B$7:$D$35,3,0)</f>
        <v>Kroatien</v>
      </c>
      <c r="F7" s="101">
        <v>0</v>
      </c>
    </row>
    <row r="8" spans="1:6" x14ac:dyDescent="0.25">
      <c r="B8" s="31" t="str">
        <f>VLOOKUP(A5&amp;"3",Groups!$B$7:$D$35,3,0)</f>
        <v>Wales</v>
      </c>
      <c r="C8" s="101">
        <v>0</v>
      </c>
      <c r="E8" s="31" t="str">
        <f>VLOOKUP(D5&amp;"3",Groups!$B$7:$D$35,3,0)</f>
        <v>Schottland</v>
      </c>
      <c r="F8" s="101">
        <v>0</v>
      </c>
    </row>
    <row r="9" spans="1:6" x14ac:dyDescent="0.25">
      <c r="B9" s="31" t="str">
        <f>VLOOKUP(A5&amp;"4",Groups!$B$7:$D$35,3,0)</f>
        <v>Schweiz</v>
      </c>
      <c r="C9" s="101">
        <v>0</v>
      </c>
      <c r="E9" s="31" t="str">
        <f>VLOOKUP(D5&amp;"4",Groups!$B$7:$D$35,3,0)</f>
        <v>Tschechien</v>
      </c>
      <c r="F9" s="101">
        <v>0</v>
      </c>
    </row>
    <row r="10" spans="1:6" x14ac:dyDescent="0.25">
      <c r="C10" s="29"/>
    </row>
    <row r="11" spans="1:6" ht="19.5" thickBot="1" x14ac:dyDescent="0.35">
      <c r="A11" s="274" t="s">
        <v>26</v>
      </c>
      <c r="B11" s="434" t="str">
        <f>Language!$E$93&amp;" "&amp;A11</f>
        <v>Gruppe B</v>
      </c>
      <c r="C11" s="435" t="str">
        <f>Language!$E$124</f>
        <v>Bonus</v>
      </c>
      <c r="D11" s="274" t="s">
        <v>28</v>
      </c>
      <c r="E11" s="434" t="str">
        <f>Language!$E$93&amp;" "&amp;D11</f>
        <v>Gruppe E</v>
      </c>
      <c r="F11" s="435" t="str">
        <f>Language!$E$124</f>
        <v>Bonus</v>
      </c>
    </row>
    <row r="12" spans="1:6" x14ac:dyDescent="0.25">
      <c r="B12" s="31" t="str">
        <f>VLOOKUP(A11&amp;"1",Groups!$B$7:$D$35,3,0)</f>
        <v>Dänemark</v>
      </c>
      <c r="C12" s="100">
        <v>0</v>
      </c>
      <c r="E12" s="31" t="str">
        <f>VLOOKUP(D11&amp;"1",Groups!$B$7:$D$35,3,0)</f>
        <v>Spanien</v>
      </c>
      <c r="F12" s="100">
        <v>0</v>
      </c>
    </row>
    <row r="13" spans="1:6" x14ac:dyDescent="0.25">
      <c r="B13" s="31" t="str">
        <f>VLOOKUP(A11&amp;"2",Groups!$B$7:$D$35,3,0)</f>
        <v>Finnland</v>
      </c>
      <c r="C13" s="101">
        <v>0</v>
      </c>
      <c r="E13" s="31" t="str">
        <f>VLOOKUP(D11&amp;"2",Groups!$B$7:$D$35,3,0)</f>
        <v>Schweden</v>
      </c>
      <c r="F13" s="101">
        <v>0</v>
      </c>
    </row>
    <row r="14" spans="1:6" x14ac:dyDescent="0.25">
      <c r="B14" s="31" t="str">
        <f>VLOOKUP(A11&amp;"3",Groups!$B$7:$D$35,3,0)</f>
        <v>Belgien</v>
      </c>
      <c r="C14" s="101">
        <v>0</v>
      </c>
      <c r="E14" s="31" t="str">
        <f>VLOOKUP(D11&amp;"3",Groups!$B$7:$D$35,3,0)</f>
        <v>Polen</v>
      </c>
      <c r="F14" s="101">
        <v>0</v>
      </c>
    </row>
    <row r="15" spans="1:6" x14ac:dyDescent="0.25">
      <c r="B15" s="31" t="str">
        <f>VLOOKUP(A11&amp;"4",Groups!$B$7:$D$35,3,0)</f>
        <v>Russland</v>
      </c>
      <c r="C15" s="101">
        <v>0</v>
      </c>
      <c r="E15" s="31" t="str">
        <f>VLOOKUP(D11&amp;"4",Groups!$B$7:$D$35,3,0)</f>
        <v>Slowakei</v>
      </c>
      <c r="F15" s="101">
        <v>0</v>
      </c>
    </row>
    <row r="16" spans="1:6" x14ac:dyDescent="0.25">
      <c r="C16" s="29"/>
      <c r="F16" s="29"/>
    </row>
    <row r="17" spans="1:6" ht="19.5" thickBot="1" x14ac:dyDescent="0.35">
      <c r="A17" s="274" t="s">
        <v>27</v>
      </c>
      <c r="B17" s="434" t="str">
        <f>Language!$E$93&amp;" "&amp;A17</f>
        <v>Gruppe C</v>
      </c>
      <c r="C17" s="435" t="str">
        <f>Language!$E$124</f>
        <v>Bonus</v>
      </c>
      <c r="D17" s="274" t="s">
        <v>29</v>
      </c>
      <c r="E17" s="434" t="str">
        <f>Language!$E$93&amp;" "&amp;D17</f>
        <v>Gruppe F</v>
      </c>
      <c r="F17" s="435" t="str">
        <f>Language!$E$124</f>
        <v>Bonus</v>
      </c>
    </row>
    <row r="18" spans="1:6" x14ac:dyDescent="0.25">
      <c r="B18" s="31" t="str">
        <f>VLOOKUP(A17&amp;"1",Groups!$B$7:$D$35,3,0)</f>
        <v>Niederlande</v>
      </c>
      <c r="C18" s="100">
        <v>0</v>
      </c>
      <c r="E18" s="31" t="str">
        <f>VLOOKUP(D17&amp;"1",Groups!$B$7:$D$35,3,0)</f>
        <v>Ungarn</v>
      </c>
      <c r="F18" s="100">
        <v>0</v>
      </c>
    </row>
    <row r="19" spans="1:6" x14ac:dyDescent="0.25">
      <c r="B19" s="31" t="str">
        <f>VLOOKUP(A17&amp;"2",Groups!$B$7:$D$35,3,0)</f>
        <v>Ukraine</v>
      </c>
      <c r="C19" s="101">
        <v>0</v>
      </c>
      <c r="E19" s="31" t="str">
        <f>VLOOKUP(D17&amp;"2",Groups!$B$7:$D$35,3,0)</f>
        <v>Portugal</v>
      </c>
      <c r="F19" s="101">
        <v>0</v>
      </c>
    </row>
    <row r="20" spans="1:6" x14ac:dyDescent="0.25">
      <c r="B20" s="31" t="str">
        <f>VLOOKUP(A17&amp;"3",Groups!$B$7:$D$35,3,0)</f>
        <v>Österreich</v>
      </c>
      <c r="C20" s="101">
        <v>0</v>
      </c>
      <c r="E20" s="31" t="str">
        <f>VLOOKUP(D17&amp;"3",Groups!$B$7:$D$35,3,0)</f>
        <v>Frankreich</v>
      </c>
      <c r="F20" s="101">
        <v>0</v>
      </c>
    </row>
    <row r="21" spans="1:6" x14ac:dyDescent="0.25">
      <c r="B21" s="31" t="str">
        <f>VLOOKUP(A17&amp;"4",Groups!$B$7:$D$35,3,0)</f>
        <v>Nordmazedonien</v>
      </c>
      <c r="C21" s="101">
        <v>0</v>
      </c>
      <c r="E21" s="31" t="str">
        <f>VLOOKUP(D17&amp;"4",Groups!$B$7:$D$35,3,0)</f>
        <v>Deutschland</v>
      </c>
      <c r="F21" s="101">
        <v>0</v>
      </c>
    </row>
    <row r="22" spans="1:6" x14ac:dyDescent="0.25">
      <c r="C22" s="29"/>
      <c r="E22" s="18"/>
      <c r="F22" s="33"/>
    </row>
    <row r="23" spans="1:6" ht="15" customHeight="1" x14ac:dyDescent="0.3">
      <c r="A23" s="274" t="s">
        <v>31</v>
      </c>
      <c r="D23" s="274" t="s">
        <v>38</v>
      </c>
      <c r="E23" s="327"/>
      <c r="F23" s="328"/>
    </row>
    <row r="24" spans="1:6" hidden="1" x14ac:dyDescent="0.25">
      <c r="E24" s="329"/>
      <c r="F24" s="330"/>
    </row>
    <row r="25" spans="1:6" hidden="1" x14ac:dyDescent="0.25">
      <c r="E25" s="329"/>
      <c r="F25" s="330"/>
    </row>
    <row r="26" spans="1:6" hidden="1" x14ac:dyDescent="0.25">
      <c r="E26" s="329"/>
      <c r="F26" s="330"/>
    </row>
    <row r="27" spans="1:6" hidden="1" x14ac:dyDescent="0.25">
      <c r="E27" s="329"/>
      <c r="F27" s="330"/>
    </row>
  </sheetData>
  <sheetProtection sheet="1" selectLockedCells="1"/>
  <mergeCells count="2">
    <mergeCell ref="B2:F2"/>
    <mergeCell ref="B3:F3"/>
  </mergeCells>
  <conditionalFormatting sqref="C6:C9">
    <cfRule type="cellIs" dxfId="56" priority="8" operator="greaterThan">
      <formula>0</formula>
    </cfRule>
  </conditionalFormatting>
  <conditionalFormatting sqref="F12:F15">
    <cfRule type="cellIs" dxfId="55" priority="7" operator="greaterThan">
      <formula>0</formula>
    </cfRule>
  </conditionalFormatting>
  <conditionalFormatting sqref="C12:C15">
    <cfRule type="cellIs" dxfId="54" priority="6" operator="greaterThan">
      <formula>0</formula>
    </cfRule>
  </conditionalFormatting>
  <conditionalFormatting sqref="F18:F21">
    <cfRule type="cellIs" dxfId="53" priority="5" operator="greaterThan">
      <formula>0</formula>
    </cfRule>
  </conditionalFormatting>
  <conditionalFormatting sqref="C18:C21">
    <cfRule type="cellIs" dxfId="52" priority="4" operator="greaterThan">
      <formula>0</formula>
    </cfRule>
  </conditionalFormatting>
  <conditionalFormatting sqref="F6:F9">
    <cfRule type="cellIs" dxfId="51" priority="2" operator="greaterThan">
      <formula>0</formula>
    </cfRule>
  </conditionalFormatting>
  <conditionalFormatting sqref="F24:F27">
    <cfRule type="cellIs" dxfId="50" priority="1" operator="greaterThan">
      <formula>0</formula>
    </cfRule>
  </conditionalFormatting>
  <dataValidations count="1">
    <dataValidation type="whole" allowBlank="1" showInputMessage="1" showErrorMessage="1" sqref="C6:C9 F12:F15 F18:F21 F6:F9 C12:C15 C18:C21 F24:F27" xr:uid="{F800E550-C2F5-479F-B933-19E20C2EA6BB}">
      <formula1>0</formula1>
      <formula2>99</formula2>
    </dataValidation>
  </dataValidations>
  <pageMargins left="0.7" right="0.7" top="0.78740157499999996" bottom="0.78740157499999996"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0B61B-5069-4591-8BD6-461270800143}">
  <sheetPr codeName="Tabelle2"/>
  <dimension ref="A1:AI50"/>
  <sheetViews>
    <sheetView showGridLines="0" showRowColHeaders="0" zoomScaleNormal="100" workbookViewId="0">
      <selection activeCell="A51" sqref="A51:XFD1048576"/>
    </sheetView>
  </sheetViews>
  <sheetFormatPr baseColWidth="10" defaultColWidth="0" defaultRowHeight="15" zeroHeight="1" x14ac:dyDescent="0.25"/>
  <cols>
    <col min="1" max="1" width="11.42578125" customWidth="1"/>
    <col min="2" max="2" width="5.28515625" customWidth="1"/>
    <col min="3" max="3" width="19" customWidth="1"/>
    <col min="4" max="5" width="5.7109375" style="29" customWidth="1"/>
    <col min="6" max="6" width="4.7109375" customWidth="1"/>
    <col min="7" max="7" width="2.7109375" style="29" customWidth="1"/>
    <col min="8" max="8" width="4.7109375" customWidth="1"/>
    <col min="9" max="9" width="6" customWidth="1"/>
    <col min="10" max="10" width="1.85546875" customWidth="1"/>
    <col min="11" max="11" width="2.140625" customWidth="1"/>
    <col min="12" max="12" width="5.7109375" style="29" customWidth="1"/>
    <col min="13" max="13" width="5.7109375" style="537" customWidth="1"/>
    <col min="14" max="14" width="2.140625" style="29" customWidth="1"/>
    <col min="15" max="15" width="2" style="29" customWidth="1"/>
    <col min="16" max="17" width="5.7109375" style="157" customWidth="1"/>
    <col min="18" max="18" width="4.7109375" customWidth="1"/>
    <col min="19" max="19" width="2.85546875" style="157" customWidth="1"/>
    <col min="20" max="20" width="4.7109375" customWidth="1"/>
    <col min="21" max="21" width="4.85546875" customWidth="1"/>
    <col min="22" max="22" width="13.85546875" style="126" customWidth="1"/>
    <col min="23" max="23" width="11.42578125" style="126" customWidth="1"/>
    <col min="24" max="24" width="11.42578125" customWidth="1"/>
    <col min="25" max="25" width="11.42578125" style="126" hidden="1" customWidth="1"/>
    <col min="26" max="26" width="5.140625" style="126" hidden="1" customWidth="1"/>
    <col min="27" max="16384" width="11.42578125" hidden="1"/>
  </cols>
  <sheetData>
    <row r="1" spans="2:35" ht="28.5" x14ac:dyDescent="0.45">
      <c r="B1" s="636" t="str">
        <f>Language!$E$85</f>
        <v>Direkte Vergleiche</v>
      </c>
      <c r="C1" s="636"/>
      <c r="D1" s="636"/>
      <c r="E1" s="636"/>
      <c r="F1" s="636"/>
      <c r="G1" s="636"/>
      <c r="H1" s="636"/>
      <c r="I1" s="636"/>
      <c r="J1" s="636"/>
      <c r="K1" s="636"/>
      <c r="L1" s="636"/>
      <c r="M1" s="636"/>
      <c r="N1" s="636"/>
      <c r="O1" s="636"/>
      <c r="P1" s="636"/>
      <c r="Q1" s="636"/>
      <c r="R1" s="636"/>
      <c r="S1" s="636"/>
      <c r="T1" s="636"/>
      <c r="U1" s="636"/>
      <c r="V1" s="636"/>
      <c r="W1" s="636"/>
    </row>
    <row r="2" spans="2:35" ht="15.75" thickBot="1" x14ac:dyDescent="0.3">
      <c r="AA2" s="134"/>
    </row>
    <row r="3" spans="2:35" ht="19.5" thickBot="1" x14ac:dyDescent="0.35">
      <c r="B3" s="440" t="str">
        <f ca="1">IF(OR($AE9&gt;0,$L5&lt;&gt;"",$L6&lt;&gt;"",$L7&lt;&gt;""),"","")</f>
        <v></v>
      </c>
      <c r="C3" s="436" t="str">
        <f>Language!$E$93&amp;" A"</f>
        <v>Gruppe A</v>
      </c>
      <c r="D3" s="633" t="str">
        <f>Language!$E$101</f>
        <v>Gesamt</v>
      </c>
      <c r="E3" s="633"/>
      <c r="F3" s="633"/>
      <c r="G3" s="633"/>
      <c r="H3" s="633"/>
      <c r="I3" s="633"/>
      <c r="J3" s="634" t="str">
        <f>Language!$E$104</f>
        <v>Dir. Vergl.(2)</v>
      </c>
      <c r="K3" s="633"/>
      <c r="L3" s="633"/>
      <c r="M3" s="633"/>
      <c r="N3" s="633"/>
      <c r="O3" s="635"/>
      <c r="P3" s="634" t="str">
        <f>Language!$E$105</f>
        <v>Dir. Vergl.(3)</v>
      </c>
      <c r="Q3" s="633"/>
      <c r="R3" s="633"/>
      <c r="S3" s="633"/>
      <c r="T3" s="635"/>
      <c r="U3" s="437"/>
      <c r="V3" s="438"/>
      <c r="W3" s="439"/>
      <c r="Y3" s="127" t="s">
        <v>334</v>
      </c>
      <c r="AA3" s="136" t="s">
        <v>335</v>
      </c>
      <c r="AE3" s="136" t="s">
        <v>336</v>
      </c>
      <c r="AF3" s="136" t="s">
        <v>223</v>
      </c>
    </row>
    <row r="4" spans="2:35" ht="15.75" thickBot="1" x14ac:dyDescent="0.3">
      <c r="D4" s="127" t="str">
        <f>Language!$E$95</f>
        <v>Pkt</v>
      </c>
      <c r="E4" s="29" t="str">
        <f>Language!$E$96</f>
        <v>TD</v>
      </c>
      <c r="F4" s="631" t="str">
        <f>Language!$E$97</f>
        <v>Tore</v>
      </c>
      <c r="G4" s="631"/>
      <c r="H4" s="631"/>
      <c r="I4" s="522" t="str">
        <f>Language!$E$98</f>
        <v>Siege</v>
      </c>
      <c r="L4" s="127" t="str">
        <f>Language!$E$95</f>
        <v>Pkt</v>
      </c>
      <c r="M4" s="127" t="str">
        <f>Language!$E$99</f>
        <v>Elfm</v>
      </c>
      <c r="N4" s="127"/>
      <c r="O4" s="127"/>
      <c r="P4" s="127" t="str">
        <f>Language!$E$95</f>
        <v>Pkt</v>
      </c>
      <c r="Q4" s="157" t="str">
        <f>Language!$E$96</f>
        <v>TD</v>
      </c>
      <c r="R4" s="632" t="str">
        <f>Language!$E$97</f>
        <v>Tore</v>
      </c>
      <c r="S4" s="632"/>
      <c r="T4" s="632"/>
      <c r="V4" s="126" t="str">
        <f>Language!$E$102</f>
        <v>Fair-Play</v>
      </c>
      <c r="W4" s="135" t="str">
        <f>Language!$E$103</f>
        <v>Nicht klar</v>
      </c>
      <c r="AF4" s="56" t="s">
        <v>221</v>
      </c>
      <c r="AG4" s="56" t="s">
        <v>218</v>
      </c>
      <c r="AH4" s="56" t="s">
        <v>219</v>
      </c>
      <c r="AI4" s="56" t="s">
        <v>220</v>
      </c>
    </row>
    <row r="5" spans="2:35" ht="15.75" x14ac:dyDescent="0.25">
      <c r="B5" s="129" t="s">
        <v>32</v>
      </c>
      <c r="C5" s="453" t="str">
        <f ca="1">GrpA!$P$11</f>
        <v>Italien</v>
      </c>
      <c r="D5" s="456">
        <f ca="1">GrpA!$Q$11</f>
        <v>9</v>
      </c>
      <c r="E5" s="457">
        <f ca="1">GrpA!$R$11</f>
        <v>5</v>
      </c>
      <c r="F5" s="462">
        <f ca="1">GrpA!$S$11</f>
        <v>5</v>
      </c>
      <c r="G5" s="454" t="s">
        <v>36</v>
      </c>
      <c r="H5" s="524">
        <f ca="1">GrpA!$T$11</f>
        <v>0</v>
      </c>
      <c r="I5" s="527">
        <f ca="1">GrpA!$U$11</f>
        <v>3</v>
      </c>
      <c r="L5" s="544" t="str">
        <f ca="1">GrpA!$AD$11</f>
        <v/>
      </c>
      <c r="M5" s="545" t="str">
        <f ca="1">GrpA!$AE$11</f>
        <v/>
      </c>
      <c r="N5" s="469"/>
      <c r="O5" s="469"/>
      <c r="P5" s="470" t="str">
        <f ca="1">IF($AE9=0,"",IF(INDEX($AA5:$AD8,1,$AE9)=0,"",INDEX($AF5:$AI7,INDEX($AA5:$AD8,1,$AE9),1)))</f>
        <v/>
      </c>
      <c r="Q5" s="471" t="str">
        <f ca="1">IF($AE9=0,"",IF(INDEX($AA5:$AD8,1,$AE9)=0,"",INDEX($AF5:$AI7,INDEX($AA5:$AD8,1,$AE9),2)))</f>
        <v/>
      </c>
      <c r="R5" s="472" t="str">
        <f ca="1">IF($AE9=0,"",IF(INDEX($AA5:$AD8,1,$AE9)=0,"",INDEX($AF5:$AI7,INDEX($AA5:$AD8,1,$AE9),3)))</f>
        <v/>
      </c>
      <c r="S5" s="473" t="s">
        <v>36</v>
      </c>
      <c r="T5" s="474" t="str">
        <f ca="1">IF($AE9=0,"",IF(INDEX($AA5:$AD8,1,$AE9)=0,"",INDEX($AF5:$AI7,INDEX($AA5:$AD8,1,$AE9),4)))</f>
        <v/>
      </c>
      <c r="V5" s="550">
        <f ca="1">SUMIFS(FairPlayPoints1,FairPlayTeams1,$C5)+SUMIFS(FairPlayPoints2,FairPlayTeams2,$C5)</f>
        <v>0</v>
      </c>
      <c r="W5" s="486" t="str">
        <f ca="1">IF($Y5&gt;0,"•","")</f>
        <v/>
      </c>
      <c r="Y5" s="126">
        <f ca="1">IF(AND(OR(TRUNC(GrpA!$V$11,4)=TRUNC(GrpA!$V$12,4),TRUNC(GrpA!$V$11,4)=TRUNC(GrpA!$V$13,4),TRUNC(GrpA!$V$11,4)=TRUNC(GrpA!$V$14,4)),VLOOKUP(GrpA!$P$11,GrpA!$P$4:$AC$7,14,0)),1,0)</f>
        <v>0</v>
      </c>
      <c r="AA5" s="29">
        <f ca="1">IF(VLOOKUP($C5,GrpA!$P$18:$X$21,9,0)+VLOOKUP($C5,GrpA!$P$18:$AD$21,15,0)&gt;0,MATCH($C5,GrpA!$P$18:$P$21,0),0)</f>
        <v>0</v>
      </c>
      <c r="AB5" s="29">
        <f ca="1">IF(VLOOKUP($C5,GrpA!$P$23:$X$26,9,0)+VLOOKUP($C5,GrpA!$P$23:$AD$26,15,0)&gt;0,MATCH($C5,GrpA!$P$23:$P$26,0),0)</f>
        <v>0</v>
      </c>
      <c r="AC5" s="29">
        <f ca="1">IF(VLOOKUP($C5,GrpA!$P$28:$X$31,9,0)+VLOOKUP($C5,GrpA!$P$28:$AD$31,15,0)&gt;0,MATCH($C5,GrpA!$P$28:$P$31,0),0)</f>
        <v>0</v>
      </c>
      <c r="AD5" s="29">
        <f ca="1">IF(VLOOKUP($C5,GrpA!$P$33:$X$36,9,0)+VLOOKUP($C5,GrpA!$P$33:$AD$36,15,0)&gt;0,MATCH($C5,GrpA!$P$33:$P$36,0),0)</f>
        <v>0</v>
      </c>
      <c r="AF5" s="29" t="str">
        <f t="array" aca="1" ref="AF5:AI7" ca="1">IF($AA9&gt;0,GrpA!$Q$18:$T$20,IF($AB9&gt;0,GrpA!$Q$23:$T$26,IF($AC9&gt;0,GrpA!$Q$28:$T$31,IF($AD9&gt;0,GrpA!$Q$33:$T$36,"0"))))</f>
        <v>0</v>
      </c>
      <c r="AG5" s="29" t="str">
        <f ca="1"/>
        <v>0</v>
      </c>
      <c r="AH5" s="29" t="str">
        <f ca="1"/>
        <v>0</v>
      </c>
      <c r="AI5" s="29" t="str">
        <f ca="1"/>
        <v>0</v>
      </c>
    </row>
    <row r="6" spans="2:35" ht="15.75" x14ac:dyDescent="0.25">
      <c r="B6" s="129" t="s">
        <v>33</v>
      </c>
      <c r="C6" s="453" t="str">
        <f ca="1">GrpA!$P$12</f>
        <v>Schweiz</v>
      </c>
      <c r="D6" s="458">
        <f ca="1">GrpA!$Q$12</f>
        <v>4</v>
      </c>
      <c r="E6" s="459">
        <f ca="1">GrpA!$R$12</f>
        <v>1</v>
      </c>
      <c r="F6" s="463">
        <f ca="1">GrpA!$S$12</f>
        <v>4</v>
      </c>
      <c r="G6" s="130" t="s">
        <v>36</v>
      </c>
      <c r="H6" s="525">
        <f ca="1">GrpA!$T$12</f>
        <v>3</v>
      </c>
      <c r="I6" s="528">
        <f ca="1">GrpA!$U$12</f>
        <v>1</v>
      </c>
      <c r="L6" s="546">
        <f ca="1">GrpA!$AD$12</f>
        <v>1</v>
      </c>
      <c r="M6" s="547" t="str">
        <f ca="1">GrpA!$AE$12</f>
        <v/>
      </c>
      <c r="N6" s="469"/>
      <c r="O6" s="469"/>
      <c r="P6" s="475" t="str">
        <f ca="1">IF($AE9=0,"",IF(INDEX($AA5:$AD8,2,$AE9)=0,"",INDEX($AF5:$AI7,INDEX($AA5:$AD8,2,$AE9),1)))</f>
        <v/>
      </c>
      <c r="Q6" s="476" t="str">
        <f ca="1">IF($AE9=0,"",IF(INDEX($AA5:$AD8,2,$AE9)=0,"",INDEX($AF5:$AI7,INDEX($AA5:$AD8,2,$AE9),2)))</f>
        <v/>
      </c>
      <c r="R6" s="477" t="str">
        <f ca="1">IF($AE9=0,"",IF(INDEX($AA5:$AD8,2,$AE9)=0,"",INDEX($AF5:$AI7,INDEX($AA5:$AD8,2,$AE9),3)))</f>
        <v/>
      </c>
      <c r="S6" s="478" t="s">
        <v>36</v>
      </c>
      <c r="T6" s="479" t="str">
        <f ca="1">IF($AE9=0,"",IF(INDEX($AA5:$AD8,2,$AE9)=0,"",INDEX($AF5:$AI7,INDEX($AA5:$AD8,2,$AE9),4)))</f>
        <v/>
      </c>
      <c r="V6" s="551">
        <f ca="1">SUMIFS(FairPlayPoints1,FairPlayTeams1,$C6)+SUMIFS(FairPlayPoints2,FairPlayTeams2,$C6)</f>
        <v>0</v>
      </c>
      <c r="W6" s="485" t="str">
        <f ca="1">IF($Y6&gt;0,"•","")</f>
        <v/>
      </c>
      <c r="Y6" s="502">
        <f ca="1">IF(AND(OR(TRUNC(GrpA!$V$12,4)=TRUNC(GrpA!$V$11,4),TRUNC(GrpA!$V$12,4)=TRUNC(GrpA!$V$13,4),TRUNC(GrpA!$V$12,4)=TRUNC(GrpA!$V$14,4)),VLOOKUP(GrpA!$P$12,GrpA!$P$4:$AC$7,14,0)),1,0)</f>
        <v>0</v>
      </c>
      <c r="AA6" s="502">
        <f ca="1">IF(VLOOKUP($C6,GrpA!$P$18:$X$21,9,0)+VLOOKUP($C6,GrpA!$P$18:$AD$21,15,0)&gt;0,MATCH($C6,GrpA!$P$18:$P$21,0),0)</f>
        <v>0</v>
      </c>
      <c r="AB6" s="502">
        <f ca="1">IF(VLOOKUP($C6,GrpA!$P$23:$X$26,9,0)+VLOOKUP($C6,GrpA!$P$23:$AD$26,15,0)&gt;0,MATCH($C6,GrpA!$P$23:$P$26,0),0)</f>
        <v>0</v>
      </c>
      <c r="AC6" s="502">
        <f ca="1">IF(VLOOKUP($C6,GrpA!$P$28:$X$31,9,0)+VLOOKUP($C6,GrpA!$P$28:$AD$31,15,0)&gt;0,MATCH($C6,GrpA!$P$28:$P$31,0),0)</f>
        <v>0</v>
      </c>
      <c r="AD6" s="502">
        <f ca="1">IF(VLOOKUP($C6,GrpA!$P$33:$X$36,9,0)+VLOOKUP($C6,GrpA!$P$33:$AD$36,15,0)&gt;0,MATCH($C6,GrpA!$P$33:$P$36,0),0)</f>
        <v>0</v>
      </c>
      <c r="AF6" s="29" t="str">
        <f ca="1"/>
        <v>0</v>
      </c>
      <c r="AG6" s="29" t="str">
        <f ca="1"/>
        <v>0</v>
      </c>
      <c r="AH6" s="29" t="str">
        <f ca="1"/>
        <v>0</v>
      </c>
      <c r="AI6" s="29" t="str">
        <f ca="1"/>
        <v>0</v>
      </c>
    </row>
    <row r="7" spans="2:35" ht="15.75" x14ac:dyDescent="0.25">
      <c r="B7" s="129" t="s">
        <v>34</v>
      </c>
      <c r="C7" s="453" t="str">
        <f ca="1">GrpA!$P$13</f>
        <v>Wales</v>
      </c>
      <c r="D7" s="458">
        <f ca="1">GrpA!$Q$13</f>
        <v>4</v>
      </c>
      <c r="E7" s="459">
        <f ca="1">GrpA!$R$13</f>
        <v>1</v>
      </c>
      <c r="F7" s="463">
        <f ca="1">GrpA!$S$13</f>
        <v>3</v>
      </c>
      <c r="G7" s="130" t="s">
        <v>36</v>
      </c>
      <c r="H7" s="525">
        <f ca="1">GrpA!$T$13</f>
        <v>2</v>
      </c>
      <c r="I7" s="528">
        <f ca="1">GrpA!$U$13</f>
        <v>1</v>
      </c>
      <c r="L7" s="546">
        <f ca="1">GrpA!$AD$13</f>
        <v>1</v>
      </c>
      <c r="M7" s="547" t="str">
        <f ca="1">GrpA!$AE$13</f>
        <v/>
      </c>
      <c r="N7" s="469"/>
      <c r="O7" s="469"/>
      <c r="P7" s="475" t="str">
        <f ca="1">IF($AE9=0,"",IF(INDEX($AA5:$AD8,3,$AE9)=0,"",INDEX($AF5:$AI7,INDEX($AA5:$AD8,3,$AE9),1)))</f>
        <v/>
      </c>
      <c r="Q7" s="476" t="str">
        <f ca="1">IF($AE9=0,"",IF(INDEX($AA5:$AD8,3,$AE9)=0,"",INDEX($AF5:$AI7,INDEX($AA5:$AD8,3,$AE9),2)))</f>
        <v/>
      </c>
      <c r="R7" s="477" t="str">
        <f ca="1">IF($AE9=0,"",IF(INDEX($AA5:$AD8,3,$AE9)=0,"",INDEX($AF5:$AI7,INDEX($AA5:$AD8,3,$AE9),3)))</f>
        <v/>
      </c>
      <c r="S7" s="478" t="s">
        <v>36</v>
      </c>
      <c r="T7" s="479" t="str">
        <f ca="1">IF($AE9=0,"",IF(INDEX($AA5:$AD8,3,$AE9)=0,"",INDEX($AF5:$AI7,INDEX($AA5:$AD8,3,$AE9),4)))</f>
        <v/>
      </c>
      <c r="V7" s="551">
        <f ca="1">SUMIFS(FairPlayPoints1,FairPlayTeams1,$C7)+SUMIFS(FairPlayPoints2,FairPlayTeams2,$C7)</f>
        <v>0</v>
      </c>
      <c r="W7" s="485" t="str">
        <f ca="1">IF($Y7&gt;0,"•","")</f>
        <v/>
      </c>
      <c r="Y7" s="502">
        <f ca="1">IF(AND(OR(TRUNC(GrpA!$V$13,4)=TRUNC(GrpA!$V$11,4),TRUNC(GrpA!$V$13,4)=TRUNC(GrpA!$V$12,4),TRUNC(GrpA!$V$13,4)=TRUNC(GrpA!$V$14,4)),VLOOKUP(GrpA!$P$13,GrpA!$P$4:$AC$7,14,0)),1,0)</f>
        <v>0</v>
      </c>
      <c r="AA7" s="502">
        <f ca="1">IF(VLOOKUP($C7,GrpA!$P$18:$X$21,9,0)+VLOOKUP($C7,GrpA!$P$18:$AD$21,15,0)&gt;0,MATCH($C7,GrpA!$P$18:$P$21,0),0)</f>
        <v>0</v>
      </c>
      <c r="AB7" s="502">
        <f ca="1">IF(VLOOKUP($C7,GrpA!$P$23:$X$26,9,0)+VLOOKUP($C7,GrpA!$P$23:$AD$26,15,0)&gt;0,MATCH($C7,GrpA!$P$23:$P$26,0),0)</f>
        <v>0</v>
      </c>
      <c r="AC7" s="502">
        <f ca="1">IF(VLOOKUP($C7,GrpA!$P$28:$X$31,9,0)+VLOOKUP($C7,GrpA!$P$28:$AD$31,15,0)&gt;0,MATCH($C7,GrpA!$P$28:$P$31,0),0)</f>
        <v>0</v>
      </c>
      <c r="AD7" s="502">
        <f ca="1">IF(VLOOKUP($C7,GrpA!$P$33:$X$36,9,0)+VLOOKUP($C7,GrpA!$P$33:$AD$36,15,0)&gt;0,MATCH($C7,GrpA!$P$33:$P$36,0),0)</f>
        <v>0</v>
      </c>
      <c r="AF7" s="29" t="str">
        <f ca="1"/>
        <v>0</v>
      </c>
      <c r="AG7" s="29" t="str">
        <f ca="1"/>
        <v>0</v>
      </c>
      <c r="AH7" s="29" t="str">
        <f ca="1"/>
        <v>0</v>
      </c>
      <c r="AI7" s="29" t="str">
        <f ca="1"/>
        <v>0</v>
      </c>
    </row>
    <row r="8" spans="2:35" ht="16.5" thickBot="1" x14ac:dyDescent="0.3">
      <c r="B8" s="129" t="s">
        <v>35</v>
      </c>
      <c r="C8" s="453" t="str">
        <f ca="1">GrpA!$P$14</f>
        <v>Türkei</v>
      </c>
      <c r="D8" s="460">
        <f ca="1">GrpA!$Q$14</f>
        <v>0</v>
      </c>
      <c r="E8" s="461">
        <f ca="1">GrpA!$R$14</f>
        <v>-7</v>
      </c>
      <c r="F8" s="464">
        <f ca="1">GrpA!$S$14</f>
        <v>1</v>
      </c>
      <c r="G8" s="455" t="s">
        <v>36</v>
      </c>
      <c r="H8" s="526">
        <f ca="1">GrpA!$T$14</f>
        <v>8</v>
      </c>
      <c r="I8" s="529">
        <f ca="1">GrpA!$U$14</f>
        <v>0</v>
      </c>
      <c r="L8" s="548" t="str">
        <f ca="1">GrpA!$AD$14</f>
        <v/>
      </c>
      <c r="M8" s="549" t="str">
        <f ca="1">GrpA!$AE$14</f>
        <v/>
      </c>
      <c r="N8" s="469"/>
      <c r="O8" s="469"/>
      <c r="P8" s="480" t="str">
        <f ca="1">IF($AE9=0,"",IF(INDEX($AA5:$AD8,4,$AE9)=0,"",INDEX($AF5:$AI7,INDEX($AA5:$AD8,4,$AE9),1)))</f>
        <v/>
      </c>
      <c r="Q8" s="481" t="str">
        <f ca="1">IF($AE9=0,"",IF(INDEX($AA5:$AD8,4,$AE9)=0,"",INDEX($AF5:$AI7,INDEX($AA5:$AD8,4,$AE9),2)))</f>
        <v/>
      </c>
      <c r="R8" s="482" t="str">
        <f ca="1">IF($AE9=0,"",IF(INDEX($AA5:$AD8,4,$AE9)=0,"",INDEX($AF5:$AI7,INDEX($AA5:$AD8,4,$AE9),3)))</f>
        <v/>
      </c>
      <c r="S8" s="483" t="s">
        <v>36</v>
      </c>
      <c r="T8" s="484" t="str">
        <f ca="1">IF($AE9=0,"",IF(INDEX($AA5:$AD8,4,$AE9)=0,"",INDEX($AF5:$AI7,INDEX($AA5:$AD8,4,$AE9),4)))</f>
        <v/>
      </c>
      <c r="V8" s="552">
        <f ca="1">SUMIFS(FairPlayPoints1,FairPlayTeams1,$C8)+SUMIFS(FairPlayPoints2,FairPlayTeams2,$C8)</f>
        <v>0</v>
      </c>
      <c r="W8" s="487" t="str">
        <f ca="1">IF($Y8&gt;0,"•","")</f>
        <v/>
      </c>
      <c r="Y8" s="502">
        <f ca="1">IF(AND(OR(TRUNC(GrpA!$V$14,4)=TRUNC(GrpA!$V$11,4),TRUNC(GrpA!$V$14,4)=TRUNC(GrpA!$V$12,4),TRUNC(GrpA!$V$14,4)=TRUNC(GrpA!$V$13,4)),VLOOKUP(GrpA!$P$14,GrpA!$P$4:$AC$7,14,0)),1,0)</f>
        <v>0</v>
      </c>
      <c r="AA8" s="502">
        <f ca="1">IF(VLOOKUP($C8,GrpA!$P$18:$X$21,9,0)+VLOOKUP($C8,GrpA!$P$18:$AD$21,15,0)&gt;0,MATCH($C8,GrpA!$P$18:$P$21,0),0)</f>
        <v>0</v>
      </c>
      <c r="AB8" s="502">
        <f ca="1">IF(VLOOKUP($C8,GrpA!$P$23:$X$26,9,0)+VLOOKUP($C8,GrpA!$P$23:$AD$26,15,0)&gt;0,MATCH($C8,GrpA!$P$23:$P$26,0),0)</f>
        <v>0</v>
      </c>
      <c r="AC8" s="502">
        <f ca="1">IF(VLOOKUP($C8,GrpA!$P$28:$X$31,9,0)+VLOOKUP($C8,GrpA!$P$28:$AD$31,15,0)&gt;0,MATCH($C8,GrpA!$P$28:$P$31,0),0)</f>
        <v>0</v>
      </c>
      <c r="AD8" s="502">
        <f ca="1">IF(VLOOKUP($C8,GrpA!$P$33:$X$36,9,0)+VLOOKUP($C8,GrpA!$P$33:$AD$36,15,0)&gt;0,MATCH($C8,GrpA!$P$33:$P$36,0),0)</f>
        <v>0</v>
      </c>
    </row>
    <row r="9" spans="2:35" x14ac:dyDescent="0.25">
      <c r="AA9" s="131">
        <f ca="1">SUM(AA5:AA8)</f>
        <v>0</v>
      </c>
      <c r="AB9" s="131">
        <f t="shared" ref="AB9:AD9" ca="1" si="0">SUM(AB5:AB8)</f>
        <v>0</v>
      </c>
      <c r="AC9" s="131">
        <f t="shared" ca="1" si="0"/>
        <v>0</v>
      </c>
      <c r="AD9" s="131">
        <f t="shared" ca="1" si="0"/>
        <v>0</v>
      </c>
      <c r="AE9" s="126">
        <f t="array" aca="1" ref="AE9" ca="1">MAX(IF($AA9:$AD9&gt;0,COLUMN($AA9:$AD9)-COLUMN(Z$1),0))</f>
        <v>0</v>
      </c>
    </row>
    <row r="10" spans="2:35" ht="15.75" thickBot="1" x14ac:dyDescent="0.3"/>
    <row r="11" spans="2:35" ht="19.5" thickBot="1" x14ac:dyDescent="0.35">
      <c r="B11" s="440" t="str">
        <f ca="1">IF(OR($AE17&gt;0,$L13&lt;&gt;"",$L14&lt;&gt;"",$L15&lt;&gt;""),"","")</f>
        <v></v>
      </c>
      <c r="C11" s="436" t="str">
        <f>Language!$E$93&amp;" B"</f>
        <v>Gruppe B</v>
      </c>
      <c r="D11" s="633" t="str">
        <f>Language!$E$101</f>
        <v>Gesamt</v>
      </c>
      <c r="E11" s="633"/>
      <c r="F11" s="633"/>
      <c r="G11" s="633"/>
      <c r="H11" s="633"/>
      <c r="I11" s="633"/>
      <c r="J11" s="634" t="str">
        <f>Language!$E$104</f>
        <v>Dir. Vergl.(2)</v>
      </c>
      <c r="K11" s="633"/>
      <c r="L11" s="633"/>
      <c r="M11" s="633"/>
      <c r="N11" s="633"/>
      <c r="O11" s="635"/>
      <c r="P11" s="634" t="str">
        <f>Language!$E$105</f>
        <v>Dir. Vergl.(3)</v>
      </c>
      <c r="Q11" s="633"/>
      <c r="R11" s="633"/>
      <c r="S11" s="633"/>
      <c r="T11" s="635"/>
      <c r="U11" s="437"/>
      <c r="V11" s="438"/>
      <c r="W11" s="439"/>
    </row>
    <row r="12" spans="2:35" ht="15.75" thickBot="1" x14ac:dyDescent="0.3">
      <c r="D12" s="127" t="str">
        <f>Language!$E$95</f>
        <v>Pkt</v>
      </c>
      <c r="E12" s="523" t="str">
        <f>Language!$E$96</f>
        <v>TD</v>
      </c>
      <c r="F12" s="631" t="str">
        <f>Language!$E$97</f>
        <v>Tore</v>
      </c>
      <c r="G12" s="631"/>
      <c r="H12" s="631"/>
      <c r="I12" s="522" t="str">
        <f>Language!$E$98</f>
        <v>Siege</v>
      </c>
      <c r="L12" s="127" t="str">
        <f>Language!$E$95</f>
        <v>Pkt</v>
      </c>
      <c r="M12" s="127" t="str">
        <f>Language!$E$99</f>
        <v>Elfm</v>
      </c>
      <c r="N12" s="127"/>
      <c r="O12" s="127"/>
      <c r="P12" s="127" t="str">
        <f>Language!$E$95</f>
        <v>Pkt</v>
      </c>
      <c r="Q12" s="523" t="str">
        <f>Language!$E$96</f>
        <v>TD</v>
      </c>
      <c r="R12" s="632" t="str">
        <f>Language!$E$97</f>
        <v>Tore</v>
      </c>
      <c r="S12" s="632"/>
      <c r="T12" s="632"/>
      <c r="V12" s="126" t="str">
        <f>Language!$E$102</f>
        <v>Fair-Play</v>
      </c>
      <c r="W12" s="135" t="str">
        <f>Language!$E$103</f>
        <v>Nicht klar</v>
      </c>
    </row>
    <row r="13" spans="2:35" ht="15.75" x14ac:dyDescent="0.25">
      <c r="B13" s="129" t="s">
        <v>32</v>
      </c>
      <c r="C13" s="128" t="str">
        <f ca="1">GrpB!$P$11</f>
        <v>Belgien</v>
      </c>
      <c r="D13" s="456">
        <f ca="1">GrpB!$Q$11</f>
        <v>9</v>
      </c>
      <c r="E13" s="457">
        <f ca="1">GrpB!$R$11</f>
        <v>6</v>
      </c>
      <c r="F13" s="462">
        <f ca="1">GrpB!$S$11</f>
        <v>7</v>
      </c>
      <c r="G13" s="454" t="s">
        <v>36</v>
      </c>
      <c r="H13" s="524">
        <f ca="1">GrpB!$T$11</f>
        <v>1</v>
      </c>
      <c r="I13" s="527">
        <f ca="1">GrpB!$U$11</f>
        <v>3</v>
      </c>
      <c r="L13" s="544" t="str">
        <f ca="1">GrpB!$AD$11</f>
        <v/>
      </c>
      <c r="M13" s="545" t="str">
        <f ca="1">GrpB!$AE$11</f>
        <v/>
      </c>
      <c r="N13" s="469"/>
      <c r="O13" s="469"/>
      <c r="P13" s="470" t="str">
        <f ca="1">IF($AE17=0,"",IF(INDEX($AA13:$AD16,1,$AE17)=0,"",INDEX($AF13:$AI15,INDEX($AA13:$AD16,1,$AE17),1)))</f>
        <v/>
      </c>
      <c r="Q13" s="471" t="str">
        <f ca="1">IF($AE17=0,"",IF(INDEX($AA13:$AD16,1,$AE17)=0,"",INDEX($AF13:$AI15,INDEX($AA13:$AD16,1,$AE17),2)))</f>
        <v/>
      </c>
      <c r="R13" s="472" t="str">
        <f ca="1">IF($AE17=0,"",IF(INDEX($AA13:$AD16,1,$AE17)=0,"",INDEX($AF13:$AI15,INDEX($AA13:$AD16,1,$AE17),3)))</f>
        <v/>
      </c>
      <c r="S13" s="473" t="s">
        <v>36</v>
      </c>
      <c r="T13" s="474" t="str">
        <f ca="1">IF($AE17=0,"",IF(INDEX($AA13:$AD16,1,$AE17)=0,"",INDEX($AF13:$AI15,INDEX($AA13:$AD16,1,$AE17),4)))</f>
        <v/>
      </c>
      <c r="V13" s="550">
        <f ca="1">SUMIFS(FairPlayPoints1,FairPlayTeams1,$C13)+SUMIFS(FairPlayPoints2,FairPlayTeams2,$C13)</f>
        <v>0</v>
      </c>
      <c r="W13" s="486" t="str">
        <f ca="1">IF($Y13&gt;0,"•","")</f>
        <v/>
      </c>
      <c r="Y13" s="537">
        <f ca="1">IF(AND(OR(TRUNC(GrpB!$V$11,4)=TRUNC(GrpB!$V$12,4),TRUNC(GrpB!$V$11,4)=TRUNC(GrpB!$V$13,4),TRUNC(GrpB!$V$11,4)=TRUNC(GrpB!$V$14,4)),VLOOKUP(GrpB!$P$11,GrpB!$P$4:$AC$7,14,0)),1,0)</f>
        <v>0</v>
      </c>
      <c r="Z13" s="502"/>
      <c r="AA13" s="502">
        <f ca="1">IF(VLOOKUP($C13,GrpB!$P$18:$X$21,9,0)+VLOOKUP($C13,GrpB!$P$18:$AD$21,15,0)&gt;0,MATCH($C13,GrpB!$P$18:$P$21,0),0)</f>
        <v>0</v>
      </c>
      <c r="AB13" s="502">
        <f ca="1">IF(VLOOKUP($C13,GrpB!$P$23:$X$26,9,0)+VLOOKUP($C13,GrpB!$P$23:$AD$26,15,0)&gt;0,MATCH($C13,GrpB!$P$23:$P$26,0),0)</f>
        <v>0</v>
      </c>
      <c r="AC13" s="502">
        <f ca="1">IF(VLOOKUP($C13,GrpB!$P$28:$X$31,9,0)+VLOOKUP($C13,GrpB!$P$28:$AD$31,15,0)&gt;0,MATCH($C13,GrpB!$P$28:$P$31,0),0)</f>
        <v>0</v>
      </c>
      <c r="AD13" s="502">
        <f ca="1">IF(VLOOKUP($C13,GrpB!$P$33:$X$36,9,0)+VLOOKUP($C13,GrpB!$P$33:$AD$36,15,0)&gt;0,MATCH($C13,GrpB!$P$33:$P$36,0),0)</f>
        <v>0</v>
      </c>
      <c r="AF13" s="283">
        <f t="array" aca="1" ref="AF13:AI15" ca="1">IF($AA17&gt;0,GrpB!$Q$18:$T$20,IF($AB17&gt;0,GrpB!$Q$23:$T$26,IF($AC17&gt;0,GrpB!$Q$28:$T$31,IF($AD17&gt;0,GrpB!$Q$33:$T$36,"0"))))</f>
        <v>3</v>
      </c>
      <c r="AG13" s="283">
        <f ca="1"/>
        <v>2</v>
      </c>
      <c r="AH13" s="283">
        <f ca="1"/>
        <v>4</v>
      </c>
      <c r="AI13" s="283">
        <f ca="1"/>
        <v>2</v>
      </c>
    </row>
    <row r="14" spans="2:35" ht="15.75" x14ac:dyDescent="0.25">
      <c r="B14" s="129" t="s">
        <v>33</v>
      </c>
      <c r="C14" s="128" t="str">
        <f ca="1">GrpB!$P$12</f>
        <v>Dänemark</v>
      </c>
      <c r="D14" s="458">
        <f ca="1">GrpB!$Q$12</f>
        <v>3</v>
      </c>
      <c r="E14" s="459">
        <f ca="1">GrpB!$R$12</f>
        <v>1</v>
      </c>
      <c r="F14" s="463">
        <f ca="1">GrpB!$S$12</f>
        <v>5</v>
      </c>
      <c r="G14" s="130" t="s">
        <v>36</v>
      </c>
      <c r="H14" s="525">
        <f ca="1">GrpB!$T$12</f>
        <v>4</v>
      </c>
      <c r="I14" s="528">
        <f ca="1">GrpB!$U$12</f>
        <v>1</v>
      </c>
      <c r="L14" s="546" t="str">
        <f ca="1">GrpB!$AD$12</f>
        <v/>
      </c>
      <c r="M14" s="547" t="str">
        <f ca="1">GrpB!$AE$12</f>
        <v/>
      </c>
      <c r="N14" s="469"/>
      <c r="O14" s="469"/>
      <c r="P14" s="475">
        <f ca="1">IF($AE17=0,"",IF(INDEX($AA13:$AD16,2,$AE17)=0,"",INDEX($AF13:$AI15,INDEX($AA13:$AD16,2,$AE17),1)))</f>
        <v>3</v>
      </c>
      <c r="Q14" s="476">
        <f ca="1">IF($AE17=0,"",IF(INDEX($AA13:$AD16,2,$AE17)=0,"",INDEX($AF13:$AI15,INDEX($AA13:$AD16,2,$AE17),2)))</f>
        <v>2</v>
      </c>
      <c r="R14" s="477">
        <f ca="1">IF($AE17=0,"",IF(INDEX($AA13:$AD16,2,$AE17)=0,"",INDEX($AF13:$AI15,INDEX($AA13:$AD16,2,$AE17),3)))</f>
        <v>4</v>
      </c>
      <c r="S14" s="478" t="s">
        <v>36</v>
      </c>
      <c r="T14" s="479">
        <f ca="1">IF($AE17=0,"",IF(INDEX($AA13:$AD16,2,$AE17)=0,"",INDEX($AF13:$AI15,INDEX($AA13:$AD16,2,$AE17),4)))</f>
        <v>2</v>
      </c>
      <c r="V14" s="551">
        <f ca="1">SUMIFS(FairPlayPoints1,FairPlayTeams1,$C14)+SUMIFS(FairPlayPoints2,FairPlayTeams2,$C14)</f>
        <v>0</v>
      </c>
      <c r="W14" s="485" t="str">
        <f ca="1">IF($Y14&gt;0,"•","")</f>
        <v/>
      </c>
      <c r="Y14" s="537">
        <f ca="1">IF(AND(OR(TRUNC(GrpB!$V$12,4)=TRUNC(GrpB!$V$11,4),TRUNC(GrpB!$V$12,4)=TRUNC(GrpB!$V$13,4),TRUNC(GrpB!$V$12,4)=TRUNC(GrpB!$V$14,4)),VLOOKUP(GrpB!$P$12,GrpB!$P$4:$AC$7,14,0)),1,0)</f>
        <v>0</v>
      </c>
      <c r="Z14" s="502"/>
      <c r="AA14" s="502">
        <f ca="1">IF(VLOOKUP($C14,GrpB!$P$18:$X$21,9,0)+VLOOKUP($C14,GrpB!$P$18:$AD$21,15,0)&gt;0,MATCH($C14,GrpB!$P$18:$P$21,0),0)</f>
        <v>0</v>
      </c>
      <c r="AB14" s="502">
        <f ca="1">IF(VLOOKUP($C14,GrpB!$P$23:$X$26,9,0)+VLOOKUP($C14,GrpB!$P$23:$AD$26,15,0)&gt;0,MATCH($C14,GrpB!$P$23:$P$26,0),0)</f>
        <v>1</v>
      </c>
      <c r="AC14" s="502">
        <f ca="1">IF(VLOOKUP($C14,GrpB!$P$28:$X$31,9,0)+VLOOKUP($C14,GrpB!$P$28:$AD$31,15,0)&gt;0,MATCH($C14,GrpB!$P$28:$P$31,0),0)</f>
        <v>0</v>
      </c>
      <c r="AD14" s="502">
        <f ca="1">IF(VLOOKUP($C14,GrpB!$P$33:$X$36,9,0)+VLOOKUP($C14,GrpB!$P$33:$AD$36,15,0)&gt;0,MATCH($C14,GrpB!$P$33:$P$36,0),0)</f>
        <v>0</v>
      </c>
      <c r="AF14" s="283">
        <f ca="1"/>
        <v>3</v>
      </c>
      <c r="AG14" s="283">
        <f ca="1"/>
        <v>0</v>
      </c>
      <c r="AH14" s="283">
        <f ca="1"/>
        <v>1</v>
      </c>
      <c r="AI14" s="283">
        <f ca="1"/>
        <v>1</v>
      </c>
    </row>
    <row r="15" spans="2:35" ht="15.75" x14ac:dyDescent="0.25">
      <c r="B15" s="129" t="s">
        <v>34</v>
      </c>
      <c r="C15" s="128" t="str">
        <f ca="1">GrpB!$P$13</f>
        <v>Finnland</v>
      </c>
      <c r="D15" s="458">
        <f ca="1">GrpB!$Q$13</f>
        <v>3</v>
      </c>
      <c r="E15" s="459">
        <f ca="1">GrpB!$R$13</f>
        <v>-2</v>
      </c>
      <c r="F15" s="463">
        <f ca="1">GrpB!$S$13</f>
        <v>1</v>
      </c>
      <c r="G15" s="130" t="s">
        <v>36</v>
      </c>
      <c r="H15" s="525">
        <f ca="1">GrpB!$T$13</f>
        <v>3</v>
      </c>
      <c r="I15" s="528">
        <f ca="1">GrpB!$U$13</f>
        <v>1</v>
      </c>
      <c r="L15" s="546" t="str">
        <f ca="1">GrpB!$AD$13</f>
        <v/>
      </c>
      <c r="M15" s="547" t="str">
        <f ca="1">GrpB!$AE$13</f>
        <v/>
      </c>
      <c r="N15" s="469"/>
      <c r="O15" s="469"/>
      <c r="P15" s="475">
        <f ca="1">IF($AE17=0,"",IF(INDEX($AA13:$AD16,3,$AE17)=0,"",INDEX($AF13:$AI15,INDEX($AA13:$AD16,3,$AE17),1)))</f>
        <v>3</v>
      </c>
      <c r="Q15" s="476">
        <f ca="1">IF($AE17=0,"",IF(INDEX($AA13:$AD16,3,$AE17)=0,"",INDEX($AF13:$AI15,INDEX($AA13:$AD16,3,$AE17),2)))</f>
        <v>0</v>
      </c>
      <c r="R15" s="477">
        <f ca="1">IF($AE17=0,"",IF(INDEX($AA13:$AD16,3,$AE17)=0,"",INDEX($AF13:$AI15,INDEX($AA13:$AD16,3,$AE17),3)))</f>
        <v>1</v>
      </c>
      <c r="S15" s="478" t="s">
        <v>36</v>
      </c>
      <c r="T15" s="479">
        <f ca="1">IF($AE17=0,"",IF(INDEX($AA13:$AD16,3,$AE17)=0,"",INDEX($AF13:$AI15,INDEX($AA13:$AD16,3,$AE17),4)))</f>
        <v>1</v>
      </c>
      <c r="V15" s="551">
        <f ca="1">SUMIFS(FairPlayPoints1,FairPlayTeams1,$C15)+SUMIFS(FairPlayPoints2,FairPlayTeams2,$C15)</f>
        <v>0</v>
      </c>
      <c r="W15" s="485" t="str">
        <f ca="1">IF($Y15&gt;0,"•","")</f>
        <v/>
      </c>
      <c r="Y15" s="537">
        <f ca="1">IF(AND(OR(TRUNC(GrpB!$V$13,4)=TRUNC(GrpB!$V$11,4),TRUNC(GrpB!$V$13,4)=TRUNC(GrpB!$V$12,4),TRUNC(GrpB!$V$13,4)=TRUNC(GrpB!$V$14,4)),VLOOKUP(GrpB!$P$13,GrpB!$P$4:$AC$7,14,0)),1,0)</f>
        <v>0</v>
      </c>
      <c r="Z15" s="502"/>
      <c r="AA15" s="502">
        <f ca="1">IF(VLOOKUP($C15,GrpB!$P$18:$X$21,9,0)+VLOOKUP($C15,GrpB!$P$18:$AD$21,15,0)&gt;0,MATCH($C15,GrpB!$P$18:$P$21,0),0)</f>
        <v>0</v>
      </c>
      <c r="AB15" s="502">
        <f ca="1">IF(VLOOKUP($C15,GrpB!$P$23:$X$26,9,0)+VLOOKUP($C15,GrpB!$P$23:$AD$26,15,0)&gt;0,MATCH($C15,GrpB!$P$23:$P$26,0),0)</f>
        <v>2</v>
      </c>
      <c r="AC15" s="502">
        <f ca="1">IF(VLOOKUP($C15,GrpB!$P$28:$X$31,9,0)+VLOOKUP($C15,GrpB!$P$28:$AD$31,15,0)&gt;0,MATCH($C15,GrpB!$P$28:$P$31,0),0)</f>
        <v>0</v>
      </c>
      <c r="AD15" s="502">
        <f ca="1">IF(VLOOKUP($C15,GrpB!$P$33:$X$36,9,0)+VLOOKUP($C15,GrpB!$P$33:$AD$36,15,0)&gt;0,MATCH($C15,GrpB!$P$33:$P$36,0),0)</f>
        <v>0</v>
      </c>
      <c r="AF15" s="283">
        <f ca="1"/>
        <v>3</v>
      </c>
      <c r="AG15" s="283">
        <f ca="1"/>
        <v>-2</v>
      </c>
      <c r="AH15" s="283">
        <f ca="1"/>
        <v>2</v>
      </c>
      <c r="AI15" s="283">
        <f ca="1"/>
        <v>4</v>
      </c>
    </row>
    <row r="16" spans="2:35" ht="16.5" thickBot="1" x14ac:dyDescent="0.3">
      <c r="B16" s="129" t="s">
        <v>35</v>
      </c>
      <c r="C16" s="128" t="str">
        <f ca="1">GrpB!$P$14</f>
        <v>Russland</v>
      </c>
      <c r="D16" s="460">
        <f ca="1">GrpB!$Q$14</f>
        <v>3</v>
      </c>
      <c r="E16" s="461">
        <f ca="1">GrpB!$R$14</f>
        <v>-5</v>
      </c>
      <c r="F16" s="464">
        <f ca="1">GrpB!$S$14</f>
        <v>2</v>
      </c>
      <c r="G16" s="455" t="s">
        <v>36</v>
      </c>
      <c r="H16" s="526">
        <f ca="1">GrpB!$T$14</f>
        <v>7</v>
      </c>
      <c r="I16" s="529">
        <f ca="1">GrpB!$U$14</f>
        <v>1</v>
      </c>
      <c r="L16" s="548" t="str">
        <f ca="1">GrpB!$AD$14</f>
        <v/>
      </c>
      <c r="M16" s="549" t="str">
        <f ca="1">GrpB!$AE$14</f>
        <v/>
      </c>
      <c r="N16" s="469"/>
      <c r="O16" s="469"/>
      <c r="P16" s="480">
        <f ca="1">IF($AE17=0,"",IF(INDEX($AA13:$AD16,4,$AE17)=0,"",INDEX($AF13:$AI15,INDEX($AA13:$AD16,4,$AE17),1)))</f>
        <v>3</v>
      </c>
      <c r="Q16" s="481">
        <f ca="1">IF($AE17=0,"",IF(INDEX($AA13:$AD16,4,$AE17)=0,"",INDEX($AF13:$AI15,INDEX($AA13:$AD16,4,$AE17),2)))</f>
        <v>-2</v>
      </c>
      <c r="R16" s="482">
        <f ca="1">IF($AE17=0,"",IF(INDEX($AA13:$AD16,4,$AE17)=0,"",INDEX($AF13:$AI15,INDEX($AA13:$AD16,4,$AE17),3)))</f>
        <v>2</v>
      </c>
      <c r="S16" s="483" t="s">
        <v>36</v>
      </c>
      <c r="T16" s="484">
        <f ca="1">IF($AE17=0,"",IF(INDEX($AA13:$AD16,4,$AE17)=0,"",INDEX($AF13:$AI15,INDEX($AA13:$AD16,4,$AE17),4)))</f>
        <v>4</v>
      </c>
      <c r="V16" s="552">
        <f ca="1">SUMIFS(FairPlayPoints1,FairPlayTeams1,$C16)+SUMIFS(FairPlayPoints2,FairPlayTeams2,$C16)</f>
        <v>0</v>
      </c>
      <c r="W16" s="487" t="str">
        <f ca="1">IF($Y16&gt;0,"•","")</f>
        <v/>
      </c>
      <c r="Y16" s="537">
        <f ca="1">IF(AND(OR(TRUNC(GrpB!$V$14,4)=TRUNC(GrpB!$V$11,4),TRUNC(GrpB!$V$14,4)=TRUNC(GrpB!$V$12,4),TRUNC(GrpB!$V$14,4)=TRUNC(GrpB!$V$13,4)),VLOOKUP(GrpB!$P$14,GrpB!$P$4:$AC$7,14,0)),1,0)</f>
        <v>0</v>
      </c>
      <c r="Z16" s="502"/>
      <c r="AA16" s="502">
        <f ca="1">IF(VLOOKUP($C16,GrpB!$P$18:$X$21,9,0)+VLOOKUP($C16,GrpB!$P$18:$AD$21,15,0)&gt;0,MATCH($C16,GrpB!$P$18:$P$21,0),0)</f>
        <v>0</v>
      </c>
      <c r="AB16" s="502">
        <f ca="1">IF(VLOOKUP($C16,GrpB!$P$23:$X$26,9,0)+VLOOKUP($C16,GrpB!$P$23:$AD$26,15,0)&gt;0,MATCH($C16,GrpB!$P$23:$P$26,0),0)</f>
        <v>3</v>
      </c>
      <c r="AC16" s="502">
        <f ca="1">IF(VLOOKUP($C16,GrpB!$P$28:$X$31,9,0)+VLOOKUP($C16,GrpB!$P$28:$AD$31,15,0)&gt;0,MATCH($C16,GrpB!$P$28:$P$31,0),0)</f>
        <v>0</v>
      </c>
      <c r="AD16" s="502">
        <f ca="1">IF(VLOOKUP($C16,GrpB!$P$33:$X$36,9,0)+VLOOKUP($C16,GrpB!$P$33:$AD$36,15,0)&gt;0,MATCH($C16,GrpB!$P$33:$P$36,0),0)</f>
        <v>0</v>
      </c>
    </row>
    <row r="17" spans="2:35" x14ac:dyDescent="0.25">
      <c r="AA17" s="131">
        <f ca="1">SUM(AA13:AA16)</f>
        <v>0</v>
      </c>
      <c r="AB17" s="131">
        <f t="shared" ref="AB17" ca="1" si="1">SUM(AB13:AB16)</f>
        <v>6</v>
      </c>
      <c r="AC17" s="131">
        <f t="shared" ref="AC17" ca="1" si="2">SUM(AC13:AC16)</f>
        <v>0</v>
      </c>
      <c r="AD17" s="131">
        <f t="shared" ref="AD17" ca="1" si="3">SUM(AD13:AD16)</f>
        <v>0</v>
      </c>
      <c r="AE17" s="126">
        <f t="array" aca="1" ref="AE17" ca="1">MAX(IF($AA17:$AD17&gt;0,COLUMN($AA17:$AD17)-COLUMN(Z$1),0))</f>
        <v>2</v>
      </c>
    </row>
    <row r="18" spans="2:35" ht="15.75" thickBot="1" x14ac:dyDescent="0.3"/>
    <row r="19" spans="2:35" ht="19.5" thickBot="1" x14ac:dyDescent="0.35">
      <c r="B19" s="440" t="str">
        <f ca="1">IF(OR($AE25&gt;0,$L21&lt;&gt;"",$L22&lt;&gt;"",$L23&lt;&gt;""),"","")</f>
        <v/>
      </c>
      <c r="C19" s="436" t="str">
        <f>Language!$E$93&amp;" C"</f>
        <v>Gruppe C</v>
      </c>
      <c r="D19" s="633" t="str">
        <f>Language!$E$101</f>
        <v>Gesamt</v>
      </c>
      <c r="E19" s="633"/>
      <c r="F19" s="633"/>
      <c r="G19" s="633"/>
      <c r="H19" s="633"/>
      <c r="I19" s="633"/>
      <c r="J19" s="634" t="str">
        <f>Language!$E$104</f>
        <v>Dir. Vergl.(2)</v>
      </c>
      <c r="K19" s="633"/>
      <c r="L19" s="633"/>
      <c r="M19" s="633"/>
      <c r="N19" s="633"/>
      <c r="O19" s="635"/>
      <c r="P19" s="634" t="str">
        <f>Language!$E$105</f>
        <v>Dir. Vergl.(3)</v>
      </c>
      <c r="Q19" s="633"/>
      <c r="R19" s="633"/>
      <c r="S19" s="633"/>
      <c r="T19" s="635"/>
      <c r="U19" s="437"/>
      <c r="V19" s="438"/>
      <c r="W19" s="439"/>
    </row>
    <row r="20" spans="2:35" ht="15.75" thickBot="1" x14ac:dyDescent="0.3">
      <c r="D20" s="127" t="str">
        <f>Language!$E$95</f>
        <v>Pkt</v>
      </c>
      <c r="E20" s="523" t="str">
        <f>Language!$E$96</f>
        <v>TD</v>
      </c>
      <c r="F20" s="631" t="str">
        <f>Language!$E$97</f>
        <v>Tore</v>
      </c>
      <c r="G20" s="631"/>
      <c r="H20" s="631"/>
      <c r="I20" s="522" t="str">
        <f>Language!$E$98</f>
        <v>Siege</v>
      </c>
      <c r="L20" s="127" t="str">
        <f>Language!$E$95</f>
        <v>Pkt</v>
      </c>
      <c r="M20" s="127" t="str">
        <f>Language!$E$99</f>
        <v>Elfm</v>
      </c>
      <c r="N20" s="127"/>
      <c r="O20" s="127"/>
      <c r="P20" s="127" t="str">
        <f>Language!$E$95</f>
        <v>Pkt</v>
      </c>
      <c r="Q20" s="523" t="str">
        <f>Language!$E$96</f>
        <v>TD</v>
      </c>
      <c r="R20" s="632" t="str">
        <f>Language!$E$97</f>
        <v>Tore</v>
      </c>
      <c r="S20" s="632"/>
      <c r="T20" s="632"/>
      <c r="V20" s="126" t="str">
        <f>Language!$E$102</f>
        <v>Fair-Play</v>
      </c>
      <c r="W20" s="135" t="str">
        <f>Language!$E$103</f>
        <v>Nicht klar</v>
      </c>
    </row>
    <row r="21" spans="2:35" ht="15.75" x14ac:dyDescent="0.25">
      <c r="B21" s="129" t="s">
        <v>32</v>
      </c>
      <c r="C21" s="128" t="str">
        <f ca="1">GrpC!$P$11</f>
        <v>Niederlande</v>
      </c>
      <c r="D21" s="456">
        <f ca="1">GrpC!$Q$11</f>
        <v>9</v>
      </c>
      <c r="E21" s="457">
        <f ca="1">GrpC!$R$11</f>
        <v>6</v>
      </c>
      <c r="F21" s="462">
        <f ca="1">GrpC!$S$11</f>
        <v>8</v>
      </c>
      <c r="G21" s="454" t="s">
        <v>36</v>
      </c>
      <c r="H21" s="524">
        <f ca="1">GrpC!$T$11</f>
        <v>2</v>
      </c>
      <c r="I21" s="527">
        <f ca="1">GrpC!$U$11</f>
        <v>3</v>
      </c>
      <c r="L21" s="544" t="str">
        <f ca="1">GrpC!$AD$11</f>
        <v/>
      </c>
      <c r="M21" s="545" t="str">
        <f ca="1">GrpC!$AE$11</f>
        <v/>
      </c>
      <c r="N21" s="469"/>
      <c r="O21" s="469"/>
      <c r="P21" s="470" t="str">
        <f ca="1">IF($AE25=0,"",IF(INDEX($AA21:$AD24,1,$AE25)=0,"",INDEX($AF21:$AI23,INDEX($AA21:$AD24,1,$AE25),1)))</f>
        <v/>
      </c>
      <c r="Q21" s="471" t="str">
        <f ca="1">IF($AE25=0,"",IF(INDEX($AA21:$AD24,1,$AE25)=0,"",INDEX($AF21:$AI23,INDEX($AA21:$AD24,1,$AE25),2)))</f>
        <v/>
      </c>
      <c r="R21" s="472" t="str">
        <f ca="1">IF($AE25=0,"",IF(INDEX($AA21:$AD24,1,$AE25)=0,"",INDEX($AF21:$AI23,INDEX($AA21:$AD24,1,$AE25),3)))</f>
        <v/>
      </c>
      <c r="S21" s="473" t="s">
        <v>36</v>
      </c>
      <c r="T21" s="474" t="str">
        <f ca="1">IF($AE25=0,"",IF(INDEX($AA21:$AD24,1,$AE25)=0,"",INDEX($AF21:$AI23,INDEX($AA21:$AD24,1,$AE25),4)))</f>
        <v/>
      </c>
      <c r="V21" s="550">
        <f ca="1">SUMIFS(FairPlayPoints1,FairPlayTeams1,$C21)+SUMIFS(FairPlayPoints2,FairPlayTeams2,$C21)</f>
        <v>0</v>
      </c>
      <c r="W21" s="486" t="str">
        <f ca="1">IF($Y21&gt;0,"•","")</f>
        <v/>
      </c>
      <c r="Y21" s="537">
        <f ca="1">IF(AND(OR(TRUNC(GrpC!$V$11,4)=TRUNC(GrpC!$V$12,4),TRUNC(GrpC!$V$11,4)=TRUNC(GrpC!$V$13,4),TRUNC(GrpC!$V$11,4)=TRUNC(GrpC!$V$14,4)),VLOOKUP(GrpC!$P$11,GrpC!$P$4:$AC$7,14,0)),1,0)</f>
        <v>0</v>
      </c>
      <c r="Z21" s="502"/>
      <c r="AA21" s="502">
        <f ca="1">IF(VLOOKUP($C21,GrpC!$P$18:$X$21,9,0)+VLOOKUP($C21,GrpC!$P$18:$AD$21,15,0)&gt;0,MATCH($C21,GrpC!$P$18:$P$21,0),0)</f>
        <v>0</v>
      </c>
      <c r="AB21" s="502">
        <f ca="1">IF(VLOOKUP($C21,GrpC!$P$23:$X$26,9,0)+VLOOKUP($C21,GrpC!$P$23:$AD$26,15,0)&gt;0,MATCH($C21,GrpC!$P$23:$P$26,0),0)</f>
        <v>0</v>
      </c>
      <c r="AC21" s="502">
        <f ca="1">IF(VLOOKUP($C21,GrpC!$P$28:$X$31,9,0)+VLOOKUP($C21,GrpC!$P$28:$AD$31,15,0)&gt;0,MATCH($C21,GrpC!$P$28:$P$31,0),0)</f>
        <v>0</v>
      </c>
      <c r="AD21" s="502">
        <f ca="1">IF(VLOOKUP($C21,GrpC!$P$33:$X$36,9,0)+VLOOKUP($C21,GrpC!$P$33:$AD$36,15,0)&gt;0,MATCH($C21,GrpC!$P$33:$P$36,0),0)</f>
        <v>0</v>
      </c>
      <c r="AF21" s="283" t="str">
        <f t="array" aca="1" ref="AF21:AI23" ca="1">IF($AA25&gt;0,GrpC!$Q$18:$T$20,IF($AB25&gt;0,GrpC!$Q$23:$T$26,IF($AC25&gt;0,GrpC!$Q$28:$T$31,IF($AD25&gt;0,GrpC!$Q$33:$T$36,"0"))))</f>
        <v>0</v>
      </c>
      <c r="AG21" s="283" t="str">
        <f ca="1"/>
        <v>0</v>
      </c>
      <c r="AH21" s="283" t="str">
        <f ca="1"/>
        <v>0</v>
      </c>
      <c r="AI21" s="283" t="str">
        <f ca="1"/>
        <v>0</v>
      </c>
    </row>
    <row r="22" spans="2:35" ht="15.75" x14ac:dyDescent="0.25">
      <c r="B22" s="129" t="s">
        <v>33</v>
      </c>
      <c r="C22" s="128" t="str">
        <f ca="1">GrpC!$P$12</f>
        <v>Österreich</v>
      </c>
      <c r="D22" s="458">
        <f ca="1">GrpC!$Q$12</f>
        <v>6</v>
      </c>
      <c r="E22" s="459">
        <f ca="1">GrpC!$R$12</f>
        <v>1</v>
      </c>
      <c r="F22" s="463">
        <f ca="1">GrpC!$S$12</f>
        <v>4</v>
      </c>
      <c r="G22" s="130" t="s">
        <v>36</v>
      </c>
      <c r="H22" s="525">
        <f ca="1">GrpC!$T$12</f>
        <v>3</v>
      </c>
      <c r="I22" s="528">
        <f ca="1">GrpC!$U$12</f>
        <v>2</v>
      </c>
      <c r="L22" s="546" t="str">
        <f ca="1">GrpC!$AD$12</f>
        <v/>
      </c>
      <c r="M22" s="547" t="str">
        <f ca="1">GrpC!$AE$12</f>
        <v/>
      </c>
      <c r="N22" s="469"/>
      <c r="O22" s="469"/>
      <c r="P22" s="475" t="str">
        <f ca="1">IF($AE25=0,"",IF(INDEX($AA21:$AD24,2,$AE25)=0,"",INDEX($AF21:$AI23,INDEX($AA21:$AD24,2,$AE25),1)))</f>
        <v/>
      </c>
      <c r="Q22" s="476" t="str">
        <f ca="1">IF($AE25=0,"",IF(INDEX($AA21:$AD24,2,$AE25)=0,"",INDEX($AF21:$AI23,INDEX($AA21:$AD24,2,$AE25),2)))</f>
        <v/>
      </c>
      <c r="R22" s="477" t="str">
        <f ca="1">IF($AE25=0,"",IF(INDEX($AA21:$AD24,2,$AE25)=0,"",INDEX($AF21:$AI23,INDEX($AA21:$AD24,2,$AE25),3)))</f>
        <v/>
      </c>
      <c r="S22" s="478" t="s">
        <v>36</v>
      </c>
      <c r="T22" s="479" t="str">
        <f ca="1">IF($AE25=0,"",IF(INDEX($AA21:$AD24,2,$AE25)=0,"",INDEX($AF21:$AI23,INDEX($AA21:$AD24,2,$AE25),4)))</f>
        <v/>
      </c>
      <c r="V22" s="551">
        <f ca="1">SUMIFS(FairPlayPoints1,FairPlayTeams1,$C22)+SUMIFS(FairPlayPoints2,FairPlayTeams2,$C22)</f>
        <v>0</v>
      </c>
      <c r="W22" s="485" t="str">
        <f ca="1">IF($Y22&gt;0,"•","")</f>
        <v/>
      </c>
      <c r="Y22" s="537">
        <f ca="1">IF(AND(OR(TRUNC(GrpC!$V$12,4)=TRUNC(GrpC!$V$11,4),TRUNC(GrpC!$V$12,4)=TRUNC(GrpC!$V$13,4),TRUNC(GrpC!$V$12,4)=TRUNC(GrpC!$V$14,4)),VLOOKUP(GrpC!$P$12,GrpC!$P$4:$AC$7,14,0)),1,0)</f>
        <v>0</v>
      </c>
      <c r="Z22" s="502"/>
      <c r="AA22" s="502">
        <f ca="1">IF(VLOOKUP($C22,GrpC!$P$18:$X$21,9,0)+VLOOKUP($C22,GrpC!$P$18:$AD$21,15,0)&gt;0,MATCH($C22,GrpC!$P$18:$P$21,0),0)</f>
        <v>0</v>
      </c>
      <c r="AB22" s="502">
        <f ca="1">IF(VLOOKUP($C22,GrpC!$P$23:$X$26,9,0)+VLOOKUP($C22,GrpC!$P$23:$AD$26,15,0)&gt;0,MATCH($C22,GrpC!$P$23:$P$26,0),0)</f>
        <v>0</v>
      </c>
      <c r="AC22" s="502">
        <f ca="1">IF(VLOOKUP($C22,GrpC!$P$28:$X$31,9,0)+VLOOKUP($C22,GrpC!$P$28:$AD$31,15,0)&gt;0,MATCH($C22,GrpC!$P$28:$P$31,0),0)</f>
        <v>0</v>
      </c>
      <c r="AD22" s="502">
        <f ca="1">IF(VLOOKUP($C22,GrpC!$P$33:$X$36,9,0)+VLOOKUP($C22,GrpC!$P$33:$AD$36,15,0)&gt;0,MATCH($C22,GrpC!$P$33:$P$36,0),0)</f>
        <v>0</v>
      </c>
      <c r="AF22" s="283" t="str">
        <f ca="1"/>
        <v>0</v>
      </c>
      <c r="AG22" s="283" t="str">
        <f ca="1"/>
        <v>0</v>
      </c>
      <c r="AH22" s="283" t="str">
        <f ca="1"/>
        <v>0</v>
      </c>
      <c r="AI22" s="283" t="str">
        <f ca="1"/>
        <v>0</v>
      </c>
    </row>
    <row r="23" spans="2:35" ht="15.75" x14ac:dyDescent="0.25">
      <c r="B23" s="129" t="s">
        <v>34</v>
      </c>
      <c r="C23" s="128" t="str">
        <f ca="1">GrpC!$P$13</f>
        <v>Ukraine</v>
      </c>
      <c r="D23" s="458">
        <f ca="1">GrpC!$Q$13</f>
        <v>3</v>
      </c>
      <c r="E23" s="459">
        <f ca="1">GrpC!$R$13</f>
        <v>-1</v>
      </c>
      <c r="F23" s="463">
        <f ca="1">GrpC!$S$13</f>
        <v>4</v>
      </c>
      <c r="G23" s="130" t="s">
        <v>36</v>
      </c>
      <c r="H23" s="525">
        <f ca="1">GrpC!$T$13</f>
        <v>5</v>
      </c>
      <c r="I23" s="528">
        <f ca="1">GrpC!$U$13</f>
        <v>1</v>
      </c>
      <c r="L23" s="546" t="str">
        <f ca="1">GrpC!$AD$13</f>
        <v/>
      </c>
      <c r="M23" s="547" t="str">
        <f ca="1">GrpC!$AE$13</f>
        <v/>
      </c>
      <c r="N23" s="469"/>
      <c r="O23" s="469"/>
      <c r="P23" s="475" t="str">
        <f ca="1">IF($AE25=0,"",IF(INDEX($AA21:$AD24,3,$AE25)=0,"",INDEX($AF21:$AI23,INDEX($AA21:$AD24,3,$AE25),1)))</f>
        <v/>
      </c>
      <c r="Q23" s="476" t="str">
        <f ca="1">IF($AE25=0,"",IF(INDEX($AA21:$AD24,3,$AE25)=0,"",INDEX($AF21:$AI23,INDEX($AA21:$AD24,3,$AE25),2)))</f>
        <v/>
      </c>
      <c r="R23" s="477" t="str">
        <f ca="1">IF($AE25=0,"",IF(INDEX($AA21:$AD24,3,$AE25)=0,"",INDEX($AF21:$AI23,INDEX($AA21:$AD24,3,$AE25),3)))</f>
        <v/>
      </c>
      <c r="S23" s="478" t="s">
        <v>36</v>
      </c>
      <c r="T23" s="479" t="str">
        <f ca="1">IF($AE25=0,"",IF(INDEX($AA21:$AD24,3,$AE25)=0,"",INDEX($AF21:$AI23,INDEX($AA21:$AD24,3,$AE25),4)))</f>
        <v/>
      </c>
      <c r="V23" s="551">
        <f ca="1">SUMIFS(FairPlayPoints1,FairPlayTeams1,$C23)+SUMIFS(FairPlayPoints2,FairPlayTeams2,$C23)</f>
        <v>0</v>
      </c>
      <c r="W23" s="485" t="str">
        <f ca="1">IF($Y23&gt;0,"•","")</f>
        <v/>
      </c>
      <c r="Y23" s="537">
        <f ca="1">IF(AND(OR(TRUNC(GrpC!$V$13,4)=TRUNC(GrpC!$V$11,4),TRUNC(GrpC!$V$13,4)=TRUNC(GrpC!$V$12,4),TRUNC(GrpC!$V$13,4)=TRUNC(GrpC!$V$14,4)),VLOOKUP(GrpC!$P$13,GrpC!$P$4:$AC$7,14,0)),1,0)</f>
        <v>0</v>
      </c>
      <c r="Z23" s="502"/>
      <c r="AA23" s="502">
        <f ca="1">IF(VLOOKUP($C23,GrpC!$P$18:$X$21,9,0)+VLOOKUP($C23,GrpC!$P$18:$AD$21,15,0)&gt;0,MATCH($C23,GrpC!$P$18:$P$21,0),0)</f>
        <v>0</v>
      </c>
      <c r="AB23" s="502">
        <f ca="1">IF(VLOOKUP($C23,GrpC!$P$23:$X$26,9,0)+VLOOKUP($C23,GrpC!$P$23:$AD$26,15,0)&gt;0,MATCH($C23,GrpC!$P$23:$P$26,0),0)</f>
        <v>0</v>
      </c>
      <c r="AC23" s="502">
        <f ca="1">IF(VLOOKUP($C23,GrpC!$P$28:$X$31,9,0)+VLOOKUP($C23,GrpC!$P$28:$AD$31,15,0)&gt;0,MATCH($C23,GrpC!$P$28:$P$31,0),0)</f>
        <v>0</v>
      </c>
      <c r="AD23" s="502">
        <f ca="1">IF(VLOOKUP($C23,GrpC!$P$33:$X$36,9,0)+VLOOKUP($C23,GrpC!$P$33:$AD$36,15,0)&gt;0,MATCH($C23,GrpC!$P$33:$P$36,0),0)</f>
        <v>0</v>
      </c>
      <c r="AF23" s="283" t="str">
        <f ca="1"/>
        <v>0</v>
      </c>
      <c r="AG23" s="283" t="str">
        <f ca="1"/>
        <v>0</v>
      </c>
      <c r="AH23" s="283" t="str">
        <f ca="1"/>
        <v>0</v>
      </c>
      <c r="AI23" s="283" t="str">
        <f ca="1"/>
        <v>0</v>
      </c>
    </row>
    <row r="24" spans="2:35" ht="16.5" thickBot="1" x14ac:dyDescent="0.3">
      <c r="B24" s="129" t="s">
        <v>35</v>
      </c>
      <c r="C24" s="128" t="str">
        <f ca="1">GrpC!$P$14</f>
        <v>Nordmazedonien</v>
      </c>
      <c r="D24" s="460">
        <f ca="1">GrpC!$Q$14</f>
        <v>0</v>
      </c>
      <c r="E24" s="461">
        <f ca="1">GrpC!$R$14</f>
        <v>-6</v>
      </c>
      <c r="F24" s="464">
        <f ca="1">GrpC!$S$14</f>
        <v>2</v>
      </c>
      <c r="G24" s="455" t="s">
        <v>36</v>
      </c>
      <c r="H24" s="526">
        <f ca="1">GrpC!$T$14</f>
        <v>8</v>
      </c>
      <c r="I24" s="529">
        <f ca="1">GrpC!$U$14</f>
        <v>0</v>
      </c>
      <c r="L24" s="548" t="str">
        <f ca="1">GrpC!$AD$14</f>
        <v/>
      </c>
      <c r="M24" s="549" t="str">
        <f ca="1">GrpC!$AE$14</f>
        <v/>
      </c>
      <c r="N24" s="469"/>
      <c r="O24" s="469"/>
      <c r="P24" s="480" t="str">
        <f ca="1">IF($AE25=0,"",IF(INDEX($AA21:$AD24,4,$AE25)=0,"",INDEX($AF21:$AI23,INDEX($AA21:$AD24,4,$AE25),1)))</f>
        <v/>
      </c>
      <c r="Q24" s="481" t="str">
        <f ca="1">IF($AE25=0,"",IF(INDEX($AA21:$AD24,4,$AE25)=0,"",INDEX($AF21:$AI23,INDEX($AA21:$AD24,4,$AE25),2)))</f>
        <v/>
      </c>
      <c r="R24" s="482" t="str">
        <f ca="1">IF($AE25=0,"",IF(INDEX($AA21:$AD24,4,$AE25)=0,"",INDEX($AF21:$AI23,INDEX($AA21:$AD24,4,$AE25),3)))</f>
        <v/>
      </c>
      <c r="S24" s="483" t="s">
        <v>36</v>
      </c>
      <c r="T24" s="484" t="str">
        <f ca="1">IF($AE25=0,"",IF(INDEX($AA21:$AD24,4,$AE25)=0,"",INDEX($AF21:$AI23,INDEX($AA21:$AD24,4,$AE25),4)))</f>
        <v/>
      </c>
      <c r="V24" s="552">
        <f ca="1">SUMIFS(FairPlayPoints1,FairPlayTeams1,$C24)+SUMIFS(FairPlayPoints2,FairPlayTeams2,$C24)</f>
        <v>0</v>
      </c>
      <c r="W24" s="487" t="str">
        <f ca="1">IF($Y24&gt;0,"•","")</f>
        <v/>
      </c>
      <c r="Y24" s="537">
        <f ca="1">IF(AND(OR(TRUNC(GrpC!$V$14,4)=TRUNC(GrpC!$V$11,4),TRUNC(GrpC!$V$14,4)=TRUNC(GrpC!$V$12,4),TRUNC(GrpC!$V$14,4)=TRUNC(GrpC!$V$13,4)),VLOOKUP(GrpC!$P$14,GrpC!$P$4:$AC$7,14,0)),1,0)</f>
        <v>0</v>
      </c>
      <c r="Z24" s="502"/>
      <c r="AA24" s="502">
        <f ca="1">IF(VLOOKUP($C24,GrpC!$P$18:$X$21,9,0)+VLOOKUP($C24,GrpC!$P$18:$AD$21,15,0)&gt;0,MATCH($C24,GrpC!$P$18:$P$21,0),0)</f>
        <v>0</v>
      </c>
      <c r="AB24" s="502">
        <f ca="1">IF(VLOOKUP($C24,GrpC!$P$23:$X$26,9,0)+VLOOKUP($C24,GrpC!$P$23:$AD$26,15,0)&gt;0,MATCH($C24,GrpC!$P$23:$P$26,0),0)</f>
        <v>0</v>
      </c>
      <c r="AC24" s="502">
        <f ca="1">IF(VLOOKUP($C24,GrpC!$P$28:$X$31,9,0)+VLOOKUP($C24,GrpC!$P$28:$AD$31,15,0)&gt;0,MATCH($C24,GrpC!$P$28:$P$31,0),0)</f>
        <v>0</v>
      </c>
      <c r="AD24" s="502">
        <f ca="1">IF(VLOOKUP($C24,GrpC!$P$33:$X$36,9,0)+VLOOKUP($C24,GrpC!$P$33:$AD$36,15,0)&gt;0,MATCH($C24,GrpC!$P$33:$P$36,0),0)</f>
        <v>0</v>
      </c>
    </row>
    <row r="25" spans="2:35" x14ac:dyDescent="0.25">
      <c r="AA25" s="131">
        <f ca="1">SUM(AA21:AA24)</f>
        <v>0</v>
      </c>
      <c r="AB25" s="131">
        <f t="shared" ref="AB25" ca="1" si="4">SUM(AB21:AB24)</f>
        <v>0</v>
      </c>
      <c r="AC25" s="131">
        <f t="shared" ref="AC25" ca="1" si="5">SUM(AC21:AC24)</f>
        <v>0</v>
      </c>
      <c r="AD25" s="131">
        <f t="shared" ref="AD25" ca="1" si="6">SUM(AD21:AD24)</f>
        <v>0</v>
      </c>
      <c r="AE25" s="29">
        <f t="array" aca="1" ref="AE25" ca="1">MAX(IF($AA25:$AD25&gt;0,COLUMN($AA25:$AD25)-COLUMN(Z$1),0))</f>
        <v>0</v>
      </c>
    </row>
    <row r="26" spans="2:35" ht="15.75" thickBot="1" x14ac:dyDescent="0.3"/>
    <row r="27" spans="2:35" ht="19.5" thickBot="1" x14ac:dyDescent="0.35">
      <c r="B27" s="440" t="str">
        <f ca="1">IF(OR($AE33&gt;0,$L29&lt;&gt;"",$L30&lt;&gt;"",$L31&lt;&gt;""),"","")</f>
        <v></v>
      </c>
      <c r="C27" s="436" t="str">
        <f>Language!$E$93&amp;" D"</f>
        <v>Gruppe D</v>
      </c>
      <c r="D27" s="633" t="str">
        <f>Language!$E$101</f>
        <v>Gesamt</v>
      </c>
      <c r="E27" s="633"/>
      <c r="F27" s="633"/>
      <c r="G27" s="633"/>
      <c r="H27" s="633"/>
      <c r="I27" s="633"/>
      <c r="J27" s="634" t="str">
        <f>Language!$E$104</f>
        <v>Dir. Vergl.(2)</v>
      </c>
      <c r="K27" s="633"/>
      <c r="L27" s="633"/>
      <c r="M27" s="633"/>
      <c r="N27" s="633"/>
      <c r="O27" s="635"/>
      <c r="P27" s="634" t="str">
        <f>Language!$E$105</f>
        <v>Dir. Vergl.(3)</v>
      </c>
      <c r="Q27" s="633"/>
      <c r="R27" s="633"/>
      <c r="S27" s="633"/>
      <c r="T27" s="635"/>
      <c r="U27" s="437"/>
      <c r="V27" s="438"/>
      <c r="W27" s="439"/>
    </row>
    <row r="28" spans="2:35" ht="15.75" thickBot="1" x14ac:dyDescent="0.3">
      <c r="D28" s="127" t="str">
        <f>Language!$E$95</f>
        <v>Pkt</v>
      </c>
      <c r="E28" s="523" t="str">
        <f>Language!$E$96</f>
        <v>TD</v>
      </c>
      <c r="F28" s="631" t="str">
        <f>Language!$E$97</f>
        <v>Tore</v>
      </c>
      <c r="G28" s="631"/>
      <c r="H28" s="631"/>
      <c r="I28" s="522" t="str">
        <f>Language!$E$98</f>
        <v>Siege</v>
      </c>
      <c r="L28" s="127" t="str">
        <f>Language!$E$95</f>
        <v>Pkt</v>
      </c>
      <c r="M28" s="127" t="str">
        <f>Language!$E$99</f>
        <v>Elfm</v>
      </c>
      <c r="N28" s="127"/>
      <c r="O28" s="127"/>
      <c r="P28" s="127" t="str">
        <f>Language!$E$95</f>
        <v>Pkt</v>
      </c>
      <c r="Q28" s="523" t="str">
        <f>Language!$E$96</f>
        <v>TD</v>
      </c>
      <c r="R28" s="632" t="str">
        <f>Language!$E$97</f>
        <v>Tore</v>
      </c>
      <c r="S28" s="632"/>
      <c r="T28" s="632"/>
      <c r="V28" s="126" t="str">
        <f>Language!$E$102</f>
        <v>Fair-Play</v>
      </c>
      <c r="W28" s="135" t="str">
        <f>Language!$E$103</f>
        <v>Nicht klar</v>
      </c>
    </row>
    <row r="29" spans="2:35" ht="15.75" x14ac:dyDescent="0.25">
      <c r="B29" s="129" t="s">
        <v>32</v>
      </c>
      <c r="C29" s="128" t="str">
        <f ca="1">GrpD!$P$11</f>
        <v>England</v>
      </c>
      <c r="D29" s="456">
        <f ca="1">GrpD!$Q$11</f>
        <v>7</v>
      </c>
      <c r="E29" s="457">
        <f ca="1">GrpD!$R$11</f>
        <v>2</v>
      </c>
      <c r="F29" s="462">
        <f ca="1">GrpD!$S$11</f>
        <v>2</v>
      </c>
      <c r="G29" s="454" t="s">
        <v>36</v>
      </c>
      <c r="H29" s="524">
        <f ca="1">GrpD!$T$11</f>
        <v>0</v>
      </c>
      <c r="I29" s="527">
        <f ca="1">GrpD!$U$11</f>
        <v>2</v>
      </c>
      <c r="L29" s="544" t="str">
        <f ca="1">GrpD!$AD$11</f>
        <v/>
      </c>
      <c r="M29" s="545" t="str">
        <f ca="1">GrpD!$AE$11</f>
        <v/>
      </c>
      <c r="N29" s="469"/>
      <c r="O29" s="469"/>
      <c r="P29" s="470" t="str">
        <f ca="1">IF($AE33=0,"",IF(INDEX($AA29:$AD32,1,$AE33)=0,"",INDEX($AF29:$AI31,INDEX($AA29:$AD32,1,$AE33),1)))</f>
        <v/>
      </c>
      <c r="Q29" s="471" t="str">
        <f ca="1">IF($AE33=0,"",IF(INDEX($AA29:$AD32,1,$AE33)=0,"",INDEX($AF29:$AI31,INDEX($AA29:$AD32,1,$AE33),2)))</f>
        <v/>
      </c>
      <c r="R29" s="472" t="str">
        <f ca="1">IF($AE33=0,"",IF(INDEX($AA29:$AD32,1,$AE33)=0,"",INDEX($AF29:$AI31,INDEX($AA29:$AD32,1,$AE33),3)))</f>
        <v/>
      </c>
      <c r="S29" s="473" t="s">
        <v>36</v>
      </c>
      <c r="T29" s="474" t="str">
        <f ca="1">IF($AE33=0,"",IF(INDEX($AA29:$AD32,1,$AE33)=0,"",INDEX($AF29:$AI31,INDEX($AA29:$AD32,1,$AE33),4)))</f>
        <v/>
      </c>
      <c r="V29" s="550">
        <f ca="1">SUMIFS(FairPlayPoints1,FairPlayTeams1,$C29)+SUMIFS(FairPlayPoints2,FairPlayTeams2,$C29)</f>
        <v>0</v>
      </c>
      <c r="W29" s="486" t="str">
        <f ca="1">IF($Y29&gt;0,"•","")</f>
        <v/>
      </c>
      <c r="Y29" s="537">
        <f ca="1">IF(AND(OR(TRUNC(GrpD!$V$11,4)=TRUNC(GrpD!$V$12,4),TRUNC(GrpD!$V$11,4)=TRUNC(GrpD!$V$13,4),TRUNC(GrpD!$V$11,4)=TRUNC(GrpD!$V$14,4)),VLOOKUP(GrpD!$P$11,GrpD!$P$4:$AC$7,14,0)),1,0)</f>
        <v>0</v>
      </c>
      <c r="Z29" s="502"/>
      <c r="AA29" s="502">
        <f ca="1">IF(VLOOKUP($C29,GrpD!$P$18:$X$21,9,0)+VLOOKUP($C29,GrpD!$P$18:$AD$21,15,0)&gt;0,MATCH($C29,GrpD!$P$18:$P$21,0),0)</f>
        <v>0</v>
      </c>
      <c r="AB29" s="502">
        <f ca="1">IF(VLOOKUP($C29,GrpD!$P$23:$X$26,9,0)+VLOOKUP($C29,GrpD!$P$23:$AD$26,15,0)&gt;0,MATCH($C29,GrpD!$P$23:$P$26,0),0)</f>
        <v>0</v>
      </c>
      <c r="AC29" s="502">
        <f ca="1">IF(VLOOKUP($C29,GrpD!$P$28:$X$31,9,0)+VLOOKUP($C29,GrpD!$P$28:$AD$31,15,0)&gt;0,MATCH($C29,GrpD!$P$28:$P$31,0),0)</f>
        <v>0</v>
      </c>
      <c r="AD29" s="502">
        <f ca="1">IF(VLOOKUP($C29,GrpD!$P$33:$X$36,9,0)+VLOOKUP($C29,GrpD!$P$33:$AD$36,15,0)&gt;0,MATCH($C29,GrpD!$P$33:$P$36,0),0)</f>
        <v>0</v>
      </c>
      <c r="AF29" s="283" t="str">
        <f t="array" aca="1" ref="AF29:AI31" ca="1">IF($AA33&gt;0,GrpD!$Q$18:$T$20,IF($AB33&gt;0,GrpD!$Q$23:$T$26,IF($AC33&gt;0,GrpD!$Q$28:$T$31,IF($AD33&gt;0,GrpD!$Q$33:$T$36,"0"))))</f>
        <v>0</v>
      </c>
      <c r="AG29" s="283" t="str">
        <f ca="1"/>
        <v>0</v>
      </c>
      <c r="AH29" s="283" t="str">
        <f ca="1"/>
        <v>0</v>
      </c>
      <c r="AI29" s="283" t="str">
        <f ca="1"/>
        <v>0</v>
      </c>
    </row>
    <row r="30" spans="2:35" ht="15.75" x14ac:dyDescent="0.25">
      <c r="B30" s="129" t="s">
        <v>33</v>
      </c>
      <c r="C30" s="128" t="str">
        <f ca="1">GrpD!$P$12</f>
        <v>Kroatien</v>
      </c>
      <c r="D30" s="458">
        <f ca="1">GrpD!$Q$12</f>
        <v>4</v>
      </c>
      <c r="E30" s="459">
        <f ca="1">GrpD!$R$12</f>
        <v>1</v>
      </c>
      <c r="F30" s="463">
        <f ca="1">GrpD!$S$12</f>
        <v>4</v>
      </c>
      <c r="G30" s="130" t="s">
        <v>36</v>
      </c>
      <c r="H30" s="525">
        <f ca="1">GrpD!$T$12</f>
        <v>3</v>
      </c>
      <c r="I30" s="528">
        <f ca="1">GrpD!$U$12</f>
        <v>1</v>
      </c>
      <c r="L30" s="546">
        <f ca="1">GrpD!$AD$12</f>
        <v>1</v>
      </c>
      <c r="M30" s="547" t="str">
        <f ca="1">GrpD!$AE$12</f>
        <v/>
      </c>
      <c r="N30" s="469"/>
      <c r="O30" s="469"/>
      <c r="P30" s="475" t="str">
        <f ca="1">IF($AE33=0,"",IF(INDEX($AA29:$AD32,2,$AE33)=0,"",INDEX($AF29:$AI31,INDEX($AA29:$AD32,2,$AE33),1)))</f>
        <v/>
      </c>
      <c r="Q30" s="476" t="str">
        <f ca="1">IF($AE33=0,"",IF(INDEX($AA29:$AD32,2,$AE33)=0,"",INDEX($AF29:$AI31,INDEX($AA29:$AD32,2,$AE33),2)))</f>
        <v/>
      </c>
      <c r="R30" s="477" t="str">
        <f ca="1">IF($AE33=0,"",IF(INDEX($AA29:$AD32,2,$AE33)=0,"",INDEX($AF29:$AI31,INDEX($AA29:$AD32,2,$AE33),3)))</f>
        <v/>
      </c>
      <c r="S30" s="478" t="s">
        <v>36</v>
      </c>
      <c r="T30" s="479" t="str">
        <f ca="1">IF($AE33=0,"",IF(INDEX($AA29:$AD32,2,$AE33)=0,"",INDEX($AF29:$AI31,INDEX($AA29:$AD32,2,$AE33),4)))</f>
        <v/>
      </c>
      <c r="V30" s="551">
        <f ca="1">SUMIFS(FairPlayPoints1,FairPlayTeams1,$C30)+SUMIFS(FairPlayPoints2,FairPlayTeams2,$C30)</f>
        <v>0</v>
      </c>
      <c r="W30" s="485" t="str">
        <f ca="1">IF($Y30&gt;0,"•","")</f>
        <v/>
      </c>
      <c r="Y30" s="537">
        <f ca="1">IF(AND(OR(TRUNC(GrpD!$V$12,4)=TRUNC(GrpD!$V$11,4),TRUNC(GrpD!$V$12,4)=TRUNC(GrpD!$V$13,4),TRUNC(GrpD!$V$12,4)=TRUNC(GrpD!$V$14,4)),VLOOKUP(GrpD!$P$12,GrpD!$P$4:$AC$7,14,0)),1,0)</f>
        <v>0</v>
      </c>
      <c r="Z30" s="502"/>
      <c r="AA30" s="502">
        <f ca="1">IF(VLOOKUP($C30,GrpD!$P$18:$X$21,9,0)+VLOOKUP($C30,GrpD!$P$18:$AD$21,15,0)&gt;0,MATCH($C30,GrpD!$P$18:$P$21,0),0)</f>
        <v>0</v>
      </c>
      <c r="AB30" s="502">
        <f ca="1">IF(VLOOKUP($C30,GrpD!$P$23:$X$26,9,0)+VLOOKUP($C30,GrpD!$P$23:$AD$26,15,0)&gt;0,MATCH($C30,GrpD!$P$23:$P$26,0),0)</f>
        <v>0</v>
      </c>
      <c r="AC30" s="502">
        <f ca="1">IF(VLOOKUP($C30,GrpD!$P$28:$X$31,9,0)+VLOOKUP($C30,GrpD!$P$28:$AD$31,15,0)&gt;0,MATCH($C30,GrpD!$P$28:$P$31,0),0)</f>
        <v>0</v>
      </c>
      <c r="AD30" s="502">
        <f ca="1">IF(VLOOKUP($C30,GrpD!$P$33:$X$36,9,0)+VLOOKUP($C30,GrpD!$P$33:$AD$36,15,0)&gt;0,MATCH($C30,GrpD!$P$33:$P$36,0),0)</f>
        <v>0</v>
      </c>
      <c r="AF30" s="283" t="str">
        <f ca="1"/>
        <v>0</v>
      </c>
      <c r="AG30" s="283" t="str">
        <f ca="1"/>
        <v>0</v>
      </c>
      <c r="AH30" s="283" t="str">
        <f ca="1"/>
        <v>0</v>
      </c>
      <c r="AI30" s="283" t="str">
        <f ca="1"/>
        <v>0</v>
      </c>
    </row>
    <row r="31" spans="2:35" ht="15.75" x14ac:dyDescent="0.25">
      <c r="B31" s="129" t="s">
        <v>34</v>
      </c>
      <c r="C31" s="128" t="str">
        <f ca="1">GrpD!$P$13</f>
        <v>Tschechien</v>
      </c>
      <c r="D31" s="458">
        <f ca="1">GrpD!$Q$13</f>
        <v>4</v>
      </c>
      <c r="E31" s="459">
        <f ca="1">GrpD!$R$13</f>
        <v>1</v>
      </c>
      <c r="F31" s="463">
        <f ca="1">GrpD!$S$13</f>
        <v>3</v>
      </c>
      <c r="G31" s="130" t="s">
        <v>36</v>
      </c>
      <c r="H31" s="525">
        <f ca="1">GrpD!$T$13</f>
        <v>2</v>
      </c>
      <c r="I31" s="528">
        <f ca="1">GrpD!$U$13</f>
        <v>1</v>
      </c>
      <c r="L31" s="546">
        <f ca="1">GrpD!$AD$13</f>
        <v>1</v>
      </c>
      <c r="M31" s="547" t="str">
        <f ca="1">GrpD!$AE$13</f>
        <v/>
      </c>
      <c r="N31" s="469"/>
      <c r="O31" s="469"/>
      <c r="P31" s="475" t="str">
        <f ca="1">IF($AE33=0,"",IF(INDEX($AA29:$AD32,3,$AE33)=0,"",INDEX($AF29:$AI31,INDEX($AA29:$AD32,3,$AE33),1)))</f>
        <v/>
      </c>
      <c r="Q31" s="476" t="str">
        <f ca="1">IF($AE33=0,"",IF(INDEX($AA29:$AD32,3,$AE33)=0,"",INDEX($AF29:$AI31,INDEX($AA29:$AD32,3,$AE33),2)))</f>
        <v/>
      </c>
      <c r="R31" s="477" t="str">
        <f ca="1">IF($AE33=0,"",IF(INDEX($AA29:$AD32,3,$AE33)=0,"",INDEX($AF29:$AI31,INDEX($AA29:$AD32,3,$AE33),3)))</f>
        <v/>
      </c>
      <c r="S31" s="478" t="s">
        <v>36</v>
      </c>
      <c r="T31" s="479" t="str">
        <f ca="1">IF($AE33=0,"",IF(INDEX($AA29:$AD32,3,$AE33)=0,"",INDEX($AF29:$AI31,INDEX($AA29:$AD32,3,$AE33),4)))</f>
        <v/>
      </c>
      <c r="V31" s="551">
        <f ca="1">SUMIFS(FairPlayPoints1,FairPlayTeams1,$C31)+SUMIFS(FairPlayPoints2,FairPlayTeams2,$C31)</f>
        <v>0</v>
      </c>
      <c r="W31" s="485" t="str">
        <f ca="1">IF($Y31&gt;0,"•","")</f>
        <v/>
      </c>
      <c r="Y31" s="537">
        <f ca="1">IF(AND(OR(TRUNC(GrpD!$V$13,4)=TRUNC(GrpD!$V$11,4),TRUNC(GrpD!$V$13,4)=TRUNC(GrpD!$V$12,4),TRUNC(GrpD!$V$13,4)=TRUNC(GrpD!$V$14,4)),VLOOKUP(GrpD!$P$13,GrpD!$P$4:$AC$7,14,0)),1,0)</f>
        <v>0</v>
      </c>
      <c r="Z31" s="502"/>
      <c r="AA31" s="502">
        <f ca="1">IF(VLOOKUP($C31,GrpD!$P$18:$X$21,9,0)+VLOOKUP($C31,GrpD!$P$18:$AD$21,15,0)&gt;0,MATCH($C31,GrpD!$P$18:$P$21,0),0)</f>
        <v>0</v>
      </c>
      <c r="AB31" s="502">
        <f ca="1">IF(VLOOKUP($C31,GrpD!$P$23:$X$26,9,0)+VLOOKUP($C31,GrpD!$P$23:$AD$26,15,0)&gt;0,MATCH($C31,GrpD!$P$23:$P$26,0),0)</f>
        <v>0</v>
      </c>
      <c r="AC31" s="502">
        <f ca="1">IF(VLOOKUP($C31,GrpD!$P$28:$X$31,9,0)+VLOOKUP($C31,GrpD!$P$28:$AD$31,15,0)&gt;0,MATCH($C31,GrpD!$P$28:$P$31,0),0)</f>
        <v>0</v>
      </c>
      <c r="AD31" s="502">
        <f ca="1">IF(VLOOKUP($C31,GrpD!$P$33:$X$36,9,0)+VLOOKUP($C31,GrpD!$P$33:$AD$36,15,0)&gt;0,MATCH($C31,GrpD!$P$33:$P$36,0),0)</f>
        <v>0</v>
      </c>
      <c r="AF31" s="283" t="str">
        <f ca="1"/>
        <v>0</v>
      </c>
      <c r="AG31" s="283" t="str">
        <f ca="1"/>
        <v>0</v>
      </c>
      <c r="AH31" s="283" t="str">
        <f ca="1"/>
        <v>0</v>
      </c>
      <c r="AI31" s="283" t="str">
        <f ca="1"/>
        <v>0</v>
      </c>
    </row>
    <row r="32" spans="2:35" ht="16.5" thickBot="1" x14ac:dyDescent="0.3">
      <c r="B32" s="129" t="s">
        <v>35</v>
      </c>
      <c r="C32" s="128" t="str">
        <f ca="1">GrpD!$P$14</f>
        <v>Schottland</v>
      </c>
      <c r="D32" s="460">
        <f ca="1">GrpD!$Q$14</f>
        <v>1</v>
      </c>
      <c r="E32" s="461">
        <f ca="1">GrpD!$R$14</f>
        <v>-4</v>
      </c>
      <c r="F32" s="464">
        <f ca="1">GrpD!$S$14</f>
        <v>1</v>
      </c>
      <c r="G32" s="455" t="s">
        <v>36</v>
      </c>
      <c r="H32" s="526">
        <f ca="1">GrpD!$T$14</f>
        <v>5</v>
      </c>
      <c r="I32" s="529">
        <f ca="1">GrpD!$U$14</f>
        <v>0</v>
      </c>
      <c r="L32" s="548" t="str">
        <f ca="1">GrpD!$AD$14</f>
        <v/>
      </c>
      <c r="M32" s="549" t="str">
        <f ca="1">GrpD!$AE$14</f>
        <v/>
      </c>
      <c r="N32" s="469"/>
      <c r="O32" s="469"/>
      <c r="P32" s="480" t="str">
        <f ca="1">IF($AE33=0,"",IF(INDEX($AA29:$AD32,4,$AE33)=0,"",INDEX($AF29:$AI31,INDEX($AA29:$AD32,4,$AE33),1)))</f>
        <v/>
      </c>
      <c r="Q32" s="481" t="str">
        <f ca="1">IF($AE33=0,"",IF(INDEX($AA29:$AD32,4,$AE33)=0,"",INDEX($AF29:$AI31,INDEX($AA29:$AD32,4,$AE33),2)))</f>
        <v/>
      </c>
      <c r="R32" s="482" t="str">
        <f ca="1">IF($AE33=0,"",IF(INDEX($AA29:$AD32,4,$AE33)=0,"",INDEX($AF29:$AI31,INDEX($AA29:$AD32,4,$AE33),3)))</f>
        <v/>
      </c>
      <c r="S32" s="483" t="s">
        <v>36</v>
      </c>
      <c r="T32" s="484" t="str">
        <f ca="1">IF($AE33=0,"",IF(INDEX($AA29:$AD32,4,$AE33)=0,"",INDEX($AF29:$AI31,INDEX($AA29:$AD32,4,$AE33),4)))</f>
        <v/>
      </c>
      <c r="V32" s="552">
        <f ca="1">SUMIFS(FairPlayPoints1,FairPlayTeams1,$C32)+SUMIFS(FairPlayPoints2,FairPlayTeams2,$C32)</f>
        <v>0</v>
      </c>
      <c r="W32" s="487" t="str">
        <f ca="1">IF($Y32&gt;0,"•","")</f>
        <v/>
      </c>
      <c r="Y32" s="537">
        <f ca="1">IF(AND(OR(TRUNC(GrpD!$V$14,4)=TRUNC(GrpD!$V$11,4),TRUNC(GrpD!$V$14,4)=TRUNC(GrpD!$V$12,4),TRUNC(GrpD!$V$14,4)=TRUNC(GrpD!$V$13,4)),VLOOKUP(GrpD!$P$14,GrpD!$P$4:$AC$7,14,0)),1,0)</f>
        <v>0</v>
      </c>
      <c r="Z32" s="502"/>
      <c r="AA32" s="502">
        <f ca="1">IF(VLOOKUP($C32,GrpD!$P$18:$X$21,9,0)+VLOOKUP($C32,GrpD!$P$18:$AD$21,15,0)&gt;0,MATCH($C32,GrpD!$P$18:$P$21,0),0)</f>
        <v>0</v>
      </c>
      <c r="AB32" s="502">
        <f ca="1">IF(VLOOKUP($C32,GrpD!$P$23:$X$26,9,0)+VLOOKUP($C32,GrpD!$P$23:$AD$26,15,0)&gt;0,MATCH($C32,GrpD!$P$23:$P$26,0),0)</f>
        <v>0</v>
      </c>
      <c r="AC32" s="502">
        <f ca="1">IF(VLOOKUP($C32,GrpD!$P$28:$X$31,9,0)+VLOOKUP($C32,GrpD!$P$28:$AD$31,15,0)&gt;0,MATCH($C32,GrpD!$P$28:$P$31,0),0)</f>
        <v>0</v>
      </c>
      <c r="AD32" s="502">
        <f ca="1">IF(VLOOKUP($C32,GrpD!$P$33:$X$36,9,0)+VLOOKUP($C32,GrpD!$P$33:$AD$36,15,0)&gt;0,MATCH($C32,GrpD!$P$33:$P$36,0),0)</f>
        <v>0</v>
      </c>
    </row>
    <row r="33" spans="2:35" x14ac:dyDescent="0.25">
      <c r="AA33" s="131">
        <f ca="1">SUM(AA29:AA32)</f>
        <v>0</v>
      </c>
      <c r="AB33" s="131">
        <f t="shared" ref="AB33" ca="1" si="7">SUM(AB29:AB32)</f>
        <v>0</v>
      </c>
      <c r="AC33" s="131">
        <f t="shared" ref="AC33" ca="1" si="8">SUM(AC29:AC32)</f>
        <v>0</v>
      </c>
      <c r="AD33" s="131">
        <f t="shared" ref="AD33" ca="1" si="9">SUM(AD29:AD32)</f>
        <v>0</v>
      </c>
      <c r="AE33" s="126">
        <f t="array" aca="1" ref="AE33" ca="1">MAX(IF($AA33:$AD33&gt;0,COLUMN($AA33:$AD33)-COLUMN(Z$1),0))</f>
        <v>0</v>
      </c>
    </row>
    <row r="34" spans="2:35" ht="15.75" thickBot="1" x14ac:dyDescent="0.3"/>
    <row r="35" spans="2:35" ht="19.5" thickBot="1" x14ac:dyDescent="0.35">
      <c r="B35" s="440" t="str">
        <f ca="1">IF(OR($AE41&gt;0,$L37&lt;&gt;"",$L38&lt;&gt;"",$L39&lt;&gt;""),"","")</f>
        <v/>
      </c>
      <c r="C35" s="436" t="str">
        <f>Language!$E$93&amp;" E"</f>
        <v>Gruppe E</v>
      </c>
      <c r="D35" s="633" t="str">
        <f>Language!$E$101</f>
        <v>Gesamt</v>
      </c>
      <c r="E35" s="633"/>
      <c r="F35" s="633"/>
      <c r="G35" s="633"/>
      <c r="H35" s="633"/>
      <c r="I35" s="633"/>
      <c r="J35" s="634" t="str">
        <f>Language!$E$104</f>
        <v>Dir. Vergl.(2)</v>
      </c>
      <c r="K35" s="633"/>
      <c r="L35" s="633"/>
      <c r="M35" s="633"/>
      <c r="N35" s="633"/>
      <c r="O35" s="635"/>
      <c r="P35" s="634" t="str">
        <f>Language!$E$105</f>
        <v>Dir. Vergl.(3)</v>
      </c>
      <c r="Q35" s="633"/>
      <c r="R35" s="633"/>
      <c r="S35" s="633"/>
      <c r="T35" s="635"/>
      <c r="U35" s="437"/>
      <c r="V35" s="438"/>
      <c r="W35" s="439"/>
    </row>
    <row r="36" spans="2:35" ht="15.75" thickBot="1" x14ac:dyDescent="0.3">
      <c r="D36" s="127" t="str">
        <f>Language!$E$95</f>
        <v>Pkt</v>
      </c>
      <c r="E36" s="523" t="str">
        <f>Language!$E$96</f>
        <v>TD</v>
      </c>
      <c r="F36" s="631" t="str">
        <f>Language!$E$97</f>
        <v>Tore</v>
      </c>
      <c r="G36" s="631"/>
      <c r="H36" s="631"/>
      <c r="I36" s="522" t="str">
        <f>Language!$E$98</f>
        <v>Siege</v>
      </c>
      <c r="L36" s="127" t="str">
        <f>Language!$E$95</f>
        <v>Pkt</v>
      </c>
      <c r="M36" s="127" t="str">
        <f>Language!$E$99</f>
        <v>Elfm</v>
      </c>
      <c r="N36" s="127"/>
      <c r="O36" s="127"/>
      <c r="P36" s="127" t="str">
        <f>Language!$E$95</f>
        <v>Pkt</v>
      </c>
      <c r="Q36" s="523" t="str">
        <f>Language!$E$96</f>
        <v>TD</v>
      </c>
      <c r="R36" s="632" t="str">
        <f>Language!$E$97</f>
        <v>Tore</v>
      </c>
      <c r="S36" s="632"/>
      <c r="T36" s="632"/>
      <c r="V36" s="126" t="str">
        <f>Language!$E$102</f>
        <v>Fair-Play</v>
      </c>
      <c r="W36" s="135" t="str">
        <f>Language!$E$103</f>
        <v>Nicht klar</v>
      </c>
    </row>
    <row r="37" spans="2:35" ht="15.75" x14ac:dyDescent="0.25">
      <c r="B37" s="129" t="s">
        <v>32</v>
      </c>
      <c r="C37" s="128" t="str">
        <f ca="1">GrpE!$P$11</f>
        <v>Schweden</v>
      </c>
      <c r="D37" s="456">
        <f ca="1">GrpE!$Q$11</f>
        <v>7</v>
      </c>
      <c r="E37" s="457">
        <f ca="1">GrpE!$R$11</f>
        <v>2</v>
      </c>
      <c r="F37" s="462">
        <f ca="1">GrpE!$S$11</f>
        <v>4</v>
      </c>
      <c r="G37" s="454" t="s">
        <v>36</v>
      </c>
      <c r="H37" s="524">
        <f ca="1">GrpE!$T$11</f>
        <v>2</v>
      </c>
      <c r="I37" s="527">
        <f ca="1">GrpE!$U$11</f>
        <v>2</v>
      </c>
      <c r="L37" s="544" t="str">
        <f ca="1">GrpE!$AD$11</f>
        <v/>
      </c>
      <c r="M37" s="545" t="str">
        <f ca="1">GrpE!$AE$11</f>
        <v/>
      </c>
      <c r="N37" s="469"/>
      <c r="O37" s="469"/>
      <c r="P37" s="470" t="str">
        <f ca="1">IF($AE41=0,"",IF(INDEX($AA37:$AD40,1,$AE41)=0,"",INDEX($AF37:$AI39,INDEX($AA37:$AD40,1,$AE41),1)))</f>
        <v/>
      </c>
      <c r="Q37" s="471" t="str">
        <f ca="1">IF($AE41=0,"",IF(INDEX($AA37:$AD40,1,$AE41)=0,"",INDEX($AF37:$AI39,INDEX($AA37:$AD40,1,$AE41),2)))</f>
        <v/>
      </c>
      <c r="R37" s="472" t="str">
        <f ca="1">IF($AE41=0,"",IF(INDEX($AA37:$AD40,1,$AE41)=0,"",INDEX($AF37:$AI39,INDEX($AA37:$AD40,1,$AE41),3)))</f>
        <v/>
      </c>
      <c r="S37" s="473" t="s">
        <v>36</v>
      </c>
      <c r="T37" s="474" t="str">
        <f ca="1">IF($AE41=0,"",IF(INDEX($AA37:$AD40,1,$AE41)=0,"",INDEX($AF37:$AI39,INDEX($AA37:$AD40,1,$AE41),4)))</f>
        <v/>
      </c>
      <c r="V37" s="550">
        <f ca="1">SUMIFS(FairPlayPoints1,FairPlayTeams1,$C37)+SUMIFS(FairPlayPoints2,FairPlayTeams2,$C37)</f>
        <v>0</v>
      </c>
      <c r="W37" s="486" t="str">
        <f ca="1">IF($Y37&gt;0,"•","")</f>
        <v/>
      </c>
      <c r="Y37" s="537">
        <f ca="1">IF(AND(OR(TRUNC(GrpE!$V$11,4)=TRUNC(GrpE!$V$12,4),TRUNC(GrpE!$V$11,4)=TRUNC(GrpE!$V$13,4),TRUNC(GrpE!$V$11,4)=TRUNC(GrpE!$V$14,4)),VLOOKUP(GrpE!$P$11,GrpE!$P$4:$AC$7,14,0)),1,0)</f>
        <v>0</v>
      </c>
      <c r="Z37" s="502"/>
      <c r="AA37" s="502">
        <f ca="1">IF(VLOOKUP($C37,GrpE!$P$18:$X$21,9,0)+VLOOKUP($C37,GrpE!$P$18:$AD$21,15,0)&gt;0,MATCH($C37,GrpE!$P$18:$P$21,0),0)</f>
        <v>0</v>
      </c>
      <c r="AB37" s="502">
        <f ca="1">IF(VLOOKUP($C37,GrpE!$P$23:$X$26,9,0)+VLOOKUP($C37,GrpE!$P$23:$AD$26,15,0)&gt;0,MATCH($C37,GrpE!$P$23:$P$26,0),0)</f>
        <v>0</v>
      </c>
      <c r="AC37" s="502">
        <f ca="1">IF(VLOOKUP($C37,GrpE!$P$28:$X$31,9,0)+VLOOKUP($C37,GrpE!$P$28:$AD$31,15,0)&gt;0,MATCH($C37,GrpE!$P$28:$P$31,0),0)</f>
        <v>0</v>
      </c>
      <c r="AD37" s="502">
        <f ca="1">IF(VLOOKUP($C37,GrpE!$P$33:$X$36,9,0)+VLOOKUP($C37,GrpE!$P$33:$AD$36,15,0)&gt;0,MATCH($C37,GrpE!$P$33:$P$36,0),0)</f>
        <v>0</v>
      </c>
      <c r="AF37" s="283" t="str">
        <f t="array" aca="1" ref="AF37:AI39" ca="1">IF($AA41&gt;0,GrpE!$Q$18:$T$20,IF($AB41&gt;0,GrpE!$Q$23:$T$26,IF($AC41&gt;0,GrpE!$Q$28:$T$31,IF($AD41&gt;0,GrpE!$Q$33:$T$36,"0"))))</f>
        <v>0</v>
      </c>
      <c r="AG37" s="283" t="str">
        <f ca="1"/>
        <v>0</v>
      </c>
      <c r="AH37" s="283" t="str">
        <f ca="1"/>
        <v>0</v>
      </c>
      <c r="AI37" s="283" t="str">
        <f ca="1"/>
        <v>0</v>
      </c>
    </row>
    <row r="38" spans="2:35" ht="15.75" x14ac:dyDescent="0.25">
      <c r="B38" s="129" t="s">
        <v>33</v>
      </c>
      <c r="C38" s="128" t="str">
        <f ca="1">GrpE!$P$12</f>
        <v>Spanien</v>
      </c>
      <c r="D38" s="458">
        <f ca="1">GrpE!$Q$12</f>
        <v>5</v>
      </c>
      <c r="E38" s="459">
        <f ca="1">GrpE!$R$12</f>
        <v>5</v>
      </c>
      <c r="F38" s="463">
        <f ca="1">GrpE!$S$12</f>
        <v>6</v>
      </c>
      <c r="G38" s="130" t="s">
        <v>36</v>
      </c>
      <c r="H38" s="525">
        <f ca="1">GrpE!$T$12</f>
        <v>1</v>
      </c>
      <c r="I38" s="528">
        <f ca="1">GrpE!$U$12</f>
        <v>1</v>
      </c>
      <c r="L38" s="546" t="str">
        <f ca="1">GrpE!$AD$12</f>
        <v/>
      </c>
      <c r="M38" s="547" t="str">
        <f ca="1">GrpE!$AE$12</f>
        <v/>
      </c>
      <c r="N38" s="469"/>
      <c r="O38" s="469"/>
      <c r="P38" s="475" t="str">
        <f ca="1">IF($AE41=0,"",IF(INDEX($AA37:$AD40,2,$AE41)=0,"",INDEX($AF37:$AI39,INDEX($AA37:$AD40,2,$AE41),1)))</f>
        <v/>
      </c>
      <c r="Q38" s="476" t="str">
        <f ca="1">IF($AE41=0,"",IF(INDEX($AA37:$AD40,2,$AE41)=0,"",INDEX($AF37:$AI39,INDEX($AA37:$AD40,2,$AE41),2)))</f>
        <v/>
      </c>
      <c r="R38" s="477" t="str">
        <f ca="1">IF($AE41=0,"",IF(INDEX($AA37:$AD40,2,$AE41)=0,"",INDEX($AF37:$AI39,INDEX($AA37:$AD40,2,$AE41),3)))</f>
        <v/>
      </c>
      <c r="S38" s="478" t="s">
        <v>36</v>
      </c>
      <c r="T38" s="479" t="str">
        <f ca="1">IF($AE41=0,"",IF(INDEX($AA37:$AD40,2,$AE41)=0,"",INDEX($AF37:$AI39,INDEX($AA37:$AD40,2,$AE41),4)))</f>
        <v/>
      </c>
      <c r="V38" s="551">
        <f ca="1">SUMIFS(FairPlayPoints1,FairPlayTeams1,$C38)+SUMIFS(FairPlayPoints2,FairPlayTeams2,$C38)</f>
        <v>0</v>
      </c>
      <c r="W38" s="485" t="str">
        <f ca="1">IF($Y38&gt;0,"•","")</f>
        <v/>
      </c>
      <c r="Y38" s="537">
        <f ca="1">IF(AND(OR(TRUNC(GrpE!$V$12,4)=TRUNC(GrpE!$V$11,4),TRUNC(GrpE!$V$12,4)=TRUNC(GrpE!$V$13,4),TRUNC(GrpE!$V$12,4)=TRUNC(GrpE!$V$14,4)),VLOOKUP(GrpE!$P$12,GrpE!$P$4:$AC$7,14,0)),1,0)</f>
        <v>0</v>
      </c>
      <c r="Z38" s="502"/>
      <c r="AA38" s="502">
        <f ca="1">IF(VLOOKUP($C38,GrpE!$P$18:$X$21,9,0)+VLOOKUP($C38,GrpE!$P$18:$AD$21,15,0)&gt;0,MATCH($C38,GrpE!$P$18:$P$21,0),0)</f>
        <v>0</v>
      </c>
      <c r="AB38" s="502">
        <f ca="1">IF(VLOOKUP($C38,GrpE!$P$23:$X$26,9,0)+VLOOKUP($C38,GrpE!$P$23:$AD$26,15,0)&gt;0,MATCH($C38,GrpE!$P$23:$P$26,0),0)</f>
        <v>0</v>
      </c>
      <c r="AC38" s="502">
        <f ca="1">IF(VLOOKUP($C38,GrpE!$P$28:$X$31,9,0)+VLOOKUP($C38,GrpE!$P$28:$AD$31,15,0)&gt;0,MATCH($C38,GrpE!$P$28:$P$31,0),0)</f>
        <v>0</v>
      </c>
      <c r="AD38" s="502">
        <f ca="1">IF(VLOOKUP($C38,GrpE!$P$33:$X$36,9,0)+VLOOKUP($C38,GrpE!$P$33:$AD$36,15,0)&gt;0,MATCH($C38,GrpE!$P$33:$P$36,0),0)</f>
        <v>0</v>
      </c>
      <c r="AF38" s="283" t="str">
        <f ca="1"/>
        <v>0</v>
      </c>
      <c r="AG38" s="283" t="str">
        <f ca="1"/>
        <v>0</v>
      </c>
      <c r="AH38" s="283" t="str">
        <f ca="1"/>
        <v>0</v>
      </c>
      <c r="AI38" s="283" t="str">
        <f ca="1"/>
        <v>0</v>
      </c>
    </row>
    <row r="39" spans="2:35" ht="15.75" x14ac:dyDescent="0.25">
      <c r="B39" s="129" t="s">
        <v>34</v>
      </c>
      <c r="C39" s="128" t="str">
        <f ca="1">GrpE!$P$13</f>
        <v>Slowakei</v>
      </c>
      <c r="D39" s="458">
        <f ca="1">GrpE!$Q$13</f>
        <v>3</v>
      </c>
      <c r="E39" s="459">
        <f ca="1">GrpE!$R$13</f>
        <v>-5</v>
      </c>
      <c r="F39" s="463">
        <f ca="1">GrpE!$S$13</f>
        <v>2</v>
      </c>
      <c r="G39" s="130" t="s">
        <v>36</v>
      </c>
      <c r="H39" s="525">
        <f ca="1">GrpE!$T$13</f>
        <v>7</v>
      </c>
      <c r="I39" s="528">
        <f ca="1">GrpE!$U$13</f>
        <v>1</v>
      </c>
      <c r="L39" s="546" t="str">
        <f ca="1">GrpE!$AD$13</f>
        <v/>
      </c>
      <c r="M39" s="547" t="str">
        <f ca="1">GrpE!$AE$13</f>
        <v/>
      </c>
      <c r="N39" s="469"/>
      <c r="O39" s="469"/>
      <c r="P39" s="475" t="str">
        <f ca="1">IF($AE41=0,"",IF(INDEX($AA37:$AD40,3,$AE41)=0,"",INDEX($AF37:$AI39,INDEX($AA37:$AD40,3,$AE41),1)))</f>
        <v/>
      </c>
      <c r="Q39" s="476" t="str">
        <f ca="1">IF($AE41=0,"",IF(INDEX($AA37:$AD40,3,$AE41)=0,"",INDEX($AF37:$AI39,INDEX($AA37:$AD40,3,$AE41),2)))</f>
        <v/>
      </c>
      <c r="R39" s="477" t="str">
        <f ca="1">IF($AE41=0,"",IF(INDEX($AA37:$AD40,3,$AE41)=0,"",INDEX($AF37:$AI39,INDEX($AA37:$AD40,3,$AE41),3)))</f>
        <v/>
      </c>
      <c r="S39" s="478" t="s">
        <v>36</v>
      </c>
      <c r="T39" s="479" t="str">
        <f ca="1">IF($AE41=0,"",IF(INDEX($AA37:$AD40,3,$AE41)=0,"",INDEX($AF37:$AI39,INDEX($AA37:$AD40,3,$AE41),4)))</f>
        <v/>
      </c>
      <c r="V39" s="551">
        <f ca="1">SUMIFS(FairPlayPoints1,FairPlayTeams1,$C39)+SUMIFS(FairPlayPoints2,FairPlayTeams2,$C39)</f>
        <v>0</v>
      </c>
      <c r="W39" s="485" t="str">
        <f ca="1">IF($Y39&gt;0,"•","")</f>
        <v/>
      </c>
      <c r="Y39" s="537">
        <f ca="1">IF(AND(OR(TRUNC(GrpE!$V$13,4)=TRUNC(GrpE!$V$11,4),TRUNC(GrpE!$V$13,4)=TRUNC(GrpE!$V$12,4),TRUNC(GrpE!$V$13,4)=TRUNC(GrpE!$V$14,4)),VLOOKUP(GrpE!$P$13,GrpE!$P$4:$AC$7,14,0)),1,0)</f>
        <v>0</v>
      </c>
      <c r="Z39" s="502"/>
      <c r="AA39" s="502">
        <f ca="1">IF(VLOOKUP($C39,GrpE!$P$18:$X$21,9,0)+VLOOKUP($C39,GrpE!$P$18:$AD$21,15,0)&gt;0,MATCH($C39,GrpE!$P$18:$P$21,0),0)</f>
        <v>0</v>
      </c>
      <c r="AB39" s="502">
        <f ca="1">IF(VLOOKUP($C39,GrpE!$P$23:$X$26,9,0)+VLOOKUP($C39,GrpE!$P$23:$AD$26,15,0)&gt;0,MATCH($C39,GrpE!$P$23:$P$26,0),0)</f>
        <v>0</v>
      </c>
      <c r="AC39" s="502">
        <f ca="1">IF(VLOOKUP($C39,GrpE!$P$28:$X$31,9,0)+VLOOKUP($C39,GrpE!$P$28:$AD$31,15,0)&gt;0,MATCH($C39,GrpE!$P$28:$P$31,0),0)</f>
        <v>0</v>
      </c>
      <c r="AD39" s="502">
        <f ca="1">IF(VLOOKUP($C39,GrpE!$P$33:$X$36,9,0)+VLOOKUP($C39,GrpE!$P$33:$AD$36,15,0)&gt;0,MATCH($C39,GrpE!$P$33:$P$36,0),0)</f>
        <v>0</v>
      </c>
      <c r="AF39" s="283" t="str">
        <f ca="1"/>
        <v>0</v>
      </c>
      <c r="AG39" s="283" t="str">
        <f ca="1"/>
        <v>0</v>
      </c>
      <c r="AH39" s="283" t="str">
        <f ca="1"/>
        <v>0</v>
      </c>
      <c r="AI39" s="283" t="str">
        <f ca="1"/>
        <v>0</v>
      </c>
    </row>
    <row r="40" spans="2:35" ht="16.5" thickBot="1" x14ac:dyDescent="0.3">
      <c r="B40" s="129" t="s">
        <v>35</v>
      </c>
      <c r="C40" s="128" t="str">
        <f ca="1">GrpE!$P$14</f>
        <v>Polen</v>
      </c>
      <c r="D40" s="460">
        <f ca="1">GrpE!$Q$14</f>
        <v>1</v>
      </c>
      <c r="E40" s="461">
        <f ca="1">GrpE!$R$14</f>
        <v>-2</v>
      </c>
      <c r="F40" s="464">
        <f ca="1">GrpE!$S$14</f>
        <v>4</v>
      </c>
      <c r="G40" s="455" t="s">
        <v>36</v>
      </c>
      <c r="H40" s="526">
        <f ca="1">GrpE!$T$14</f>
        <v>6</v>
      </c>
      <c r="I40" s="529">
        <f ca="1">GrpE!$U$14</f>
        <v>0</v>
      </c>
      <c r="L40" s="548" t="str">
        <f ca="1">GrpE!$AD$14</f>
        <v/>
      </c>
      <c r="M40" s="549" t="str">
        <f ca="1">GrpE!$AE$14</f>
        <v/>
      </c>
      <c r="N40" s="469"/>
      <c r="O40" s="469"/>
      <c r="P40" s="480" t="str">
        <f ca="1">IF($AE41=0,"",IF(INDEX($AA37:$AD40,4,$AE41)=0,"",INDEX($AF37:$AI39,INDEX($AA37:$AD40,4,$AE41),1)))</f>
        <v/>
      </c>
      <c r="Q40" s="481" t="str">
        <f ca="1">IF($AE41=0,"",IF(INDEX($AA37:$AD40,4,$AE41)=0,"",INDEX($AF37:$AI39,INDEX($AA37:$AD40,4,$AE41),2)))</f>
        <v/>
      </c>
      <c r="R40" s="482" t="str">
        <f ca="1">IF($AE41=0,"",IF(INDEX($AA37:$AD40,4,$AE41)=0,"",INDEX($AF37:$AI39,INDEX($AA37:$AD40,4,$AE41),3)))</f>
        <v/>
      </c>
      <c r="S40" s="483" t="s">
        <v>36</v>
      </c>
      <c r="T40" s="484" t="str">
        <f ca="1">IF($AE41=0,"",IF(INDEX($AA37:$AD40,4,$AE41)=0,"",INDEX($AF37:$AI39,INDEX($AA37:$AD40,4,$AE41),4)))</f>
        <v/>
      </c>
      <c r="V40" s="552">
        <f ca="1">SUMIFS(FairPlayPoints1,FairPlayTeams1,$C40)+SUMIFS(FairPlayPoints2,FairPlayTeams2,$C40)</f>
        <v>0</v>
      </c>
      <c r="W40" s="487" t="str">
        <f ca="1">IF($Y40&gt;0,"•","")</f>
        <v/>
      </c>
      <c r="Y40" s="537">
        <f ca="1">IF(AND(OR(TRUNC(GrpE!$V$14,4)=TRUNC(GrpE!$V$11,4),TRUNC(GrpE!$V$14,4)=TRUNC(GrpE!$V$12,4),TRUNC(GrpE!$V$14,4)=TRUNC(GrpE!$V$13,4)),VLOOKUP(GrpE!$P$14,GrpE!$P$4:$AC$7,14,0)),1,0)</f>
        <v>0</v>
      </c>
      <c r="Z40" s="502"/>
      <c r="AA40" s="502">
        <f ca="1">IF(VLOOKUP($C40,GrpE!$P$18:$X$21,9,0)+VLOOKUP($C40,GrpE!$P$18:$AD$21,15,0)&gt;0,MATCH($C40,GrpE!$P$18:$P$21,0),0)</f>
        <v>0</v>
      </c>
      <c r="AB40" s="502">
        <f ca="1">IF(VLOOKUP($C40,GrpE!$P$23:$X$26,9,0)+VLOOKUP($C40,GrpE!$P$23:$AD$26,15,0)&gt;0,MATCH($C40,GrpE!$P$23:$P$26,0),0)</f>
        <v>0</v>
      </c>
      <c r="AC40" s="502">
        <f ca="1">IF(VLOOKUP($C40,GrpE!$P$28:$X$31,9,0)+VLOOKUP($C40,GrpE!$P$28:$AD$31,15,0)&gt;0,MATCH($C40,GrpE!$P$28:$P$31,0),0)</f>
        <v>0</v>
      </c>
      <c r="AD40" s="502">
        <f ca="1">IF(VLOOKUP($C40,GrpE!$P$33:$X$36,9,0)+VLOOKUP($C40,GrpE!$P$33:$AD$36,15,0)&gt;0,MATCH($C40,GrpE!$P$33:$P$36,0),0)</f>
        <v>0</v>
      </c>
    </row>
    <row r="41" spans="2:35" x14ac:dyDescent="0.25">
      <c r="AA41" s="131">
        <f ca="1">SUM(AA37:AA40)</f>
        <v>0</v>
      </c>
      <c r="AB41" s="131">
        <f t="shared" ref="AB41" ca="1" si="10">SUM(AB37:AB40)</f>
        <v>0</v>
      </c>
      <c r="AC41" s="131">
        <f t="shared" ref="AC41" ca="1" si="11">SUM(AC37:AC40)</f>
        <v>0</v>
      </c>
      <c r="AD41" s="131">
        <f t="shared" ref="AD41" ca="1" si="12">SUM(AD37:AD40)</f>
        <v>0</v>
      </c>
      <c r="AE41" s="126">
        <f t="array" aca="1" ref="AE41" ca="1">MAX(IF($AA41:$AD41&gt;0,COLUMN($AA41:$AD41)-COLUMN(Z$1),0))</f>
        <v>0</v>
      </c>
    </row>
    <row r="42" spans="2:35" ht="15.75" thickBot="1" x14ac:dyDescent="0.3"/>
    <row r="43" spans="2:35" ht="19.5" thickBot="1" x14ac:dyDescent="0.35">
      <c r="B43" s="440" t="str">
        <f ca="1">IF(OR($AE49&gt;0,$L45&lt;&gt;"",$L46&lt;&gt;"",$L47&lt;&gt;""),"","")</f>
        <v></v>
      </c>
      <c r="C43" s="436" t="str">
        <f>Language!$E$93&amp;" F"</f>
        <v>Gruppe F</v>
      </c>
      <c r="D43" s="633" t="str">
        <f>Language!$E$101</f>
        <v>Gesamt</v>
      </c>
      <c r="E43" s="633"/>
      <c r="F43" s="633"/>
      <c r="G43" s="633"/>
      <c r="H43" s="633"/>
      <c r="I43" s="633"/>
      <c r="J43" s="634" t="str">
        <f>Language!$E$104</f>
        <v>Dir. Vergl.(2)</v>
      </c>
      <c r="K43" s="633"/>
      <c r="L43" s="633"/>
      <c r="M43" s="633"/>
      <c r="N43" s="633"/>
      <c r="O43" s="635"/>
      <c r="P43" s="634" t="str">
        <f>Language!$E$105</f>
        <v>Dir. Vergl.(3)</v>
      </c>
      <c r="Q43" s="633"/>
      <c r="R43" s="633"/>
      <c r="S43" s="633"/>
      <c r="T43" s="635"/>
      <c r="U43" s="437"/>
      <c r="V43" s="438"/>
      <c r="W43" s="439"/>
    </row>
    <row r="44" spans="2:35" ht="15.75" thickBot="1" x14ac:dyDescent="0.3">
      <c r="D44" s="127" t="str">
        <f>Language!$E$95</f>
        <v>Pkt</v>
      </c>
      <c r="E44" s="523" t="str">
        <f>Language!$E$96</f>
        <v>TD</v>
      </c>
      <c r="F44" s="631" t="str">
        <f>Language!$E$97</f>
        <v>Tore</v>
      </c>
      <c r="G44" s="631"/>
      <c r="H44" s="631"/>
      <c r="I44" s="522" t="str">
        <f>Language!$E$98</f>
        <v>Siege</v>
      </c>
      <c r="L44" s="127" t="str">
        <f>Language!$E$95</f>
        <v>Pkt</v>
      </c>
      <c r="M44" s="127" t="str">
        <f>Language!$E$99</f>
        <v>Elfm</v>
      </c>
      <c r="N44" s="127"/>
      <c r="O44" s="127"/>
      <c r="P44" s="127" t="str">
        <f>Language!$E$95</f>
        <v>Pkt</v>
      </c>
      <c r="Q44" s="523" t="str">
        <f>Language!$E$96</f>
        <v>TD</v>
      </c>
      <c r="R44" s="632" t="str">
        <f>Language!$E$97</f>
        <v>Tore</v>
      </c>
      <c r="S44" s="632"/>
      <c r="T44" s="632"/>
      <c r="V44" s="126" t="str">
        <f>Language!$E$102</f>
        <v>Fair-Play</v>
      </c>
      <c r="W44" s="135" t="str">
        <f>Language!$E$103</f>
        <v>Nicht klar</v>
      </c>
    </row>
    <row r="45" spans="2:35" ht="15.75" x14ac:dyDescent="0.25">
      <c r="B45" s="129" t="s">
        <v>32</v>
      </c>
      <c r="C45" s="128" t="str">
        <f ca="1">GrpF!$P$11</f>
        <v>Frankreich</v>
      </c>
      <c r="D45" s="456">
        <f ca="1">GrpF!$Q$11</f>
        <v>5</v>
      </c>
      <c r="E45" s="457">
        <f ca="1">GrpF!$R$11</f>
        <v>1</v>
      </c>
      <c r="F45" s="462">
        <f ca="1">GrpF!$S$11</f>
        <v>4</v>
      </c>
      <c r="G45" s="454" t="s">
        <v>36</v>
      </c>
      <c r="H45" s="524">
        <f ca="1">GrpF!$T$11</f>
        <v>3</v>
      </c>
      <c r="I45" s="527">
        <f ca="1">GrpF!$U$11</f>
        <v>1</v>
      </c>
      <c r="L45" s="544" t="str">
        <f ca="1">GrpF!$AD$11</f>
        <v/>
      </c>
      <c r="M45" s="545" t="str">
        <f ca="1">GrpF!$AE$11</f>
        <v/>
      </c>
      <c r="N45" s="469"/>
      <c r="O45" s="469"/>
      <c r="P45" s="470" t="str">
        <f ca="1">IF($AE49=0,"",IF(INDEX($AA45:$AD48,1,$AE49)=0,"",INDEX($AF45:$AI47,INDEX($AA45:$AD48,1,$AE49),1)))</f>
        <v/>
      </c>
      <c r="Q45" s="471" t="str">
        <f ca="1">IF($AE49=0,"",IF(INDEX($AA45:$AD48,1,$AE49)=0,"",INDEX($AF45:$AI47,INDEX($AA45:$AD48,1,$AE49),2)))</f>
        <v/>
      </c>
      <c r="R45" s="472" t="str">
        <f ca="1">IF($AE49=0,"",IF(INDEX($AA45:$AD48,1,$AE49)=0,"",INDEX($AF45:$AI47,INDEX($AA45:$AD48,1,$AE49),3)))</f>
        <v/>
      </c>
      <c r="S45" s="473" t="s">
        <v>36</v>
      </c>
      <c r="T45" s="474" t="str">
        <f ca="1">IF($AE49=0,"",IF(INDEX($AA45:$AD48,1,$AE49)=0,"",INDEX($AF45:$AI47,INDEX($AA45:$AD48,1,$AE49),4)))</f>
        <v/>
      </c>
      <c r="V45" s="550">
        <f ca="1">SUMIFS(FairPlayPoints1,FairPlayTeams1,$C45)+SUMIFS(FairPlayPoints2,FairPlayTeams2,$C45)</f>
        <v>0</v>
      </c>
      <c r="W45" s="486" t="str">
        <f ca="1">IF($Y45&gt;0,"•","")</f>
        <v/>
      </c>
      <c r="Y45" s="537">
        <f ca="1">IF(AND(OR(TRUNC(GrpF!$V$11,4)=TRUNC(GrpF!$V$12,4),TRUNC(GrpF!$V$11,4)=TRUNC(GrpF!$V$13,4),TRUNC(GrpF!$V$11,4)=TRUNC(GrpF!$V$14,4)),VLOOKUP(GrpF!$P$11,GrpF!$P$4:$AC$7,14,0)),1,0)</f>
        <v>0</v>
      </c>
      <c r="Z45" s="502"/>
      <c r="AA45" s="502">
        <f ca="1">IF(VLOOKUP($C45,GrpF!$P$18:$X$21,9,0)+VLOOKUP($C45,GrpF!$P$18:$AD$21,15,0)&gt;0,MATCH($C45,GrpF!$P$18:$P$21,0),0)</f>
        <v>0</v>
      </c>
      <c r="AB45" s="502">
        <f ca="1">IF(VLOOKUP($C45,GrpF!$P$23:$X$26,9,0)+VLOOKUP($C45,GrpF!$P$23:$AD$26,15,0)&gt;0,MATCH($C45,GrpF!$P$23:$P$26,0),0)</f>
        <v>0</v>
      </c>
      <c r="AC45" s="502">
        <f ca="1">IF(VLOOKUP($C45,GrpF!$P$28:$X$31,9,0)+VLOOKUP($C45,GrpF!$P$28:$AD$31,15,0)&gt;0,MATCH($C45,GrpF!$P$28:$P$31,0),0)</f>
        <v>0</v>
      </c>
      <c r="AD45" s="502">
        <f ca="1">IF(VLOOKUP($C45,GrpF!$P$33:$X$36,9,0)+VLOOKUP($C45,GrpF!$P$33:$AD$36,15,0)&gt;0,MATCH($C45,GrpF!$P$33:$P$36,0),0)</f>
        <v>0</v>
      </c>
      <c r="AF45" s="283" t="str">
        <f t="array" aca="1" ref="AF45:AI47" ca="1">IF($AA49&gt;0,GrpF!$Q$18:$T$20,IF($AB49&gt;0,GrpF!$Q$23:$T$26,IF($AC49&gt;0,GrpF!$Q$28:$T$31,IF($AD49&gt;0,GrpF!$Q$33:$T$36,"0"))))</f>
        <v>0</v>
      </c>
      <c r="AG45" s="283" t="str">
        <f ca="1"/>
        <v>0</v>
      </c>
      <c r="AH45" s="283" t="str">
        <f ca="1"/>
        <v>0</v>
      </c>
      <c r="AI45" s="283" t="str">
        <f ca="1"/>
        <v>0</v>
      </c>
    </row>
    <row r="46" spans="2:35" ht="15.75" x14ac:dyDescent="0.25">
      <c r="B46" s="129" t="s">
        <v>33</v>
      </c>
      <c r="C46" s="128" t="str">
        <f ca="1">GrpF!$P$12</f>
        <v>Deutschland</v>
      </c>
      <c r="D46" s="458">
        <f ca="1">GrpF!$Q$12</f>
        <v>4</v>
      </c>
      <c r="E46" s="459">
        <f ca="1">GrpF!$R$12</f>
        <v>1</v>
      </c>
      <c r="F46" s="463">
        <f ca="1">GrpF!$S$12</f>
        <v>6</v>
      </c>
      <c r="G46" s="130" t="s">
        <v>36</v>
      </c>
      <c r="H46" s="525">
        <f ca="1">GrpF!$T$12</f>
        <v>5</v>
      </c>
      <c r="I46" s="528">
        <f ca="1">GrpF!$U$12</f>
        <v>1</v>
      </c>
      <c r="L46" s="546">
        <f ca="1">GrpF!$AD$12</f>
        <v>3</v>
      </c>
      <c r="M46" s="547" t="str">
        <f ca="1">GrpF!$AE$12</f>
        <v/>
      </c>
      <c r="N46" s="469"/>
      <c r="O46" s="469"/>
      <c r="P46" s="475" t="str">
        <f ca="1">IF($AE49=0,"",IF(INDEX($AA45:$AD48,2,$AE49)=0,"",INDEX($AF45:$AI47,INDEX($AA45:$AD48,2,$AE49),1)))</f>
        <v/>
      </c>
      <c r="Q46" s="476" t="str">
        <f ca="1">IF($AE49=0,"",IF(INDEX($AA45:$AD48,2,$AE49)=0,"",INDEX($AF45:$AI47,INDEX($AA45:$AD48,2,$AE49),2)))</f>
        <v/>
      </c>
      <c r="R46" s="477" t="str">
        <f ca="1">IF($AE49=0,"",IF(INDEX($AA45:$AD48,2,$AE49)=0,"",INDEX($AF45:$AI47,INDEX($AA45:$AD48,2,$AE49),3)))</f>
        <v/>
      </c>
      <c r="S46" s="478" t="s">
        <v>36</v>
      </c>
      <c r="T46" s="479" t="str">
        <f ca="1">IF($AE49=0,"",IF(INDEX($AA45:$AD48,2,$AE49)=0,"",INDEX($AF45:$AI47,INDEX($AA45:$AD48,2,$AE49),4)))</f>
        <v/>
      </c>
      <c r="V46" s="551">
        <f ca="1">SUMIFS(FairPlayPoints1,FairPlayTeams1,$C46)+SUMIFS(FairPlayPoints2,FairPlayTeams2,$C46)</f>
        <v>0</v>
      </c>
      <c r="W46" s="485" t="str">
        <f ca="1">IF($Y46&gt;0,"•","")</f>
        <v/>
      </c>
      <c r="Y46" s="537">
        <f ca="1">IF(AND(OR(TRUNC(GrpF!$V$12,4)=TRUNC(GrpF!$V$11,4),TRUNC(GrpF!$V$12,4)=TRUNC(GrpF!$V$13,4),TRUNC(GrpF!$V$12,4)=TRUNC(GrpF!$V$14,4)),VLOOKUP(GrpF!$P$12,GrpF!$P$4:$AC$7,14,0)),1,0)</f>
        <v>0</v>
      </c>
      <c r="Z46" s="502"/>
      <c r="AA46" s="502">
        <f ca="1">IF(VLOOKUP($C46,GrpF!$P$18:$X$21,9,0)+VLOOKUP($C46,GrpF!$P$18:$AD$21,15,0)&gt;0,MATCH($C46,GrpF!$P$18:$P$21,0),0)</f>
        <v>0</v>
      </c>
      <c r="AB46" s="502">
        <f ca="1">IF(VLOOKUP($C46,GrpF!$P$23:$X$26,9,0)+VLOOKUP($C46,GrpF!$P$23:$AD$26,15,0)&gt;0,MATCH($C46,GrpF!$P$23:$P$26,0),0)</f>
        <v>0</v>
      </c>
      <c r="AC46" s="502">
        <f ca="1">IF(VLOOKUP($C46,GrpF!$P$28:$X$31,9,0)+VLOOKUP($C46,GrpF!$P$28:$AD$31,15,0)&gt;0,MATCH($C46,GrpF!$P$28:$P$31,0),0)</f>
        <v>0</v>
      </c>
      <c r="AD46" s="502">
        <f ca="1">IF(VLOOKUP($C46,GrpF!$P$33:$X$36,9,0)+VLOOKUP($C46,GrpF!$P$33:$AD$36,15,0)&gt;0,MATCH($C46,GrpF!$P$33:$P$36,0),0)</f>
        <v>0</v>
      </c>
      <c r="AF46" s="283" t="str">
        <f ca="1"/>
        <v>0</v>
      </c>
      <c r="AG46" s="283" t="str">
        <f ca="1"/>
        <v>0</v>
      </c>
      <c r="AH46" s="283" t="str">
        <f ca="1"/>
        <v>0</v>
      </c>
      <c r="AI46" s="283" t="str">
        <f ca="1"/>
        <v>0</v>
      </c>
    </row>
    <row r="47" spans="2:35" ht="15.75" x14ac:dyDescent="0.25">
      <c r="B47" s="129" t="s">
        <v>34</v>
      </c>
      <c r="C47" s="128" t="str">
        <f ca="1">GrpF!$P$13</f>
        <v>Portugal</v>
      </c>
      <c r="D47" s="458">
        <f ca="1">GrpF!$Q$13</f>
        <v>4</v>
      </c>
      <c r="E47" s="459">
        <f ca="1">GrpF!$R$13</f>
        <v>1</v>
      </c>
      <c r="F47" s="463">
        <f ca="1">GrpF!$S$13</f>
        <v>7</v>
      </c>
      <c r="G47" s="130" t="s">
        <v>36</v>
      </c>
      <c r="H47" s="525">
        <f ca="1">GrpF!$T$13</f>
        <v>6</v>
      </c>
      <c r="I47" s="528">
        <f ca="1">GrpF!$U$13</f>
        <v>1</v>
      </c>
      <c r="L47" s="546">
        <f ca="1">GrpF!$AD$13</f>
        <v>0</v>
      </c>
      <c r="M47" s="547" t="str">
        <f ca="1">GrpF!$AE$13</f>
        <v/>
      </c>
      <c r="N47" s="469"/>
      <c r="O47" s="469"/>
      <c r="P47" s="475" t="str">
        <f ca="1">IF($AE49=0,"",IF(INDEX($AA45:$AD48,3,$AE49)=0,"",INDEX($AF45:$AI47,INDEX($AA45:$AD48,3,$AE49),1)))</f>
        <v/>
      </c>
      <c r="Q47" s="476" t="str">
        <f ca="1">IF($AE49=0,"",IF(INDEX($AA45:$AD48,3,$AE49)=0,"",INDEX($AF45:$AI47,INDEX($AA45:$AD48,3,$AE49),2)))</f>
        <v/>
      </c>
      <c r="R47" s="477" t="str">
        <f ca="1">IF($AE49=0,"",IF(INDEX($AA45:$AD48,3,$AE49)=0,"",INDEX($AF45:$AI47,INDEX($AA45:$AD48,3,$AE49),3)))</f>
        <v/>
      </c>
      <c r="S47" s="478" t="s">
        <v>36</v>
      </c>
      <c r="T47" s="479" t="str">
        <f ca="1">IF($AE49=0,"",IF(INDEX($AA45:$AD48,3,$AE49)=0,"",INDEX($AF45:$AI47,INDEX($AA45:$AD48,3,$AE49),4)))</f>
        <v/>
      </c>
      <c r="V47" s="551">
        <f ca="1">SUMIFS(FairPlayPoints1,FairPlayTeams1,$C47)+SUMIFS(FairPlayPoints2,FairPlayTeams2,$C47)</f>
        <v>0</v>
      </c>
      <c r="W47" s="485" t="str">
        <f ca="1">IF($Y47&gt;0,"•","")</f>
        <v/>
      </c>
      <c r="Y47" s="537">
        <f ca="1">IF(AND(OR(TRUNC(GrpF!$V$13,4)=TRUNC(GrpF!$V$11,4),TRUNC(GrpF!$V$13,4)=TRUNC(GrpF!$V$12,4),TRUNC(GrpF!$V$13,4)=TRUNC(GrpF!$V$14,4)),VLOOKUP(GrpF!$P$13,GrpF!$P$4:$AC$7,14,0)),1,0)</f>
        <v>0</v>
      </c>
      <c r="Z47" s="502"/>
      <c r="AA47" s="502">
        <f ca="1">IF(VLOOKUP($C47,GrpF!$P$18:$X$21,9,0)+VLOOKUP($C47,GrpF!$P$18:$AD$21,15,0)&gt;0,MATCH($C47,GrpF!$P$18:$P$21,0),0)</f>
        <v>0</v>
      </c>
      <c r="AB47" s="502">
        <f ca="1">IF(VLOOKUP($C47,GrpF!$P$23:$X$26,9,0)+VLOOKUP($C47,GrpF!$P$23:$AD$26,15,0)&gt;0,MATCH($C47,GrpF!$P$23:$P$26,0),0)</f>
        <v>0</v>
      </c>
      <c r="AC47" s="502">
        <f ca="1">IF(VLOOKUP($C47,GrpF!$P$28:$X$31,9,0)+VLOOKUP($C47,GrpF!$P$28:$AD$31,15,0)&gt;0,MATCH($C47,GrpF!$P$28:$P$31,0),0)</f>
        <v>0</v>
      </c>
      <c r="AD47" s="502">
        <f ca="1">IF(VLOOKUP($C47,GrpF!$P$33:$X$36,9,0)+VLOOKUP($C47,GrpF!$P$33:$AD$36,15,0)&gt;0,MATCH($C47,GrpF!$P$33:$P$36,0),0)</f>
        <v>0</v>
      </c>
      <c r="AF47" s="283" t="str">
        <f ca="1"/>
        <v>0</v>
      </c>
      <c r="AG47" s="283" t="str">
        <f ca="1"/>
        <v>0</v>
      </c>
      <c r="AH47" s="283" t="str">
        <f ca="1"/>
        <v>0</v>
      </c>
      <c r="AI47" s="283" t="str">
        <f ca="1"/>
        <v>0</v>
      </c>
    </row>
    <row r="48" spans="2:35" ht="16.5" thickBot="1" x14ac:dyDescent="0.3">
      <c r="B48" s="129" t="s">
        <v>35</v>
      </c>
      <c r="C48" s="128" t="str">
        <f ca="1">GrpF!$P$14</f>
        <v>Ungarn</v>
      </c>
      <c r="D48" s="460">
        <f ca="1">GrpF!$Q$14</f>
        <v>2</v>
      </c>
      <c r="E48" s="461">
        <f ca="1">GrpF!$R$14</f>
        <v>-3</v>
      </c>
      <c r="F48" s="464">
        <f ca="1">GrpF!$S$14</f>
        <v>3</v>
      </c>
      <c r="G48" s="455" t="s">
        <v>36</v>
      </c>
      <c r="H48" s="526">
        <f ca="1">GrpF!$T$14</f>
        <v>6</v>
      </c>
      <c r="I48" s="529">
        <f ca="1">GrpF!$U$14</f>
        <v>0</v>
      </c>
      <c r="L48" s="548" t="str">
        <f ca="1">GrpF!$AD$14</f>
        <v/>
      </c>
      <c r="M48" s="549" t="str">
        <f ca="1">GrpF!$AE$14</f>
        <v/>
      </c>
      <c r="N48" s="469"/>
      <c r="O48" s="469"/>
      <c r="P48" s="480" t="str">
        <f ca="1">IF($AE49=0,"",IF(INDEX($AA45:$AD48,4,$AE49)=0,"",INDEX($AF45:$AI47,INDEX($AA45:$AD48,4,$AE49),1)))</f>
        <v/>
      </c>
      <c r="Q48" s="481" t="str">
        <f ca="1">IF($AE49=0,"",IF(INDEX($AA45:$AD48,4,$AE49)=0,"",INDEX($AF45:$AI47,INDEX($AA45:$AD48,4,$AE49),2)))</f>
        <v/>
      </c>
      <c r="R48" s="482" t="str">
        <f ca="1">IF($AE49=0,"",IF(INDEX($AA45:$AD48,4,$AE49)=0,"",INDEX($AF45:$AI47,INDEX($AA45:$AD48,4,$AE49),3)))</f>
        <v/>
      </c>
      <c r="S48" s="483" t="s">
        <v>36</v>
      </c>
      <c r="T48" s="484" t="str">
        <f ca="1">IF($AE49=0,"",IF(INDEX($AA45:$AD48,4,$AE49)=0,"",INDEX($AF45:$AI47,INDEX($AA45:$AD48,4,$AE49),4)))</f>
        <v/>
      </c>
      <c r="V48" s="552">
        <f ca="1">SUMIFS(FairPlayPoints1,FairPlayTeams1,$C48)+SUMIFS(FairPlayPoints2,FairPlayTeams2,$C48)</f>
        <v>0</v>
      </c>
      <c r="W48" s="487" t="str">
        <f ca="1">IF($Y48&gt;0,"•","")</f>
        <v/>
      </c>
      <c r="Y48" s="537">
        <f ca="1">IF(AND(OR(TRUNC(GrpF!$V$14,4)=TRUNC(GrpF!$V$11,4),TRUNC(GrpF!$V$14,4)=TRUNC(GrpF!$V$12,4),TRUNC(GrpF!$V$14,4)=TRUNC(GrpF!$V$13,4)),VLOOKUP(GrpF!$P$14,GrpF!$P$4:$AC$7,14,0)),1,0)</f>
        <v>0</v>
      </c>
      <c r="Z48" s="502"/>
      <c r="AA48" s="502">
        <f ca="1">IF(VLOOKUP($C48,GrpF!$P$18:$X$21,9,0)+VLOOKUP($C48,GrpF!$P$18:$AD$21,15,0)&gt;0,MATCH($C48,GrpF!$P$18:$P$21,0),0)</f>
        <v>0</v>
      </c>
      <c r="AB48" s="502">
        <f ca="1">IF(VLOOKUP($C48,GrpF!$P$23:$X$26,9,0)+VLOOKUP($C48,GrpF!$P$23:$AD$26,15,0)&gt;0,MATCH($C48,GrpF!$P$23:$P$26,0),0)</f>
        <v>0</v>
      </c>
      <c r="AC48" s="502">
        <f ca="1">IF(VLOOKUP($C48,GrpF!$P$28:$X$31,9,0)+VLOOKUP($C48,GrpF!$P$28:$AD$31,15,0)&gt;0,MATCH($C48,GrpF!$P$28:$P$31,0),0)</f>
        <v>0</v>
      </c>
      <c r="AD48" s="502">
        <f ca="1">IF(VLOOKUP($C48,GrpF!$P$33:$X$36,9,0)+VLOOKUP($C48,GrpF!$P$33:$AD$36,15,0)&gt;0,MATCH($C48,GrpF!$P$33:$P$36,0),0)</f>
        <v>0</v>
      </c>
    </row>
    <row r="49" spans="27:31" x14ac:dyDescent="0.25">
      <c r="AA49" s="131">
        <f ca="1">SUM(AA45:AA48)</f>
        <v>0</v>
      </c>
      <c r="AB49" s="131">
        <f t="shared" ref="AB49" ca="1" si="13">SUM(AB45:AB48)</f>
        <v>0</v>
      </c>
      <c r="AC49" s="131">
        <f t="shared" ref="AC49" ca="1" si="14">SUM(AC45:AC48)</f>
        <v>0</v>
      </c>
      <c r="AD49" s="131">
        <f t="shared" ref="AD49" ca="1" si="15">SUM(AD45:AD48)</f>
        <v>0</v>
      </c>
      <c r="AE49" s="126">
        <f t="array" aca="1" ref="AE49" ca="1">MAX(IF($AA49:$AD49&gt;0,COLUMN($AA49:$AD49)-COLUMN(Z$1),0))</f>
        <v>0</v>
      </c>
    </row>
    <row r="50" spans="27:31" x14ac:dyDescent="0.25"/>
  </sheetData>
  <sheetProtection sheet="1" selectLockedCells="1"/>
  <mergeCells count="31">
    <mergeCell ref="D43:I43"/>
    <mergeCell ref="B1:W1"/>
    <mergeCell ref="F4:H4"/>
    <mergeCell ref="R4:T4"/>
    <mergeCell ref="P3:T3"/>
    <mergeCell ref="J3:O3"/>
    <mergeCell ref="D3:I3"/>
    <mergeCell ref="F28:H28"/>
    <mergeCell ref="R28:T28"/>
    <mergeCell ref="J11:O11"/>
    <mergeCell ref="P11:T11"/>
    <mergeCell ref="F12:H12"/>
    <mergeCell ref="R12:T12"/>
    <mergeCell ref="J43:O43"/>
    <mergeCell ref="P43:T43"/>
    <mergeCell ref="F44:H44"/>
    <mergeCell ref="R44:T44"/>
    <mergeCell ref="D11:I11"/>
    <mergeCell ref="J35:O35"/>
    <mergeCell ref="P35:T35"/>
    <mergeCell ref="F36:H36"/>
    <mergeCell ref="R36:T36"/>
    <mergeCell ref="J19:O19"/>
    <mergeCell ref="P19:T19"/>
    <mergeCell ref="F20:H20"/>
    <mergeCell ref="R20:T20"/>
    <mergeCell ref="J27:O27"/>
    <mergeCell ref="P27:T27"/>
    <mergeCell ref="D19:I19"/>
    <mergeCell ref="D27:I27"/>
    <mergeCell ref="D35:I35"/>
  </mergeCells>
  <conditionalFormatting sqref="V45">
    <cfRule type="cellIs" dxfId="49" priority="24" operator="greaterThan">
      <formula>0</formula>
    </cfRule>
  </conditionalFormatting>
  <conditionalFormatting sqref="V46">
    <cfRule type="cellIs" dxfId="48" priority="23" operator="greaterThan">
      <formula>0</formula>
    </cfRule>
  </conditionalFormatting>
  <conditionalFormatting sqref="V47">
    <cfRule type="cellIs" dxfId="47" priority="22" operator="greaterThan">
      <formula>0</formula>
    </cfRule>
  </conditionalFormatting>
  <conditionalFormatting sqref="V48">
    <cfRule type="cellIs" dxfId="46" priority="21" operator="greaterThan">
      <formula>0</formula>
    </cfRule>
  </conditionalFormatting>
  <conditionalFormatting sqref="V37">
    <cfRule type="cellIs" dxfId="45" priority="20" operator="greaterThan">
      <formula>0</formula>
    </cfRule>
  </conditionalFormatting>
  <conditionalFormatting sqref="V38">
    <cfRule type="cellIs" dxfId="44" priority="19" operator="greaterThan">
      <formula>0</formula>
    </cfRule>
  </conditionalFormatting>
  <conditionalFormatting sqref="V39">
    <cfRule type="cellIs" dxfId="43" priority="18" operator="greaterThan">
      <formula>0</formula>
    </cfRule>
  </conditionalFormatting>
  <conditionalFormatting sqref="V40">
    <cfRule type="cellIs" dxfId="42" priority="17" operator="greaterThan">
      <formula>0</formula>
    </cfRule>
  </conditionalFormatting>
  <conditionalFormatting sqref="V29">
    <cfRule type="cellIs" dxfId="41" priority="16" operator="greaterThan">
      <formula>0</formula>
    </cfRule>
  </conditionalFormatting>
  <conditionalFormatting sqref="V30">
    <cfRule type="cellIs" dxfId="40" priority="15" operator="greaterThan">
      <formula>0</formula>
    </cfRule>
  </conditionalFormatting>
  <conditionalFormatting sqref="V31">
    <cfRule type="cellIs" dxfId="39" priority="14" operator="greaterThan">
      <formula>0</formula>
    </cfRule>
  </conditionalFormatting>
  <conditionalFormatting sqref="V32">
    <cfRule type="cellIs" dxfId="38" priority="13" operator="greaterThan">
      <formula>0</formula>
    </cfRule>
  </conditionalFormatting>
  <conditionalFormatting sqref="V21">
    <cfRule type="cellIs" dxfId="37" priority="12" operator="greaterThan">
      <formula>0</formula>
    </cfRule>
  </conditionalFormatting>
  <conditionalFormatting sqref="V22">
    <cfRule type="cellIs" dxfId="36" priority="11" operator="greaterThan">
      <formula>0</formula>
    </cfRule>
  </conditionalFormatting>
  <conditionalFormatting sqref="V23">
    <cfRule type="cellIs" dxfId="35" priority="10" operator="greaterThan">
      <formula>0</formula>
    </cfRule>
  </conditionalFormatting>
  <conditionalFormatting sqref="V24">
    <cfRule type="cellIs" dxfId="34" priority="9" operator="greaterThan">
      <formula>0</formula>
    </cfRule>
  </conditionalFormatting>
  <conditionalFormatting sqref="V13">
    <cfRule type="cellIs" dxfId="33" priority="8" operator="greaterThan">
      <formula>0</formula>
    </cfRule>
  </conditionalFormatting>
  <conditionalFormatting sqref="V14">
    <cfRule type="cellIs" dxfId="32" priority="7" operator="greaterThan">
      <formula>0</formula>
    </cfRule>
  </conditionalFormatting>
  <conditionalFormatting sqref="V15">
    <cfRule type="cellIs" dxfId="31" priority="6" operator="greaterThan">
      <formula>0</formula>
    </cfRule>
  </conditionalFormatting>
  <conditionalFormatting sqref="V16">
    <cfRule type="cellIs" dxfId="30" priority="5" operator="greaterThan">
      <formula>0</formula>
    </cfRule>
  </conditionalFormatting>
  <conditionalFormatting sqref="V5">
    <cfRule type="cellIs" dxfId="29" priority="4" operator="greaterThan">
      <formula>0</formula>
    </cfRule>
  </conditionalFormatting>
  <conditionalFormatting sqref="V6">
    <cfRule type="cellIs" dxfId="28" priority="3" operator="greaterThan">
      <formula>0</formula>
    </cfRule>
  </conditionalFormatting>
  <conditionalFormatting sqref="V7">
    <cfRule type="cellIs" dxfId="27" priority="2" operator="greaterThan">
      <formula>0</formula>
    </cfRule>
  </conditionalFormatting>
  <conditionalFormatting sqref="V8">
    <cfRule type="cellIs" dxfId="26" priority="1" operator="greaterThan">
      <formula>0</formula>
    </cfRule>
  </conditionalFormatting>
  <pageMargins left="0.7" right="0.7" top="0.78740157499999996" bottom="0.78740157499999996"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6C21C-565E-4EB3-BCDD-AF8215867F42}">
  <sheetPr codeName="Tabelle18"/>
  <dimension ref="A1:R39"/>
  <sheetViews>
    <sheetView showGridLines="0" showRowColHeaders="0" workbookViewId="0">
      <selection activeCell="A25" sqref="A25:XFD1048576"/>
    </sheetView>
  </sheetViews>
  <sheetFormatPr baseColWidth="10" defaultColWidth="0" defaultRowHeight="15" zeroHeight="1" x14ac:dyDescent="0.25"/>
  <cols>
    <col min="1" max="2" width="11.42578125" customWidth="1"/>
    <col min="3" max="3" width="17.140625" customWidth="1"/>
    <col min="4" max="7" width="15.28515625" customWidth="1"/>
    <col min="8" max="9" width="11.42578125" customWidth="1"/>
    <col min="10" max="18" width="0" hidden="1" customWidth="1"/>
    <col min="19" max="16384" width="11.42578125" hidden="1"/>
  </cols>
  <sheetData>
    <row r="1" spans="1:9" x14ac:dyDescent="0.25">
      <c r="A1" s="4"/>
    </row>
    <row r="2" spans="1:9" ht="28.5" x14ac:dyDescent="0.45">
      <c r="A2" s="640" t="str">
        <f>Language!$E$90</f>
        <v>Zuordnung der Gruppendritten im Achtelfinale</v>
      </c>
      <c r="B2" s="640"/>
      <c r="C2" s="640"/>
      <c r="D2" s="640"/>
      <c r="E2" s="640"/>
      <c r="F2" s="640"/>
      <c r="G2" s="640"/>
      <c r="H2" s="640"/>
      <c r="I2" s="640"/>
    </row>
    <row r="3" spans="1:9" x14ac:dyDescent="0.25"/>
    <row r="4" spans="1:9" ht="16.5" thickBot="1" x14ac:dyDescent="0.3">
      <c r="C4" s="341"/>
      <c r="D4" s="341"/>
      <c r="E4" s="341"/>
      <c r="F4" s="341"/>
      <c r="G4" s="341"/>
    </row>
    <row r="5" spans="1:9" ht="36" customHeight="1" thickTop="1" x14ac:dyDescent="0.25">
      <c r="C5" s="637" t="str">
        <f>Language!$E$129</f>
        <v>Gruppen-kombination:</v>
      </c>
      <c r="D5" s="344" t="str">
        <f>Language!$E$130</f>
        <v>Erster der Gruppe</v>
      </c>
      <c r="E5" s="345" t="str">
        <f>Language!$E$130</f>
        <v>Erster der Gruppe</v>
      </c>
      <c r="F5" s="345" t="str">
        <f>Language!$E$130</f>
        <v>Erster der Gruppe</v>
      </c>
      <c r="G5" s="346" t="str">
        <f>Language!$E$130</f>
        <v>Erster der Gruppe</v>
      </c>
    </row>
    <row r="6" spans="1:9" ht="15.75" x14ac:dyDescent="0.25">
      <c r="C6" s="638"/>
      <c r="D6" s="347" t="s">
        <v>26</v>
      </c>
      <c r="E6" s="348" t="s">
        <v>27</v>
      </c>
      <c r="F6" s="348" t="s">
        <v>28</v>
      </c>
      <c r="G6" s="349" t="s">
        <v>29</v>
      </c>
    </row>
    <row r="7" spans="1:9" ht="53.25" customHeight="1" thickBot="1" x14ac:dyDescent="0.3">
      <c r="C7" s="639"/>
      <c r="D7" s="350" t="str">
        <f>Language!$E$131</f>
        <v>gegen Dritten der Gruppe</v>
      </c>
      <c r="E7" s="351" t="str">
        <f>Language!$E$131</f>
        <v>gegen Dritten der Gruppe</v>
      </c>
      <c r="F7" s="351" t="str">
        <f>Language!$E$131</f>
        <v>gegen Dritten der Gruppe</v>
      </c>
      <c r="G7" s="352" t="str">
        <f>Language!$E$131</f>
        <v>gegen Dritten der Gruppe</v>
      </c>
    </row>
    <row r="8" spans="1:9" ht="22.5" customHeight="1" x14ac:dyDescent="0.25">
      <c r="C8" s="342" t="s">
        <v>672</v>
      </c>
      <c r="D8" s="353" t="s">
        <v>30</v>
      </c>
      <c r="E8" s="354" t="s">
        <v>31</v>
      </c>
      <c r="F8" s="354" t="s">
        <v>26</v>
      </c>
      <c r="G8" s="355" t="s">
        <v>27</v>
      </c>
    </row>
    <row r="9" spans="1:9" ht="22.5" customHeight="1" x14ac:dyDescent="0.25">
      <c r="C9" s="342" t="s">
        <v>673</v>
      </c>
      <c r="D9" s="353" t="s">
        <v>30</v>
      </c>
      <c r="E9" s="354" t="s">
        <v>28</v>
      </c>
      <c r="F9" s="354" t="s">
        <v>26</v>
      </c>
      <c r="G9" s="355" t="s">
        <v>27</v>
      </c>
    </row>
    <row r="10" spans="1:9" ht="22.5" customHeight="1" x14ac:dyDescent="0.25">
      <c r="C10" s="342" t="s">
        <v>674</v>
      </c>
      <c r="D10" s="353" t="s">
        <v>30</v>
      </c>
      <c r="E10" s="354" t="s">
        <v>29</v>
      </c>
      <c r="F10" s="354" t="s">
        <v>26</v>
      </c>
      <c r="G10" s="355" t="s">
        <v>27</v>
      </c>
    </row>
    <row r="11" spans="1:9" ht="22.5" customHeight="1" x14ac:dyDescent="0.25">
      <c r="C11" s="342" t="s">
        <v>675</v>
      </c>
      <c r="D11" s="353" t="s">
        <v>31</v>
      </c>
      <c r="E11" s="354" t="s">
        <v>28</v>
      </c>
      <c r="F11" s="354" t="s">
        <v>30</v>
      </c>
      <c r="G11" s="355" t="s">
        <v>26</v>
      </c>
    </row>
    <row r="12" spans="1:9" ht="22.5" customHeight="1" x14ac:dyDescent="0.25">
      <c r="C12" s="342" t="s">
        <v>676</v>
      </c>
      <c r="D12" s="353" t="s">
        <v>31</v>
      </c>
      <c r="E12" s="354" t="s">
        <v>29</v>
      </c>
      <c r="F12" s="354" t="s">
        <v>30</v>
      </c>
      <c r="G12" s="355" t="s">
        <v>26</v>
      </c>
    </row>
    <row r="13" spans="1:9" ht="22.5" customHeight="1" x14ac:dyDescent="0.25">
      <c r="C13" s="342" t="s">
        <v>677</v>
      </c>
      <c r="D13" s="353" t="s">
        <v>28</v>
      </c>
      <c r="E13" s="354" t="s">
        <v>29</v>
      </c>
      <c r="F13" s="354" t="s">
        <v>26</v>
      </c>
      <c r="G13" s="355" t="s">
        <v>30</v>
      </c>
    </row>
    <row r="14" spans="1:9" ht="22.5" customHeight="1" x14ac:dyDescent="0.25">
      <c r="C14" s="342" t="s">
        <v>678</v>
      </c>
      <c r="D14" s="353" t="s">
        <v>28</v>
      </c>
      <c r="E14" s="354" t="s">
        <v>31</v>
      </c>
      <c r="F14" s="354" t="s">
        <v>27</v>
      </c>
      <c r="G14" s="355" t="s">
        <v>30</v>
      </c>
    </row>
    <row r="15" spans="1:9" ht="22.5" customHeight="1" x14ac:dyDescent="0.25">
      <c r="C15" s="342" t="s">
        <v>679</v>
      </c>
      <c r="D15" s="353" t="s">
        <v>29</v>
      </c>
      <c r="E15" s="354" t="s">
        <v>31</v>
      </c>
      <c r="F15" s="354" t="s">
        <v>27</v>
      </c>
      <c r="G15" s="355" t="s">
        <v>30</v>
      </c>
    </row>
    <row r="16" spans="1:9" ht="22.5" customHeight="1" x14ac:dyDescent="0.25">
      <c r="C16" s="342" t="s">
        <v>680</v>
      </c>
      <c r="D16" s="353" t="s">
        <v>28</v>
      </c>
      <c r="E16" s="354" t="s">
        <v>29</v>
      </c>
      <c r="F16" s="354" t="s">
        <v>27</v>
      </c>
      <c r="G16" s="355" t="s">
        <v>30</v>
      </c>
    </row>
    <row r="17" spans="3:7" ht="22.5" customHeight="1" x14ac:dyDescent="0.25">
      <c r="C17" s="342" t="s">
        <v>681</v>
      </c>
      <c r="D17" s="353" t="s">
        <v>28</v>
      </c>
      <c r="E17" s="354" t="s">
        <v>29</v>
      </c>
      <c r="F17" s="354" t="s">
        <v>31</v>
      </c>
      <c r="G17" s="355" t="s">
        <v>30</v>
      </c>
    </row>
    <row r="18" spans="3:7" ht="22.5" customHeight="1" x14ac:dyDescent="0.25">
      <c r="C18" s="342" t="s">
        <v>682</v>
      </c>
      <c r="D18" s="353" t="s">
        <v>28</v>
      </c>
      <c r="E18" s="354" t="s">
        <v>31</v>
      </c>
      <c r="F18" s="354" t="s">
        <v>26</v>
      </c>
      <c r="G18" s="355" t="s">
        <v>27</v>
      </c>
    </row>
    <row r="19" spans="3:7" ht="22.5" customHeight="1" x14ac:dyDescent="0.25">
      <c r="C19" s="342" t="s">
        <v>683</v>
      </c>
      <c r="D19" s="353" t="s">
        <v>29</v>
      </c>
      <c r="E19" s="354" t="s">
        <v>31</v>
      </c>
      <c r="F19" s="354" t="s">
        <v>27</v>
      </c>
      <c r="G19" s="355" t="s">
        <v>26</v>
      </c>
    </row>
    <row r="20" spans="3:7" ht="22.5" customHeight="1" x14ac:dyDescent="0.25">
      <c r="C20" s="342" t="s">
        <v>684</v>
      </c>
      <c r="D20" s="353" t="s">
        <v>29</v>
      </c>
      <c r="E20" s="354" t="s">
        <v>28</v>
      </c>
      <c r="F20" s="354" t="s">
        <v>27</v>
      </c>
      <c r="G20" s="355" t="s">
        <v>26</v>
      </c>
    </row>
    <row r="21" spans="3:7" ht="22.5" customHeight="1" x14ac:dyDescent="0.25">
      <c r="C21" s="342" t="s">
        <v>685</v>
      </c>
      <c r="D21" s="353" t="s">
        <v>29</v>
      </c>
      <c r="E21" s="354" t="s">
        <v>28</v>
      </c>
      <c r="F21" s="354" t="s">
        <v>31</v>
      </c>
      <c r="G21" s="355" t="s">
        <v>26</v>
      </c>
    </row>
    <row r="22" spans="3:7" ht="22.5" customHeight="1" thickBot="1" x14ac:dyDescent="0.3">
      <c r="C22" s="343" t="s">
        <v>686</v>
      </c>
      <c r="D22" s="356" t="s">
        <v>29</v>
      </c>
      <c r="E22" s="357" t="s">
        <v>28</v>
      </c>
      <c r="F22" s="357" t="s">
        <v>31</v>
      </c>
      <c r="G22" s="358" t="s">
        <v>27</v>
      </c>
    </row>
    <row r="23" spans="3:7" ht="15.75" thickTop="1" x14ac:dyDescent="0.25"/>
    <row r="24" spans="3:7" x14ac:dyDescent="0.25"/>
    <row r="33" spans="2:18" hidden="1" x14ac:dyDescent="0.25">
      <c r="B33" s="332"/>
      <c r="C33" s="332"/>
    </row>
    <row r="34" spans="2:18" hidden="1" x14ac:dyDescent="0.25">
      <c r="B34" s="332"/>
      <c r="C34" s="332"/>
    </row>
    <row r="35" spans="2:18" hidden="1" x14ac:dyDescent="0.25">
      <c r="B35" s="332"/>
      <c r="C35" s="332"/>
      <c r="E35" s="332"/>
      <c r="F35" s="332"/>
      <c r="G35" s="142"/>
      <c r="H35" s="332"/>
      <c r="I35" s="332"/>
      <c r="J35" s="142"/>
      <c r="K35" s="332"/>
      <c r="L35" s="332"/>
      <c r="M35" s="142"/>
      <c r="N35" s="332"/>
      <c r="O35" s="332"/>
      <c r="P35" s="142"/>
      <c r="Q35" s="332"/>
      <c r="R35" s="332"/>
    </row>
    <row r="36" spans="2:18" hidden="1" x14ac:dyDescent="0.25">
      <c r="B36" s="332"/>
      <c r="C36" s="332"/>
      <c r="E36" s="332"/>
      <c r="F36" s="332"/>
      <c r="G36" s="142"/>
      <c r="H36" s="332"/>
      <c r="I36" s="332"/>
      <c r="J36" s="142"/>
      <c r="K36" s="332"/>
      <c r="L36" s="332"/>
      <c r="M36" s="142"/>
      <c r="N36" s="332"/>
      <c r="O36" s="332"/>
      <c r="P36" s="142"/>
      <c r="Q36" s="332"/>
      <c r="R36" s="332"/>
    </row>
    <row r="37" spans="2:18" hidden="1" x14ac:dyDescent="0.25">
      <c r="B37" s="332"/>
      <c r="C37" s="332"/>
      <c r="E37" s="332"/>
      <c r="F37" s="332"/>
      <c r="G37" s="142"/>
      <c r="H37" s="332"/>
      <c r="I37" s="332"/>
      <c r="J37" s="142"/>
      <c r="K37" s="332"/>
      <c r="L37" s="332"/>
      <c r="M37" s="142"/>
      <c r="N37" s="332"/>
      <c r="O37" s="332"/>
      <c r="P37" s="142"/>
      <c r="Q37" s="332"/>
      <c r="R37" s="332"/>
    </row>
    <row r="38" spans="2:18" hidden="1" x14ac:dyDescent="0.25">
      <c r="B38" s="332"/>
      <c r="C38" s="332"/>
      <c r="E38" s="332"/>
      <c r="F38" s="332"/>
      <c r="G38" s="142"/>
      <c r="H38" s="332"/>
      <c r="I38" s="332"/>
      <c r="J38" s="142"/>
      <c r="K38" s="332"/>
      <c r="L38" s="332"/>
      <c r="M38" s="142"/>
      <c r="N38" s="332"/>
      <c r="O38" s="332"/>
      <c r="P38" s="142"/>
      <c r="Q38" s="332"/>
      <c r="R38" s="332"/>
    </row>
    <row r="39" spans="2:18" hidden="1" x14ac:dyDescent="0.25">
      <c r="E39" s="142"/>
      <c r="F39" s="142"/>
      <c r="G39" s="142"/>
      <c r="H39" s="142"/>
      <c r="I39" s="142"/>
      <c r="J39" s="142"/>
      <c r="K39" s="142"/>
      <c r="L39" s="142"/>
      <c r="M39" s="142"/>
      <c r="N39" s="142"/>
      <c r="O39" s="142"/>
      <c r="P39" s="142"/>
      <c r="Q39" s="142"/>
      <c r="R39" s="142"/>
    </row>
  </sheetData>
  <sheetProtection sheet="1" selectLockedCells="1"/>
  <mergeCells count="2">
    <mergeCell ref="C5:C7"/>
    <mergeCell ref="A2:I2"/>
  </mergeCells>
  <pageMargins left="0.7" right="0.7" top="0.78740157499999996" bottom="0.78740157499999996" header="0.3" footer="0.3"/>
  <pageSetup paperSize="9" orientation="portrait" horizontalDpi="0" verticalDpi="0" r:id="rId1"/>
  <extLst>
    <ext xmlns:x14="http://schemas.microsoft.com/office/spreadsheetml/2009/9/main" uri="{78C0D931-6437-407d-A8EE-F0AAD7539E65}">
      <x14:conditionalFormattings>
        <x14:conditionalFormatting xmlns:xm="http://schemas.microsoft.com/office/excel/2006/main">
          <x14:cfRule type="expression" priority="15" id="{94EAC46D-4690-4FA0-BA93-5FBA6BDD2873}">
            <xm:f>$C8=ThirdOfGroup!$I$18</xm:f>
            <x14:dxf>
              <fill>
                <patternFill>
                  <bgColor rgb="FFEDFBC1"/>
                </patternFill>
              </fill>
            </x14:dxf>
          </x14:cfRule>
          <xm:sqref>C8:G8</xm:sqref>
        </x14:conditionalFormatting>
        <x14:conditionalFormatting xmlns:xm="http://schemas.microsoft.com/office/excel/2006/main">
          <x14:cfRule type="expression" priority="14" id="{9B77D469-16A5-453D-94D0-A49577BAAFA8}">
            <xm:f>$C9=ThirdOfGroup!$I$18</xm:f>
            <x14:dxf>
              <fill>
                <patternFill>
                  <bgColor rgb="FFEDFBC1"/>
                </patternFill>
              </fill>
            </x14:dxf>
          </x14:cfRule>
          <xm:sqref>C9:G9</xm:sqref>
        </x14:conditionalFormatting>
        <x14:conditionalFormatting xmlns:xm="http://schemas.microsoft.com/office/excel/2006/main">
          <x14:cfRule type="expression" priority="13" id="{66FD6249-EE88-4C0B-8975-DF6EF5F0DCC0}">
            <xm:f>$C10=ThirdOfGroup!$I$18</xm:f>
            <x14:dxf>
              <fill>
                <patternFill>
                  <bgColor rgb="FFEDFBC1"/>
                </patternFill>
              </fill>
            </x14:dxf>
          </x14:cfRule>
          <xm:sqref>C10:G10</xm:sqref>
        </x14:conditionalFormatting>
        <x14:conditionalFormatting xmlns:xm="http://schemas.microsoft.com/office/excel/2006/main">
          <x14:cfRule type="expression" priority="12" id="{BC3BFAB8-4E14-4438-9B2B-BB21C5F2CC94}">
            <xm:f>$C11=ThirdOfGroup!$I$18</xm:f>
            <x14:dxf>
              <fill>
                <patternFill>
                  <bgColor rgb="FFEDFBC1"/>
                </patternFill>
              </fill>
            </x14:dxf>
          </x14:cfRule>
          <xm:sqref>C11:G11</xm:sqref>
        </x14:conditionalFormatting>
        <x14:conditionalFormatting xmlns:xm="http://schemas.microsoft.com/office/excel/2006/main">
          <x14:cfRule type="expression" priority="11" id="{12D1043D-823D-4FB7-83CB-847FA23C85C9}">
            <xm:f>$C12=ThirdOfGroup!$I$18</xm:f>
            <x14:dxf>
              <fill>
                <patternFill>
                  <bgColor rgb="FFEDFBC1"/>
                </patternFill>
              </fill>
            </x14:dxf>
          </x14:cfRule>
          <xm:sqref>C12:G12</xm:sqref>
        </x14:conditionalFormatting>
        <x14:conditionalFormatting xmlns:xm="http://schemas.microsoft.com/office/excel/2006/main">
          <x14:cfRule type="expression" priority="10" id="{2D16E38D-3FA5-49F1-976B-CB625E1D252B}">
            <xm:f>$C13=ThirdOfGroup!$I$18</xm:f>
            <x14:dxf>
              <fill>
                <patternFill>
                  <bgColor rgb="FFEDFBC1"/>
                </patternFill>
              </fill>
            </x14:dxf>
          </x14:cfRule>
          <xm:sqref>C13:G13</xm:sqref>
        </x14:conditionalFormatting>
        <x14:conditionalFormatting xmlns:xm="http://schemas.microsoft.com/office/excel/2006/main">
          <x14:cfRule type="expression" priority="9" id="{F9AD351A-18CE-4702-91F5-5793AD9D18DF}">
            <xm:f>$C14=ThirdOfGroup!$I$18</xm:f>
            <x14:dxf>
              <fill>
                <patternFill>
                  <bgColor rgb="FFEDFBC1"/>
                </patternFill>
              </fill>
            </x14:dxf>
          </x14:cfRule>
          <xm:sqref>C14:G14</xm:sqref>
        </x14:conditionalFormatting>
        <x14:conditionalFormatting xmlns:xm="http://schemas.microsoft.com/office/excel/2006/main">
          <x14:cfRule type="expression" priority="8" id="{2EEED3F1-2884-4DCA-BD30-C15018B88234}">
            <xm:f>$C15=ThirdOfGroup!$I$18</xm:f>
            <x14:dxf>
              <fill>
                <patternFill>
                  <bgColor rgb="FFEDFBC1"/>
                </patternFill>
              </fill>
            </x14:dxf>
          </x14:cfRule>
          <xm:sqref>C15:G15</xm:sqref>
        </x14:conditionalFormatting>
        <x14:conditionalFormatting xmlns:xm="http://schemas.microsoft.com/office/excel/2006/main">
          <x14:cfRule type="expression" priority="7" id="{64CF1479-FD70-49C1-AB9B-4EE685679425}">
            <xm:f>$C16=ThirdOfGroup!$I$18</xm:f>
            <x14:dxf>
              <fill>
                <patternFill>
                  <bgColor rgb="FFEDFBC1"/>
                </patternFill>
              </fill>
            </x14:dxf>
          </x14:cfRule>
          <xm:sqref>C16:G16</xm:sqref>
        </x14:conditionalFormatting>
        <x14:conditionalFormatting xmlns:xm="http://schemas.microsoft.com/office/excel/2006/main">
          <x14:cfRule type="expression" priority="6" id="{91432A57-E40F-4B66-99CF-7928B7C934B1}">
            <xm:f>$C17=ThirdOfGroup!$I$18</xm:f>
            <x14:dxf>
              <fill>
                <patternFill>
                  <bgColor rgb="FFEDFBC1"/>
                </patternFill>
              </fill>
            </x14:dxf>
          </x14:cfRule>
          <xm:sqref>C17:G17</xm:sqref>
        </x14:conditionalFormatting>
        <x14:conditionalFormatting xmlns:xm="http://schemas.microsoft.com/office/excel/2006/main">
          <x14:cfRule type="expression" priority="5" id="{3A15DAFA-8E17-42D2-AACA-15B8E5C53F89}">
            <xm:f>$C18=ThirdOfGroup!$I$18</xm:f>
            <x14:dxf>
              <fill>
                <patternFill>
                  <bgColor rgb="FFEDFBC1"/>
                </patternFill>
              </fill>
            </x14:dxf>
          </x14:cfRule>
          <xm:sqref>C18:G18</xm:sqref>
        </x14:conditionalFormatting>
        <x14:conditionalFormatting xmlns:xm="http://schemas.microsoft.com/office/excel/2006/main">
          <x14:cfRule type="expression" priority="4" id="{98C233E0-2FF7-48A2-95D1-223E7653CD83}">
            <xm:f>$C19=ThirdOfGroup!$I$18</xm:f>
            <x14:dxf>
              <fill>
                <patternFill>
                  <bgColor rgb="FFEDFBC1"/>
                </patternFill>
              </fill>
            </x14:dxf>
          </x14:cfRule>
          <xm:sqref>C19:G19</xm:sqref>
        </x14:conditionalFormatting>
        <x14:conditionalFormatting xmlns:xm="http://schemas.microsoft.com/office/excel/2006/main">
          <x14:cfRule type="expression" priority="3" id="{32FB4217-29CC-4F77-8C60-DCE3A56EF03E}">
            <xm:f>$C20=ThirdOfGroup!$I$18</xm:f>
            <x14:dxf>
              <fill>
                <patternFill>
                  <bgColor rgb="FFEDFBC1"/>
                </patternFill>
              </fill>
            </x14:dxf>
          </x14:cfRule>
          <xm:sqref>C20:G20</xm:sqref>
        </x14:conditionalFormatting>
        <x14:conditionalFormatting xmlns:xm="http://schemas.microsoft.com/office/excel/2006/main">
          <x14:cfRule type="expression" priority="2" id="{9771A114-3CE3-4531-B179-A554F9831403}">
            <xm:f>$C21=ThirdOfGroup!$I$18</xm:f>
            <x14:dxf>
              <fill>
                <patternFill>
                  <bgColor rgb="FFEDFBC1"/>
                </patternFill>
              </fill>
            </x14:dxf>
          </x14:cfRule>
          <xm:sqref>C21:G21</xm:sqref>
        </x14:conditionalFormatting>
        <x14:conditionalFormatting xmlns:xm="http://schemas.microsoft.com/office/excel/2006/main">
          <x14:cfRule type="expression" priority="1" id="{CEEE53D2-97F4-4061-8039-4C8774C1657F}">
            <xm:f>$C22=ThirdOfGroup!$I$18</xm:f>
            <x14:dxf>
              <fill>
                <patternFill>
                  <bgColor rgb="FFEDFBC1"/>
                </patternFill>
              </fill>
            </x14:dxf>
          </x14:cfRule>
          <xm:sqref>C22:G22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1B99E-B8E2-424D-8FCE-C81BF3897CAE}">
  <sheetPr codeName="Tabelle1"/>
  <dimension ref="A1:O161"/>
  <sheetViews>
    <sheetView showGridLines="0" showRowColHeaders="0" zoomScaleNormal="100" workbookViewId="0">
      <selection activeCell="M1" sqref="M1"/>
    </sheetView>
  </sheetViews>
  <sheetFormatPr baseColWidth="10" defaultColWidth="0" defaultRowHeight="15" zeroHeight="1" x14ac:dyDescent="0.25"/>
  <cols>
    <col min="1" max="1" width="8" customWidth="1"/>
    <col min="2" max="2" width="19.28515625" hidden="1" customWidth="1"/>
    <col min="3" max="3" width="11.42578125" hidden="1" customWidth="1"/>
    <col min="4" max="4" width="7" style="4" customWidth="1"/>
    <col min="5" max="5" width="22.7109375" hidden="1" customWidth="1"/>
    <col min="6" max="11" width="22.7109375" customWidth="1"/>
    <col min="12" max="12" width="3.85546875" customWidth="1"/>
    <col min="13" max="13" width="17.7109375" customWidth="1"/>
    <col min="14" max="14" width="9.140625" customWidth="1"/>
    <col min="15" max="15" width="11.42578125" customWidth="1"/>
    <col min="16" max="16384" width="11.42578125" hidden="1"/>
  </cols>
  <sheetData>
    <row r="1" spans="2:14" ht="29.25" thickBot="1" x14ac:dyDescent="0.5">
      <c r="B1" s="554"/>
      <c r="F1" s="640" t="str">
        <f>Language!$E$89</f>
        <v>Wahl der Sprache</v>
      </c>
      <c r="G1" s="640"/>
      <c r="H1" s="640"/>
      <c r="I1" s="640"/>
      <c r="J1" s="640"/>
      <c r="K1" s="643" t="str">
        <f>Language!$E$141</f>
        <v>Hier klicken und Sprache wählen:</v>
      </c>
      <c r="L1" s="644"/>
      <c r="M1" s="144" t="s">
        <v>115</v>
      </c>
      <c r="N1" s="500" t="str">
        <f>_xlfn.UNICHAR(8592)</f>
        <v>←</v>
      </c>
    </row>
    <row r="2" spans="2:14" ht="11.25" customHeight="1" thickBot="1" x14ac:dyDescent="0.3">
      <c r="F2" s="645"/>
      <c r="G2" s="645"/>
      <c r="H2" s="645"/>
      <c r="I2" s="645"/>
      <c r="J2" s="645"/>
      <c r="L2" s="143"/>
      <c r="M2" s="145"/>
    </row>
    <row r="3" spans="2:14" ht="15.75" thickTop="1" x14ac:dyDescent="0.25">
      <c r="B3" s="28" t="s">
        <v>100</v>
      </c>
      <c r="C3" s="60">
        <f>IF(AND($M$1&lt;&gt;B4,$M$1&lt;&gt;B5,$M$1&lt;&gt;B6,$M$1&lt;&gt;B7,$M$1&lt;&gt;B8),1,0)</f>
        <v>0</v>
      </c>
      <c r="D3" s="646" t="s">
        <v>571</v>
      </c>
      <c r="E3" s="650"/>
      <c r="F3" s="651" t="s">
        <v>100</v>
      </c>
      <c r="G3" s="648" t="s">
        <v>101</v>
      </c>
      <c r="H3" s="648" t="s">
        <v>102</v>
      </c>
      <c r="I3" s="653" t="s">
        <v>103</v>
      </c>
      <c r="J3" s="648" t="s">
        <v>115</v>
      </c>
      <c r="K3" s="641" t="s">
        <v>104</v>
      </c>
      <c r="L3" s="26"/>
    </row>
    <row r="4" spans="2:14" x14ac:dyDescent="0.25">
      <c r="B4" s="28" t="s">
        <v>101</v>
      </c>
      <c r="C4" s="60">
        <f>IF($M$1=B4,1,0)</f>
        <v>0</v>
      </c>
      <c r="D4" s="647"/>
      <c r="E4" s="650"/>
      <c r="F4" s="652"/>
      <c r="G4" s="649"/>
      <c r="H4" s="649"/>
      <c r="I4" s="654"/>
      <c r="J4" s="649"/>
      <c r="K4" s="642"/>
      <c r="L4" s="67"/>
      <c r="M4" s="68"/>
    </row>
    <row r="5" spans="2:14" x14ac:dyDescent="0.25">
      <c r="B5" s="28" t="s">
        <v>102</v>
      </c>
      <c r="C5" s="60">
        <f>IF($M$1=B5,1,0)</f>
        <v>0</v>
      </c>
      <c r="D5" s="235">
        <v>1</v>
      </c>
      <c r="E5" s="266" t="str">
        <f t="shared" ref="E5:E36" si="0">IF($C$3,F5,IF($C$4,G5,IF($C$5,H5,IF($C$6,I5,IF($C$7,J5,IF(K5&lt;&gt;"",K5,F5))))))</f>
        <v>Belgien</v>
      </c>
      <c r="F5" s="185" t="s">
        <v>47</v>
      </c>
      <c r="G5" s="186" t="s">
        <v>72</v>
      </c>
      <c r="H5" s="184" t="s">
        <v>85</v>
      </c>
      <c r="I5" s="187" t="s">
        <v>86</v>
      </c>
      <c r="J5" s="184" t="s">
        <v>112</v>
      </c>
      <c r="K5" s="108"/>
    </row>
    <row r="6" spans="2:14" x14ac:dyDescent="0.25">
      <c r="B6" s="28" t="s">
        <v>103</v>
      </c>
      <c r="C6" s="60">
        <f>IF($M$1=B6,1,0)</f>
        <v>0</v>
      </c>
      <c r="D6" s="235">
        <v>2</v>
      </c>
      <c r="E6" s="266" t="str">
        <f>IF($C$3,F6,IF($C$4,G6,IF($C$5,H6,IF($C$6,I6,IF($C$7,J6,IF(K6&lt;&gt;"",K6,F6))))))</f>
        <v>Italien</v>
      </c>
      <c r="F6" s="185" t="s">
        <v>412</v>
      </c>
      <c r="G6" s="186" t="s">
        <v>438</v>
      </c>
      <c r="H6" s="184" t="s">
        <v>438</v>
      </c>
      <c r="I6" s="187" t="s">
        <v>439</v>
      </c>
      <c r="J6" s="184" t="s">
        <v>440</v>
      </c>
      <c r="K6" s="108"/>
    </row>
    <row r="7" spans="2:14" x14ac:dyDescent="0.25">
      <c r="B7" s="28" t="s">
        <v>115</v>
      </c>
      <c r="C7" s="60">
        <f>IF($M$1=B7,1,0)</f>
        <v>1</v>
      </c>
      <c r="D7" s="235">
        <v>3</v>
      </c>
      <c r="E7" s="266" t="str">
        <f t="shared" si="0"/>
        <v>England</v>
      </c>
      <c r="F7" s="185" t="s">
        <v>1</v>
      </c>
      <c r="G7" s="186" t="s">
        <v>74</v>
      </c>
      <c r="H7" s="184" t="s">
        <v>88</v>
      </c>
      <c r="I7" s="187" t="s">
        <v>89</v>
      </c>
      <c r="J7" s="184" t="s">
        <v>1</v>
      </c>
      <c r="K7" s="108"/>
    </row>
    <row r="8" spans="2:14" x14ac:dyDescent="0.25">
      <c r="B8" s="28" t="s">
        <v>104</v>
      </c>
      <c r="C8" s="60">
        <f>IF($M$1=B8,1,0)</f>
        <v>0</v>
      </c>
      <c r="D8" s="235">
        <v>4</v>
      </c>
      <c r="E8" s="266" t="str">
        <f>IF($C$3,F8,IF($C$4,G8,IF($C$5,H8,IF($C$6,I8,IF($C$7,J8,IF(K8&lt;&gt;"",K8,F8))))))</f>
        <v>Deutschland</v>
      </c>
      <c r="F8" s="185" t="s">
        <v>48</v>
      </c>
      <c r="G8" s="186" t="s">
        <v>80</v>
      </c>
      <c r="H8" s="184" t="s">
        <v>98</v>
      </c>
      <c r="I8" s="187" t="s">
        <v>99</v>
      </c>
      <c r="J8" s="184" t="s">
        <v>107</v>
      </c>
      <c r="K8" s="108"/>
    </row>
    <row r="9" spans="2:14" x14ac:dyDescent="0.25">
      <c r="D9" s="235">
        <v>5</v>
      </c>
      <c r="E9" s="266" t="str">
        <f t="shared" si="0"/>
        <v>Spanien</v>
      </c>
      <c r="F9" s="185" t="s">
        <v>49</v>
      </c>
      <c r="G9" s="186" t="s">
        <v>77</v>
      </c>
      <c r="H9" s="184" t="s">
        <v>93</v>
      </c>
      <c r="I9" s="187" t="s">
        <v>94</v>
      </c>
      <c r="J9" s="184" t="s">
        <v>108</v>
      </c>
      <c r="K9" s="108"/>
    </row>
    <row r="10" spans="2:14" x14ac:dyDescent="0.25">
      <c r="D10" s="235">
        <v>6</v>
      </c>
      <c r="E10" s="266" t="str">
        <f t="shared" si="0"/>
        <v>Ukraine</v>
      </c>
      <c r="F10" s="185" t="s">
        <v>416</v>
      </c>
      <c r="G10" s="186" t="s">
        <v>454</v>
      </c>
      <c r="H10" s="184" t="s">
        <v>453</v>
      </c>
      <c r="I10" s="187" t="s">
        <v>416</v>
      </c>
      <c r="J10" s="184" t="s">
        <v>416</v>
      </c>
      <c r="K10" s="108"/>
    </row>
    <row r="11" spans="2:14" x14ac:dyDescent="0.25">
      <c r="D11" s="235">
        <v>7</v>
      </c>
      <c r="E11" s="266" t="str">
        <f t="shared" si="0"/>
        <v>Frankreich</v>
      </c>
      <c r="F11" s="185" t="s">
        <v>50</v>
      </c>
      <c r="G11" s="186" t="s">
        <v>79</v>
      </c>
      <c r="H11" s="184" t="s">
        <v>79</v>
      </c>
      <c r="I11" s="187" t="s">
        <v>50</v>
      </c>
      <c r="J11" s="184" t="s">
        <v>106</v>
      </c>
      <c r="K11" s="108"/>
    </row>
    <row r="12" spans="2:14" x14ac:dyDescent="0.25">
      <c r="D12" s="235">
        <v>8</v>
      </c>
      <c r="E12" s="266" t="str">
        <f t="shared" si="0"/>
        <v>Polen</v>
      </c>
      <c r="F12" s="185" t="s">
        <v>51</v>
      </c>
      <c r="G12" s="186" t="s">
        <v>76</v>
      </c>
      <c r="H12" s="184" t="s">
        <v>76</v>
      </c>
      <c r="I12" s="187" t="s">
        <v>92</v>
      </c>
      <c r="J12" s="184" t="s">
        <v>105</v>
      </c>
      <c r="K12" s="108"/>
    </row>
    <row r="13" spans="2:14" x14ac:dyDescent="0.25">
      <c r="D13" s="235">
        <v>9</v>
      </c>
      <c r="E13" s="266" t="str">
        <f t="shared" si="0"/>
        <v>Schweiz</v>
      </c>
      <c r="F13" s="185" t="s">
        <v>69</v>
      </c>
      <c r="G13" s="186" t="s">
        <v>70</v>
      </c>
      <c r="H13" s="184" t="s">
        <v>81</v>
      </c>
      <c r="I13" s="187" t="s">
        <v>82</v>
      </c>
      <c r="J13" s="184" t="s">
        <v>110</v>
      </c>
      <c r="K13" s="108"/>
    </row>
    <row r="14" spans="2:14" x14ac:dyDescent="0.25">
      <c r="D14" s="235">
        <v>10</v>
      </c>
      <c r="E14" s="266" t="str">
        <f t="shared" si="0"/>
        <v>Kroatien</v>
      </c>
      <c r="F14" s="185" t="s">
        <v>52</v>
      </c>
      <c r="G14" s="186" t="s">
        <v>75</v>
      </c>
      <c r="H14" s="184" t="s">
        <v>90</v>
      </c>
      <c r="I14" s="187" t="s">
        <v>91</v>
      </c>
      <c r="J14" s="184" t="s">
        <v>114</v>
      </c>
      <c r="K14" s="108"/>
    </row>
    <row r="15" spans="2:14" x14ac:dyDescent="0.25">
      <c r="D15" s="235">
        <v>11</v>
      </c>
      <c r="E15" s="266" t="str">
        <f t="shared" si="0"/>
        <v>Niederlande</v>
      </c>
      <c r="F15" s="185" t="s">
        <v>413</v>
      </c>
      <c r="G15" s="186" t="s">
        <v>441</v>
      </c>
      <c r="H15" s="184" t="s">
        <v>442</v>
      </c>
      <c r="I15" s="187" t="s">
        <v>443</v>
      </c>
      <c r="J15" s="184" t="s">
        <v>444</v>
      </c>
      <c r="K15" s="108"/>
    </row>
    <row r="16" spans="2:14" x14ac:dyDescent="0.25">
      <c r="D16" s="235">
        <v>12</v>
      </c>
      <c r="E16" s="266" t="str">
        <f t="shared" si="0"/>
        <v>Russland</v>
      </c>
      <c r="F16" s="185" t="s">
        <v>53</v>
      </c>
      <c r="G16" s="186" t="s">
        <v>73</v>
      </c>
      <c r="H16" s="184" t="s">
        <v>53</v>
      </c>
      <c r="I16" s="187" t="s">
        <v>87</v>
      </c>
      <c r="J16" s="184" t="s">
        <v>113</v>
      </c>
      <c r="K16" s="108"/>
    </row>
    <row r="17" spans="4:11" x14ac:dyDescent="0.25">
      <c r="D17" s="235">
        <v>13</v>
      </c>
      <c r="E17" s="266" t="str">
        <f t="shared" si="0"/>
        <v>Portugal</v>
      </c>
      <c r="F17" s="185" t="s">
        <v>0</v>
      </c>
      <c r="G17" s="186" t="s">
        <v>0</v>
      </c>
      <c r="H17" s="184" t="s">
        <v>97</v>
      </c>
      <c r="I17" s="187" t="s">
        <v>0</v>
      </c>
      <c r="J17" s="184" t="s">
        <v>0</v>
      </c>
      <c r="K17" s="108"/>
    </row>
    <row r="18" spans="4:11" x14ac:dyDescent="0.25">
      <c r="D18" s="235">
        <v>14</v>
      </c>
      <c r="E18" s="266" t="str">
        <f t="shared" si="0"/>
        <v>Türkei</v>
      </c>
      <c r="F18" s="185" t="s">
        <v>420</v>
      </c>
      <c r="G18" s="186" t="s">
        <v>467</v>
      </c>
      <c r="H18" s="184" t="s">
        <v>466</v>
      </c>
      <c r="I18" s="187" t="s">
        <v>465</v>
      </c>
      <c r="J18" s="184" t="s">
        <v>468</v>
      </c>
      <c r="K18" s="108"/>
    </row>
    <row r="19" spans="4:11" x14ac:dyDescent="0.25">
      <c r="D19" s="235">
        <v>15</v>
      </c>
      <c r="E19" s="266" t="str">
        <f t="shared" si="0"/>
        <v>Dänemark</v>
      </c>
      <c r="F19" s="185" t="s">
        <v>54</v>
      </c>
      <c r="G19" s="186" t="s">
        <v>71</v>
      </c>
      <c r="H19" s="184" t="s">
        <v>83</v>
      </c>
      <c r="I19" s="187" t="s">
        <v>84</v>
      </c>
      <c r="J19" s="184" t="s">
        <v>111</v>
      </c>
      <c r="K19" s="108"/>
    </row>
    <row r="20" spans="4:11" x14ac:dyDescent="0.25">
      <c r="D20" s="235">
        <v>16</v>
      </c>
      <c r="E20" s="266" t="str">
        <f t="shared" si="0"/>
        <v>Österreich</v>
      </c>
      <c r="F20" s="185" t="s">
        <v>419</v>
      </c>
      <c r="G20" s="186" t="s">
        <v>419</v>
      </c>
      <c r="H20" s="184" t="s">
        <v>419</v>
      </c>
      <c r="I20" s="187" t="s">
        <v>463</v>
      </c>
      <c r="J20" s="184" t="s">
        <v>464</v>
      </c>
      <c r="K20" s="108"/>
    </row>
    <row r="21" spans="4:11" x14ac:dyDescent="0.25">
      <c r="D21" s="235">
        <v>17</v>
      </c>
      <c r="E21" s="266" t="str">
        <f t="shared" si="0"/>
        <v>Schweden</v>
      </c>
      <c r="F21" s="185" t="s">
        <v>55</v>
      </c>
      <c r="G21" s="186" t="s">
        <v>78</v>
      </c>
      <c r="H21" s="184" t="s">
        <v>95</v>
      </c>
      <c r="I21" s="187" t="s">
        <v>96</v>
      </c>
      <c r="J21" s="184" t="s">
        <v>109</v>
      </c>
      <c r="K21" s="108"/>
    </row>
    <row r="22" spans="4:11" x14ac:dyDescent="0.25">
      <c r="D22" s="235">
        <v>18</v>
      </c>
      <c r="E22" s="266" t="str">
        <f t="shared" si="0"/>
        <v>Tschechien</v>
      </c>
      <c r="F22" s="185" t="s">
        <v>414</v>
      </c>
      <c r="G22" s="186" t="s">
        <v>448</v>
      </c>
      <c r="H22" s="184" t="s">
        <v>447</v>
      </c>
      <c r="I22" s="187" t="s">
        <v>446</v>
      </c>
      <c r="J22" s="184" t="s">
        <v>452</v>
      </c>
      <c r="K22" s="108"/>
    </row>
    <row r="23" spans="4:11" x14ac:dyDescent="0.25">
      <c r="D23" s="235">
        <v>19</v>
      </c>
      <c r="E23" s="266" t="str">
        <f t="shared" si="0"/>
        <v>Wales</v>
      </c>
      <c r="F23" s="185" t="s">
        <v>415</v>
      </c>
      <c r="G23" s="186" t="s">
        <v>451</v>
      </c>
      <c r="H23" s="184" t="s">
        <v>450</v>
      </c>
      <c r="I23" s="187" t="s">
        <v>449</v>
      </c>
      <c r="J23" s="184" t="s">
        <v>415</v>
      </c>
      <c r="K23" s="108"/>
    </row>
    <row r="24" spans="4:11" x14ac:dyDescent="0.25">
      <c r="D24" s="235">
        <v>20</v>
      </c>
      <c r="E24" s="266" t="str">
        <f t="shared" si="0"/>
        <v>Finnland</v>
      </c>
      <c r="F24" s="185" t="s">
        <v>421</v>
      </c>
      <c r="G24" s="186" t="s">
        <v>471</v>
      </c>
      <c r="H24" s="184" t="s">
        <v>471</v>
      </c>
      <c r="I24" s="187" t="s">
        <v>469</v>
      </c>
      <c r="J24" s="184" t="s">
        <v>553</v>
      </c>
      <c r="K24" s="108"/>
    </row>
    <row r="25" spans="4:11" x14ac:dyDescent="0.25">
      <c r="D25" s="235">
        <v>21</v>
      </c>
      <c r="E25" s="266" t="str">
        <f t="shared" si="0"/>
        <v>Serbien</v>
      </c>
      <c r="F25" s="185" t="s">
        <v>360</v>
      </c>
      <c r="G25" s="186" t="s">
        <v>360</v>
      </c>
      <c r="H25" s="184" t="s">
        <v>360</v>
      </c>
      <c r="I25" s="187" t="s">
        <v>361</v>
      </c>
      <c r="J25" s="184" t="s">
        <v>289</v>
      </c>
      <c r="K25" s="108"/>
    </row>
    <row r="26" spans="4:11" x14ac:dyDescent="0.25">
      <c r="D26" s="235">
        <v>22</v>
      </c>
      <c r="E26" s="266" t="str">
        <f t="shared" si="0"/>
        <v>Slowakei</v>
      </c>
      <c r="F26" s="185" t="s">
        <v>424</v>
      </c>
      <c r="G26" s="186" t="s">
        <v>478</v>
      </c>
      <c r="H26" s="184" t="s">
        <v>479</v>
      </c>
      <c r="I26" s="187" t="s">
        <v>480</v>
      </c>
      <c r="J26" s="184" t="s">
        <v>481</v>
      </c>
      <c r="K26" s="108"/>
    </row>
    <row r="27" spans="4:11" x14ac:dyDescent="0.25">
      <c r="D27" s="235">
        <v>23</v>
      </c>
      <c r="E27" s="266" t="str">
        <f t="shared" si="0"/>
        <v>Irland</v>
      </c>
      <c r="F27" s="185" t="s">
        <v>427</v>
      </c>
      <c r="G27" s="186" t="s">
        <v>494</v>
      </c>
      <c r="H27" s="184" t="s">
        <v>494</v>
      </c>
      <c r="I27" s="187" t="s">
        <v>492</v>
      </c>
      <c r="J27" s="184" t="s">
        <v>493</v>
      </c>
      <c r="K27" s="108"/>
    </row>
    <row r="28" spans="4:11" x14ac:dyDescent="0.25">
      <c r="D28" s="235">
        <v>24</v>
      </c>
      <c r="E28" s="266" t="str">
        <f t="shared" si="0"/>
        <v>Island</v>
      </c>
      <c r="F28" s="185" t="s">
        <v>356</v>
      </c>
      <c r="G28" s="186" t="s">
        <v>357</v>
      </c>
      <c r="H28" s="184" t="s">
        <v>358</v>
      </c>
      <c r="I28" s="187" t="s">
        <v>359</v>
      </c>
      <c r="J28" s="184" t="s">
        <v>288</v>
      </c>
      <c r="K28" s="108"/>
    </row>
    <row r="29" spans="4:11" x14ac:dyDescent="0.25">
      <c r="D29" s="235">
        <v>25</v>
      </c>
      <c r="E29" s="266" t="str">
        <f t="shared" si="0"/>
        <v>Nordirland</v>
      </c>
      <c r="F29" s="185" t="s">
        <v>429</v>
      </c>
      <c r="G29" s="186" t="s">
        <v>501</v>
      </c>
      <c r="H29" s="184" t="s">
        <v>500</v>
      </c>
      <c r="I29" s="187" t="s">
        <v>499</v>
      </c>
      <c r="J29" s="184" t="s">
        <v>498</v>
      </c>
      <c r="K29" s="108"/>
    </row>
    <row r="30" spans="4:11" x14ac:dyDescent="0.25">
      <c r="D30" s="235">
        <v>26</v>
      </c>
      <c r="E30" s="266" t="str">
        <f t="shared" si="0"/>
        <v>Norwegen</v>
      </c>
      <c r="F30" s="185" t="s">
        <v>417</v>
      </c>
      <c r="G30" s="186" t="s">
        <v>455</v>
      </c>
      <c r="H30" s="184" t="s">
        <v>456</v>
      </c>
      <c r="I30" s="187" t="s">
        <v>457</v>
      </c>
      <c r="J30" s="184" t="s">
        <v>458</v>
      </c>
      <c r="K30" s="108"/>
    </row>
    <row r="31" spans="4:11" x14ac:dyDescent="0.25">
      <c r="D31" s="235">
        <v>27</v>
      </c>
      <c r="E31" s="266" t="str">
        <f t="shared" si="0"/>
        <v>Kosovo</v>
      </c>
      <c r="F31" s="185" t="s">
        <v>435</v>
      </c>
      <c r="G31" s="186" t="s">
        <v>435</v>
      </c>
      <c r="H31" s="184" t="s">
        <v>435</v>
      </c>
      <c r="I31" s="187" t="s">
        <v>435</v>
      </c>
      <c r="J31" s="184" t="s">
        <v>435</v>
      </c>
      <c r="K31" s="108"/>
    </row>
    <row r="32" spans="4:11" x14ac:dyDescent="0.25">
      <c r="D32" s="235">
        <v>28</v>
      </c>
      <c r="E32" s="266" t="str">
        <f t="shared" si="0"/>
        <v>Griechenland</v>
      </c>
      <c r="F32" s="185" t="s">
        <v>422</v>
      </c>
      <c r="G32" s="186" t="s">
        <v>474</v>
      </c>
      <c r="H32" s="184" t="s">
        <v>474</v>
      </c>
      <c r="I32" s="187" t="s">
        <v>472</v>
      </c>
      <c r="J32" s="184" t="s">
        <v>473</v>
      </c>
      <c r="K32" s="108"/>
    </row>
    <row r="33" spans="4:11" x14ac:dyDescent="0.25">
      <c r="D33" s="235">
        <v>29</v>
      </c>
      <c r="E33" s="266" t="str">
        <f t="shared" si="0"/>
        <v>Schottland</v>
      </c>
      <c r="F33" s="185" t="s">
        <v>425</v>
      </c>
      <c r="G33" s="186" t="s">
        <v>485</v>
      </c>
      <c r="H33" s="184" t="s">
        <v>484</v>
      </c>
      <c r="I33" s="187" t="s">
        <v>482</v>
      </c>
      <c r="J33" s="184" t="s">
        <v>483</v>
      </c>
      <c r="K33" s="108"/>
    </row>
    <row r="34" spans="4:11" x14ac:dyDescent="0.25">
      <c r="D34" s="235">
        <v>30</v>
      </c>
      <c r="E34" s="266" t="str">
        <f t="shared" si="0"/>
        <v>Nordmazedonien</v>
      </c>
      <c r="F34" s="185" t="s">
        <v>431</v>
      </c>
      <c r="G34" s="186" t="s">
        <v>507</v>
      </c>
      <c r="H34" s="184" t="s">
        <v>506</v>
      </c>
      <c r="I34" s="187" t="s">
        <v>505</v>
      </c>
      <c r="J34" s="184" t="s">
        <v>504</v>
      </c>
      <c r="K34" s="108"/>
    </row>
    <row r="35" spans="4:11" x14ac:dyDescent="0.25">
      <c r="D35" s="235">
        <v>31</v>
      </c>
      <c r="E35" s="266" t="str">
        <f t="shared" si="0"/>
        <v>Ungarn</v>
      </c>
      <c r="F35" s="185" t="s">
        <v>418</v>
      </c>
      <c r="G35" s="186" t="s">
        <v>462</v>
      </c>
      <c r="H35" s="184" t="s">
        <v>461</v>
      </c>
      <c r="I35" s="187" t="s">
        <v>459</v>
      </c>
      <c r="J35" s="184" t="s">
        <v>460</v>
      </c>
      <c r="K35" s="108"/>
    </row>
    <row r="36" spans="4:11" x14ac:dyDescent="0.25">
      <c r="D36" s="235">
        <v>32</v>
      </c>
      <c r="E36" s="266" t="str">
        <f t="shared" si="0"/>
        <v>Slowenien</v>
      </c>
      <c r="F36" s="185" t="s">
        <v>428</v>
      </c>
      <c r="G36" s="186" t="s">
        <v>495</v>
      </c>
      <c r="H36" s="184" t="s">
        <v>428</v>
      </c>
      <c r="I36" s="187" t="s">
        <v>496</v>
      </c>
      <c r="J36" s="184" t="s">
        <v>497</v>
      </c>
      <c r="K36" s="108"/>
    </row>
    <row r="37" spans="4:11" x14ac:dyDescent="0.25">
      <c r="D37" s="235">
        <v>33</v>
      </c>
      <c r="E37" s="266" t="str">
        <f t="shared" ref="E37:E62" si="1">IF($C$3,F37,IF($C$4,G37,IF($C$5,H37,IF($C$6,I37,IF($C$7,J37,IF(K37&lt;&gt;"",K37,F37))))))</f>
        <v>Rumänien</v>
      </c>
      <c r="F37" s="185" t="s">
        <v>423</v>
      </c>
      <c r="G37" s="186" t="s">
        <v>476</v>
      </c>
      <c r="H37" s="184" t="s">
        <v>423</v>
      </c>
      <c r="I37" s="187" t="s">
        <v>475</v>
      </c>
      <c r="J37" s="184" t="s">
        <v>477</v>
      </c>
      <c r="K37" s="108"/>
    </row>
    <row r="38" spans="4:11" x14ac:dyDescent="0.25">
      <c r="D38" s="235">
        <v>34</v>
      </c>
      <c r="E38" s="266" t="str">
        <f t="shared" si="1"/>
        <v>Georgien</v>
      </c>
      <c r="F38" s="185" t="s">
        <v>436</v>
      </c>
      <c r="G38" s="186" t="s">
        <v>436</v>
      </c>
      <c r="H38" s="184" t="s">
        <v>436</v>
      </c>
      <c r="I38" s="187" t="s">
        <v>513</v>
      </c>
      <c r="J38" s="184" t="s">
        <v>514</v>
      </c>
      <c r="K38" s="108"/>
    </row>
    <row r="39" spans="4:11" x14ac:dyDescent="0.25">
      <c r="D39" s="235">
        <v>35</v>
      </c>
      <c r="E39" s="266" t="str">
        <f t="shared" si="1"/>
        <v>Albanien</v>
      </c>
      <c r="F39" s="185" t="s">
        <v>430</v>
      </c>
      <c r="G39" s="186" t="s">
        <v>430</v>
      </c>
      <c r="H39" s="184" t="s">
        <v>430</v>
      </c>
      <c r="I39" s="187" t="s">
        <v>502</v>
      </c>
      <c r="J39" s="184" t="s">
        <v>503</v>
      </c>
      <c r="K39" s="108"/>
    </row>
    <row r="40" spans="4:11" x14ac:dyDescent="0.25">
      <c r="D40" s="235">
        <v>36</v>
      </c>
      <c r="E40" s="266" t="str">
        <f t="shared" si="1"/>
        <v>Bosnien/Herzeg.</v>
      </c>
      <c r="F40" s="185" t="s">
        <v>491</v>
      </c>
      <c r="G40" s="186" t="s">
        <v>490</v>
      </c>
      <c r="H40" s="184" t="s">
        <v>489</v>
      </c>
      <c r="I40" s="187" t="s">
        <v>488</v>
      </c>
      <c r="J40" s="184" t="s">
        <v>487</v>
      </c>
      <c r="K40" s="108"/>
    </row>
    <row r="41" spans="4:11" x14ac:dyDescent="0.25">
      <c r="D41" s="235">
        <v>37</v>
      </c>
      <c r="E41" s="266" t="str">
        <f t="shared" si="1"/>
        <v>Bulgarien</v>
      </c>
      <c r="F41" s="185" t="s">
        <v>433</v>
      </c>
      <c r="G41" s="186" t="s">
        <v>433</v>
      </c>
      <c r="H41" s="184" t="s">
        <v>433</v>
      </c>
      <c r="I41" s="187" t="s">
        <v>510</v>
      </c>
      <c r="J41" s="184" t="s">
        <v>511</v>
      </c>
      <c r="K41" s="108"/>
    </row>
    <row r="42" spans="4:11" x14ac:dyDescent="0.25">
      <c r="D42" s="235">
        <v>38</v>
      </c>
      <c r="E42" s="266" t="str">
        <f t="shared" si="1"/>
        <v>Luxemburg</v>
      </c>
      <c r="F42" s="185" t="s">
        <v>556</v>
      </c>
      <c r="G42" s="186" t="s">
        <v>572</v>
      </c>
      <c r="H42" s="184" t="s">
        <v>573</v>
      </c>
      <c r="I42" s="187" t="s">
        <v>556</v>
      </c>
      <c r="J42" s="184" t="s">
        <v>570</v>
      </c>
      <c r="K42" s="108"/>
    </row>
    <row r="43" spans="4:11" x14ac:dyDescent="0.25">
      <c r="D43" s="235">
        <v>39</v>
      </c>
      <c r="E43" s="266" t="str">
        <f t="shared" si="1"/>
        <v>Weißrussland</v>
      </c>
      <c r="F43" s="185" t="s">
        <v>437</v>
      </c>
      <c r="G43" s="186" t="s">
        <v>517</v>
      </c>
      <c r="H43" s="184" t="s">
        <v>516</v>
      </c>
      <c r="I43" s="187" t="s">
        <v>515</v>
      </c>
      <c r="J43" s="184" t="s">
        <v>518</v>
      </c>
      <c r="K43" s="108"/>
    </row>
    <row r="44" spans="4:11" x14ac:dyDescent="0.25">
      <c r="D44" s="235">
        <v>40</v>
      </c>
      <c r="E44" s="266" t="str">
        <f t="shared" si="1"/>
        <v>Zypern</v>
      </c>
      <c r="F44" s="185" t="s">
        <v>557</v>
      </c>
      <c r="G44" s="186" t="s">
        <v>577</v>
      </c>
      <c r="H44" s="184" t="s">
        <v>576</v>
      </c>
      <c r="I44" s="187" t="s">
        <v>574</v>
      </c>
      <c r="J44" s="184" t="s">
        <v>575</v>
      </c>
      <c r="K44" s="108"/>
    </row>
    <row r="45" spans="4:11" x14ac:dyDescent="0.25">
      <c r="D45" s="235">
        <v>41</v>
      </c>
      <c r="E45" s="266" t="str">
        <f t="shared" si="1"/>
        <v>Armenien</v>
      </c>
      <c r="F45" s="185" t="s">
        <v>432</v>
      </c>
      <c r="G45" s="186" t="s">
        <v>432</v>
      </c>
      <c r="H45" s="184" t="s">
        <v>432</v>
      </c>
      <c r="I45" s="187" t="s">
        <v>508</v>
      </c>
      <c r="J45" s="184" t="s">
        <v>509</v>
      </c>
      <c r="K45" s="108"/>
    </row>
    <row r="46" spans="4:11" x14ac:dyDescent="0.25">
      <c r="D46" s="235">
        <v>42</v>
      </c>
      <c r="E46" s="266" t="str">
        <f t="shared" si="1"/>
        <v>Israel</v>
      </c>
      <c r="F46" s="185" t="s">
        <v>426</v>
      </c>
      <c r="G46" s="186" t="s">
        <v>426</v>
      </c>
      <c r="H46" s="184" t="s">
        <v>470</v>
      </c>
      <c r="I46" s="187" t="s">
        <v>486</v>
      </c>
      <c r="J46" s="184" t="s">
        <v>426</v>
      </c>
      <c r="K46" s="108"/>
    </row>
    <row r="47" spans="4:11" x14ac:dyDescent="0.25">
      <c r="D47" s="235">
        <v>43</v>
      </c>
      <c r="E47" s="266" t="str">
        <f t="shared" si="1"/>
        <v>Kasachstan</v>
      </c>
      <c r="F47" s="185" t="s">
        <v>558</v>
      </c>
      <c r="G47" s="186" t="s">
        <v>580</v>
      </c>
      <c r="H47" s="184" t="s">
        <v>579</v>
      </c>
      <c r="I47" s="187" t="s">
        <v>558</v>
      </c>
      <c r="J47" s="184" t="s">
        <v>578</v>
      </c>
      <c r="K47" s="108"/>
    </row>
    <row r="48" spans="4:11" x14ac:dyDescent="0.25">
      <c r="D48" s="235">
        <v>44</v>
      </c>
      <c r="E48" s="266" t="str">
        <f t="shared" si="1"/>
        <v>Montenegro</v>
      </c>
      <c r="F48" s="185" t="s">
        <v>434</v>
      </c>
      <c r="G48" s="186" t="s">
        <v>434</v>
      </c>
      <c r="H48" s="184" t="s">
        <v>434</v>
      </c>
      <c r="I48" s="187" t="s">
        <v>512</v>
      </c>
      <c r="J48" s="184" t="s">
        <v>434</v>
      </c>
      <c r="K48" s="108"/>
    </row>
    <row r="49" spans="4:11" x14ac:dyDescent="0.25">
      <c r="D49" s="235">
        <v>45</v>
      </c>
      <c r="E49" s="266" t="str">
        <f t="shared" si="1"/>
        <v>Aserbaidschan</v>
      </c>
      <c r="F49" s="185" t="s">
        <v>559</v>
      </c>
      <c r="G49" s="186" t="s">
        <v>581</v>
      </c>
      <c r="H49" s="184" t="s">
        <v>559</v>
      </c>
      <c r="I49" s="187" t="s">
        <v>582</v>
      </c>
      <c r="J49" s="184" t="s">
        <v>583</v>
      </c>
      <c r="K49" s="108"/>
    </row>
    <row r="50" spans="4:11" x14ac:dyDescent="0.25">
      <c r="D50" s="235">
        <v>46</v>
      </c>
      <c r="E50" s="266" t="str">
        <f t="shared" si="1"/>
        <v>Andorra</v>
      </c>
      <c r="F50" s="185" t="s">
        <v>560</v>
      </c>
      <c r="G50" s="186" t="s">
        <v>560</v>
      </c>
      <c r="H50" s="184" t="s">
        <v>560</v>
      </c>
      <c r="I50" s="187" t="s">
        <v>584</v>
      </c>
      <c r="J50" s="184" t="s">
        <v>560</v>
      </c>
      <c r="K50" s="108"/>
    </row>
    <row r="51" spans="4:11" x14ac:dyDescent="0.25">
      <c r="D51" s="235">
        <v>47</v>
      </c>
      <c r="E51" s="266" t="str">
        <f t="shared" si="1"/>
        <v>Litauen</v>
      </c>
      <c r="F51" s="185" t="s">
        <v>561</v>
      </c>
      <c r="G51" s="186" t="s">
        <v>587</v>
      </c>
      <c r="H51" s="184" t="s">
        <v>587</v>
      </c>
      <c r="I51" s="187" t="s">
        <v>588</v>
      </c>
      <c r="J51" s="184" t="s">
        <v>589</v>
      </c>
      <c r="K51" s="108"/>
    </row>
    <row r="52" spans="4:11" x14ac:dyDescent="0.25">
      <c r="D52" s="235">
        <v>48</v>
      </c>
      <c r="E52" s="266" t="str">
        <f t="shared" si="1"/>
        <v>Estland</v>
      </c>
      <c r="F52" s="185" t="s">
        <v>562</v>
      </c>
      <c r="G52" s="186" t="s">
        <v>562</v>
      </c>
      <c r="H52" s="184" t="s">
        <v>562</v>
      </c>
      <c r="I52" s="187" t="s">
        <v>585</v>
      </c>
      <c r="J52" s="184" t="s">
        <v>590</v>
      </c>
      <c r="K52" s="108"/>
    </row>
    <row r="53" spans="4:11" x14ac:dyDescent="0.25">
      <c r="D53" s="235">
        <v>49</v>
      </c>
      <c r="E53" s="266" t="str">
        <f t="shared" si="1"/>
        <v>Färöer Inseln</v>
      </c>
      <c r="F53" s="185" t="s">
        <v>563</v>
      </c>
      <c r="G53" s="186" t="s">
        <v>591</v>
      </c>
      <c r="H53" s="184" t="s">
        <v>592</v>
      </c>
      <c r="I53" s="187" t="s">
        <v>593</v>
      </c>
      <c r="J53" s="184" t="s">
        <v>594</v>
      </c>
      <c r="K53" s="108"/>
    </row>
    <row r="54" spans="4:11" x14ac:dyDescent="0.25">
      <c r="D54" s="235">
        <v>50</v>
      </c>
      <c r="E54" s="266" t="str">
        <f t="shared" si="1"/>
        <v>Gibraltar</v>
      </c>
      <c r="F54" s="185" t="s">
        <v>564</v>
      </c>
      <c r="G54" s="186" t="s">
        <v>564</v>
      </c>
      <c r="H54" s="184" t="s">
        <v>595</v>
      </c>
      <c r="I54" s="187" t="s">
        <v>564</v>
      </c>
      <c r="J54" s="184" t="s">
        <v>564</v>
      </c>
      <c r="K54" s="108"/>
    </row>
    <row r="55" spans="4:11" x14ac:dyDescent="0.25">
      <c r="D55" s="235">
        <v>51</v>
      </c>
      <c r="E55" s="266" t="str">
        <f t="shared" si="1"/>
        <v>Moldavien</v>
      </c>
      <c r="F55" s="185" t="s">
        <v>565</v>
      </c>
      <c r="G55" s="186" t="s">
        <v>565</v>
      </c>
      <c r="H55" s="184" t="s">
        <v>565</v>
      </c>
      <c r="I55" s="187" t="s">
        <v>596</v>
      </c>
      <c r="J55" s="184" t="s">
        <v>597</v>
      </c>
      <c r="K55" s="108"/>
    </row>
    <row r="56" spans="4:11" x14ac:dyDescent="0.25">
      <c r="D56" s="235">
        <v>52</v>
      </c>
      <c r="E56" s="266" t="str">
        <f t="shared" si="1"/>
        <v>Malta</v>
      </c>
      <c r="F56" s="185" t="s">
        <v>566</v>
      </c>
      <c r="G56" s="186" t="s">
        <v>566</v>
      </c>
      <c r="H56" s="184" t="s">
        <v>566</v>
      </c>
      <c r="I56" s="187" t="s">
        <v>586</v>
      </c>
      <c r="J56" s="184" t="s">
        <v>566</v>
      </c>
      <c r="K56" s="108"/>
    </row>
    <row r="57" spans="4:11" x14ac:dyDescent="0.25">
      <c r="D57" s="235">
        <v>53</v>
      </c>
      <c r="E57" s="266" t="str">
        <f t="shared" si="1"/>
        <v>Lettland</v>
      </c>
      <c r="F57" s="185" t="s">
        <v>567</v>
      </c>
      <c r="G57" s="186" t="s">
        <v>598</v>
      </c>
      <c r="H57" s="184" t="s">
        <v>599</v>
      </c>
      <c r="I57" s="187" t="s">
        <v>600</v>
      </c>
      <c r="J57" s="184" t="s">
        <v>601</v>
      </c>
      <c r="K57" s="108"/>
    </row>
    <row r="58" spans="4:11" x14ac:dyDescent="0.25">
      <c r="D58" s="235">
        <v>54</v>
      </c>
      <c r="E58" s="266" t="str">
        <f t="shared" si="1"/>
        <v>Liechtenstein</v>
      </c>
      <c r="F58" s="185" t="s">
        <v>568</v>
      </c>
      <c r="G58" s="186" t="s">
        <v>568</v>
      </c>
      <c r="H58" s="184" t="s">
        <v>568</v>
      </c>
      <c r="I58" s="187" t="s">
        <v>568</v>
      </c>
      <c r="J58" s="184" t="s">
        <v>568</v>
      </c>
      <c r="K58" s="108"/>
    </row>
    <row r="59" spans="4:11" x14ac:dyDescent="0.25">
      <c r="D59" s="235">
        <v>55</v>
      </c>
      <c r="E59" s="266" t="str">
        <f t="shared" si="1"/>
        <v>San Marino</v>
      </c>
      <c r="F59" s="185" t="s">
        <v>569</v>
      </c>
      <c r="G59" s="186" t="s">
        <v>569</v>
      </c>
      <c r="H59" s="184" t="s">
        <v>569</v>
      </c>
      <c r="I59" s="187" t="s">
        <v>602</v>
      </c>
      <c r="J59" s="184" t="s">
        <v>569</v>
      </c>
      <c r="K59" s="108"/>
    </row>
    <row r="60" spans="4:11" x14ac:dyDescent="0.25">
      <c r="D60" s="235"/>
      <c r="E60" s="266">
        <f t="shared" si="1"/>
        <v>0</v>
      </c>
      <c r="F60" s="185"/>
      <c r="G60" s="186"/>
      <c r="H60" s="184"/>
      <c r="I60" s="187"/>
      <c r="J60" s="184"/>
      <c r="K60" s="108"/>
    </row>
    <row r="61" spans="4:11" x14ac:dyDescent="0.25">
      <c r="D61" s="235"/>
      <c r="E61" s="266">
        <f t="shared" si="1"/>
        <v>0</v>
      </c>
      <c r="F61" s="185"/>
      <c r="G61" s="186"/>
      <c r="H61" s="184"/>
      <c r="I61" s="187"/>
      <c r="J61" s="184"/>
      <c r="K61" s="108"/>
    </row>
    <row r="62" spans="4:11" x14ac:dyDescent="0.25">
      <c r="D62" s="235"/>
      <c r="E62" s="266">
        <f t="shared" si="1"/>
        <v>0</v>
      </c>
      <c r="F62" s="185"/>
      <c r="G62" s="186"/>
      <c r="H62" s="184"/>
      <c r="I62" s="187"/>
      <c r="J62" s="184"/>
      <c r="K62" s="108"/>
    </row>
    <row r="63" spans="4:11" ht="15.75" thickBot="1" x14ac:dyDescent="0.3">
      <c r="D63" s="268"/>
      <c r="E63" s="267">
        <f t="shared" ref="E63" si="2">IF($C$3,F63,IF($C$4,G63,IF($C$5,H63,IF($C$6,I63,IF($C$7,J63,IF(K63&lt;&gt;"",K63,F63))))))</f>
        <v>0</v>
      </c>
      <c r="F63" s="188"/>
      <c r="G63" s="189"/>
      <c r="H63" s="190"/>
      <c r="I63" s="191"/>
      <c r="J63" s="190"/>
      <c r="K63" s="109"/>
    </row>
    <row r="64" spans="4:11" ht="16.5" thickTop="1" thickBot="1" x14ac:dyDescent="0.3">
      <c r="E64" s="266"/>
      <c r="F64" s="110"/>
      <c r="G64" s="110"/>
      <c r="H64" s="110"/>
      <c r="I64" s="110"/>
      <c r="J64" s="110"/>
      <c r="K64" s="110"/>
    </row>
    <row r="65" spans="4:11" ht="30.75" thickTop="1" x14ac:dyDescent="0.45">
      <c r="D65" s="234" t="s">
        <v>391</v>
      </c>
      <c r="E65" s="267"/>
      <c r="F65" s="240" t="s">
        <v>116</v>
      </c>
      <c r="G65" s="241"/>
      <c r="H65" s="241"/>
      <c r="I65" s="241"/>
      <c r="J65" s="241"/>
      <c r="K65" s="242"/>
    </row>
    <row r="66" spans="4:11" x14ac:dyDescent="0.25">
      <c r="D66" s="235">
        <v>1</v>
      </c>
      <c r="E66" s="266" t="str">
        <f t="shared" ref="E66:E82" si="3">IF($C$3,F66,IF($C$4,G66,IF($C$5,H66,IF($C$6,I66,IF($C$7,J66,IF(K66&lt;&gt;"",K66,F66))))))</f>
        <v>London</v>
      </c>
      <c r="F66" s="185" t="s">
        <v>603</v>
      </c>
      <c r="G66" s="186" t="s">
        <v>618</v>
      </c>
      <c r="H66" s="184" t="s">
        <v>617</v>
      </c>
      <c r="I66" s="187" t="s">
        <v>618</v>
      </c>
      <c r="J66" s="184" t="s">
        <v>603</v>
      </c>
      <c r="K66" s="108"/>
    </row>
    <row r="67" spans="4:11" x14ac:dyDescent="0.25">
      <c r="D67" s="180">
        <v>2</v>
      </c>
      <c r="E67" s="266" t="str">
        <f t="shared" si="3"/>
        <v>Baku</v>
      </c>
      <c r="F67" s="185" t="s">
        <v>604</v>
      </c>
      <c r="G67" s="186" t="s">
        <v>619</v>
      </c>
      <c r="H67" s="184" t="s">
        <v>604</v>
      </c>
      <c r="I67" s="187" t="s">
        <v>620</v>
      </c>
      <c r="J67" s="184" t="s">
        <v>604</v>
      </c>
      <c r="K67" s="108"/>
    </row>
    <row r="68" spans="4:11" x14ac:dyDescent="0.25">
      <c r="D68" s="180">
        <v>3</v>
      </c>
      <c r="E68" s="266" t="str">
        <f t="shared" si="3"/>
        <v>München</v>
      </c>
      <c r="F68" s="185" t="s">
        <v>623</v>
      </c>
      <c r="G68" s="186" t="s">
        <v>622</v>
      </c>
      <c r="H68" s="184" t="s">
        <v>621</v>
      </c>
      <c r="I68" s="187" t="s">
        <v>623</v>
      </c>
      <c r="J68" s="184" t="s">
        <v>605</v>
      </c>
      <c r="K68" s="108"/>
    </row>
    <row r="69" spans="4:11" x14ac:dyDescent="0.25">
      <c r="D69" s="180">
        <v>4</v>
      </c>
      <c r="E69" s="266" t="str">
        <f t="shared" si="3"/>
        <v>Rom</v>
      </c>
      <c r="F69" s="185" t="s">
        <v>624</v>
      </c>
      <c r="G69" s="186" t="s">
        <v>625</v>
      </c>
      <c r="H69" s="184" t="s">
        <v>625</v>
      </c>
      <c r="I69" s="187" t="s">
        <v>624</v>
      </c>
      <c r="J69" s="184" t="s">
        <v>606</v>
      </c>
      <c r="K69" s="108"/>
    </row>
    <row r="70" spans="4:11" x14ac:dyDescent="0.25">
      <c r="D70" s="180">
        <v>5</v>
      </c>
      <c r="E70" s="266" t="str">
        <f t="shared" si="3"/>
        <v>Glasgow</v>
      </c>
      <c r="F70" s="185" t="s">
        <v>607</v>
      </c>
      <c r="G70" s="186" t="s">
        <v>607</v>
      </c>
      <c r="H70" s="184" t="s">
        <v>607</v>
      </c>
      <c r="I70" s="187" t="s">
        <v>607</v>
      </c>
      <c r="J70" s="184" t="s">
        <v>607</v>
      </c>
      <c r="K70" s="108"/>
    </row>
    <row r="71" spans="4:11" x14ac:dyDescent="0.25">
      <c r="D71" s="180">
        <v>6</v>
      </c>
      <c r="E71" s="266" t="str">
        <f t="shared" si="3"/>
        <v>Sankt Ptersburg</v>
      </c>
      <c r="F71" s="185" t="s">
        <v>626</v>
      </c>
      <c r="G71" s="186" t="s">
        <v>627</v>
      </c>
      <c r="H71" s="184" t="s">
        <v>628</v>
      </c>
      <c r="I71" s="187" t="s">
        <v>629</v>
      </c>
      <c r="J71" s="184" t="s">
        <v>608</v>
      </c>
      <c r="K71" s="108"/>
    </row>
    <row r="72" spans="4:11" x14ac:dyDescent="0.25">
      <c r="D72" s="180">
        <v>7</v>
      </c>
      <c r="E72" s="266" t="str">
        <f t="shared" si="3"/>
        <v>Kopenhagen</v>
      </c>
      <c r="F72" s="185" t="s">
        <v>632</v>
      </c>
      <c r="G72" s="186" t="s">
        <v>630</v>
      </c>
      <c r="H72" s="184" t="s">
        <v>631</v>
      </c>
      <c r="I72" s="187" t="s">
        <v>630</v>
      </c>
      <c r="J72" s="184" t="s">
        <v>609</v>
      </c>
      <c r="K72" s="108"/>
    </row>
    <row r="73" spans="4:11" x14ac:dyDescent="0.25">
      <c r="D73" s="180">
        <v>8</v>
      </c>
      <c r="E73" s="266" t="str">
        <f t="shared" si="3"/>
        <v>Sevilla</v>
      </c>
      <c r="F73" s="185" t="s">
        <v>633</v>
      </c>
      <c r="G73" s="186" t="s">
        <v>610</v>
      </c>
      <c r="H73" s="184" t="s">
        <v>634</v>
      </c>
      <c r="I73" s="187" t="s">
        <v>635</v>
      </c>
      <c r="J73" s="184" t="s">
        <v>610</v>
      </c>
      <c r="K73" s="108"/>
    </row>
    <row r="74" spans="4:11" x14ac:dyDescent="0.25">
      <c r="D74" s="180">
        <v>9</v>
      </c>
      <c r="E74" s="266" t="str">
        <f t="shared" si="3"/>
        <v>Amsterdam</v>
      </c>
      <c r="F74" s="185" t="s">
        <v>611</v>
      </c>
      <c r="G74" s="186" t="s">
        <v>611</v>
      </c>
      <c r="H74" s="184" t="s">
        <v>611</v>
      </c>
      <c r="I74" s="187" t="s">
        <v>611</v>
      </c>
      <c r="J74" s="184" t="s">
        <v>611</v>
      </c>
      <c r="K74" s="108"/>
    </row>
    <row r="75" spans="4:11" x14ac:dyDescent="0.25">
      <c r="D75" s="180">
        <v>10</v>
      </c>
      <c r="E75" s="266" t="str">
        <f t="shared" si="3"/>
        <v>Budapest</v>
      </c>
      <c r="F75" s="185" t="s">
        <v>612</v>
      </c>
      <c r="G75" s="186" t="s">
        <v>612</v>
      </c>
      <c r="H75" s="184" t="s">
        <v>612</v>
      </c>
      <c r="I75" s="187" t="s">
        <v>612</v>
      </c>
      <c r="J75" s="184" t="s">
        <v>612</v>
      </c>
      <c r="K75" s="108"/>
    </row>
    <row r="76" spans="4:11" x14ac:dyDescent="0.25">
      <c r="D76" s="180">
        <v>11</v>
      </c>
      <c r="E76" s="266" t="str">
        <f t="shared" si="3"/>
        <v>Bukarest</v>
      </c>
      <c r="F76" s="185" t="s">
        <v>637</v>
      </c>
      <c r="G76" s="186" t="s">
        <v>636</v>
      </c>
      <c r="H76" s="184" t="s">
        <v>636</v>
      </c>
      <c r="I76" s="187" t="s">
        <v>636</v>
      </c>
      <c r="J76" s="184" t="s">
        <v>613</v>
      </c>
      <c r="K76" s="108"/>
    </row>
    <row r="77" spans="4:11" x14ac:dyDescent="0.25">
      <c r="D77" s="180">
        <v>12</v>
      </c>
      <c r="E77" s="266" t="str">
        <f t="shared" si="3"/>
        <v>Grimbergen</v>
      </c>
      <c r="F77" s="185" t="s">
        <v>614</v>
      </c>
      <c r="G77" s="186" t="s">
        <v>614</v>
      </c>
      <c r="H77" s="184" t="s">
        <v>614</v>
      </c>
      <c r="I77" s="187" t="s">
        <v>614</v>
      </c>
      <c r="J77" s="184" t="s">
        <v>614</v>
      </c>
      <c r="K77" s="108"/>
    </row>
    <row r="78" spans="4:11" x14ac:dyDescent="0.25">
      <c r="D78" s="180">
        <v>13</v>
      </c>
      <c r="E78" s="266" t="str">
        <f t="shared" si="3"/>
        <v>Bilbao</v>
      </c>
      <c r="F78" s="185" t="s">
        <v>615</v>
      </c>
      <c r="G78" s="186" t="s">
        <v>615</v>
      </c>
      <c r="H78" s="184" t="s">
        <v>615</v>
      </c>
      <c r="I78" s="187" t="s">
        <v>615</v>
      </c>
      <c r="J78" s="184" t="s">
        <v>615</v>
      </c>
      <c r="K78" s="108"/>
    </row>
    <row r="79" spans="4:11" x14ac:dyDescent="0.25">
      <c r="D79" s="180">
        <v>14</v>
      </c>
      <c r="E79" s="266" t="str">
        <f t="shared" si="3"/>
        <v>Dublin</v>
      </c>
      <c r="F79" s="185" t="s">
        <v>616</v>
      </c>
      <c r="G79" s="186" t="s">
        <v>638</v>
      </c>
      <c r="H79" s="184" t="s">
        <v>639</v>
      </c>
      <c r="I79" s="187" t="s">
        <v>616</v>
      </c>
      <c r="J79" s="184" t="s">
        <v>616</v>
      </c>
      <c r="K79" s="108"/>
    </row>
    <row r="80" spans="4:11" x14ac:dyDescent="0.25">
      <c r="D80" s="180">
        <v>15</v>
      </c>
      <c r="E80" s="266">
        <f t="shared" si="3"/>
        <v>0</v>
      </c>
      <c r="F80" s="185"/>
      <c r="G80" s="186"/>
      <c r="H80" s="184"/>
      <c r="I80" s="187"/>
      <c r="J80" s="184"/>
      <c r="K80" s="108"/>
    </row>
    <row r="81" spans="4:12" ht="15.75" thickBot="1" x14ac:dyDescent="0.3">
      <c r="D81" s="183">
        <v>16</v>
      </c>
      <c r="E81" s="266">
        <f t="shared" si="3"/>
        <v>0</v>
      </c>
      <c r="F81" s="188"/>
      <c r="G81" s="189"/>
      <c r="H81" s="190"/>
      <c r="I81" s="191"/>
      <c r="J81" s="190"/>
      <c r="K81" s="109"/>
    </row>
    <row r="82" spans="4:12" ht="16.5" thickTop="1" thickBot="1" x14ac:dyDescent="0.3">
      <c r="D82" s="33"/>
      <c r="E82" s="266">
        <f t="shared" si="3"/>
        <v>0</v>
      </c>
      <c r="F82" s="243"/>
      <c r="G82" s="243"/>
      <c r="H82" s="243"/>
      <c r="I82" s="243"/>
      <c r="J82" s="243"/>
      <c r="K82" s="243"/>
    </row>
    <row r="83" spans="4:12" ht="29.25" thickTop="1" x14ac:dyDescent="0.45">
      <c r="E83" s="28"/>
      <c r="F83" s="111" t="s">
        <v>299</v>
      </c>
      <c r="G83" s="112"/>
      <c r="H83" s="112"/>
      <c r="I83" s="112"/>
      <c r="J83" s="112"/>
      <c r="K83" s="113"/>
    </row>
    <row r="84" spans="4:12" x14ac:dyDescent="0.25">
      <c r="E84" s="28" t="str">
        <f t="shared" ref="E84:E91" si="4">IF($C$3,F84,IF($C$4,G84,IF($C$5,H84,IF($C$6,I84,IF($C$7,J84,IF(K84&lt;&gt;"",K84,F84))))))</f>
        <v>EURO 2020/2021</v>
      </c>
      <c r="F84" s="185" t="s">
        <v>699</v>
      </c>
      <c r="G84" s="186" t="s">
        <v>700</v>
      </c>
      <c r="H84" s="184" t="s">
        <v>701</v>
      </c>
      <c r="I84" s="187" t="s">
        <v>702</v>
      </c>
      <c r="J84" s="184" t="s">
        <v>855</v>
      </c>
      <c r="K84" s="108"/>
    </row>
    <row r="85" spans="4:12" x14ac:dyDescent="0.25">
      <c r="E85" s="28" t="str">
        <f t="shared" si="4"/>
        <v>Direkte Vergleiche</v>
      </c>
      <c r="F85" s="185" t="s">
        <v>310</v>
      </c>
      <c r="G85" s="186" t="s">
        <v>319</v>
      </c>
      <c r="H85" s="184" t="s">
        <v>320</v>
      </c>
      <c r="I85" s="187" t="s">
        <v>318</v>
      </c>
      <c r="J85" s="184" t="s">
        <v>317</v>
      </c>
      <c r="K85" s="108"/>
    </row>
    <row r="86" spans="4:12" x14ac:dyDescent="0.25">
      <c r="E86" s="28" t="str">
        <f t="shared" si="4"/>
        <v>Fair-Play</v>
      </c>
      <c r="F86" s="185" t="s">
        <v>37</v>
      </c>
      <c r="G86" s="186" t="s">
        <v>652</v>
      </c>
      <c r="H86" s="184" t="s">
        <v>37</v>
      </c>
      <c r="I86" s="187" t="s">
        <v>652</v>
      </c>
      <c r="J86" s="184" t="s">
        <v>651</v>
      </c>
      <c r="K86" s="108"/>
    </row>
    <row r="87" spans="4:12" x14ac:dyDescent="0.25">
      <c r="E87" s="28" t="str">
        <f t="shared" si="4"/>
        <v>Wahl der Zeitzone</v>
      </c>
      <c r="F87" s="185" t="s">
        <v>370</v>
      </c>
      <c r="G87" s="186" t="s">
        <v>378</v>
      </c>
      <c r="H87" s="184" t="s">
        <v>377</v>
      </c>
      <c r="I87" s="187" t="s">
        <v>376</v>
      </c>
      <c r="J87" s="184" t="s">
        <v>371</v>
      </c>
      <c r="K87" s="108"/>
    </row>
    <row r="88" spans="4:12" x14ac:dyDescent="0.25">
      <c r="E88" s="28" t="str">
        <f t="shared" si="4"/>
        <v>Spiele</v>
      </c>
      <c r="F88" s="185" t="s">
        <v>287</v>
      </c>
      <c r="G88" s="186" t="s">
        <v>379</v>
      </c>
      <c r="H88" s="184" t="s">
        <v>380</v>
      </c>
      <c r="I88" s="187" t="s">
        <v>375</v>
      </c>
      <c r="J88" s="184" t="s">
        <v>372</v>
      </c>
      <c r="K88" s="108"/>
    </row>
    <row r="89" spans="4:12" x14ac:dyDescent="0.25">
      <c r="E89" s="28" t="str">
        <f t="shared" si="4"/>
        <v>Wahl der Sprache</v>
      </c>
      <c r="F89" s="185" t="s">
        <v>117</v>
      </c>
      <c r="G89" s="186" t="s">
        <v>382</v>
      </c>
      <c r="H89" s="184" t="s">
        <v>381</v>
      </c>
      <c r="I89" s="187" t="s">
        <v>373</v>
      </c>
      <c r="J89" s="184" t="s">
        <v>374</v>
      </c>
      <c r="K89" s="108"/>
    </row>
    <row r="90" spans="4:12" ht="63" customHeight="1" x14ac:dyDescent="0.25">
      <c r="E90" s="103" t="str">
        <f t="shared" si="4"/>
        <v>Zuordnung der Gruppendritten im Achtelfinale</v>
      </c>
      <c r="F90" s="196" t="s">
        <v>711</v>
      </c>
      <c r="G90" s="197" t="s">
        <v>709</v>
      </c>
      <c r="H90" s="198" t="s">
        <v>710</v>
      </c>
      <c r="I90" s="199" t="s">
        <v>708</v>
      </c>
      <c r="J90" s="198" t="s">
        <v>712</v>
      </c>
      <c r="K90" s="117"/>
    </row>
    <row r="91" spans="4:12" x14ac:dyDescent="0.25">
      <c r="E91" s="28" t="str">
        <f t="shared" si="4"/>
        <v>Gruppen</v>
      </c>
      <c r="F91" s="185" t="s">
        <v>445</v>
      </c>
      <c r="G91" s="186" t="s">
        <v>857</v>
      </c>
      <c r="H91" s="184" t="s">
        <v>858</v>
      </c>
      <c r="I91" s="187" t="s">
        <v>859</v>
      </c>
      <c r="J91" s="184" t="s">
        <v>860</v>
      </c>
      <c r="K91" s="108"/>
    </row>
    <row r="92" spans="4:12" ht="28.5" x14ac:dyDescent="0.45">
      <c r="E92" s="28"/>
      <c r="F92" s="114" t="s">
        <v>177</v>
      </c>
      <c r="G92" s="115"/>
      <c r="H92" s="115"/>
      <c r="I92" s="115"/>
      <c r="J92" s="115"/>
      <c r="K92" s="116"/>
      <c r="L92" s="69"/>
    </row>
    <row r="93" spans="4:12" ht="15" customHeight="1" x14ac:dyDescent="0.45">
      <c r="E93" s="28" t="str">
        <f t="shared" ref="E93:E133" si="5">IF($C$3,F93,IF($C$4,G93,IF($C$5,H93,IF($C$6,I93,IF($C$7,J93,IF(K93&lt;&gt;"",K93,F93))))))</f>
        <v>Gruppe</v>
      </c>
      <c r="F93" s="192" t="s">
        <v>239</v>
      </c>
      <c r="G93" s="193" t="s">
        <v>408</v>
      </c>
      <c r="H93" s="194" t="s">
        <v>409</v>
      </c>
      <c r="I93" s="195" t="s">
        <v>410</v>
      </c>
      <c r="J93" s="194" t="s">
        <v>411</v>
      </c>
      <c r="K93" s="108"/>
      <c r="L93" s="69"/>
    </row>
    <row r="94" spans="4:12" ht="15" customHeight="1" x14ac:dyDescent="0.45">
      <c r="E94" s="28" t="str">
        <f t="shared" ref="E94" si="6">IF($C$3,F94,IF($C$4,G94,IF($C$5,H94,IF($C$6,I94,IF($C$7,J94,IF(K94&lt;&gt;"",K94,F94))))))</f>
        <v>Grp</v>
      </c>
      <c r="F94" s="192" t="s">
        <v>653</v>
      </c>
      <c r="G94" s="193" t="s">
        <v>653</v>
      </c>
      <c r="H94" s="194" t="s">
        <v>653</v>
      </c>
      <c r="I94" s="195" t="s">
        <v>653</v>
      </c>
      <c r="J94" s="194" t="s">
        <v>653</v>
      </c>
      <c r="K94" s="108"/>
      <c r="L94" s="69"/>
    </row>
    <row r="95" spans="4:12" ht="15" customHeight="1" x14ac:dyDescent="0.45">
      <c r="E95" s="28" t="str">
        <f t="shared" si="5"/>
        <v>Pkt</v>
      </c>
      <c r="F95" s="192" t="s">
        <v>724</v>
      </c>
      <c r="G95" s="193" t="s">
        <v>728</v>
      </c>
      <c r="H95" s="194" t="s">
        <v>728</v>
      </c>
      <c r="I95" s="195" t="s">
        <v>728</v>
      </c>
      <c r="J95" s="194" t="s">
        <v>729</v>
      </c>
      <c r="K95" s="108"/>
      <c r="L95" s="69"/>
    </row>
    <row r="96" spans="4:12" ht="15" customHeight="1" x14ac:dyDescent="0.45">
      <c r="E96" s="28" t="str">
        <f t="shared" si="5"/>
        <v>TD</v>
      </c>
      <c r="F96" s="192" t="s">
        <v>218</v>
      </c>
      <c r="G96" s="193" t="s">
        <v>731</v>
      </c>
      <c r="H96" s="194" t="s">
        <v>730</v>
      </c>
      <c r="I96" s="195" t="s">
        <v>730</v>
      </c>
      <c r="J96" s="194" t="s">
        <v>548</v>
      </c>
      <c r="K96" s="108"/>
      <c r="L96" s="69"/>
    </row>
    <row r="97" spans="4:14" ht="15" customHeight="1" x14ac:dyDescent="0.45">
      <c r="E97" s="28" t="str">
        <f t="shared" si="5"/>
        <v>Tore</v>
      </c>
      <c r="F97" s="192" t="s">
        <v>313</v>
      </c>
      <c r="G97" s="193" t="s">
        <v>315</v>
      </c>
      <c r="H97" s="194" t="s">
        <v>314</v>
      </c>
      <c r="I97" s="195" t="s">
        <v>312</v>
      </c>
      <c r="J97" s="194" t="s">
        <v>311</v>
      </c>
      <c r="K97" s="108"/>
      <c r="L97" s="69"/>
    </row>
    <row r="98" spans="4:14" ht="15" customHeight="1" x14ac:dyDescent="0.45">
      <c r="E98" s="28" t="str">
        <f t="shared" si="5"/>
        <v>Siege</v>
      </c>
      <c r="F98" s="192" t="s">
        <v>803</v>
      </c>
      <c r="G98" s="193" t="s">
        <v>811</v>
      </c>
      <c r="H98" s="194" t="s">
        <v>810</v>
      </c>
      <c r="I98" s="195" t="s">
        <v>809</v>
      </c>
      <c r="J98" s="194" t="s">
        <v>808</v>
      </c>
      <c r="K98" s="108"/>
      <c r="L98" s="69"/>
    </row>
    <row r="99" spans="4:14" ht="15" customHeight="1" x14ac:dyDescent="0.45">
      <c r="E99" s="28" t="str">
        <f t="shared" si="5"/>
        <v>Elfm</v>
      </c>
      <c r="F99" s="192" t="s">
        <v>838</v>
      </c>
      <c r="G99" s="193" t="s">
        <v>838</v>
      </c>
      <c r="H99" s="194" t="s">
        <v>840</v>
      </c>
      <c r="I99" s="195" t="s">
        <v>841</v>
      </c>
      <c r="J99" s="194" t="s">
        <v>839</v>
      </c>
      <c r="K99" s="108"/>
      <c r="L99" s="69"/>
    </row>
    <row r="100" spans="4:14" ht="15" customHeight="1" x14ac:dyDescent="0.45">
      <c r="E100" s="28" t="str">
        <f t="shared" si="5"/>
        <v xml:space="preserve">  Pkt      Tore</v>
      </c>
      <c r="F100" s="192" t="s">
        <v>732</v>
      </c>
      <c r="G100" s="193" t="s">
        <v>733</v>
      </c>
      <c r="H100" s="194" t="s">
        <v>734</v>
      </c>
      <c r="I100" s="195" t="s">
        <v>735</v>
      </c>
      <c r="J100" s="194" t="s">
        <v>736</v>
      </c>
      <c r="K100" s="402"/>
      <c r="L100" s="69"/>
    </row>
    <row r="101" spans="4:14" ht="15" customHeight="1" x14ac:dyDescent="0.45">
      <c r="E101" s="28" t="str">
        <f t="shared" si="5"/>
        <v>Gesamt</v>
      </c>
      <c r="F101" s="192" t="s">
        <v>316</v>
      </c>
      <c r="G101" s="193" t="s">
        <v>316</v>
      </c>
      <c r="H101" s="194" t="s">
        <v>325</v>
      </c>
      <c r="I101" s="195" t="s">
        <v>316</v>
      </c>
      <c r="J101" s="194" t="s">
        <v>737</v>
      </c>
      <c r="K101" s="108"/>
      <c r="L101" s="69"/>
    </row>
    <row r="102" spans="4:14" ht="15" customHeight="1" x14ac:dyDescent="0.45">
      <c r="E102" s="28" t="str">
        <f t="shared" si="5"/>
        <v>Fair-Play</v>
      </c>
      <c r="F102" s="192" t="s">
        <v>862</v>
      </c>
      <c r="G102" s="193" t="s">
        <v>862</v>
      </c>
      <c r="H102" s="194" t="s">
        <v>862</v>
      </c>
      <c r="I102" s="195" t="s">
        <v>651</v>
      </c>
      <c r="J102" s="194" t="s">
        <v>651</v>
      </c>
      <c r="K102" s="108"/>
      <c r="L102" s="69"/>
    </row>
    <row r="103" spans="4:14" ht="15" customHeight="1" x14ac:dyDescent="0.45">
      <c r="E103" s="28" t="str">
        <f t="shared" si="5"/>
        <v>Nicht klar</v>
      </c>
      <c r="F103" s="192" t="s">
        <v>240</v>
      </c>
      <c r="G103" s="193" t="s">
        <v>330</v>
      </c>
      <c r="H103" s="194" t="s">
        <v>331</v>
      </c>
      <c r="I103" s="195" t="s">
        <v>332</v>
      </c>
      <c r="J103" s="194" t="s">
        <v>333</v>
      </c>
      <c r="K103" s="108"/>
      <c r="L103" s="69"/>
    </row>
    <row r="104" spans="4:14" ht="15" customHeight="1" x14ac:dyDescent="0.45">
      <c r="E104" s="28" t="str">
        <f t="shared" si="5"/>
        <v>Dir. Vergl.(2)</v>
      </c>
      <c r="F104" s="192" t="s">
        <v>323</v>
      </c>
      <c r="G104" s="193" t="s">
        <v>328</v>
      </c>
      <c r="H104" s="194" t="s">
        <v>327</v>
      </c>
      <c r="I104" s="195" t="s">
        <v>328</v>
      </c>
      <c r="J104" s="194" t="s">
        <v>321</v>
      </c>
      <c r="K104" s="108"/>
      <c r="L104" s="69"/>
    </row>
    <row r="105" spans="4:14" ht="15" customHeight="1" x14ac:dyDescent="0.45">
      <c r="E105" s="28" t="str">
        <f t="shared" si="5"/>
        <v>Dir. Vergl.(3)</v>
      </c>
      <c r="F105" s="192" t="s">
        <v>324</v>
      </c>
      <c r="G105" s="193" t="s">
        <v>329</v>
      </c>
      <c r="H105" s="194" t="s">
        <v>326</v>
      </c>
      <c r="I105" s="195" t="s">
        <v>329</v>
      </c>
      <c r="J105" s="194" t="s">
        <v>322</v>
      </c>
      <c r="K105" s="108"/>
      <c r="L105" s="69"/>
    </row>
    <row r="106" spans="4:14" x14ac:dyDescent="0.25">
      <c r="E106" s="28" t="str">
        <f t="shared" si="5"/>
        <v>Schlusstabelle</v>
      </c>
      <c r="F106" s="185" t="s">
        <v>56</v>
      </c>
      <c r="G106" s="186" t="s">
        <v>243</v>
      </c>
      <c r="H106" s="184" t="s">
        <v>242</v>
      </c>
      <c r="I106" s="187" t="s">
        <v>241</v>
      </c>
      <c r="J106" s="184" t="s">
        <v>179</v>
      </c>
      <c r="K106" s="108"/>
      <c r="L106" s="107"/>
      <c r="M106" s="107"/>
      <c r="N106" s="107"/>
    </row>
    <row r="107" spans="4:14" ht="15.75" thickBot="1" x14ac:dyDescent="0.3">
      <c r="E107" s="28" t="str">
        <f t="shared" si="5"/>
        <v>Europameister 2021:</v>
      </c>
      <c r="F107" s="185" t="s">
        <v>707</v>
      </c>
      <c r="G107" s="186" t="s">
        <v>706</v>
      </c>
      <c r="H107" s="184" t="s">
        <v>705</v>
      </c>
      <c r="I107" s="187" t="s">
        <v>704</v>
      </c>
      <c r="J107" s="184" t="s">
        <v>703</v>
      </c>
      <c r="K107" s="108"/>
      <c r="L107" s="107"/>
      <c r="M107" s="107"/>
      <c r="N107" s="107"/>
    </row>
    <row r="108" spans="4:14" ht="15.75" thickTop="1" x14ac:dyDescent="0.25">
      <c r="D108" s="261">
        <v>1</v>
      </c>
      <c r="E108" s="28" t="str">
        <f t="shared" si="5"/>
        <v>Achtelfinale 1</v>
      </c>
      <c r="F108" s="185" t="s">
        <v>61</v>
      </c>
      <c r="G108" s="186" t="s">
        <v>244</v>
      </c>
      <c r="H108" s="184" t="s">
        <v>252</v>
      </c>
      <c r="I108" s="187" t="s">
        <v>260</v>
      </c>
      <c r="J108" s="184" t="s">
        <v>180</v>
      </c>
      <c r="K108" s="108"/>
      <c r="L108" s="107"/>
      <c r="M108" s="107"/>
      <c r="N108" s="107"/>
    </row>
    <row r="109" spans="4:14" x14ac:dyDescent="0.25">
      <c r="D109" s="180">
        <v>2</v>
      </c>
      <c r="E109" s="28" t="str">
        <f t="shared" si="5"/>
        <v>Achtelfinale 2</v>
      </c>
      <c r="F109" s="185" t="s">
        <v>59</v>
      </c>
      <c r="G109" s="186" t="s">
        <v>245</v>
      </c>
      <c r="H109" s="184" t="s">
        <v>253</v>
      </c>
      <c r="I109" s="187" t="s">
        <v>261</v>
      </c>
      <c r="J109" s="184" t="s">
        <v>181</v>
      </c>
      <c r="K109" s="108"/>
      <c r="L109" s="107"/>
      <c r="M109" s="107"/>
      <c r="N109" s="107"/>
    </row>
    <row r="110" spans="4:14" x14ac:dyDescent="0.25">
      <c r="D110" s="180">
        <v>3</v>
      </c>
      <c r="E110" s="28" t="str">
        <f t="shared" si="5"/>
        <v>Achtelfinale 3</v>
      </c>
      <c r="F110" s="185" t="s">
        <v>62</v>
      </c>
      <c r="G110" s="186" t="s">
        <v>246</v>
      </c>
      <c r="H110" s="184" t="s">
        <v>254</v>
      </c>
      <c r="I110" s="187" t="s">
        <v>262</v>
      </c>
      <c r="J110" s="184" t="s">
        <v>182</v>
      </c>
      <c r="K110" s="108"/>
      <c r="L110" s="107"/>
      <c r="M110" s="107"/>
      <c r="N110" s="107"/>
    </row>
    <row r="111" spans="4:14" x14ac:dyDescent="0.25">
      <c r="D111" s="180">
        <v>4</v>
      </c>
      <c r="E111" s="28" t="str">
        <f t="shared" si="5"/>
        <v>Achtelfinale 4</v>
      </c>
      <c r="F111" s="185" t="s">
        <v>60</v>
      </c>
      <c r="G111" s="186" t="s">
        <v>247</v>
      </c>
      <c r="H111" s="184" t="s">
        <v>255</v>
      </c>
      <c r="I111" s="187" t="s">
        <v>263</v>
      </c>
      <c r="J111" s="184" t="s">
        <v>183</v>
      </c>
      <c r="K111" s="108"/>
      <c r="L111" s="107"/>
      <c r="M111" s="107"/>
      <c r="N111" s="107"/>
    </row>
    <row r="112" spans="4:14" x14ac:dyDescent="0.25">
      <c r="D112" s="180">
        <v>5</v>
      </c>
      <c r="E112" s="28" t="str">
        <f t="shared" si="5"/>
        <v>Achtelfinale 5</v>
      </c>
      <c r="F112" s="185" t="s">
        <v>57</v>
      </c>
      <c r="G112" s="186" t="s">
        <v>248</v>
      </c>
      <c r="H112" s="184" t="s">
        <v>256</v>
      </c>
      <c r="I112" s="187" t="s">
        <v>264</v>
      </c>
      <c r="J112" s="184" t="s">
        <v>184</v>
      </c>
      <c r="K112" s="108"/>
      <c r="L112" s="107"/>
      <c r="M112" s="107"/>
      <c r="N112" s="107"/>
    </row>
    <row r="113" spans="4:14" x14ac:dyDescent="0.25">
      <c r="D113" s="180">
        <v>6</v>
      </c>
      <c r="E113" s="28" t="str">
        <f t="shared" si="5"/>
        <v>Achtelfinale 6</v>
      </c>
      <c r="F113" s="185" t="s">
        <v>58</v>
      </c>
      <c r="G113" s="186" t="s">
        <v>249</v>
      </c>
      <c r="H113" s="184" t="s">
        <v>257</v>
      </c>
      <c r="I113" s="187" t="s">
        <v>265</v>
      </c>
      <c r="J113" s="184" t="s">
        <v>185</v>
      </c>
      <c r="K113" s="108"/>
      <c r="L113" s="107"/>
      <c r="M113" s="107"/>
      <c r="N113" s="107"/>
    </row>
    <row r="114" spans="4:14" x14ac:dyDescent="0.25">
      <c r="D114" s="180">
        <v>7</v>
      </c>
      <c r="E114" s="28" t="str">
        <f t="shared" si="5"/>
        <v>Achtelfinale 7</v>
      </c>
      <c r="F114" s="185" t="s">
        <v>63</v>
      </c>
      <c r="G114" s="186" t="s">
        <v>250</v>
      </c>
      <c r="H114" s="184" t="s">
        <v>258</v>
      </c>
      <c r="I114" s="187" t="s">
        <v>266</v>
      </c>
      <c r="J114" s="184" t="s">
        <v>186</v>
      </c>
      <c r="K114" s="108"/>
    </row>
    <row r="115" spans="4:14" ht="15.75" thickBot="1" x14ac:dyDescent="0.3">
      <c r="D115" s="183">
        <v>8</v>
      </c>
      <c r="E115" s="28" t="str">
        <f t="shared" si="5"/>
        <v>Achtelfinale 8</v>
      </c>
      <c r="F115" s="185" t="s">
        <v>64</v>
      </c>
      <c r="G115" s="186" t="s">
        <v>251</v>
      </c>
      <c r="H115" s="184" t="s">
        <v>259</v>
      </c>
      <c r="I115" s="187" t="s">
        <v>267</v>
      </c>
      <c r="J115" s="184" t="s">
        <v>187</v>
      </c>
      <c r="K115" s="108"/>
    </row>
    <row r="116" spans="4:14" ht="15.75" thickTop="1" x14ac:dyDescent="0.25">
      <c r="D116" s="261">
        <v>1</v>
      </c>
      <c r="E116" s="28" t="str">
        <f t="shared" si="5"/>
        <v>Viertelfinale 1</v>
      </c>
      <c r="F116" s="228" t="s">
        <v>365</v>
      </c>
      <c r="G116" s="186" t="s">
        <v>276</v>
      </c>
      <c r="H116" s="184" t="s">
        <v>272</v>
      </c>
      <c r="I116" s="187" t="s">
        <v>268</v>
      </c>
      <c r="J116" s="184" t="s">
        <v>188</v>
      </c>
      <c r="K116" s="108"/>
    </row>
    <row r="117" spans="4:14" x14ac:dyDescent="0.25">
      <c r="D117" s="180">
        <v>2</v>
      </c>
      <c r="E117" s="28" t="str">
        <f t="shared" si="5"/>
        <v>Viertelfinale 2</v>
      </c>
      <c r="F117" s="228" t="s">
        <v>366</v>
      </c>
      <c r="G117" s="186" t="s">
        <v>277</v>
      </c>
      <c r="H117" s="184" t="s">
        <v>273</v>
      </c>
      <c r="I117" s="187" t="s">
        <v>269</v>
      </c>
      <c r="J117" s="184" t="s">
        <v>189</v>
      </c>
      <c r="K117" s="108"/>
    </row>
    <row r="118" spans="4:14" x14ac:dyDescent="0.25">
      <c r="D118" s="180">
        <v>3</v>
      </c>
      <c r="E118" s="28" t="str">
        <f t="shared" si="5"/>
        <v>Viertelfinale 3</v>
      </c>
      <c r="F118" s="228" t="s">
        <v>367</v>
      </c>
      <c r="G118" s="186" t="s">
        <v>278</v>
      </c>
      <c r="H118" s="184" t="s">
        <v>274</v>
      </c>
      <c r="I118" s="187" t="s">
        <v>270</v>
      </c>
      <c r="J118" s="184" t="s">
        <v>190</v>
      </c>
      <c r="K118" s="108"/>
    </row>
    <row r="119" spans="4:14" ht="15.75" thickBot="1" x14ac:dyDescent="0.3">
      <c r="D119" s="183">
        <v>4</v>
      </c>
      <c r="E119" s="28" t="str">
        <f t="shared" si="5"/>
        <v>Viertelfinale 4</v>
      </c>
      <c r="F119" s="228" t="s">
        <v>368</v>
      </c>
      <c r="G119" s="186" t="s">
        <v>279</v>
      </c>
      <c r="H119" s="184" t="s">
        <v>275</v>
      </c>
      <c r="I119" s="187" t="s">
        <v>271</v>
      </c>
      <c r="J119" s="184" t="s">
        <v>191</v>
      </c>
      <c r="K119" s="108"/>
    </row>
    <row r="120" spans="4:14" ht="15.75" thickTop="1" x14ac:dyDescent="0.25">
      <c r="E120" s="28" t="str">
        <f t="shared" si="5"/>
        <v>Halbfinale 1</v>
      </c>
      <c r="F120" s="185" t="s">
        <v>65</v>
      </c>
      <c r="G120" s="186" t="s">
        <v>280</v>
      </c>
      <c r="H120" s="184" t="s">
        <v>282</v>
      </c>
      <c r="I120" s="187" t="s">
        <v>284</v>
      </c>
      <c r="J120" s="184" t="s">
        <v>192</v>
      </c>
      <c r="K120" s="108"/>
    </row>
    <row r="121" spans="4:14" x14ac:dyDescent="0.25">
      <c r="E121" s="28" t="str">
        <f t="shared" si="5"/>
        <v>Halbfinale 2</v>
      </c>
      <c r="F121" s="185" t="s">
        <v>66</v>
      </c>
      <c r="G121" s="186" t="s">
        <v>281</v>
      </c>
      <c r="H121" s="184" t="s">
        <v>283</v>
      </c>
      <c r="I121" s="187" t="s">
        <v>285</v>
      </c>
      <c r="J121" s="184" t="s">
        <v>193</v>
      </c>
      <c r="K121" s="108"/>
    </row>
    <row r="122" spans="4:14" x14ac:dyDescent="0.25">
      <c r="E122" s="28" t="str">
        <f t="shared" si="5"/>
        <v>Dritter Platz</v>
      </c>
      <c r="F122" s="185" t="s">
        <v>178</v>
      </c>
      <c r="G122" s="186" t="s">
        <v>396</v>
      </c>
      <c r="H122" s="184" t="s">
        <v>397</v>
      </c>
      <c r="I122" s="187" t="s">
        <v>286</v>
      </c>
      <c r="J122" s="184" t="s">
        <v>194</v>
      </c>
      <c r="K122" s="108"/>
    </row>
    <row r="123" spans="4:14" x14ac:dyDescent="0.25">
      <c r="E123" s="28" t="str">
        <f t="shared" si="5"/>
        <v>Finale</v>
      </c>
      <c r="F123" s="185" t="s">
        <v>67</v>
      </c>
      <c r="G123" s="186" t="s">
        <v>67</v>
      </c>
      <c r="H123" s="184" t="s">
        <v>195</v>
      </c>
      <c r="I123" s="187" t="s">
        <v>67</v>
      </c>
      <c r="J123" s="184" t="s">
        <v>195</v>
      </c>
      <c r="K123" s="108"/>
    </row>
    <row r="124" spans="4:14" x14ac:dyDescent="0.25">
      <c r="E124" s="28" t="str">
        <f t="shared" si="5"/>
        <v>Bonus</v>
      </c>
      <c r="F124" s="185" t="s">
        <v>300</v>
      </c>
      <c r="G124" s="186" t="s">
        <v>395</v>
      </c>
      <c r="H124" s="184" t="s">
        <v>300</v>
      </c>
      <c r="I124" s="187" t="s">
        <v>394</v>
      </c>
      <c r="J124" s="184" t="s">
        <v>300</v>
      </c>
      <c r="K124" s="108"/>
    </row>
    <row r="125" spans="4:14" x14ac:dyDescent="0.25">
      <c r="E125" s="28" t="str">
        <f t="shared" si="5"/>
        <v>Elfmeterschießen:</v>
      </c>
      <c r="F125" s="185" t="s">
        <v>543</v>
      </c>
      <c r="G125" s="186" t="s">
        <v>544</v>
      </c>
      <c r="H125" s="184" t="s">
        <v>545</v>
      </c>
      <c r="I125" s="187" t="s">
        <v>546</v>
      </c>
      <c r="J125" s="184" t="s">
        <v>542</v>
      </c>
      <c r="K125" s="108"/>
    </row>
    <row r="126" spans="4:14" x14ac:dyDescent="0.25">
      <c r="E126" s="28" t="str">
        <f t="shared" si="5"/>
        <v>Gruppendritte</v>
      </c>
      <c r="F126" s="185" t="s">
        <v>656</v>
      </c>
      <c r="G126" s="186" t="s">
        <v>655</v>
      </c>
      <c r="H126" s="184" t="s">
        <v>657</v>
      </c>
      <c r="I126" s="187" t="s">
        <v>658</v>
      </c>
      <c r="J126" s="184" t="s">
        <v>547</v>
      </c>
      <c r="K126" s="108"/>
    </row>
    <row r="127" spans="4:14" x14ac:dyDescent="0.25">
      <c r="E127" s="28" t="str">
        <f t="shared" ref="E127:E128" si="7">IF($C$3,F127,IF($C$4,G127,IF($C$5,H127,IF($C$6,I127,IF($C$7,J127,IF(K127&lt;&gt;"",K127,F127))))))</f>
        <v>Gruppenkombination:</v>
      </c>
      <c r="F127" s="185" t="s">
        <v>660</v>
      </c>
      <c r="G127" s="186" t="s">
        <v>661</v>
      </c>
      <c r="H127" s="184" t="s">
        <v>662</v>
      </c>
      <c r="I127" s="187" t="s">
        <v>663</v>
      </c>
      <c r="J127" s="184" t="s">
        <v>552</v>
      </c>
      <c r="K127" s="108"/>
    </row>
    <row r="128" spans="4:14" x14ac:dyDescent="0.25">
      <c r="E128" s="28" t="str">
        <f t="shared" si="7"/>
        <v>Nicht qualifiziert:</v>
      </c>
      <c r="F128" s="185" t="s">
        <v>667</v>
      </c>
      <c r="G128" s="186" t="s">
        <v>666</v>
      </c>
      <c r="H128" s="184" t="s">
        <v>665</v>
      </c>
      <c r="I128" s="187" t="s">
        <v>664</v>
      </c>
      <c r="J128" s="184" t="s">
        <v>654</v>
      </c>
      <c r="K128" s="108"/>
    </row>
    <row r="129" spans="5:11" x14ac:dyDescent="0.25">
      <c r="E129" s="28" t="str">
        <f t="shared" si="5"/>
        <v>Gruppen-kombination:</v>
      </c>
      <c r="F129" s="185" t="s">
        <v>660</v>
      </c>
      <c r="G129" s="186" t="s">
        <v>661</v>
      </c>
      <c r="H129" s="184" t="s">
        <v>662</v>
      </c>
      <c r="I129" s="187" t="s">
        <v>663</v>
      </c>
      <c r="J129" s="184" t="s">
        <v>723</v>
      </c>
      <c r="K129" s="108"/>
    </row>
    <row r="130" spans="5:11" x14ac:dyDescent="0.25">
      <c r="E130" s="28" t="str">
        <f t="shared" si="5"/>
        <v>Erster der Gruppe</v>
      </c>
      <c r="F130" s="185" t="s">
        <v>722</v>
      </c>
      <c r="G130" s="186" t="s">
        <v>721</v>
      </c>
      <c r="H130" s="184" t="s">
        <v>720</v>
      </c>
      <c r="I130" s="187" t="s">
        <v>718</v>
      </c>
      <c r="J130" s="184" t="s">
        <v>719</v>
      </c>
      <c r="K130" s="108"/>
    </row>
    <row r="131" spans="5:11" ht="32.25" customHeight="1" x14ac:dyDescent="0.25">
      <c r="E131" s="103" t="str">
        <f t="shared" si="5"/>
        <v>gegen Dritten der Gruppe</v>
      </c>
      <c r="F131" s="196" t="s">
        <v>714</v>
      </c>
      <c r="G131" s="197" t="s">
        <v>715</v>
      </c>
      <c r="H131" s="198" t="s">
        <v>716</v>
      </c>
      <c r="I131" s="199" t="s">
        <v>717</v>
      </c>
      <c r="J131" s="198" t="s">
        <v>713</v>
      </c>
      <c r="K131" s="117"/>
    </row>
    <row r="132" spans="5:11" x14ac:dyDescent="0.25">
      <c r="E132" s="28" t="str">
        <f t="shared" si="5"/>
        <v>Der rote Punkt   •</v>
      </c>
      <c r="F132" s="185" t="s">
        <v>869</v>
      </c>
      <c r="G132" s="186" t="s">
        <v>854</v>
      </c>
      <c r="H132" s="184" t="s">
        <v>853</v>
      </c>
      <c r="I132" s="187" t="s">
        <v>852</v>
      </c>
      <c r="J132" s="184" t="s">
        <v>851</v>
      </c>
      <c r="K132" s="108"/>
    </row>
    <row r="133" spans="5:11" x14ac:dyDescent="0.25">
      <c r="E133" s="28">
        <f t="shared" si="5"/>
        <v>0</v>
      </c>
      <c r="F133" s="185"/>
      <c r="G133" s="186"/>
      <c r="H133" s="184"/>
      <c r="I133" s="187"/>
      <c r="J133" s="184"/>
      <c r="K133" s="108"/>
    </row>
    <row r="134" spans="5:11" ht="28.5" x14ac:dyDescent="0.45">
      <c r="E134" s="28"/>
      <c r="F134" s="114" t="s">
        <v>234</v>
      </c>
      <c r="G134" s="115"/>
      <c r="H134" s="115"/>
      <c r="I134" s="115"/>
      <c r="J134" s="115"/>
      <c r="K134" s="116"/>
    </row>
    <row r="135" spans="5:11" ht="54.75" customHeight="1" x14ac:dyDescent="0.25">
      <c r="E135" s="103" t="str">
        <f t="shared" ref="E135:E159" si="8">IF($C$3,F135,IF($C$4,G135,IF($C$5,H135,IF($C$6,I135,IF($C$7,J135,IF(K135&lt;&gt;"",K135,F135))))))</f>
        <v>Gruppen mit Fair-Play-Wertung:</v>
      </c>
      <c r="F135" s="196" t="s">
        <v>645</v>
      </c>
      <c r="G135" s="197" t="s">
        <v>644</v>
      </c>
      <c r="H135" s="198" t="s">
        <v>643</v>
      </c>
      <c r="I135" s="199" t="s">
        <v>642</v>
      </c>
      <c r="J135" s="198" t="s">
        <v>641</v>
      </c>
      <c r="K135" s="117"/>
    </row>
    <row r="136" spans="5:11" ht="51.75" customHeight="1" x14ac:dyDescent="0.25">
      <c r="E136" s="103" t="str">
        <f t="shared" si="8"/>
        <v>Die Platzierung ist in allen Gruppen geklärt.</v>
      </c>
      <c r="F136" s="196" t="s">
        <v>302</v>
      </c>
      <c r="G136" s="197" t="s">
        <v>305</v>
      </c>
      <c r="H136" s="198" t="s">
        <v>304</v>
      </c>
      <c r="I136" s="199" t="s">
        <v>303</v>
      </c>
      <c r="J136" s="198" t="s">
        <v>301</v>
      </c>
      <c r="K136" s="117"/>
    </row>
    <row r="137" spans="5:11" ht="16.5" customHeight="1" x14ac:dyDescent="0.25">
      <c r="E137" s="103" t="str">
        <f t="shared" si="8"/>
        <v xml:space="preserve"> und </v>
      </c>
      <c r="F137" s="200" t="s">
        <v>343</v>
      </c>
      <c r="G137" s="201" t="s">
        <v>344</v>
      </c>
      <c r="H137" s="202" t="s">
        <v>345</v>
      </c>
      <c r="I137" s="203" t="s">
        <v>346</v>
      </c>
      <c r="J137" s="204" t="s">
        <v>347</v>
      </c>
      <c r="K137" s="156"/>
    </row>
    <row r="138" spans="5:11" ht="20.25" customHeight="1" x14ac:dyDescent="0.25">
      <c r="E138" s="118" t="str">
        <f t="shared" si="8"/>
        <v>Unzulässiges Ergebnis!</v>
      </c>
      <c r="F138" s="205" t="s">
        <v>295</v>
      </c>
      <c r="G138" s="206" t="s">
        <v>297</v>
      </c>
      <c r="H138" s="207" t="s">
        <v>296</v>
      </c>
      <c r="I138" s="208" t="s">
        <v>298</v>
      </c>
      <c r="J138" s="207" t="s">
        <v>294</v>
      </c>
      <c r="K138" s="119"/>
    </row>
    <row r="139" spans="5:11" ht="124.5" customHeight="1" x14ac:dyDescent="0.25">
      <c r="E139" s="102" t="str">
        <f t="shared" si="8"/>
        <v>Entscheidet bei zwei Mannschaften die Fair-Play-Wertung über die bessere Platzierung in der Gruppe, so wird hier für die bessere Mannschaft eine "1" eingetragen.</v>
      </c>
      <c r="F139" s="209" t="s">
        <v>650</v>
      </c>
      <c r="G139" s="210" t="s">
        <v>649</v>
      </c>
      <c r="H139" s="211" t="s">
        <v>648</v>
      </c>
      <c r="I139" s="212" t="s">
        <v>647</v>
      </c>
      <c r="J139" s="211" t="s">
        <v>646</v>
      </c>
      <c r="K139" s="175"/>
    </row>
    <row r="140" spans="5:11" ht="47.25" customHeight="1" x14ac:dyDescent="0.25">
      <c r="E140" s="102" t="str">
        <f t="shared" si="8"/>
        <v>Hier klicken und
Zeitzone wählen:</v>
      </c>
      <c r="F140" s="209" t="s">
        <v>308</v>
      </c>
      <c r="G140" s="210" t="s">
        <v>385</v>
      </c>
      <c r="H140" s="211" t="s">
        <v>390</v>
      </c>
      <c r="I140" s="212" t="s">
        <v>389</v>
      </c>
      <c r="J140" s="233" t="s">
        <v>383</v>
      </c>
      <c r="K140" s="175"/>
    </row>
    <row r="141" spans="5:11" ht="39.75" customHeight="1" x14ac:dyDescent="0.25">
      <c r="E141" s="102" t="str">
        <f t="shared" si="8"/>
        <v>Hier klicken und Sprache wählen:</v>
      </c>
      <c r="F141" s="209" t="s">
        <v>118</v>
      </c>
      <c r="G141" s="210" t="s">
        <v>386</v>
      </c>
      <c r="H141" s="211" t="s">
        <v>387</v>
      </c>
      <c r="I141" s="212" t="s">
        <v>388</v>
      </c>
      <c r="J141" s="233" t="s">
        <v>384</v>
      </c>
      <c r="K141" s="175"/>
    </row>
    <row r="142" spans="5:11" ht="16.5" customHeight="1" x14ac:dyDescent="0.25">
      <c r="E142" s="102" t="str">
        <f t="shared" si="8"/>
        <v xml:space="preserve"> : </v>
      </c>
      <c r="F142" s="200" t="s">
        <v>363</v>
      </c>
      <c r="G142" s="201" t="s">
        <v>363</v>
      </c>
      <c r="H142" s="202" t="s">
        <v>363</v>
      </c>
      <c r="I142" s="203" t="s">
        <v>363</v>
      </c>
      <c r="J142" s="204" t="s">
        <v>362</v>
      </c>
      <c r="K142" s="156"/>
    </row>
    <row r="143" spans="5:11" ht="72" customHeight="1" x14ac:dyDescent="0.25">
      <c r="E143" s="102" t="str">
        <f t="shared" si="8"/>
        <v>Bei Sommerzeit muss die Zeitzone um 1 erhöht werden
(z. B. UTC+2 statt UTC+1)</v>
      </c>
      <c r="F143" s="209" t="s">
        <v>401</v>
      </c>
      <c r="G143" s="210" t="s">
        <v>400</v>
      </c>
      <c r="H143" s="211" t="s">
        <v>399</v>
      </c>
      <c r="I143" s="212" t="s">
        <v>402</v>
      </c>
      <c r="J143" s="233" t="s">
        <v>403</v>
      </c>
      <c r="K143" s="175"/>
    </row>
    <row r="144" spans="5:11" ht="33.75" customHeight="1" x14ac:dyDescent="0.25">
      <c r="E144" s="102" t="str">
        <f t="shared" si="8"/>
        <v>Qualifikation zum Achtelfinale</v>
      </c>
      <c r="F144" s="209" t="s">
        <v>749</v>
      </c>
      <c r="G144" s="210" t="s">
        <v>750</v>
      </c>
      <c r="H144" s="211" t="s">
        <v>751</v>
      </c>
      <c r="I144" s="212" t="s">
        <v>802</v>
      </c>
      <c r="J144" s="233" t="s">
        <v>748</v>
      </c>
      <c r="K144" s="175"/>
    </row>
    <row r="145" spans="5:11" ht="50.1" customHeight="1" x14ac:dyDescent="0.25">
      <c r="E145" s="102" t="str">
        <f t="shared" si="8"/>
        <v>Kriterien für die Platzierung innerhalb der Gruppen:</v>
      </c>
      <c r="F145" s="209" t="s">
        <v>756</v>
      </c>
      <c r="G145" s="210" t="s">
        <v>755</v>
      </c>
      <c r="H145" s="211" t="s">
        <v>754</v>
      </c>
      <c r="I145" s="212" t="s">
        <v>753</v>
      </c>
      <c r="J145" s="233" t="s">
        <v>752</v>
      </c>
      <c r="K145" s="175"/>
    </row>
    <row r="146" spans="5:11" ht="50.1" customHeight="1" x14ac:dyDescent="0.25">
      <c r="E146" s="102" t="str">
        <f t="shared" si="8"/>
        <v xml:space="preserve">  1.  Punkte aus allen Gruppenspielen</v>
      </c>
      <c r="F146" s="209" t="s">
        <v>819</v>
      </c>
      <c r="G146" s="210" t="s">
        <v>776</v>
      </c>
      <c r="H146" s="211" t="s">
        <v>770</v>
      </c>
      <c r="I146" s="212" t="s">
        <v>764</v>
      </c>
      <c r="J146" s="233" t="s">
        <v>757</v>
      </c>
      <c r="K146" s="175"/>
    </row>
    <row r="147" spans="5:11" ht="50.1" customHeight="1" x14ac:dyDescent="0.25">
      <c r="E147" s="102" t="str">
        <f t="shared" si="8"/>
        <v xml:space="preserve">  2.  Punkte der direkten Begegnungen</v>
      </c>
      <c r="F147" s="209" t="s">
        <v>821</v>
      </c>
      <c r="G147" s="210" t="s">
        <v>777</v>
      </c>
      <c r="H147" s="211" t="s">
        <v>771</v>
      </c>
      <c r="I147" s="212" t="s">
        <v>765</v>
      </c>
      <c r="J147" s="233" t="s">
        <v>758</v>
      </c>
      <c r="K147" s="175"/>
    </row>
    <row r="148" spans="5:11" ht="50.1" customHeight="1" x14ac:dyDescent="0.25">
      <c r="E148" s="102" t="str">
        <f t="shared" si="8"/>
        <v xml:space="preserve">  3.  Tordifferenz aus den Direkt-Begegnungen</v>
      </c>
      <c r="F148" s="209" t="s">
        <v>820</v>
      </c>
      <c r="G148" s="210" t="s">
        <v>824</v>
      </c>
      <c r="H148" s="211" t="s">
        <v>823</v>
      </c>
      <c r="I148" s="212" t="s">
        <v>822</v>
      </c>
      <c r="J148" s="233" t="s">
        <v>759</v>
      </c>
      <c r="K148" s="175"/>
    </row>
    <row r="149" spans="5:11" ht="50.1" customHeight="1" x14ac:dyDescent="0.25">
      <c r="E149" s="102" t="str">
        <f t="shared" si="8"/>
        <v xml:space="preserve">  4.  Anzahl der in den Direkt-Begegnungen erzielten Tore</v>
      </c>
      <c r="F149" s="209" t="s">
        <v>782</v>
      </c>
      <c r="G149" s="210" t="s">
        <v>778</v>
      </c>
      <c r="H149" s="211" t="s">
        <v>772</v>
      </c>
      <c r="I149" s="212" t="s">
        <v>766</v>
      </c>
      <c r="J149" s="233" t="s">
        <v>760</v>
      </c>
      <c r="K149" s="175"/>
    </row>
    <row r="150" spans="5:11" ht="65.25" customHeight="1" x14ac:dyDescent="0.25">
      <c r="E150" s="102" t="str">
        <f t="shared" si="8"/>
        <v xml:space="preserve">  5.  Nochmalige Anwendung der Krit. 2 - 4 nur auf die Mannschaften,</v>
      </c>
      <c r="F150" s="209" t="s">
        <v>813</v>
      </c>
      <c r="G150" s="210" t="s">
        <v>789</v>
      </c>
      <c r="H150" s="211" t="s">
        <v>787</v>
      </c>
      <c r="I150" s="212" t="s">
        <v>785</v>
      </c>
      <c r="J150" s="233" t="s">
        <v>783</v>
      </c>
      <c r="K150" s="175"/>
    </row>
    <row r="151" spans="5:11" ht="51" customHeight="1" x14ac:dyDescent="0.25">
      <c r="E151" s="102" t="str">
        <f t="shared" si="8"/>
        <v xml:space="preserve">       die beim 1. Durchlauf nicht unterscheidbar waren</v>
      </c>
      <c r="F151" s="209" t="s">
        <v>791</v>
      </c>
      <c r="G151" s="210" t="s">
        <v>790</v>
      </c>
      <c r="H151" s="211" t="s">
        <v>788</v>
      </c>
      <c r="I151" s="212" t="s">
        <v>786</v>
      </c>
      <c r="J151" s="233" t="s">
        <v>784</v>
      </c>
      <c r="K151" s="175"/>
    </row>
    <row r="152" spans="5:11" ht="50.1" customHeight="1" x14ac:dyDescent="0.25">
      <c r="E152" s="102" t="str">
        <f t="shared" si="8"/>
        <v xml:space="preserve">  6.  Tordifferenz aus allen Gruppenspielen</v>
      </c>
      <c r="F152" s="209" t="s">
        <v>814</v>
      </c>
      <c r="G152" s="210" t="s">
        <v>779</v>
      </c>
      <c r="H152" s="211" t="s">
        <v>773</v>
      </c>
      <c r="I152" s="212" t="s">
        <v>767</v>
      </c>
      <c r="J152" s="233" t="s">
        <v>761</v>
      </c>
      <c r="K152" s="175"/>
    </row>
    <row r="153" spans="5:11" ht="50.1" customHeight="1" x14ac:dyDescent="0.25">
      <c r="E153" s="102" t="str">
        <f t="shared" si="8"/>
        <v xml:space="preserve">  7.  Anzahl der erzielten Tore aus allen Gruppenspielen</v>
      </c>
      <c r="F153" s="209" t="s">
        <v>815</v>
      </c>
      <c r="G153" s="210" t="s">
        <v>780</v>
      </c>
      <c r="H153" s="211" t="s">
        <v>774</v>
      </c>
      <c r="I153" s="212" t="s">
        <v>768</v>
      </c>
      <c r="J153" s="233" t="s">
        <v>762</v>
      </c>
      <c r="K153" s="175"/>
    </row>
    <row r="154" spans="5:11" ht="50.1" customHeight="1" x14ac:dyDescent="0.25">
      <c r="E154" s="102" t="str">
        <f t="shared" si="8"/>
        <v xml:space="preserve">  8.  Anzahl der Siege aus allen Gruppenspielen</v>
      </c>
      <c r="F154" s="209" t="s">
        <v>816</v>
      </c>
      <c r="G154" s="210" t="s">
        <v>781</v>
      </c>
      <c r="H154" s="211" t="s">
        <v>797</v>
      </c>
      <c r="I154" s="212" t="s">
        <v>769</v>
      </c>
      <c r="J154" s="233" t="s">
        <v>763</v>
      </c>
      <c r="K154" s="175"/>
    </row>
    <row r="155" spans="5:11" ht="65.25" customHeight="1" x14ac:dyDescent="0.25">
      <c r="E155" s="102" t="str">
        <f t="shared" si="8"/>
        <v xml:space="preserve">  9.  Fair-Play-Wertung bzw. Elfmeterschießen im letzten Gruppenspiel,</v>
      </c>
      <c r="F155" s="209" t="s">
        <v>799</v>
      </c>
      <c r="G155" s="210" t="s">
        <v>792</v>
      </c>
      <c r="H155" s="211" t="s">
        <v>775</v>
      </c>
      <c r="I155" s="212" t="s">
        <v>794</v>
      </c>
      <c r="J155" s="233" t="s">
        <v>796</v>
      </c>
      <c r="K155" s="175"/>
    </row>
    <row r="156" spans="5:11" ht="52.5" customHeight="1" x14ac:dyDescent="0.25">
      <c r="E156" s="102" t="str">
        <f t="shared" si="8"/>
        <v xml:space="preserve">       wenn die Bedingungen dafür zutreffen</v>
      </c>
      <c r="F156" s="209" t="s">
        <v>793</v>
      </c>
      <c r="G156" s="210" t="s">
        <v>801</v>
      </c>
      <c r="H156" s="211" t="s">
        <v>798</v>
      </c>
      <c r="I156" s="212" t="s">
        <v>800</v>
      </c>
      <c r="J156" s="233" t="s">
        <v>795</v>
      </c>
      <c r="K156" s="175"/>
    </row>
    <row r="157" spans="5:11" ht="63" customHeight="1" x14ac:dyDescent="0.25">
      <c r="E157" s="102" t="str">
        <f t="shared" si="8"/>
        <v>10.  Position in der Schlussrangliste der European Qualifiers</v>
      </c>
      <c r="F157" s="209" t="s">
        <v>817</v>
      </c>
      <c r="G157" s="210" t="s">
        <v>843</v>
      </c>
      <c r="H157" s="211" t="s">
        <v>844</v>
      </c>
      <c r="I157" s="212" t="s">
        <v>845</v>
      </c>
      <c r="J157" s="233" t="s">
        <v>818</v>
      </c>
      <c r="K157" s="175"/>
    </row>
    <row r="158" spans="5:11" ht="203.25" customHeight="1" x14ac:dyDescent="0.25">
      <c r="E158" s="102" t="str">
        <f t="shared" si="8"/>
        <v>Wenn über dem Gruppennamen ein roter Punkt erscheint, ist die Rangreihenfolge innerhalb der Gruppe nicht geklärt. Die Fair-Play-Wertung oder die Schlussrangliste der European Qualifiers entscheiden dann. In diesem Fall Fair-Play eintragen!</v>
      </c>
      <c r="F158" s="209" t="s">
        <v>846</v>
      </c>
      <c r="G158" s="210" t="s">
        <v>847</v>
      </c>
      <c r="H158" s="211" t="s">
        <v>848</v>
      </c>
      <c r="I158" s="212" t="s">
        <v>849</v>
      </c>
      <c r="J158" s="233" t="s">
        <v>850</v>
      </c>
      <c r="K158" s="175"/>
    </row>
    <row r="159" spans="5:11" ht="15.75" thickBot="1" x14ac:dyDescent="0.3">
      <c r="E159" s="102">
        <f t="shared" si="8"/>
        <v>0</v>
      </c>
      <c r="F159" s="213"/>
      <c r="G159" s="214"/>
      <c r="H159" s="215"/>
      <c r="I159" s="216"/>
      <c r="J159" s="217"/>
      <c r="K159" s="176"/>
    </row>
    <row r="160" spans="5:11" ht="15.75" thickTop="1" x14ac:dyDescent="0.25"/>
    <row r="161" x14ac:dyDescent="0.25"/>
  </sheetData>
  <sheetProtection sheet="1" selectLockedCells="1"/>
  <mergeCells count="11">
    <mergeCell ref="K3:K4"/>
    <mergeCell ref="F1:J1"/>
    <mergeCell ref="K1:L1"/>
    <mergeCell ref="F2:J2"/>
    <mergeCell ref="D3:D4"/>
    <mergeCell ref="J3:J4"/>
    <mergeCell ref="E3:E4"/>
    <mergeCell ref="F3:F4"/>
    <mergeCell ref="G3:G4"/>
    <mergeCell ref="H3:H4"/>
    <mergeCell ref="I3:I4"/>
  </mergeCells>
  <conditionalFormatting sqref="F3:F4">
    <cfRule type="expression" dxfId="10" priority="11">
      <formula>$C$3</formula>
    </cfRule>
  </conditionalFormatting>
  <conditionalFormatting sqref="G3:G4">
    <cfRule type="expression" dxfId="9" priority="10">
      <formula>$C$4</formula>
    </cfRule>
  </conditionalFormatting>
  <conditionalFormatting sqref="D3:D4">
    <cfRule type="expression" dxfId="8" priority="395">
      <formula>#REF!</formula>
    </cfRule>
  </conditionalFormatting>
  <conditionalFormatting sqref="H3:H4">
    <cfRule type="expression" dxfId="7" priority="396">
      <formula>$C$5</formula>
    </cfRule>
  </conditionalFormatting>
  <conditionalFormatting sqref="I3:I4">
    <cfRule type="expression" dxfId="6" priority="397">
      <formula>$C$6</formula>
    </cfRule>
  </conditionalFormatting>
  <conditionalFormatting sqref="J3:J4">
    <cfRule type="expression" dxfId="5" priority="398">
      <formula>$C$7</formula>
    </cfRule>
  </conditionalFormatting>
  <conditionalFormatting sqref="K3:K4">
    <cfRule type="expression" dxfId="4" priority="399">
      <formula>$C$8</formula>
    </cfRule>
  </conditionalFormatting>
  <dataValidations count="3">
    <dataValidation type="whole" allowBlank="1" showInputMessage="1" showErrorMessage="1" sqref="M2" xr:uid="{6B3C9837-FE53-476E-8643-96A2EEB36C2B}">
      <formula1>1</formula1>
      <formula2>5</formula2>
    </dataValidation>
    <dataValidation allowBlank="1" showErrorMessage="1" errorTitle="Language" error="Invalid language" promptTitle="Language" prompt="Please choose a language for the country names" sqref="L3" xr:uid="{4D3CF56D-2CA4-4BE5-9FA1-61CB292561F6}"/>
    <dataValidation type="list" allowBlank="1" showErrorMessage="1" errorTitle="Language" error="Invalid language" sqref="M1" xr:uid="{E62BBF8D-53D3-46DA-98B6-E8D51E59B0A7}">
      <formula1>$B$3:$B$8</formula1>
    </dataValidation>
  </dataValidations>
  <pageMargins left="0.7" right="0.7" top="0.78740157499999996" bottom="0.78740157499999996"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21B00-85A1-4BB1-B74A-9DB0D27CEDE9}">
  <sheetPr codeName="Tabelle4"/>
  <dimension ref="A1:N80"/>
  <sheetViews>
    <sheetView showGridLines="0" showRowColHeaders="0" workbookViewId="0">
      <selection activeCell="H1" sqref="H1"/>
    </sheetView>
  </sheetViews>
  <sheetFormatPr baseColWidth="10" defaultColWidth="0" defaultRowHeight="15" zeroHeight="1" x14ac:dyDescent="0.25"/>
  <cols>
    <col min="1" max="1" width="28" style="4" customWidth="1"/>
    <col min="2" max="2" width="11.42578125" style="4" hidden="1" customWidth="1"/>
    <col min="3" max="3" width="11.42578125" style="4" customWidth="1"/>
    <col min="4" max="4" width="13.140625" style="4" customWidth="1"/>
    <col min="5" max="5" width="5.140625" style="4" hidden="1" customWidth="1"/>
    <col min="6" max="6" width="11.42578125" style="4" customWidth="1"/>
    <col min="7" max="7" width="20.42578125" style="4" customWidth="1"/>
    <col min="8" max="8" width="15.5703125" style="4" customWidth="1"/>
    <col min="9" max="9" width="17" style="4" customWidth="1"/>
    <col min="10" max="10" width="26" style="4" customWidth="1"/>
    <col min="11" max="11" width="25.85546875" style="4" hidden="1" customWidth="1"/>
    <col min="12" max="12" width="15.85546875" style="4" hidden="1" customWidth="1"/>
    <col min="13" max="13" width="16.5703125" style="4" hidden="1" customWidth="1"/>
    <col min="14" max="14" width="16.85546875" style="4" hidden="1" customWidth="1"/>
    <col min="15" max="16384" width="11.42578125" style="4" hidden="1"/>
  </cols>
  <sheetData>
    <row r="1" spans="1:14" ht="36.75" customHeight="1" thickBot="1" x14ac:dyDescent="0.5">
      <c r="A1" s="658" t="str">
        <f>Language!$E$87</f>
        <v>Wahl der Zeitzone</v>
      </c>
      <c r="B1" s="658"/>
      <c r="C1" s="658"/>
      <c r="D1" s="658"/>
      <c r="E1" s="658"/>
      <c r="F1" s="658"/>
      <c r="G1" s="441" t="str">
        <f>Language!$E$140</f>
        <v>Hier klicken und
Zeitzone wählen:</v>
      </c>
      <c r="H1" s="70" t="s">
        <v>175</v>
      </c>
      <c r="I1" s="501" t="str">
        <f>_xlfn.UNICHAR(8592)</f>
        <v>←</v>
      </c>
    </row>
    <row r="2" spans="1:14" x14ac:dyDescent="0.25"/>
    <row r="3" spans="1:14" x14ac:dyDescent="0.25">
      <c r="C3" s="230"/>
      <c r="D3" s="6"/>
    </row>
    <row r="4" spans="1:14" ht="15.75" thickBot="1" x14ac:dyDescent="0.3">
      <c r="B4" s="218">
        <v>-12</v>
      </c>
      <c r="C4" s="258" t="s">
        <v>163</v>
      </c>
      <c r="D4" s="259" t="s">
        <v>130</v>
      </c>
      <c r="E4" s="219">
        <f>$B4/24</f>
        <v>-0.5</v>
      </c>
      <c r="F4" s="220"/>
      <c r="G4" s="659" t="str">
        <f>Language!$E$143</f>
        <v>Bei Sommerzeit muss die Zeitzone um 1 erhöht werden
(z. B. UTC+2 statt UTC+1)</v>
      </c>
      <c r="H4" s="659"/>
      <c r="I4" s="659"/>
      <c r="J4" s="222"/>
      <c r="K4" s="18"/>
      <c r="L4" s="18"/>
      <c r="M4" s="18"/>
      <c r="N4" s="18"/>
    </row>
    <row r="5" spans="1:14" ht="15" customHeight="1" x14ac:dyDescent="0.25">
      <c r="B5" s="218">
        <v>-11</v>
      </c>
      <c r="C5" s="258" t="s">
        <v>164</v>
      </c>
      <c r="D5" s="259"/>
      <c r="E5" s="219">
        <f t="shared" ref="E5:E39" si="0">$B5/24</f>
        <v>-0.45833333333333331</v>
      </c>
      <c r="G5" s="659"/>
      <c r="H5" s="659"/>
      <c r="I5" s="659"/>
      <c r="J5" s="224"/>
      <c r="K5" s="655" t="s">
        <v>742</v>
      </c>
      <c r="L5" s="656" t="s">
        <v>175</v>
      </c>
      <c r="M5" s="225"/>
      <c r="N5" s="225"/>
    </row>
    <row r="6" spans="1:14" ht="15.75" thickBot="1" x14ac:dyDescent="0.3">
      <c r="B6" s="218">
        <v>-10</v>
      </c>
      <c r="C6" s="258" t="s">
        <v>165</v>
      </c>
      <c r="D6" s="259" t="s">
        <v>131</v>
      </c>
      <c r="E6" s="219">
        <f t="shared" si="0"/>
        <v>-0.41666666666666669</v>
      </c>
      <c r="G6" s="659"/>
      <c r="H6" s="659"/>
      <c r="I6" s="659"/>
      <c r="J6" s="224"/>
      <c r="K6" s="655"/>
      <c r="L6" s="657"/>
      <c r="M6" s="225"/>
      <c r="N6" s="225"/>
    </row>
    <row r="7" spans="1:14" x14ac:dyDescent="0.25">
      <c r="B7" s="218">
        <v>-9</v>
      </c>
      <c r="C7" s="258" t="s">
        <v>166</v>
      </c>
      <c r="D7" s="259" t="s">
        <v>132</v>
      </c>
      <c r="E7" s="219">
        <f t="shared" si="0"/>
        <v>-0.375</v>
      </c>
      <c r="G7" s="229"/>
      <c r="I7" s="223"/>
      <c r="J7" s="224"/>
      <c r="K7" s="224"/>
      <c r="L7" s="225"/>
      <c r="M7" s="225"/>
      <c r="N7" s="225"/>
    </row>
    <row r="8" spans="1:14" x14ac:dyDescent="0.25">
      <c r="B8" s="218">
        <v>-8</v>
      </c>
      <c r="C8" s="258" t="s">
        <v>167</v>
      </c>
      <c r="D8" s="259" t="s">
        <v>133</v>
      </c>
      <c r="E8" s="219">
        <f t="shared" si="0"/>
        <v>-0.33333333333333331</v>
      </c>
      <c r="I8" s="223"/>
      <c r="J8" s="224"/>
      <c r="K8" s="224"/>
      <c r="L8" s="225"/>
      <c r="M8" s="225"/>
      <c r="N8" s="225"/>
    </row>
    <row r="9" spans="1:14" x14ac:dyDescent="0.25">
      <c r="B9" s="218">
        <v>-7</v>
      </c>
      <c r="C9" s="258" t="s">
        <v>168</v>
      </c>
      <c r="D9" s="259" t="s">
        <v>134</v>
      </c>
      <c r="E9" s="219">
        <f t="shared" si="0"/>
        <v>-0.29166666666666669</v>
      </c>
      <c r="I9" s="223"/>
      <c r="J9" s="224"/>
      <c r="K9" s="224"/>
      <c r="L9" s="225"/>
      <c r="M9" s="225"/>
      <c r="N9" s="225"/>
    </row>
    <row r="10" spans="1:14" ht="15" customHeight="1" x14ac:dyDescent="0.25">
      <c r="B10" s="218">
        <v>-6</v>
      </c>
      <c r="C10" s="258" t="s">
        <v>169</v>
      </c>
      <c r="D10" s="259" t="s">
        <v>135</v>
      </c>
      <c r="E10" s="219">
        <f t="shared" si="0"/>
        <v>-0.25</v>
      </c>
      <c r="J10" s="224"/>
      <c r="K10" s="224"/>
      <c r="L10" s="225"/>
      <c r="M10" s="225"/>
      <c r="N10" s="225"/>
    </row>
    <row r="11" spans="1:14" x14ac:dyDescent="0.25">
      <c r="B11" s="218">
        <v>-5</v>
      </c>
      <c r="C11" s="258" t="s">
        <v>170</v>
      </c>
      <c r="D11" s="259" t="s">
        <v>136</v>
      </c>
      <c r="E11" s="219">
        <f t="shared" si="0"/>
        <v>-0.20833333333333334</v>
      </c>
      <c r="J11" s="223"/>
      <c r="K11" s="224"/>
      <c r="L11" s="225"/>
      <c r="M11" s="225"/>
      <c r="N11" s="225"/>
    </row>
    <row r="12" spans="1:14" x14ac:dyDescent="0.25">
      <c r="B12" s="218">
        <v>-4</v>
      </c>
      <c r="C12" s="258" t="s">
        <v>171</v>
      </c>
      <c r="D12" s="259" t="s">
        <v>137</v>
      </c>
      <c r="E12" s="219">
        <f t="shared" si="0"/>
        <v>-0.16666666666666666</v>
      </c>
      <c r="J12" s="224"/>
      <c r="K12" s="224"/>
      <c r="L12" s="225"/>
      <c r="M12" s="225"/>
      <c r="N12" s="225"/>
    </row>
    <row r="13" spans="1:14" x14ac:dyDescent="0.25">
      <c r="B13" s="218">
        <v>-3.5</v>
      </c>
      <c r="C13" s="258" t="s">
        <v>162</v>
      </c>
      <c r="D13" s="259" t="s">
        <v>138</v>
      </c>
      <c r="E13" s="219">
        <f t="shared" si="0"/>
        <v>-0.14583333333333334</v>
      </c>
      <c r="I13" s="223"/>
      <c r="J13" s="224"/>
      <c r="K13" s="224"/>
      <c r="L13" s="225"/>
      <c r="M13" s="225"/>
      <c r="N13" s="225"/>
    </row>
    <row r="14" spans="1:14" x14ac:dyDescent="0.25">
      <c r="B14" s="218">
        <v>-3</v>
      </c>
      <c r="C14" s="258" t="s">
        <v>172</v>
      </c>
      <c r="D14" s="259"/>
      <c r="E14" s="219">
        <f t="shared" si="0"/>
        <v>-0.125</v>
      </c>
      <c r="I14" s="223"/>
      <c r="J14" s="224"/>
      <c r="K14" s="224"/>
      <c r="L14" s="225"/>
      <c r="M14" s="225"/>
      <c r="N14" s="225"/>
    </row>
    <row r="15" spans="1:14" x14ac:dyDescent="0.25">
      <c r="B15" s="218">
        <v>-2</v>
      </c>
      <c r="C15" s="258" t="s">
        <v>173</v>
      </c>
      <c r="D15" s="259"/>
      <c r="E15" s="219">
        <f t="shared" si="0"/>
        <v>-8.3333333333333329E-2</v>
      </c>
      <c r="I15" s="223"/>
      <c r="J15" s="224"/>
      <c r="K15" s="224"/>
      <c r="L15" s="225"/>
      <c r="M15" s="225"/>
      <c r="N15" s="225"/>
    </row>
    <row r="16" spans="1:14" x14ac:dyDescent="0.25">
      <c r="B16" s="218">
        <v>-1</v>
      </c>
      <c r="C16" s="258" t="s">
        <v>174</v>
      </c>
      <c r="D16" s="259"/>
      <c r="E16" s="219">
        <f t="shared" si="0"/>
        <v>-4.1666666666666664E-2</v>
      </c>
      <c r="I16" s="223"/>
      <c r="J16" s="224"/>
      <c r="K16" s="224"/>
      <c r="L16" s="225"/>
      <c r="M16" s="225"/>
      <c r="N16" s="225"/>
    </row>
    <row r="17" spans="2:14" x14ac:dyDescent="0.25">
      <c r="B17" s="218">
        <v>0</v>
      </c>
      <c r="C17" s="258" t="s">
        <v>157</v>
      </c>
      <c r="D17" s="259" t="s">
        <v>139</v>
      </c>
      <c r="E17" s="219">
        <f t="shared" si="0"/>
        <v>0</v>
      </c>
      <c r="I17" s="223"/>
      <c r="J17" s="224"/>
      <c r="K17" s="224"/>
      <c r="L17" s="225"/>
      <c r="M17" s="225"/>
      <c r="N17" s="225"/>
    </row>
    <row r="18" spans="2:14" x14ac:dyDescent="0.25">
      <c r="B18" s="218">
        <v>1</v>
      </c>
      <c r="C18" s="258" t="s">
        <v>161</v>
      </c>
      <c r="D18" s="259" t="s">
        <v>140</v>
      </c>
      <c r="E18" s="219">
        <f t="shared" si="0"/>
        <v>4.1666666666666664E-2</v>
      </c>
      <c r="I18" s="221"/>
      <c r="J18" s="223"/>
      <c r="K18" s="224"/>
      <c r="L18" s="225"/>
      <c r="M18" s="225"/>
      <c r="N18" s="225"/>
    </row>
    <row r="19" spans="2:14" x14ac:dyDescent="0.25">
      <c r="B19" s="218">
        <v>2</v>
      </c>
      <c r="C19" s="258" t="s">
        <v>175</v>
      </c>
      <c r="D19" s="259" t="s">
        <v>740</v>
      </c>
      <c r="E19" s="219">
        <f t="shared" si="0"/>
        <v>8.3333333333333329E-2</v>
      </c>
      <c r="I19" s="223"/>
      <c r="J19" s="224"/>
      <c r="K19" s="224"/>
      <c r="L19" s="225"/>
      <c r="M19" s="225"/>
      <c r="N19" s="225"/>
    </row>
    <row r="20" spans="2:14" x14ac:dyDescent="0.25">
      <c r="B20" s="218">
        <v>3</v>
      </c>
      <c r="C20" s="258" t="s">
        <v>176</v>
      </c>
      <c r="D20" s="259" t="s">
        <v>141</v>
      </c>
      <c r="E20" s="219">
        <f t="shared" si="0"/>
        <v>0.125</v>
      </c>
      <c r="I20" s="223"/>
      <c r="J20" s="224"/>
      <c r="K20" s="224"/>
      <c r="L20" s="225"/>
      <c r="M20" s="225"/>
      <c r="N20" s="225"/>
    </row>
    <row r="21" spans="2:14" x14ac:dyDescent="0.25">
      <c r="B21" s="218">
        <v>3.5</v>
      </c>
      <c r="C21" s="258" t="s">
        <v>155</v>
      </c>
      <c r="D21" s="259" t="s">
        <v>156</v>
      </c>
      <c r="E21" s="219">
        <f t="shared" si="0"/>
        <v>0.14583333333333334</v>
      </c>
      <c r="I21" s="223"/>
      <c r="J21" s="224"/>
      <c r="K21" s="224"/>
      <c r="L21" s="225"/>
      <c r="M21" s="225"/>
      <c r="N21" s="225"/>
    </row>
    <row r="22" spans="2:14" x14ac:dyDescent="0.25">
      <c r="B22" s="218">
        <v>4</v>
      </c>
      <c r="C22" s="258" t="s">
        <v>119</v>
      </c>
      <c r="D22" s="259"/>
      <c r="E22" s="219">
        <f t="shared" si="0"/>
        <v>0.16666666666666666</v>
      </c>
      <c r="I22" s="223"/>
      <c r="J22" s="224"/>
      <c r="K22" s="224"/>
      <c r="L22" s="225"/>
      <c r="M22" s="225"/>
      <c r="N22" s="225"/>
    </row>
    <row r="23" spans="2:14" x14ac:dyDescent="0.25">
      <c r="B23" s="218">
        <v>4.5</v>
      </c>
      <c r="C23" s="258" t="s">
        <v>154</v>
      </c>
      <c r="D23" s="259"/>
      <c r="E23" s="219">
        <f t="shared" si="0"/>
        <v>0.1875</v>
      </c>
      <c r="I23" s="223"/>
      <c r="J23" s="224"/>
      <c r="K23" s="224"/>
      <c r="L23" s="225"/>
      <c r="M23" s="225"/>
      <c r="N23" s="225"/>
    </row>
    <row r="24" spans="2:14" x14ac:dyDescent="0.25">
      <c r="B24" s="218">
        <v>5</v>
      </c>
      <c r="C24" s="258" t="s">
        <v>120</v>
      </c>
      <c r="D24" s="259"/>
      <c r="E24" s="219">
        <f t="shared" si="0"/>
        <v>0.20833333333333334</v>
      </c>
      <c r="I24" s="223"/>
      <c r="J24" s="224"/>
      <c r="K24" s="224"/>
      <c r="L24" s="225"/>
      <c r="M24" s="225"/>
      <c r="N24" s="225"/>
    </row>
    <row r="25" spans="2:14" x14ac:dyDescent="0.25">
      <c r="B25" s="218">
        <v>5.5</v>
      </c>
      <c r="C25" s="258" t="s">
        <v>151</v>
      </c>
      <c r="D25" s="259" t="s">
        <v>152</v>
      </c>
      <c r="E25" s="219">
        <f t="shared" si="0"/>
        <v>0.22916666666666666</v>
      </c>
      <c r="I25" s="221"/>
      <c r="J25" s="223"/>
      <c r="K25" s="224"/>
      <c r="L25" s="225"/>
      <c r="M25" s="225"/>
      <c r="N25" s="225"/>
    </row>
    <row r="26" spans="2:14" x14ac:dyDescent="0.25">
      <c r="B26" s="218">
        <v>5.75</v>
      </c>
      <c r="C26" s="258" t="s">
        <v>153</v>
      </c>
      <c r="D26" s="259"/>
      <c r="E26" s="219">
        <f t="shared" si="0"/>
        <v>0.23958333333333334</v>
      </c>
      <c r="I26" s="223"/>
      <c r="J26" s="224"/>
      <c r="K26" s="224"/>
      <c r="L26" s="225"/>
      <c r="M26" s="225"/>
      <c r="N26" s="225"/>
    </row>
    <row r="27" spans="2:14" x14ac:dyDescent="0.25">
      <c r="B27" s="218">
        <v>6</v>
      </c>
      <c r="C27" s="258" t="s">
        <v>121</v>
      </c>
      <c r="D27" s="259"/>
      <c r="E27" s="219">
        <f t="shared" si="0"/>
        <v>0.25</v>
      </c>
      <c r="I27" s="223"/>
      <c r="J27" s="224"/>
      <c r="K27" s="224"/>
      <c r="L27" s="225"/>
      <c r="M27" s="225"/>
      <c r="N27" s="225"/>
    </row>
    <row r="28" spans="2:14" x14ac:dyDescent="0.25">
      <c r="B28" s="218">
        <v>6.5</v>
      </c>
      <c r="C28" s="258" t="s">
        <v>150</v>
      </c>
      <c r="D28" s="259"/>
      <c r="E28" s="219">
        <f t="shared" si="0"/>
        <v>0.27083333333333331</v>
      </c>
      <c r="I28" s="223"/>
      <c r="J28" s="224"/>
      <c r="K28" s="224"/>
      <c r="L28" s="225"/>
      <c r="M28" s="225"/>
      <c r="N28" s="225"/>
    </row>
    <row r="29" spans="2:14" x14ac:dyDescent="0.25">
      <c r="B29" s="218">
        <v>7</v>
      </c>
      <c r="C29" s="258" t="s">
        <v>122</v>
      </c>
      <c r="D29" s="259" t="s">
        <v>142</v>
      </c>
      <c r="E29" s="219">
        <f t="shared" si="0"/>
        <v>0.29166666666666669</v>
      </c>
      <c r="I29" s="223"/>
      <c r="J29" s="224"/>
      <c r="K29" s="224"/>
      <c r="L29" s="225"/>
      <c r="M29" s="225"/>
      <c r="N29" s="225"/>
    </row>
    <row r="30" spans="2:14" x14ac:dyDescent="0.25">
      <c r="B30" s="218">
        <v>8</v>
      </c>
      <c r="C30" s="258" t="s">
        <v>123</v>
      </c>
      <c r="D30" s="259" t="s">
        <v>143</v>
      </c>
      <c r="E30" s="219">
        <f t="shared" si="0"/>
        <v>0.33333333333333331</v>
      </c>
      <c r="I30" s="223"/>
      <c r="J30" s="224"/>
      <c r="K30" s="224"/>
      <c r="L30" s="225"/>
      <c r="M30" s="225"/>
      <c r="N30" s="225"/>
    </row>
    <row r="31" spans="2:14" x14ac:dyDescent="0.25">
      <c r="B31" s="218">
        <v>9</v>
      </c>
      <c r="C31" s="258" t="s">
        <v>124</v>
      </c>
      <c r="D31" s="259" t="s">
        <v>144</v>
      </c>
      <c r="E31" s="219">
        <f t="shared" si="0"/>
        <v>0.375</v>
      </c>
      <c r="I31" s="223"/>
      <c r="J31" s="224"/>
      <c r="K31" s="224"/>
      <c r="L31" s="225"/>
      <c r="M31" s="225"/>
      <c r="N31" s="225"/>
    </row>
    <row r="32" spans="2:14" x14ac:dyDescent="0.25">
      <c r="B32" s="218">
        <v>9.5</v>
      </c>
      <c r="C32" s="258" t="s">
        <v>149</v>
      </c>
      <c r="D32" s="259" t="s">
        <v>148</v>
      </c>
      <c r="E32" s="219">
        <f t="shared" si="0"/>
        <v>0.39583333333333331</v>
      </c>
      <c r="I32" s="221"/>
      <c r="J32" s="223"/>
      <c r="K32" s="224"/>
      <c r="L32" s="225"/>
      <c r="M32" s="225"/>
      <c r="N32" s="225"/>
    </row>
    <row r="33" spans="2:14" x14ac:dyDescent="0.25">
      <c r="B33" s="218">
        <v>10</v>
      </c>
      <c r="C33" s="258" t="s">
        <v>125</v>
      </c>
      <c r="D33" s="259"/>
      <c r="E33" s="219">
        <f t="shared" si="0"/>
        <v>0.41666666666666669</v>
      </c>
      <c r="I33" s="223"/>
      <c r="J33" s="224"/>
      <c r="K33" s="224"/>
      <c r="L33" s="225"/>
      <c r="M33" s="225"/>
      <c r="N33" s="225"/>
    </row>
    <row r="34" spans="2:14" x14ac:dyDescent="0.25">
      <c r="B34" s="218">
        <v>10.5</v>
      </c>
      <c r="C34" s="258" t="s">
        <v>147</v>
      </c>
      <c r="D34" s="259"/>
      <c r="E34" s="219">
        <f t="shared" si="0"/>
        <v>0.4375</v>
      </c>
      <c r="I34" s="223"/>
      <c r="J34" s="224"/>
      <c r="K34" s="224"/>
      <c r="L34" s="225"/>
      <c r="M34" s="225"/>
      <c r="N34" s="225"/>
    </row>
    <row r="35" spans="2:14" x14ac:dyDescent="0.25">
      <c r="B35" s="218">
        <v>11</v>
      </c>
      <c r="C35" s="258" t="s">
        <v>126</v>
      </c>
      <c r="D35" s="259"/>
      <c r="E35" s="219">
        <f t="shared" si="0"/>
        <v>0.45833333333333331</v>
      </c>
      <c r="I35" s="223"/>
      <c r="J35" s="224"/>
      <c r="K35" s="224"/>
      <c r="L35" s="225"/>
      <c r="M35" s="225"/>
      <c r="N35" s="225"/>
    </row>
    <row r="36" spans="2:14" x14ac:dyDescent="0.25">
      <c r="B36" s="218">
        <v>12</v>
      </c>
      <c r="C36" s="258" t="s">
        <v>127</v>
      </c>
      <c r="D36" s="259" t="s">
        <v>145</v>
      </c>
      <c r="E36" s="219">
        <f t="shared" si="0"/>
        <v>0.5</v>
      </c>
      <c r="I36" s="223"/>
      <c r="J36" s="224"/>
      <c r="K36" s="224"/>
      <c r="L36" s="225"/>
      <c r="M36" s="225"/>
      <c r="N36" s="225"/>
    </row>
    <row r="37" spans="2:14" x14ac:dyDescent="0.25">
      <c r="B37" s="218">
        <v>12.75</v>
      </c>
      <c r="C37" s="258" t="s">
        <v>146</v>
      </c>
      <c r="D37" s="259"/>
      <c r="E37" s="219">
        <f t="shared" si="0"/>
        <v>0.53125</v>
      </c>
      <c r="I37" s="223"/>
      <c r="J37" s="224"/>
      <c r="K37" s="224"/>
      <c r="L37" s="225"/>
      <c r="M37" s="225"/>
      <c r="N37" s="225"/>
    </row>
    <row r="38" spans="2:14" x14ac:dyDescent="0.25">
      <c r="B38" s="218">
        <v>13</v>
      </c>
      <c r="C38" s="258" t="s">
        <v>128</v>
      </c>
      <c r="D38" s="259"/>
      <c r="E38" s="219">
        <f t="shared" si="0"/>
        <v>0.54166666666666663</v>
      </c>
      <c r="I38" s="223"/>
      <c r="J38" s="224"/>
      <c r="K38" s="224"/>
      <c r="L38" s="225"/>
      <c r="M38" s="225"/>
      <c r="N38" s="225"/>
    </row>
    <row r="39" spans="2:14" x14ac:dyDescent="0.25">
      <c r="B39" s="218">
        <v>14</v>
      </c>
      <c r="C39" s="258" t="s">
        <v>129</v>
      </c>
      <c r="D39" s="259"/>
      <c r="E39" s="219">
        <f t="shared" si="0"/>
        <v>0.58333333333333337</v>
      </c>
      <c r="I39" s="221"/>
      <c r="J39" s="224"/>
      <c r="K39" s="224"/>
      <c r="L39" s="225"/>
      <c r="M39" s="225"/>
      <c r="N39" s="225"/>
    </row>
    <row r="40" spans="2:14" x14ac:dyDescent="0.25">
      <c r="I40" s="223"/>
      <c r="J40" s="224"/>
      <c r="K40" s="224"/>
      <c r="L40" s="225"/>
      <c r="M40" s="225"/>
      <c r="N40" s="225"/>
    </row>
    <row r="41" spans="2:14" x14ac:dyDescent="0.25">
      <c r="I41" s="223"/>
      <c r="J41" s="224"/>
      <c r="K41" s="224"/>
      <c r="L41" s="225"/>
      <c r="M41" s="225"/>
      <c r="N41" s="225"/>
    </row>
    <row r="42" spans="2:14" hidden="1" x14ac:dyDescent="0.25">
      <c r="I42" s="223"/>
      <c r="J42" s="224"/>
      <c r="K42" s="224"/>
      <c r="L42" s="225"/>
      <c r="M42" s="225"/>
      <c r="N42" s="225"/>
    </row>
    <row r="43" spans="2:14" hidden="1" x14ac:dyDescent="0.25">
      <c r="I43" s="223"/>
      <c r="J43" s="224"/>
      <c r="K43" s="224"/>
      <c r="L43" s="225"/>
      <c r="M43" s="225"/>
      <c r="N43" s="225"/>
    </row>
    <row r="44" spans="2:14" hidden="1" x14ac:dyDescent="0.25">
      <c r="I44" s="223"/>
      <c r="J44" s="224"/>
      <c r="K44" s="224"/>
      <c r="L44" s="225"/>
      <c r="M44" s="225"/>
      <c r="N44" s="225"/>
    </row>
    <row r="45" spans="2:14" hidden="1" x14ac:dyDescent="0.25">
      <c r="I45" s="223"/>
      <c r="J45" s="224"/>
      <c r="K45" s="224"/>
      <c r="L45" s="225"/>
      <c r="M45" s="225"/>
      <c r="N45" s="225"/>
    </row>
    <row r="46" spans="2:14" hidden="1" x14ac:dyDescent="0.25">
      <c r="I46" s="221"/>
      <c r="J46" s="223"/>
      <c r="K46" s="224"/>
      <c r="L46" s="225"/>
      <c r="M46" s="225"/>
      <c r="N46" s="225"/>
    </row>
    <row r="47" spans="2:14" hidden="1" x14ac:dyDescent="0.25">
      <c r="I47" s="223"/>
      <c r="J47" s="224"/>
      <c r="K47" s="224"/>
      <c r="L47" s="225"/>
      <c r="M47" s="225"/>
      <c r="N47" s="225"/>
    </row>
    <row r="48" spans="2:14" hidden="1" x14ac:dyDescent="0.25">
      <c r="I48" s="223"/>
      <c r="J48" s="224"/>
      <c r="K48" s="224"/>
      <c r="L48" s="225"/>
      <c r="M48" s="225"/>
      <c r="N48" s="225"/>
    </row>
    <row r="49" spans="9:14" hidden="1" x14ac:dyDescent="0.25">
      <c r="I49" s="223"/>
      <c r="J49" s="224"/>
      <c r="K49" s="224"/>
      <c r="L49" s="225"/>
      <c r="M49" s="225"/>
      <c r="N49" s="225"/>
    </row>
    <row r="50" spans="9:14" hidden="1" x14ac:dyDescent="0.25">
      <c r="I50" s="223"/>
      <c r="J50" s="224"/>
      <c r="K50" s="224"/>
      <c r="L50" s="225"/>
      <c r="M50" s="225"/>
      <c r="N50" s="225"/>
    </row>
    <row r="51" spans="9:14" hidden="1" x14ac:dyDescent="0.25">
      <c r="I51" s="223"/>
      <c r="J51" s="224"/>
      <c r="K51" s="224"/>
      <c r="L51" s="225"/>
      <c r="M51" s="225"/>
      <c r="N51" s="225"/>
    </row>
    <row r="52" spans="9:14" hidden="1" x14ac:dyDescent="0.25">
      <c r="I52" s="223"/>
      <c r="J52" s="224"/>
      <c r="K52" s="224"/>
      <c r="L52" s="225"/>
      <c r="M52" s="225"/>
      <c r="N52" s="225"/>
    </row>
    <row r="53" spans="9:14" hidden="1" x14ac:dyDescent="0.25">
      <c r="I53" s="221"/>
      <c r="J53" s="223"/>
      <c r="K53" s="224"/>
      <c r="L53" s="225"/>
      <c r="M53" s="225"/>
      <c r="N53" s="225"/>
    </row>
    <row r="54" spans="9:14" hidden="1" x14ac:dyDescent="0.25">
      <c r="I54" s="223"/>
      <c r="J54" s="224"/>
      <c r="K54" s="224"/>
      <c r="L54" s="225"/>
      <c r="M54" s="225"/>
      <c r="N54" s="225"/>
    </row>
    <row r="55" spans="9:14" hidden="1" x14ac:dyDescent="0.25">
      <c r="I55" s="223"/>
      <c r="J55" s="224"/>
      <c r="K55" s="224"/>
      <c r="L55" s="225"/>
      <c r="M55" s="225"/>
      <c r="N55" s="225"/>
    </row>
    <row r="56" spans="9:14" hidden="1" x14ac:dyDescent="0.25">
      <c r="I56" s="223"/>
      <c r="J56" s="224"/>
      <c r="K56" s="224"/>
      <c r="L56" s="225"/>
      <c r="M56" s="225"/>
      <c r="N56" s="225"/>
    </row>
    <row r="57" spans="9:14" hidden="1" x14ac:dyDescent="0.25">
      <c r="I57" s="223"/>
      <c r="J57" s="224"/>
      <c r="K57" s="224"/>
      <c r="L57" s="225"/>
      <c r="M57" s="225"/>
      <c r="N57" s="225"/>
    </row>
    <row r="58" spans="9:14" hidden="1" x14ac:dyDescent="0.25">
      <c r="I58" s="223"/>
      <c r="J58" s="224"/>
      <c r="K58" s="224"/>
      <c r="L58" s="225"/>
      <c r="M58" s="225"/>
      <c r="N58" s="225"/>
    </row>
    <row r="59" spans="9:14" hidden="1" x14ac:dyDescent="0.25">
      <c r="I59" s="223"/>
      <c r="J59" s="224"/>
      <c r="K59" s="224"/>
      <c r="L59" s="225"/>
      <c r="M59" s="225"/>
      <c r="N59" s="225"/>
    </row>
    <row r="60" spans="9:14" hidden="1" x14ac:dyDescent="0.25">
      <c r="I60" s="226"/>
      <c r="J60" s="223"/>
      <c r="K60" s="224"/>
      <c r="L60" s="225"/>
      <c r="M60" s="225"/>
      <c r="N60" s="225"/>
    </row>
    <row r="61" spans="9:14" hidden="1" x14ac:dyDescent="0.25">
      <c r="I61" s="223"/>
      <c r="J61" s="224"/>
      <c r="K61" s="224"/>
      <c r="L61" s="225"/>
      <c r="M61" s="225"/>
      <c r="N61" s="225"/>
    </row>
    <row r="62" spans="9:14" hidden="1" x14ac:dyDescent="0.25">
      <c r="I62" s="223"/>
      <c r="J62" s="224"/>
      <c r="K62" s="224"/>
      <c r="L62" s="225"/>
      <c r="M62" s="225"/>
      <c r="N62" s="225"/>
    </row>
    <row r="63" spans="9:14" hidden="1" x14ac:dyDescent="0.25">
      <c r="I63" s="223"/>
      <c r="J63" s="224"/>
      <c r="K63" s="224"/>
      <c r="L63" s="225"/>
      <c r="M63" s="225"/>
      <c r="N63" s="225"/>
    </row>
    <row r="64" spans="9:14" hidden="1" x14ac:dyDescent="0.25">
      <c r="I64" s="223"/>
      <c r="J64" s="224"/>
      <c r="K64" s="224"/>
      <c r="L64" s="225"/>
      <c r="M64" s="225"/>
      <c r="N64" s="225"/>
    </row>
    <row r="65" spans="9:14" hidden="1" x14ac:dyDescent="0.25">
      <c r="I65" s="223"/>
      <c r="J65" s="224"/>
      <c r="K65" s="224"/>
      <c r="L65" s="225"/>
      <c r="M65" s="225"/>
      <c r="N65" s="225"/>
    </row>
    <row r="66" spans="9:14" hidden="1" x14ac:dyDescent="0.25">
      <c r="I66" s="223"/>
      <c r="J66" s="224"/>
      <c r="K66" s="224"/>
      <c r="L66" s="225"/>
      <c r="M66" s="225"/>
      <c r="N66" s="225"/>
    </row>
    <row r="67" spans="9:14" hidden="1" x14ac:dyDescent="0.25">
      <c r="I67" s="223"/>
      <c r="J67" s="224"/>
      <c r="K67" s="224"/>
      <c r="L67" s="225"/>
      <c r="M67" s="225"/>
      <c r="N67" s="225"/>
    </row>
    <row r="68" spans="9:14" hidden="1" x14ac:dyDescent="0.25">
      <c r="I68" s="223"/>
      <c r="J68" s="224"/>
      <c r="K68" s="224"/>
      <c r="L68" s="225"/>
      <c r="M68" s="225"/>
      <c r="N68" s="225"/>
    </row>
    <row r="69" spans="9:14" hidden="1" x14ac:dyDescent="0.25">
      <c r="I69" s="226"/>
      <c r="J69" s="223"/>
      <c r="K69" s="224"/>
      <c r="L69" s="225"/>
      <c r="M69" s="225"/>
      <c r="N69" s="225"/>
    </row>
    <row r="70" spans="9:14" hidden="1" x14ac:dyDescent="0.25">
      <c r="I70" s="223"/>
      <c r="J70" s="224"/>
      <c r="K70" s="224"/>
      <c r="L70" s="225"/>
      <c r="M70" s="225"/>
      <c r="N70" s="225"/>
    </row>
    <row r="71" spans="9:14" hidden="1" x14ac:dyDescent="0.25">
      <c r="I71" s="223"/>
      <c r="J71" s="224"/>
      <c r="K71" s="224"/>
      <c r="L71" s="225"/>
      <c r="M71" s="225"/>
      <c r="N71" s="225"/>
    </row>
    <row r="72" spans="9:14" hidden="1" x14ac:dyDescent="0.25">
      <c r="I72" s="223"/>
      <c r="J72" s="224"/>
      <c r="K72" s="224"/>
      <c r="L72" s="225"/>
      <c r="M72" s="225"/>
      <c r="N72" s="225"/>
    </row>
    <row r="73" spans="9:14" hidden="1" x14ac:dyDescent="0.25">
      <c r="I73" s="223"/>
      <c r="J73" s="224"/>
      <c r="K73" s="224"/>
      <c r="L73" s="225"/>
      <c r="M73" s="225"/>
      <c r="N73" s="225"/>
    </row>
    <row r="74" spans="9:14" hidden="1" x14ac:dyDescent="0.25">
      <c r="I74" s="226"/>
      <c r="J74" s="223"/>
      <c r="K74" s="224"/>
      <c r="L74" s="225"/>
      <c r="M74" s="225"/>
      <c r="N74" s="225"/>
    </row>
    <row r="75" spans="9:14" hidden="1" x14ac:dyDescent="0.25">
      <c r="I75" s="223"/>
      <c r="J75" s="224"/>
      <c r="K75" s="224"/>
      <c r="L75" s="225"/>
      <c r="M75" s="225"/>
      <c r="N75" s="225"/>
    </row>
    <row r="76" spans="9:14" hidden="1" x14ac:dyDescent="0.25">
      <c r="I76" s="223"/>
      <c r="J76" s="224"/>
      <c r="K76" s="224"/>
      <c r="L76" s="225"/>
      <c r="M76" s="225"/>
      <c r="N76" s="225"/>
    </row>
    <row r="77" spans="9:14" hidden="1" x14ac:dyDescent="0.25">
      <c r="I77" s="226"/>
      <c r="J77" s="223"/>
      <c r="K77" s="224"/>
      <c r="L77" s="225"/>
      <c r="M77" s="225"/>
      <c r="N77" s="225"/>
    </row>
    <row r="78" spans="9:14" hidden="1" x14ac:dyDescent="0.25">
      <c r="I78" s="223"/>
      <c r="J78" s="224"/>
      <c r="K78" s="224"/>
      <c r="L78" s="225"/>
      <c r="M78" s="225"/>
      <c r="N78" s="225"/>
    </row>
    <row r="79" spans="9:14" hidden="1" x14ac:dyDescent="0.25">
      <c r="I79" s="226"/>
      <c r="J79" s="223"/>
      <c r="K79" s="224"/>
      <c r="L79" s="225"/>
      <c r="M79" s="225"/>
      <c r="N79" s="225"/>
    </row>
    <row r="80" spans="9:14" hidden="1" x14ac:dyDescent="0.25">
      <c r="I80" s="223"/>
      <c r="J80" s="224"/>
      <c r="K80" s="224"/>
      <c r="L80" s="225"/>
      <c r="M80" s="225"/>
      <c r="N80" s="225"/>
    </row>
  </sheetData>
  <sheetProtection sheet="1" objects="1" scenarios="1" selectLockedCells="1"/>
  <mergeCells count="4">
    <mergeCell ref="K5:K6"/>
    <mergeCell ref="L5:L6"/>
    <mergeCell ref="A1:F1"/>
    <mergeCell ref="G4:I6"/>
  </mergeCells>
  <conditionalFormatting sqref="C4:D39">
    <cfRule type="expression" dxfId="3" priority="36">
      <formula>$H$1=$C4</formula>
    </cfRule>
  </conditionalFormatting>
  <dataValidations count="2">
    <dataValidation type="list" allowBlank="1" showErrorMessage="1" sqref="H1" xr:uid="{52B6EB8C-8467-41D2-82DD-6B530D38FCA1}">
      <formula1>$C$4:$C$39</formula1>
    </dataValidation>
    <dataValidation type="list" allowBlank="1" showInputMessage="1" showErrorMessage="1" sqref="L5" xr:uid="{F9B5CCDB-151C-4B98-BE33-DFC7FE8D7061}">
      <formula1>$C$4:$C$39</formula1>
    </dataValidation>
  </dataValidations>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741ED-A29A-484E-BAC9-80AD4AD7FDE4}">
  <sheetPr codeName="Tabelle14"/>
  <dimension ref="A1:U55"/>
  <sheetViews>
    <sheetView showGridLines="0" showRowColHeaders="0" workbookViewId="0">
      <selection activeCell="A37" sqref="A37:XFD1048576"/>
    </sheetView>
  </sheetViews>
  <sheetFormatPr baseColWidth="10" defaultColWidth="0" defaultRowHeight="15" zeroHeight="1" x14ac:dyDescent="0.25"/>
  <cols>
    <col min="1" max="1" width="5.140625" customWidth="1"/>
    <col min="2" max="2" width="8" customWidth="1"/>
    <col min="3" max="7" width="11.42578125" customWidth="1"/>
    <col min="8" max="8" width="16.140625" customWidth="1"/>
    <col min="9" max="9" width="15.140625" customWidth="1"/>
    <col min="10" max="10" width="6" customWidth="1"/>
    <col min="11" max="19" width="11.42578125" customWidth="1"/>
    <col min="20" max="20" width="6.5703125" customWidth="1"/>
    <col min="21" max="21" width="11.42578125" customWidth="1"/>
    <col min="22" max="16384" width="11.42578125" hidden="1"/>
  </cols>
  <sheetData>
    <row r="1" spans="2:20" ht="15.75" thickBot="1" x14ac:dyDescent="0.3"/>
    <row r="2" spans="2:20" ht="26.25" x14ac:dyDescent="0.4">
      <c r="B2" s="164"/>
      <c r="C2" s="660" t="s">
        <v>68</v>
      </c>
      <c r="D2" s="660"/>
      <c r="E2" s="660"/>
      <c r="F2" s="660"/>
      <c r="G2" s="660"/>
      <c r="H2" s="660"/>
      <c r="I2" s="165"/>
      <c r="K2" s="164"/>
      <c r="L2" s="660" t="s">
        <v>350</v>
      </c>
      <c r="M2" s="660"/>
      <c r="N2" s="660"/>
      <c r="O2" s="660"/>
      <c r="P2" s="660"/>
      <c r="Q2" s="660"/>
      <c r="R2" s="174"/>
      <c r="S2" s="174"/>
      <c r="T2" s="165"/>
    </row>
    <row r="3" spans="2:20" x14ac:dyDescent="0.25">
      <c r="B3" s="166"/>
      <c r="C3" s="167"/>
      <c r="D3" s="167"/>
      <c r="E3" s="167"/>
      <c r="F3" s="167"/>
      <c r="G3" s="167"/>
      <c r="H3" s="167"/>
      <c r="I3" s="168"/>
      <c r="K3" s="166"/>
      <c r="L3" s="167"/>
      <c r="M3" s="167"/>
      <c r="N3" s="167"/>
      <c r="O3" s="167"/>
      <c r="P3" s="167"/>
      <c r="Q3" s="167"/>
      <c r="R3" s="167"/>
      <c r="S3" s="167"/>
      <c r="T3" s="168"/>
    </row>
    <row r="4" spans="2:20" x14ac:dyDescent="0.25">
      <c r="B4" s="166"/>
      <c r="C4" s="167"/>
      <c r="D4" s="167"/>
      <c r="E4" s="167"/>
      <c r="F4" s="167"/>
      <c r="G4" s="167"/>
      <c r="H4" s="167"/>
      <c r="I4" s="168"/>
      <c r="K4" s="166"/>
      <c r="L4" s="167"/>
      <c r="M4" s="167"/>
      <c r="N4" s="163"/>
      <c r="O4" s="163"/>
      <c r="P4" s="163"/>
      <c r="Q4" s="163"/>
      <c r="R4" s="163"/>
      <c r="S4" s="163"/>
      <c r="T4" s="168"/>
    </row>
    <row r="5" spans="2:20" ht="18.75" x14ac:dyDescent="0.3">
      <c r="B5" s="166"/>
      <c r="C5" s="169" t="s">
        <v>337</v>
      </c>
      <c r="D5" s="167"/>
      <c r="E5" s="167"/>
      <c r="F5" s="167"/>
      <c r="G5" s="167"/>
      <c r="H5" s="167"/>
      <c r="I5" s="168"/>
      <c r="K5" s="166"/>
      <c r="L5" s="169" t="s">
        <v>351</v>
      </c>
      <c r="M5" s="167"/>
      <c r="N5" s="163"/>
      <c r="O5" s="163"/>
      <c r="P5" s="163"/>
      <c r="Q5" s="163"/>
      <c r="R5" s="163"/>
      <c r="S5" s="163"/>
      <c r="T5" s="168"/>
    </row>
    <row r="6" spans="2:20" x14ac:dyDescent="0.25">
      <c r="B6" s="166"/>
      <c r="C6" s="167"/>
      <c r="D6" s="167"/>
      <c r="E6" s="167"/>
      <c r="F6" s="167"/>
      <c r="G6" s="167"/>
      <c r="H6" s="167"/>
      <c r="I6" s="168"/>
      <c r="K6" s="166"/>
      <c r="L6" s="167"/>
      <c r="M6" s="167"/>
      <c r="N6" s="163"/>
      <c r="O6" s="163"/>
      <c r="P6" s="163"/>
      <c r="Q6" s="163"/>
      <c r="R6" s="163"/>
      <c r="S6" s="163"/>
      <c r="T6" s="168"/>
    </row>
    <row r="7" spans="2:20" x14ac:dyDescent="0.25">
      <c r="B7" s="166"/>
      <c r="C7" s="170" t="s">
        <v>32</v>
      </c>
      <c r="D7" s="167"/>
      <c r="E7" s="167"/>
      <c r="F7" s="167"/>
      <c r="G7" s="167"/>
      <c r="H7" s="167"/>
      <c r="I7" s="168"/>
      <c r="K7" s="166"/>
      <c r="L7" s="170" t="s">
        <v>32</v>
      </c>
      <c r="M7" s="167"/>
      <c r="N7" s="163"/>
      <c r="O7" s="163"/>
      <c r="P7" s="163"/>
      <c r="Q7" s="163"/>
      <c r="R7" s="163"/>
      <c r="S7" s="163"/>
      <c r="T7" s="168"/>
    </row>
    <row r="8" spans="2:20" x14ac:dyDescent="0.25">
      <c r="B8" s="166"/>
      <c r="C8" s="167" t="s">
        <v>833</v>
      </c>
      <c r="D8" s="167"/>
      <c r="E8" s="167"/>
      <c r="F8" s="167"/>
      <c r="G8" s="167"/>
      <c r="H8" s="167"/>
      <c r="I8" s="168"/>
      <c r="K8" s="166"/>
      <c r="L8" s="167" t="s">
        <v>828</v>
      </c>
      <c r="M8" s="167"/>
      <c r="N8" s="163"/>
      <c r="O8" s="163"/>
      <c r="P8" s="163"/>
      <c r="Q8" s="163"/>
      <c r="R8" s="163"/>
      <c r="S8" s="163"/>
      <c r="T8" s="168"/>
    </row>
    <row r="9" spans="2:20" x14ac:dyDescent="0.25">
      <c r="B9" s="166"/>
      <c r="C9" s="167"/>
      <c r="D9" s="167"/>
      <c r="E9" s="167"/>
      <c r="F9" s="167"/>
      <c r="G9" s="167"/>
      <c r="H9" s="167"/>
      <c r="I9" s="168"/>
      <c r="K9" s="166"/>
      <c r="L9" s="167"/>
      <c r="M9" s="167"/>
      <c r="N9" s="163"/>
      <c r="O9" s="163"/>
      <c r="P9" s="163"/>
      <c r="Q9" s="163"/>
      <c r="R9" s="163"/>
      <c r="S9" s="163"/>
      <c r="T9" s="168"/>
    </row>
    <row r="10" spans="2:20" x14ac:dyDescent="0.25">
      <c r="B10" s="166"/>
      <c r="C10" s="170" t="s">
        <v>33</v>
      </c>
      <c r="D10" s="167"/>
      <c r="E10" s="167"/>
      <c r="F10" s="167"/>
      <c r="G10" s="167"/>
      <c r="H10" s="167"/>
      <c r="I10" s="168"/>
      <c r="K10" s="166"/>
      <c r="L10" s="170" t="s">
        <v>33</v>
      </c>
      <c r="M10" s="167"/>
      <c r="N10" s="163"/>
      <c r="O10" s="163"/>
      <c r="P10" s="163"/>
      <c r="Q10" s="163"/>
      <c r="R10" s="163"/>
      <c r="S10" s="163"/>
      <c r="T10" s="168"/>
    </row>
    <row r="11" spans="2:20" x14ac:dyDescent="0.25">
      <c r="B11" s="166"/>
      <c r="C11" s="167" t="s">
        <v>834</v>
      </c>
      <c r="D11" s="167"/>
      <c r="E11" s="167"/>
      <c r="F11" s="167"/>
      <c r="G11" s="167"/>
      <c r="H11" s="167"/>
      <c r="I11" s="168"/>
      <c r="K11" s="166"/>
      <c r="L11" s="167" t="s">
        <v>829</v>
      </c>
      <c r="M11" s="167"/>
      <c r="N11" s="163"/>
      <c r="O11" s="163"/>
      <c r="P11" s="163"/>
      <c r="Q11" s="163"/>
      <c r="R11" s="163"/>
      <c r="S11" s="163"/>
      <c r="T11" s="168"/>
    </row>
    <row r="12" spans="2:20" x14ac:dyDescent="0.25">
      <c r="B12" s="166"/>
      <c r="C12" s="167"/>
      <c r="D12" s="167"/>
      <c r="E12" s="167"/>
      <c r="F12" s="167"/>
      <c r="G12" s="167"/>
      <c r="H12" s="167"/>
      <c r="I12" s="168"/>
      <c r="K12" s="166"/>
      <c r="L12" s="167"/>
      <c r="M12" s="167"/>
      <c r="N12" s="163"/>
      <c r="O12" s="163"/>
      <c r="P12" s="163"/>
      <c r="Q12" s="163"/>
      <c r="R12" s="163"/>
      <c r="S12" s="163"/>
      <c r="T12" s="168"/>
    </row>
    <row r="13" spans="2:20" x14ac:dyDescent="0.25">
      <c r="B13" s="166"/>
      <c r="C13" s="170" t="s">
        <v>34</v>
      </c>
      <c r="D13" s="167"/>
      <c r="E13" s="167"/>
      <c r="F13" s="167"/>
      <c r="G13" s="167"/>
      <c r="H13" s="167"/>
      <c r="I13" s="168"/>
      <c r="K13" s="166"/>
      <c r="L13" s="170" t="s">
        <v>34</v>
      </c>
      <c r="M13" s="167"/>
      <c r="N13" s="163"/>
      <c r="O13" s="163"/>
      <c r="P13" s="163"/>
      <c r="Q13" s="163"/>
      <c r="R13" s="163"/>
      <c r="S13" s="163"/>
      <c r="T13" s="168"/>
    </row>
    <row r="14" spans="2:20" x14ac:dyDescent="0.25">
      <c r="B14" s="166"/>
      <c r="C14" s="167" t="s">
        <v>746</v>
      </c>
      <c r="D14" s="167"/>
      <c r="E14" s="167"/>
      <c r="F14" s="167"/>
      <c r="G14" s="167"/>
      <c r="H14" s="167"/>
      <c r="I14" s="168"/>
      <c r="K14" s="166"/>
      <c r="L14" s="167" t="s">
        <v>745</v>
      </c>
      <c r="M14" s="167"/>
      <c r="N14" s="163"/>
      <c r="O14" s="163"/>
      <c r="P14" s="163"/>
      <c r="Q14" s="163"/>
      <c r="R14" s="163"/>
      <c r="S14" s="163"/>
      <c r="T14" s="168"/>
    </row>
    <row r="15" spans="2:20" x14ac:dyDescent="0.25">
      <c r="B15" s="166"/>
      <c r="C15" s="167" t="s">
        <v>863</v>
      </c>
      <c r="D15" s="167"/>
      <c r="E15" s="167"/>
      <c r="F15" s="167"/>
      <c r="G15" s="167"/>
      <c r="H15" s="167"/>
      <c r="I15" s="168"/>
      <c r="K15" s="166"/>
      <c r="L15" s="167" t="s">
        <v>830</v>
      </c>
      <c r="M15" s="167"/>
      <c r="N15" s="163"/>
      <c r="O15" s="163"/>
      <c r="P15" s="163"/>
      <c r="Q15" s="163"/>
      <c r="R15" s="163"/>
      <c r="S15" s="163"/>
      <c r="T15" s="168"/>
    </row>
    <row r="16" spans="2:20" x14ac:dyDescent="0.25">
      <c r="B16" s="166"/>
      <c r="C16" s="167"/>
      <c r="D16" s="167"/>
      <c r="E16" s="167"/>
      <c r="F16" s="167"/>
      <c r="G16" s="167"/>
      <c r="H16" s="167"/>
      <c r="I16" s="168"/>
      <c r="K16" s="166"/>
      <c r="L16" s="167"/>
      <c r="M16" s="167"/>
      <c r="N16" s="163"/>
      <c r="O16" s="163"/>
      <c r="P16" s="163"/>
      <c r="Q16" s="163"/>
      <c r="R16" s="163"/>
      <c r="S16" s="163"/>
      <c r="T16" s="168"/>
    </row>
    <row r="17" spans="2:20" x14ac:dyDescent="0.25">
      <c r="B17" s="166"/>
      <c r="C17" s="170" t="s">
        <v>35</v>
      </c>
      <c r="D17" s="167"/>
      <c r="E17" s="167"/>
      <c r="F17" s="167"/>
      <c r="G17" s="167"/>
      <c r="H17" s="167"/>
      <c r="I17" s="168"/>
      <c r="K17" s="166"/>
      <c r="L17" s="170" t="s">
        <v>35</v>
      </c>
      <c r="M17" s="167"/>
      <c r="N17" s="163"/>
      <c r="O17" s="163"/>
      <c r="P17" s="163"/>
      <c r="Q17" s="163"/>
      <c r="R17" s="163"/>
      <c r="S17" s="163"/>
      <c r="T17" s="168"/>
    </row>
    <row r="18" spans="2:20" x14ac:dyDescent="0.25">
      <c r="B18" s="166"/>
      <c r="C18" s="167" t="s">
        <v>835</v>
      </c>
      <c r="D18" s="167"/>
      <c r="E18" s="167"/>
      <c r="F18" s="167"/>
      <c r="G18" s="167"/>
      <c r="H18" s="167"/>
      <c r="I18" s="168"/>
      <c r="K18" s="166"/>
      <c r="L18" s="167" t="s">
        <v>831</v>
      </c>
      <c r="M18" s="167"/>
      <c r="N18" s="163"/>
      <c r="O18" s="163"/>
      <c r="P18" s="163"/>
      <c r="Q18" s="163"/>
      <c r="R18" s="163"/>
      <c r="S18" s="163"/>
      <c r="T18" s="168"/>
    </row>
    <row r="19" spans="2:20" x14ac:dyDescent="0.25">
      <c r="B19" s="166"/>
      <c r="C19" s="167" t="s">
        <v>744</v>
      </c>
      <c r="D19" s="167"/>
      <c r="E19" s="167"/>
      <c r="F19" s="167"/>
      <c r="G19" s="167"/>
      <c r="H19" s="167"/>
      <c r="I19" s="168"/>
      <c r="K19" s="166"/>
      <c r="L19" s="167" t="s">
        <v>743</v>
      </c>
      <c r="M19" s="167"/>
      <c r="N19" s="163"/>
      <c r="O19" s="163"/>
      <c r="P19" s="163"/>
      <c r="Q19" s="163"/>
      <c r="R19" s="163"/>
      <c r="S19" s="163"/>
      <c r="T19" s="168"/>
    </row>
    <row r="20" spans="2:20" x14ac:dyDescent="0.25">
      <c r="B20" s="166"/>
      <c r="C20" s="167"/>
      <c r="D20" s="167"/>
      <c r="E20" s="167"/>
      <c r="F20" s="167"/>
      <c r="G20" s="167"/>
      <c r="H20" s="167"/>
      <c r="I20" s="168"/>
      <c r="K20" s="166"/>
      <c r="L20" s="167"/>
      <c r="M20" s="167"/>
      <c r="N20" s="163"/>
      <c r="O20" s="163"/>
      <c r="P20" s="163"/>
      <c r="Q20" s="163"/>
      <c r="R20" s="163"/>
      <c r="S20" s="163"/>
      <c r="T20" s="168"/>
    </row>
    <row r="21" spans="2:20" x14ac:dyDescent="0.25">
      <c r="B21" s="166"/>
      <c r="C21" s="167"/>
      <c r="D21" s="167"/>
      <c r="E21" s="167"/>
      <c r="F21" s="167"/>
      <c r="G21" s="167"/>
      <c r="H21" s="167"/>
      <c r="I21" s="168"/>
      <c r="K21" s="166"/>
      <c r="L21" s="167"/>
      <c r="M21" s="167"/>
      <c r="N21" s="163"/>
      <c r="O21" s="163"/>
      <c r="P21" s="163"/>
      <c r="Q21" s="163"/>
      <c r="R21" s="163"/>
      <c r="S21" s="163"/>
      <c r="T21" s="168"/>
    </row>
    <row r="22" spans="2:20" ht="18.75" x14ac:dyDescent="0.3">
      <c r="B22" s="166"/>
      <c r="C22" s="169" t="s">
        <v>338</v>
      </c>
      <c r="D22" s="167"/>
      <c r="E22" s="167"/>
      <c r="F22" s="167"/>
      <c r="G22" s="167"/>
      <c r="H22" s="167"/>
      <c r="I22" s="168"/>
      <c r="K22" s="166"/>
      <c r="L22" s="169" t="s">
        <v>352</v>
      </c>
      <c r="M22" s="167"/>
      <c r="N22" s="163"/>
      <c r="O22" s="163"/>
      <c r="P22" s="163"/>
      <c r="Q22" s="163"/>
      <c r="R22" s="163"/>
      <c r="S22" s="163"/>
      <c r="T22" s="168"/>
    </row>
    <row r="23" spans="2:20" x14ac:dyDescent="0.25">
      <c r="B23" s="166"/>
      <c r="C23" s="167"/>
      <c r="D23" s="167"/>
      <c r="E23" s="167"/>
      <c r="F23" s="167"/>
      <c r="G23" s="167"/>
      <c r="H23" s="167"/>
      <c r="I23" s="168"/>
      <c r="K23" s="166"/>
      <c r="L23" s="167"/>
      <c r="M23" s="167"/>
      <c r="N23" s="163"/>
      <c r="O23" s="163"/>
      <c r="P23" s="163"/>
      <c r="Q23" s="163"/>
      <c r="R23" s="163"/>
      <c r="S23" s="163"/>
      <c r="T23" s="168"/>
    </row>
    <row r="24" spans="2:20" x14ac:dyDescent="0.25">
      <c r="B24" s="166"/>
      <c r="C24" s="167" t="s">
        <v>354</v>
      </c>
      <c r="D24" s="167"/>
      <c r="E24" s="167"/>
      <c r="F24" s="167"/>
      <c r="G24" s="167"/>
      <c r="H24" s="167"/>
      <c r="I24" s="168"/>
      <c r="K24" s="166"/>
      <c r="L24" s="167" t="s">
        <v>353</v>
      </c>
      <c r="M24" s="167"/>
      <c r="N24" s="167"/>
      <c r="O24" s="167"/>
      <c r="P24" s="167"/>
      <c r="Q24" s="167"/>
      <c r="R24" s="167"/>
      <c r="S24" s="167"/>
      <c r="T24" s="168"/>
    </row>
    <row r="25" spans="2:20" x14ac:dyDescent="0.25">
      <c r="B25" s="166"/>
      <c r="C25" s="167" t="s">
        <v>747</v>
      </c>
      <c r="D25" s="167"/>
      <c r="E25" s="167"/>
      <c r="F25" s="167"/>
      <c r="G25" s="167"/>
      <c r="H25" s="167"/>
      <c r="I25" s="168"/>
      <c r="K25" s="166"/>
      <c r="L25" s="167" t="s">
        <v>355</v>
      </c>
      <c r="M25" s="167"/>
      <c r="N25" s="167"/>
      <c r="O25" s="167"/>
      <c r="P25" s="167"/>
      <c r="Q25" s="167"/>
      <c r="R25" s="167"/>
      <c r="S25" s="167"/>
      <c r="T25" s="168"/>
    </row>
    <row r="26" spans="2:20" x14ac:dyDescent="0.25">
      <c r="B26" s="166"/>
      <c r="C26" s="167"/>
      <c r="D26" s="167"/>
      <c r="E26" s="167"/>
      <c r="F26" s="167"/>
      <c r="G26" s="167"/>
      <c r="H26" s="167"/>
      <c r="I26" s="168"/>
      <c r="K26" s="166"/>
      <c r="L26" s="167"/>
      <c r="M26" s="167"/>
      <c r="N26" s="167"/>
      <c r="O26" s="167"/>
      <c r="P26" s="167"/>
      <c r="Q26" s="167"/>
      <c r="R26" s="167"/>
      <c r="S26" s="167"/>
      <c r="T26" s="168"/>
    </row>
    <row r="27" spans="2:20" x14ac:dyDescent="0.25">
      <c r="B27" s="166"/>
      <c r="C27" s="167"/>
      <c r="D27" s="167"/>
      <c r="E27" s="167"/>
      <c r="F27" s="167"/>
      <c r="G27" s="167"/>
      <c r="H27" s="167"/>
      <c r="I27" s="168"/>
      <c r="K27" s="166"/>
      <c r="L27" s="167"/>
      <c r="M27" s="167"/>
      <c r="N27" s="167"/>
      <c r="O27" s="167"/>
      <c r="P27" s="167"/>
      <c r="Q27" s="167"/>
      <c r="R27" s="167"/>
      <c r="S27" s="167"/>
      <c r="T27" s="168"/>
    </row>
    <row r="28" spans="2:20" ht="18.75" x14ac:dyDescent="0.3">
      <c r="B28" s="166"/>
      <c r="C28" s="169" t="s">
        <v>826</v>
      </c>
      <c r="D28" s="167"/>
      <c r="E28" s="167"/>
      <c r="F28" s="167"/>
      <c r="G28" s="167"/>
      <c r="H28" s="167"/>
      <c r="I28" s="168"/>
      <c r="K28" s="166"/>
      <c r="L28" s="169" t="s">
        <v>825</v>
      </c>
      <c r="M28" s="167"/>
      <c r="N28" s="167"/>
      <c r="O28" s="167"/>
      <c r="P28" s="167"/>
      <c r="Q28" s="167"/>
      <c r="R28" s="167"/>
      <c r="S28" s="167"/>
      <c r="T28" s="168"/>
    </row>
    <row r="29" spans="2:20" x14ac:dyDescent="0.25">
      <c r="B29" s="166"/>
      <c r="C29" s="167"/>
      <c r="D29" s="167"/>
      <c r="E29" s="167"/>
      <c r="F29" s="167"/>
      <c r="G29" s="167"/>
      <c r="H29" s="167"/>
      <c r="I29" s="168"/>
      <c r="K29" s="166"/>
      <c r="L29" s="167"/>
      <c r="M29" s="167"/>
      <c r="N29" s="167"/>
      <c r="O29" s="167"/>
      <c r="P29" s="167"/>
      <c r="Q29" s="167"/>
      <c r="R29" s="167"/>
      <c r="S29" s="167"/>
      <c r="T29" s="168"/>
    </row>
    <row r="30" spans="2:20" x14ac:dyDescent="0.25">
      <c r="B30" s="166"/>
      <c r="C30" s="167" t="s">
        <v>836</v>
      </c>
      <c r="D30" s="167"/>
      <c r="E30" s="167"/>
      <c r="F30" s="167"/>
      <c r="G30" s="167"/>
      <c r="H30" s="167"/>
      <c r="I30" s="168"/>
      <c r="K30" s="166"/>
      <c r="L30" s="167" t="s">
        <v>832</v>
      </c>
      <c r="M30" s="167"/>
      <c r="N30" s="167"/>
      <c r="O30" s="167"/>
      <c r="P30" s="167"/>
      <c r="Q30" s="167"/>
      <c r="R30" s="167"/>
      <c r="S30" s="167"/>
      <c r="T30" s="168"/>
    </row>
    <row r="31" spans="2:20" x14ac:dyDescent="0.25">
      <c r="B31" s="166"/>
      <c r="C31" s="167" t="s">
        <v>837</v>
      </c>
      <c r="D31" s="167"/>
      <c r="E31" s="167"/>
      <c r="F31" s="167"/>
      <c r="G31" s="167"/>
      <c r="H31" s="167"/>
      <c r="I31" s="168"/>
      <c r="J31" s="51"/>
      <c r="K31" s="166"/>
      <c r="L31" s="167" t="s">
        <v>827</v>
      </c>
      <c r="M31" s="167"/>
      <c r="N31" s="167"/>
      <c r="O31" s="167"/>
      <c r="P31" s="167"/>
      <c r="Q31" s="167"/>
      <c r="R31" s="167"/>
      <c r="S31" s="167"/>
      <c r="T31" s="168"/>
    </row>
    <row r="32" spans="2:20" x14ac:dyDescent="0.25">
      <c r="B32" s="166"/>
      <c r="C32" s="167"/>
      <c r="D32" s="167"/>
      <c r="E32" s="163"/>
      <c r="F32" s="163"/>
      <c r="G32" s="163"/>
      <c r="H32" s="163"/>
      <c r="I32" s="532"/>
      <c r="J32" s="262"/>
      <c r="K32" s="166"/>
      <c r="L32" s="167"/>
      <c r="M32" s="167"/>
      <c r="N32" s="163"/>
      <c r="O32" s="163"/>
      <c r="P32" s="163"/>
      <c r="Q32" s="163"/>
      <c r="R32" s="163"/>
      <c r="S32" s="163"/>
      <c r="T32" s="168"/>
    </row>
    <row r="33" spans="2:20" ht="15.75" thickBot="1" x14ac:dyDescent="0.3">
      <c r="B33" s="171"/>
      <c r="C33" s="533"/>
      <c r="D33" s="172"/>
      <c r="E33" s="534"/>
      <c r="F33" s="534"/>
      <c r="G33" s="534"/>
      <c r="H33" s="534"/>
      <c r="I33" s="535"/>
      <c r="J33" s="262"/>
      <c r="K33" s="171"/>
      <c r="L33" s="533"/>
      <c r="M33" s="172"/>
      <c r="N33" s="534"/>
      <c r="O33" s="534"/>
      <c r="P33" s="534"/>
      <c r="Q33" s="534"/>
      <c r="R33" s="534"/>
      <c r="S33" s="534"/>
      <c r="T33" s="173"/>
    </row>
    <row r="34" spans="2:20" x14ac:dyDescent="0.25">
      <c r="B34" s="51"/>
      <c r="C34" s="51"/>
      <c r="D34" s="51"/>
      <c r="E34" s="262"/>
      <c r="F34" s="262"/>
      <c r="G34" s="262"/>
      <c r="H34" s="262"/>
      <c r="I34" s="262"/>
      <c r="J34" s="262"/>
      <c r="K34" s="51"/>
      <c r="L34" s="51"/>
      <c r="M34" s="51"/>
      <c r="N34" s="262"/>
      <c r="O34" s="262"/>
      <c r="P34" s="262"/>
      <c r="Q34" s="262"/>
      <c r="R34" s="262"/>
      <c r="S34" s="262"/>
      <c r="T34" s="51"/>
    </row>
    <row r="35" spans="2:20" x14ac:dyDescent="0.25">
      <c r="B35" s="51"/>
      <c r="C35" s="51"/>
      <c r="D35" s="51"/>
      <c r="E35" s="262"/>
      <c r="F35" s="262"/>
      <c r="G35" s="262"/>
      <c r="H35" s="262"/>
      <c r="I35" s="262"/>
      <c r="J35" s="262"/>
      <c r="K35" s="51"/>
      <c r="L35" s="51"/>
      <c r="M35" s="51"/>
      <c r="N35" s="262"/>
      <c r="O35" s="262"/>
      <c r="P35" s="262"/>
      <c r="Q35" s="262"/>
      <c r="R35" s="262"/>
      <c r="S35" s="262"/>
      <c r="T35" s="51"/>
    </row>
    <row r="36" spans="2:20" x14ac:dyDescent="0.25">
      <c r="B36" s="51"/>
      <c r="C36" s="263"/>
      <c r="D36" s="51"/>
      <c r="E36" s="262"/>
      <c r="F36" s="262"/>
      <c r="G36" s="262"/>
      <c r="H36" s="262"/>
      <c r="I36" s="262"/>
      <c r="J36" s="262"/>
      <c r="K36" s="51"/>
      <c r="L36" s="263"/>
      <c r="M36" s="51"/>
      <c r="N36" s="262"/>
      <c r="O36" s="262"/>
      <c r="P36" s="262"/>
      <c r="Q36" s="262"/>
      <c r="R36" s="262"/>
      <c r="S36" s="262"/>
      <c r="T36" s="51"/>
    </row>
    <row r="37" spans="2:20" hidden="1" x14ac:dyDescent="0.25">
      <c r="B37" s="51"/>
      <c r="C37" s="51"/>
      <c r="D37" s="51"/>
      <c r="E37" s="262"/>
      <c r="F37" s="262"/>
      <c r="G37" s="262"/>
      <c r="H37" s="262"/>
      <c r="I37" s="262"/>
      <c r="J37" s="262"/>
      <c r="K37" s="51"/>
      <c r="L37" s="51"/>
      <c r="M37" s="51"/>
      <c r="N37" s="262"/>
      <c r="O37" s="262"/>
      <c r="P37" s="262"/>
      <c r="Q37" s="262"/>
      <c r="R37" s="262"/>
      <c r="S37" s="262"/>
      <c r="T37" s="51"/>
    </row>
    <row r="38" spans="2:20" hidden="1" x14ac:dyDescent="0.25">
      <c r="B38" s="51"/>
      <c r="C38" s="51"/>
      <c r="D38" s="51"/>
      <c r="E38" s="262"/>
      <c r="F38" s="262"/>
      <c r="G38" s="262"/>
      <c r="H38" s="262"/>
      <c r="I38" s="262"/>
      <c r="J38" s="262"/>
      <c r="K38" s="51"/>
      <c r="L38" s="51"/>
      <c r="M38" s="51"/>
      <c r="N38" s="262"/>
      <c r="O38" s="262"/>
      <c r="P38" s="262"/>
      <c r="Q38" s="262"/>
      <c r="R38" s="262"/>
      <c r="S38" s="262"/>
      <c r="T38" s="51"/>
    </row>
    <row r="39" spans="2:20" hidden="1" x14ac:dyDescent="0.25">
      <c r="B39" s="51"/>
      <c r="C39" s="263"/>
      <c r="D39" s="51"/>
      <c r="E39" s="262"/>
      <c r="F39" s="262"/>
      <c r="G39" s="262"/>
      <c r="H39" s="262"/>
      <c r="I39" s="262"/>
      <c r="J39" s="262"/>
      <c r="K39" s="51"/>
      <c r="L39" s="263"/>
      <c r="M39" s="51"/>
      <c r="N39" s="262"/>
      <c r="O39" s="262"/>
      <c r="P39" s="262"/>
      <c r="Q39" s="262"/>
      <c r="R39" s="262"/>
      <c r="S39" s="262"/>
      <c r="T39" s="51"/>
    </row>
    <row r="40" spans="2:20" hidden="1" x14ac:dyDescent="0.25">
      <c r="B40" s="51"/>
      <c r="C40" s="51"/>
      <c r="D40" s="51"/>
      <c r="E40" s="262"/>
      <c r="F40" s="262"/>
      <c r="G40" s="262"/>
      <c r="H40" s="262"/>
      <c r="I40" s="262"/>
      <c r="J40" s="262"/>
      <c r="K40" s="51"/>
      <c r="L40" s="51"/>
      <c r="M40" s="51"/>
      <c r="N40" s="262"/>
      <c r="O40" s="262"/>
      <c r="P40" s="262"/>
      <c r="Q40" s="262"/>
      <c r="R40" s="262"/>
      <c r="S40" s="262"/>
      <c r="T40" s="51"/>
    </row>
    <row r="41" spans="2:20" hidden="1" x14ac:dyDescent="0.25">
      <c r="B41" s="51"/>
      <c r="C41" s="51"/>
      <c r="D41" s="51"/>
      <c r="E41" s="262"/>
      <c r="F41" s="262"/>
      <c r="G41" s="262"/>
      <c r="H41" s="262"/>
      <c r="I41" s="262"/>
      <c r="J41" s="262"/>
      <c r="K41" s="51"/>
      <c r="L41" s="51"/>
      <c r="M41" s="51"/>
      <c r="N41" s="262"/>
      <c r="O41" s="262"/>
      <c r="P41" s="262"/>
      <c r="Q41" s="262"/>
      <c r="R41" s="262"/>
      <c r="S41" s="262"/>
      <c r="T41" s="51"/>
    </row>
    <row r="42" spans="2:20" hidden="1" x14ac:dyDescent="0.25">
      <c r="B42" s="51"/>
      <c r="C42" s="263"/>
      <c r="D42" s="51"/>
      <c r="E42" s="262"/>
      <c r="F42" s="262"/>
      <c r="G42" s="262"/>
      <c r="H42" s="262"/>
      <c r="I42" s="262"/>
      <c r="J42" s="262"/>
      <c r="K42" s="51"/>
      <c r="L42" s="263"/>
      <c r="M42" s="51"/>
      <c r="N42" s="262"/>
      <c r="O42" s="262"/>
      <c r="P42" s="262"/>
      <c r="Q42" s="262"/>
      <c r="R42" s="262"/>
      <c r="S42" s="262"/>
      <c r="T42" s="51"/>
    </row>
    <row r="43" spans="2:20" hidden="1" x14ac:dyDescent="0.25">
      <c r="B43" s="51"/>
      <c r="C43" s="263"/>
      <c r="D43" s="51"/>
      <c r="E43" s="262"/>
      <c r="F43" s="262"/>
      <c r="G43" s="262"/>
      <c r="H43" s="262"/>
      <c r="I43" s="262"/>
      <c r="J43" s="262"/>
      <c r="K43" s="51"/>
      <c r="L43" s="263"/>
      <c r="M43" s="51"/>
      <c r="N43" s="262"/>
      <c r="O43" s="262"/>
      <c r="P43" s="262"/>
      <c r="Q43" s="262"/>
      <c r="R43" s="262"/>
      <c r="S43" s="262"/>
      <c r="T43" s="51"/>
    </row>
    <row r="44" spans="2:20" hidden="1" x14ac:dyDescent="0.25">
      <c r="B44" s="51"/>
      <c r="C44" s="51"/>
      <c r="D44" s="51"/>
      <c r="E44" s="262"/>
      <c r="F44" s="262"/>
      <c r="G44" s="262"/>
      <c r="H44" s="262"/>
      <c r="I44" s="262"/>
      <c r="J44" s="262"/>
      <c r="K44" s="51"/>
      <c r="L44" s="51"/>
      <c r="M44" s="51"/>
      <c r="N44" s="262"/>
      <c r="O44" s="262"/>
      <c r="P44" s="262"/>
      <c r="Q44" s="262"/>
      <c r="R44" s="262"/>
      <c r="S44" s="262"/>
      <c r="T44" s="51"/>
    </row>
    <row r="45" spans="2:20" hidden="1" x14ac:dyDescent="0.25">
      <c r="B45" s="51"/>
      <c r="C45" s="51"/>
      <c r="D45" s="51"/>
      <c r="E45" s="262"/>
      <c r="F45" s="262"/>
      <c r="G45" s="262"/>
      <c r="H45" s="262"/>
      <c r="I45" s="262"/>
      <c r="J45" s="262"/>
      <c r="K45" s="51"/>
      <c r="L45" s="51"/>
      <c r="M45" s="51"/>
      <c r="N45" s="262"/>
      <c r="O45" s="262"/>
      <c r="P45" s="262"/>
      <c r="Q45" s="262"/>
      <c r="R45" s="262"/>
      <c r="S45" s="262"/>
      <c r="T45" s="51"/>
    </row>
    <row r="46" spans="2:20" hidden="1" x14ac:dyDescent="0.25">
      <c r="B46" s="51"/>
      <c r="C46" s="51"/>
      <c r="D46" s="51"/>
      <c r="E46" s="262"/>
      <c r="F46" s="262"/>
      <c r="G46" s="262"/>
      <c r="H46" s="262"/>
      <c r="I46" s="262"/>
      <c r="J46" s="262"/>
      <c r="K46" s="51"/>
      <c r="L46" s="51"/>
      <c r="M46" s="51"/>
      <c r="N46" s="262"/>
      <c r="O46" s="262"/>
      <c r="P46" s="262"/>
      <c r="Q46" s="262"/>
      <c r="R46" s="262"/>
      <c r="S46" s="262"/>
      <c r="T46" s="51"/>
    </row>
    <row r="47" spans="2:20" hidden="1" x14ac:dyDescent="0.25">
      <c r="B47" s="51"/>
      <c r="C47" s="263"/>
      <c r="D47" s="51"/>
      <c r="E47" s="262"/>
      <c r="F47" s="262"/>
      <c r="G47" s="262"/>
      <c r="H47" s="262"/>
      <c r="I47" s="262"/>
      <c r="J47" s="262"/>
      <c r="K47" s="51"/>
      <c r="L47" s="263"/>
      <c r="M47" s="51"/>
      <c r="N47" s="262"/>
      <c r="O47" s="262"/>
      <c r="P47" s="262"/>
      <c r="Q47" s="262"/>
      <c r="R47" s="262"/>
      <c r="S47" s="262"/>
      <c r="T47" s="51"/>
    </row>
    <row r="48" spans="2:20" hidden="1" x14ac:dyDescent="0.25">
      <c r="B48" s="51"/>
      <c r="C48" s="51"/>
      <c r="D48" s="51"/>
      <c r="E48" s="262"/>
      <c r="F48" s="262"/>
      <c r="G48" s="262"/>
      <c r="H48" s="262"/>
      <c r="I48" s="262"/>
      <c r="J48" s="262"/>
      <c r="K48" s="51"/>
      <c r="L48" s="51"/>
      <c r="M48" s="51"/>
      <c r="N48" s="262"/>
      <c r="O48" s="262"/>
      <c r="P48" s="262"/>
      <c r="Q48" s="262"/>
      <c r="R48" s="262"/>
      <c r="S48" s="262"/>
      <c r="T48" s="51"/>
    </row>
    <row r="49" spans="2:20" hidden="1" x14ac:dyDescent="0.25">
      <c r="B49" s="51"/>
      <c r="C49" s="51"/>
      <c r="D49" s="51"/>
      <c r="E49" s="262"/>
      <c r="F49" s="262"/>
      <c r="G49" s="262"/>
      <c r="H49" s="262"/>
      <c r="I49" s="262"/>
      <c r="J49" s="262"/>
      <c r="K49" s="51"/>
      <c r="L49" s="51"/>
      <c r="M49" s="51"/>
      <c r="N49" s="262"/>
      <c r="O49" s="262"/>
      <c r="P49" s="262"/>
      <c r="Q49" s="262"/>
      <c r="R49" s="262"/>
      <c r="S49" s="262"/>
      <c r="T49" s="51"/>
    </row>
    <row r="50" spans="2:20" hidden="1" x14ac:dyDescent="0.25">
      <c r="B50" s="51"/>
      <c r="C50" s="263"/>
      <c r="D50" s="51"/>
      <c r="E50" s="262"/>
      <c r="F50" s="262"/>
      <c r="G50" s="262"/>
      <c r="H50" s="262"/>
      <c r="I50" s="262"/>
      <c r="J50" s="262"/>
      <c r="K50" s="51"/>
      <c r="L50" s="263"/>
      <c r="M50" s="51"/>
      <c r="N50" s="262"/>
      <c r="O50" s="262"/>
      <c r="P50" s="262"/>
      <c r="Q50" s="262"/>
      <c r="R50" s="262"/>
      <c r="S50" s="262"/>
      <c r="T50" s="51"/>
    </row>
    <row r="51" spans="2:20" hidden="1" x14ac:dyDescent="0.25">
      <c r="B51" s="51"/>
      <c r="C51" s="264"/>
      <c r="D51" s="51"/>
      <c r="E51" s="262"/>
      <c r="F51" s="262"/>
      <c r="G51" s="262"/>
      <c r="H51" s="262"/>
      <c r="I51" s="262"/>
      <c r="J51" s="262"/>
      <c r="K51" s="51"/>
      <c r="L51" s="264"/>
      <c r="M51" s="51"/>
      <c r="N51" s="262"/>
      <c r="O51" s="262"/>
      <c r="P51" s="262"/>
      <c r="Q51" s="262"/>
      <c r="R51" s="262"/>
      <c r="S51" s="262"/>
      <c r="T51" s="51"/>
    </row>
    <row r="52" spans="2:20" hidden="1" x14ac:dyDescent="0.25">
      <c r="B52" s="51"/>
      <c r="C52" s="51"/>
      <c r="D52" s="51"/>
      <c r="E52" s="262"/>
      <c r="F52" s="262"/>
      <c r="G52" s="262"/>
      <c r="H52" s="262"/>
      <c r="I52" s="262"/>
      <c r="J52" s="262"/>
      <c r="K52" s="51"/>
      <c r="L52" s="51"/>
      <c r="M52" s="51"/>
      <c r="N52" s="262"/>
      <c r="O52" s="262"/>
      <c r="P52" s="262"/>
      <c r="Q52" s="262"/>
      <c r="R52" s="262"/>
      <c r="S52" s="262"/>
      <c r="T52" s="51"/>
    </row>
    <row r="53" spans="2:20" hidden="1" x14ac:dyDescent="0.25">
      <c r="K53" s="51"/>
      <c r="L53" s="51"/>
      <c r="M53" s="51"/>
      <c r="N53" s="51"/>
      <c r="O53" s="51"/>
      <c r="P53" s="51"/>
      <c r="Q53" s="51"/>
      <c r="R53" s="51"/>
      <c r="S53" s="51"/>
      <c r="T53" s="51"/>
    </row>
    <row r="54" spans="2:20" hidden="1" x14ac:dyDescent="0.25">
      <c r="K54" s="51"/>
      <c r="L54" s="51"/>
      <c r="M54" s="51"/>
      <c r="N54" s="51"/>
      <c r="O54" s="51"/>
      <c r="P54" s="51"/>
      <c r="Q54" s="51"/>
      <c r="R54" s="51"/>
      <c r="S54" s="51"/>
      <c r="T54" s="51"/>
    </row>
    <row r="55" spans="2:20" hidden="1" x14ac:dyDescent="0.25">
      <c r="K55" s="51"/>
      <c r="L55" s="51"/>
      <c r="M55" s="51"/>
      <c r="N55" s="51"/>
      <c r="O55" s="51"/>
      <c r="P55" s="51"/>
      <c r="Q55" s="51"/>
      <c r="R55" s="51"/>
      <c r="S55" s="51"/>
      <c r="T55" s="51"/>
    </row>
  </sheetData>
  <sheetProtection sheet="1" selectLockedCells="1"/>
  <mergeCells count="2">
    <mergeCell ref="C2:H2"/>
    <mergeCell ref="L2:Q2"/>
  </mergeCells>
  <pageMargins left="0.7" right="0.7" top="0.78740157499999996" bottom="0.78740157499999996"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5E6AE-CE01-4B58-A672-FC5B17B8F531}">
  <sheetPr codeName="Tabelle17"/>
  <dimension ref="A1:S21"/>
  <sheetViews>
    <sheetView workbookViewId="0">
      <selection activeCell="I21" sqref="I21"/>
    </sheetView>
  </sheetViews>
  <sheetFormatPr baseColWidth="10" defaultRowHeight="15" x14ac:dyDescent="0.25"/>
  <cols>
    <col min="1" max="1" width="7.85546875" customWidth="1"/>
    <col min="2" max="2" width="4.42578125" style="314" customWidth="1"/>
    <col min="3" max="3" width="14" customWidth="1"/>
    <col min="4" max="4" width="7.85546875" customWidth="1"/>
    <col min="5" max="5" width="7.7109375" customWidth="1"/>
    <col min="6" max="6" width="5" customWidth="1"/>
    <col min="7" max="7" width="5.42578125" customWidth="1"/>
    <col min="8" max="8" width="17.5703125" customWidth="1"/>
    <col min="10" max="10" width="7.85546875" customWidth="1"/>
    <col min="11" max="12" width="11.42578125" customWidth="1"/>
    <col min="13" max="13" width="4.28515625" customWidth="1"/>
    <col min="14" max="14" width="4.5703125" customWidth="1"/>
    <col min="15" max="15" width="0.85546875" customWidth="1"/>
    <col min="16" max="16" width="3.5703125" customWidth="1"/>
  </cols>
  <sheetData>
    <row r="1" spans="1:19" ht="23.25" x14ac:dyDescent="0.35">
      <c r="C1" s="320" t="str">
        <f>Language!$E$126</f>
        <v>Gruppendritte</v>
      </c>
    </row>
    <row r="2" spans="1:19" ht="38.25" customHeight="1" x14ac:dyDescent="0.25"/>
    <row r="3" spans="1:19" x14ac:dyDescent="0.25">
      <c r="A3" s="321"/>
      <c r="B3" s="46"/>
      <c r="C3" s="45"/>
      <c r="D3" s="315" t="s">
        <v>724</v>
      </c>
      <c r="E3" s="315" t="s">
        <v>218</v>
      </c>
      <c r="F3" s="315" t="s">
        <v>725</v>
      </c>
      <c r="G3" s="315" t="s">
        <v>726</v>
      </c>
      <c r="H3" s="315" t="s">
        <v>727</v>
      </c>
      <c r="I3" s="315" t="s">
        <v>239</v>
      </c>
      <c r="J3" s="86"/>
      <c r="K3" s="322" t="s">
        <v>37</v>
      </c>
      <c r="L3" s="322" t="s">
        <v>640</v>
      </c>
    </row>
    <row r="4" spans="1:19" x14ac:dyDescent="0.25">
      <c r="A4" s="314"/>
      <c r="B4" s="314" t="s">
        <v>32</v>
      </c>
      <c r="C4" t="str">
        <f ca="1">GrpA!P$13</f>
        <v>Wales</v>
      </c>
      <c r="D4" s="314">
        <f ca="1">GrpA!Q$13</f>
        <v>4</v>
      </c>
      <c r="E4" s="314">
        <f ca="1">GrpA!R$13</f>
        <v>1</v>
      </c>
      <c r="F4" s="314">
        <f ca="1">GrpA!S$13</f>
        <v>3</v>
      </c>
      <c r="G4" s="314">
        <f ca="1">GrpA!T$13</f>
        <v>2</v>
      </c>
      <c r="H4" s="299">
        <f t="shared" ref="H4:H9" ca="1" si="0">$D4*FactorPts+$E4*FactorGD+$F4*FactorFor+$K4*FactorFairPlay+$L4*FactorRank</f>
        <v>40001030.000081003</v>
      </c>
      <c r="I4" s="314" t="s">
        <v>30</v>
      </c>
      <c r="J4" s="314"/>
      <c r="K4" s="55">
        <f t="shared" ref="K4:K9" ca="1" si="1">SUMIFS(FairPlayPoints1,FairPlayTeams1,$C4)+SUMIFS(FairPlayPoints2,FairPlayTeams2,$C4)</f>
        <v>0</v>
      </c>
      <c r="L4" s="55">
        <f ca="1">100-INDEX(Language!$D$5:$D$59,MATCH($C4,Language!$E$5:$E$59,0),1)</f>
        <v>81</v>
      </c>
    </row>
    <row r="5" spans="1:19" x14ac:dyDescent="0.25">
      <c r="A5" s="314"/>
      <c r="B5" s="314" t="s">
        <v>33</v>
      </c>
      <c r="C5" t="str">
        <f ca="1">GrpB!P$13</f>
        <v>Finnland</v>
      </c>
      <c r="D5" s="314">
        <f ca="1">GrpB!Q$13</f>
        <v>3</v>
      </c>
      <c r="E5" s="314">
        <f ca="1">GrpB!R$13</f>
        <v>-2</v>
      </c>
      <c r="F5" s="314">
        <f ca="1">GrpB!S$13</f>
        <v>1</v>
      </c>
      <c r="G5" s="314">
        <f ca="1">GrpB!T$13</f>
        <v>3</v>
      </c>
      <c r="H5" s="299">
        <f t="shared" ca="1" si="0"/>
        <v>29998010.000080001</v>
      </c>
      <c r="I5" s="314" t="s">
        <v>26</v>
      </c>
      <c r="J5" s="314"/>
      <c r="K5" s="55">
        <f t="shared" ca="1" si="1"/>
        <v>0</v>
      </c>
      <c r="L5" s="55">
        <f ca="1">100-INDEX(Language!$D$5:$D$59,MATCH($C5,Language!$E$5:$E$59,0),1)</f>
        <v>80</v>
      </c>
    </row>
    <row r="6" spans="1:19" x14ac:dyDescent="0.25">
      <c r="A6" s="314"/>
      <c r="B6" s="314" t="s">
        <v>34</v>
      </c>
      <c r="C6" t="str">
        <f ca="1">GrpC!P$13</f>
        <v>Ukraine</v>
      </c>
      <c r="D6" s="314">
        <f ca="1">GrpC!Q$13</f>
        <v>3</v>
      </c>
      <c r="E6" s="314">
        <f ca="1">GrpC!R$13</f>
        <v>-1</v>
      </c>
      <c r="F6" s="314">
        <f ca="1">GrpC!S$13</f>
        <v>4</v>
      </c>
      <c r="G6" s="314">
        <f ca="1">GrpC!T$13</f>
        <v>5</v>
      </c>
      <c r="H6" s="299">
        <f t="shared" ca="1" si="0"/>
        <v>29999040.000094</v>
      </c>
      <c r="I6" s="314" t="s">
        <v>27</v>
      </c>
      <c r="J6" s="314"/>
      <c r="K6" s="55">
        <f t="shared" ca="1" si="1"/>
        <v>0</v>
      </c>
      <c r="L6" s="55">
        <f ca="1">100-INDEX(Language!$D$5:$D$59,MATCH($C6,Language!$E$5:$E$59,0),1)</f>
        <v>94</v>
      </c>
    </row>
    <row r="7" spans="1:19" x14ac:dyDescent="0.25">
      <c r="A7" s="314"/>
      <c r="B7" s="314" t="s">
        <v>35</v>
      </c>
      <c r="C7" t="str">
        <f ca="1">GrpD!P$13</f>
        <v>Tschechien</v>
      </c>
      <c r="D7" s="314">
        <f ca="1">GrpD!Q$13</f>
        <v>4</v>
      </c>
      <c r="E7" s="314">
        <f ca="1">GrpD!R$13</f>
        <v>1</v>
      </c>
      <c r="F7" s="314">
        <f ca="1">GrpD!S$13</f>
        <v>3</v>
      </c>
      <c r="G7" s="314">
        <f ca="1">GrpD!T$13</f>
        <v>2</v>
      </c>
      <c r="H7" s="299">
        <f t="shared" ca="1" si="0"/>
        <v>40001030.000082001</v>
      </c>
      <c r="I7" s="314" t="s">
        <v>31</v>
      </c>
      <c r="J7" s="314"/>
      <c r="K7" s="55">
        <f t="shared" ca="1" si="1"/>
        <v>0</v>
      </c>
      <c r="L7" s="55">
        <f ca="1">100-INDEX(Language!$D$5:$D$59,MATCH($C7,Language!$E$5:$E$59,0),1)</f>
        <v>82</v>
      </c>
    </row>
    <row r="8" spans="1:19" x14ac:dyDescent="0.25">
      <c r="A8" s="314"/>
      <c r="B8" s="314" t="s">
        <v>549</v>
      </c>
      <c r="C8" t="str">
        <f ca="1">GrpE!P$13</f>
        <v>Slowakei</v>
      </c>
      <c r="D8" s="314">
        <f ca="1">GrpE!Q$13</f>
        <v>3</v>
      </c>
      <c r="E8" s="314">
        <f ca="1">GrpE!R$13</f>
        <v>-5</v>
      </c>
      <c r="F8" s="314">
        <f ca="1">GrpE!S$13</f>
        <v>2</v>
      </c>
      <c r="G8" s="314">
        <f ca="1">GrpE!T$13</f>
        <v>7</v>
      </c>
      <c r="H8" s="299">
        <f t="shared" ca="1" si="0"/>
        <v>29995020.000078</v>
      </c>
      <c r="I8" s="314" t="s">
        <v>28</v>
      </c>
      <c r="J8" s="314"/>
      <c r="K8" s="55">
        <f t="shared" ca="1" si="1"/>
        <v>0</v>
      </c>
      <c r="L8" s="55">
        <f ca="1">100-INDEX(Language!$D$5:$D$59,MATCH($C8,Language!$E$5:$E$59,0),1)</f>
        <v>78</v>
      </c>
    </row>
    <row r="9" spans="1:19" x14ac:dyDescent="0.25">
      <c r="A9" s="314"/>
      <c r="B9" s="314" t="s">
        <v>550</v>
      </c>
      <c r="C9" t="str">
        <f ca="1">GrpF!P$13</f>
        <v>Portugal</v>
      </c>
      <c r="D9" s="314">
        <f ca="1">GrpF!Q$13</f>
        <v>4</v>
      </c>
      <c r="E9" s="314">
        <f ca="1">GrpF!R$13</f>
        <v>1</v>
      </c>
      <c r="F9" s="314">
        <f ca="1">GrpF!S$13</f>
        <v>7</v>
      </c>
      <c r="G9" s="314">
        <f ca="1">GrpF!T$13</f>
        <v>6</v>
      </c>
      <c r="H9" s="299">
        <f t="shared" ca="1" si="0"/>
        <v>40001070.000087</v>
      </c>
      <c r="I9" s="314" t="s">
        <v>29</v>
      </c>
      <c r="J9" s="314"/>
      <c r="K9" s="55">
        <f t="shared" ca="1" si="1"/>
        <v>0</v>
      </c>
      <c r="L9" s="55">
        <f ca="1">100-INDEX(Language!$D$5:$D$59,MATCH($C9,Language!$E$5:$E$59,0),1)</f>
        <v>87</v>
      </c>
    </row>
    <row r="10" spans="1:19" ht="15.75" thickBot="1" x14ac:dyDescent="0.3">
      <c r="D10" s="366" t="str">
        <f>Language!$E$95</f>
        <v>Pkt</v>
      </c>
      <c r="E10" s="366" t="str">
        <f>Language!$E$96</f>
        <v>TD</v>
      </c>
      <c r="F10" s="661" t="str">
        <f>Language!$E$97</f>
        <v>Tore</v>
      </c>
      <c r="G10" s="661"/>
      <c r="H10" s="367"/>
      <c r="I10" s="366" t="str">
        <f>Language!$E$94</f>
        <v>Grp</v>
      </c>
      <c r="J10" s="314"/>
    </row>
    <row r="11" spans="1:19" ht="15.75" thickTop="1" x14ac:dyDescent="0.25">
      <c r="B11" s="368" t="s">
        <v>32</v>
      </c>
      <c r="C11" s="369" t="str">
        <f ca="1">INDEX(C$4:C$9,MATCH($H11,$H$4:$H$9,0))</f>
        <v>Portugal</v>
      </c>
      <c r="D11" s="391">
        <f t="shared" ref="D11:G16" ca="1" si="2">INDEX(D$4:D$9,MATCH($H11,$H$4:$H$9,0))</f>
        <v>4</v>
      </c>
      <c r="E11" s="370">
        <f t="shared" ca="1" si="2"/>
        <v>1</v>
      </c>
      <c r="F11" s="385">
        <f t="shared" ca="1" si="2"/>
        <v>7</v>
      </c>
      <c r="G11" s="386">
        <f t="shared" ca="1" si="2"/>
        <v>6</v>
      </c>
      <c r="H11" s="371">
        <f ca="1">LARGE($H$4:$H$9,ROW($H4)-3)</f>
        <v>40001070.000087</v>
      </c>
      <c r="I11" s="395" t="str">
        <f ca="1">INDEX(I$4:I$9,MATCH($H11,$H$4:$H$9,0))</f>
        <v>F</v>
      </c>
      <c r="J11" s="394"/>
      <c r="K11" s="372">
        <f t="array" aca="1" ref="K11" ca="1">SUM(IF($I$11:$I$14 &lt; $I11,1))</f>
        <v>3</v>
      </c>
      <c r="L11" s="370" t="str">
        <f ca="1">INDEX($I$11:$I$14,MATCH(ROW()-11,$K$11:$K$14,0))</f>
        <v>A</v>
      </c>
      <c r="M11" s="391">
        <f ca="1">D11</f>
        <v>4</v>
      </c>
      <c r="N11" s="382">
        <f ca="1">F11</f>
        <v>7</v>
      </c>
      <c r="O11" s="360" t="s">
        <v>551</v>
      </c>
      <c r="P11" s="361">
        <f ca="1">G11</f>
        <v>6</v>
      </c>
      <c r="R11" s="314"/>
      <c r="S11" s="314"/>
    </row>
    <row r="12" spans="1:19" x14ac:dyDescent="0.25">
      <c r="B12" s="373" t="s">
        <v>33</v>
      </c>
      <c r="C12" s="374" t="str">
        <f t="shared" ref="C12:C16" ca="1" si="3">INDEX(C$4:C$9,MATCH($H12,$H$4:$H$9,0))</f>
        <v>Tschechien</v>
      </c>
      <c r="D12" s="392">
        <f t="shared" ca="1" si="2"/>
        <v>4</v>
      </c>
      <c r="E12" s="375">
        <f t="shared" ca="1" si="2"/>
        <v>1</v>
      </c>
      <c r="F12" s="387">
        <f t="shared" ca="1" si="2"/>
        <v>3</v>
      </c>
      <c r="G12" s="388">
        <f t="shared" ca="1" si="2"/>
        <v>2</v>
      </c>
      <c r="H12" s="376">
        <f t="shared" ref="H12:H16" ca="1" si="4">LARGE($H$4:$H$9,ROW($H5)-3)</f>
        <v>40001030.000082001</v>
      </c>
      <c r="I12" s="396" t="str">
        <f t="shared" ref="I12:I16" ca="1" si="5">INDEX(I$4:I$9,MATCH($H12,$H$4:$H$9,0))</f>
        <v>D</v>
      </c>
      <c r="J12" s="388"/>
      <c r="K12" s="377">
        <f t="array" aca="1" ref="K12" ca="1">SUM(IF($I$11:$I$14 &lt; $I12,1))</f>
        <v>2</v>
      </c>
      <c r="L12" s="375" t="str">
        <f t="shared" ref="L12:L14" ca="1" si="6">INDEX($I$11:$I$14,MATCH(ROW()-11,$K$11:$K$14,0))</f>
        <v>C</v>
      </c>
      <c r="M12" s="392">
        <f t="shared" ref="M12:M16" ca="1" si="7">D12</f>
        <v>4</v>
      </c>
      <c r="N12" s="383">
        <f t="shared" ref="N12:N16" ca="1" si="8">F12</f>
        <v>3</v>
      </c>
      <c r="O12" s="362" t="s">
        <v>551</v>
      </c>
      <c r="P12" s="363">
        <f t="shared" ref="P12:P16" ca="1" si="9">G12</f>
        <v>2</v>
      </c>
      <c r="R12" s="314"/>
      <c r="S12" s="314"/>
    </row>
    <row r="13" spans="1:19" x14ac:dyDescent="0.25">
      <c r="B13" s="373" t="s">
        <v>34</v>
      </c>
      <c r="C13" s="374" t="str">
        <f t="shared" ca="1" si="3"/>
        <v>Wales</v>
      </c>
      <c r="D13" s="392">
        <f t="shared" ca="1" si="2"/>
        <v>4</v>
      </c>
      <c r="E13" s="375">
        <f t="shared" ca="1" si="2"/>
        <v>1</v>
      </c>
      <c r="F13" s="387">
        <f t="shared" ca="1" si="2"/>
        <v>3</v>
      </c>
      <c r="G13" s="388">
        <f t="shared" ca="1" si="2"/>
        <v>2</v>
      </c>
      <c r="H13" s="376">
        <f t="shared" ca="1" si="4"/>
        <v>40001030.000081003</v>
      </c>
      <c r="I13" s="396" t="str">
        <f t="shared" ca="1" si="5"/>
        <v>A</v>
      </c>
      <c r="J13" s="388"/>
      <c r="K13" s="377">
        <f t="array" aca="1" ref="K13" ca="1">SUM(IF($I$11:$I$14 &lt; $I13,1))</f>
        <v>0</v>
      </c>
      <c r="L13" s="375" t="str">
        <f t="shared" ca="1" si="6"/>
        <v>D</v>
      </c>
      <c r="M13" s="392">
        <f t="shared" ca="1" si="7"/>
        <v>4</v>
      </c>
      <c r="N13" s="383">
        <f t="shared" ca="1" si="8"/>
        <v>3</v>
      </c>
      <c r="O13" s="362" t="s">
        <v>551</v>
      </c>
      <c r="P13" s="363">
        <f t="shared" ca="1" si="9"/>
        <v>2</v>
      </c>
      <c r="R13" s="314"/>
      <c r="S13" s="314"/>
    </row>
    <row r="14" spans="1:19" x14ac:dyDescent="0.25">
      <c r="B14" s="373" t="s">
        <v>35</v>
      </c>
      <c r="C14" s="374" t="str">
        <f t="shared" ca="1" si="3"/>
        <v>Ukraine</v>
      </c>
      <c r="D14" s="392">
        <f t="shared" ca="1" si="2"/>
        <v>3</v>
      </c>
      <c r="E14" s="375">
        <f t="shared" ca="1" si="2"/>
        <v>-1</v>
      </c>
      <c r="F14" s="387">
        <f t="shared" ca="1" si="2"/>
        <v>4</v>
      </c>
      <c r="G14" s="388">
        <f t="shared" ca="1" si="2"/>
        <v>5</v>
      </c>
      <c r="H14" s="376">
        <f t="shared" ca="1" si="4"/>
        <v>29999040.000094</v>
      </c>
      <c r="I14" s="396" t="str">
        <f t="shared" ca="1" si="5"/>
        <v>C</v>
      </c>
      <c r="J14" s="388"/>
      <c r="K14" s="377">
        <f t="array" aca="1" ref="K14" ca="1">SUM(IF($I$11:$I$14 &lt; $I14,1))</f>
        <v>1</v>
      </c>
      <c r="L14" s="375" t="str">
        <f t="shared" ca="1" si="6"/>
        <v>F</v>
      </c>
      <c r="M14" s="392">
        <f t="shared" ca="1" si="7"/>
        <v>3</v>
      </c>
      <c r="N14" s="383">
        <f t="shared" ca="1" si="8"/>
        <v>4</v>
      </c>
      <c r="O14" s="362" t="s">
        <v>551</v>
      </c>
      <c r="P14" s="363">
        <f t="shared" ca="1" si="9"/>
        <v>5</v>
      </c>
      <c r="R14" s="314"/>
      <c r="S14" s="314"/>
    </row>
    <row r="15" spans="1:19" x14ac:dyDescent="0.25">
      <c r="B15" s="373" t="s">
        <v>549</v>
      </c>
      <c r="C15" s="374" t="str">
        <f t="shared" ca="1" si="3"/>
        <v>Finnland</v>
      </c>
      <c r="D15" s="392">
        <f t="shared" ca="1" si="2"/>
        <v>3</v>
      </c>
      <c r="E15" s="375">
        <f t="shared" ca="1" si="2"/>
        <v>-2</v>
      </c>
      <c r="F15" s="387">
        <f t="shared" ca="1" si="2"/>
        <v>1</v>
      </c>
      <c r="G15" s="388">
        <f t="shared" ca="1" si="2"/>
        <v>3</v>
      </c>
      <c r="H15" s="376">
        <f t="shared" ca="1" si="4"/>
        <v>29998010.000080001</v>
      </c>
      <c r="I15" s="396" t="str">
        <f t="shared" ca="1" si="5"/>
        <v>B</v>
      </c>
      <c r="J15" s="388"/>
      <c r="K15" s="374"/>
      <c r="L15" s="374"/>
      <c r="M15" s="392">
        <f t="shared" ca="1" si="7"/>
        <v>3</v>
      </c>
      <c r="N15" s="383">
        <f t="shared" ca="1" si="8"/>
        <v>1</v>
      </c>
      <c r="O15" s="362" t="s">
        <v>551</v>
      </c>
      <c r="P15" s="363">
        <f t="shared" ca="1" si="9"/>
        <v>3</v>
      </c>
    </row>
    <row r="16" spans="1:19" ht="15.75" thickBot="1" x14ac:dyDescent="0.3">
      <c r="B16" s="378" t="s">
        <v>550</v>
      </c>
      <c r="C16" s="379" t="str">
        <f t="shared" ca="1" si="3"/>
        <v>Slowakei</v>
      </c>
      <c r="D16" s="393">
        <f t="shared" ca="1" si="2"/>
        <v>3</v>
      </c>
      <c r="E16" s="380">
        <f t="shared" ca="1" si="2"/>
        <v>-5</v>
      </c>
      <c r="F16" s="389">
        <f t="shared" ca="1" si="2"/>
        <v>2</v>
      </c>
      <c r="G16" s="390">
        <f t="shared" ca="1" si="2"/>
        <v>7</v>
      </c>
      <c r="H16" s="381">
        <f t="shared" ca="1" si="4"/>
        <v>29995020.000078</v>
      </c>
      <c r="I16" s="397" t="str">
        <f t="shared" ca="1" si="5"/>
        <v>E</v>
      </c>
      <c r="J16" s="390"/>
      <c r="K16" s="379"/>
      <c r="L16" s="379"/>
      <c r="M16" s="393">
        <f t="shared" ca="1" si="7"/>
        <v>3</v>
      </c>
      <c r="N16" s="384">
        <f t="shared" ca="1" si="8"/>
        <v>2</v>
      </c>
      <c r="O16" s="364" t="s">
        <v>551</v>
      </c>
      <c r="P16" s="365">
        <f t="shared" ca="1" si="9"/>
        <v>7</v>
      </c>
    </row>
    <row r="17" spans="2:12" ht="15.75" thickTop="1" x14ac:dyDescent="0.25">
      <c r="L17" s="324"/>
    </row>
    <row r="18" spans="2:12" x14ac:dyDescent="0.25">
      <c r="B18" s="316"/>
      <c r="C18" s="30"/>
      <c r="D18" s="316"/>
      <c r="E18" s="316"/>
      <c r="F18" s="316"/>
      <c r="G18" s="631" t="s">
        <v>660</v>
      </c>
      <c r="H18" s="631"/>
      <c r="I18" s="316" t="str">
        <f ca="1">L11&amp;" "&amp;L12&amp;" "&amp;L13&amp;" "&amp;L14</f>
        <v>A C D F</v>
      </c>
      <c r="J18" s="316"/>
      <c r="K18" s="316"/>
      <c r="L18" s="316"/>
    </row>
    <row r="19" spans="2:12" x14ac:dyDescent="0.25">
      <c r="B19" s="316"/>
      <c r="C19" s="30"/>
      <c r="D19" s="316"/>
      <c r="E19" s="316"/>
      <c r="F19" s="316"/>
      <c r="G19" s="316"/>
      <c r="H19" s="30"/>
      <c r="I19" s="316"/>
      <c r="J19" s="316"/>
      <c r="K19" s="316"/>
      <c r="L19" s="316"/>
    </row>
    <row r="21" spans="2:12" x14ac:dyDescent="0.25">
      <c r="H21" s="359" t="s">
        <v>867</v>
      </c>
      <c r="I21" s="325">
        <f ca="1">IF(AND(TRUNC($H$14,1)=TRUNC($H$15,1),Distinctness!$G$13&gt;0),1,0)</f>
        <v>0</v>
      </c>
    </row>
  </sheetData>
  <mergeCells count="2">
    <mergeCell ref="G18:H18"/>
    <mergeCell ref="F10:G10"/>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A79C6-B729-45E3-9978-68B09454016F}">
  <sheetPr codeName="Tabelle9"/>
  <dimension ref="B2:D36"/>
  <sheetViews>
    <sheetView showGridLines="0" showRowColHeaders="0" workbookViewId="0">
      <selection activeCell="C7" sqref="C7"/>
    </sheetView>
  </sheetViews>
  <sheetFormatPr baseColWidth="10" defaultRowHeight="15" x14ac:dyDescent="0.25"/>
  <cols>
    <col min="2" max="2" width="7.85546875" customWidth="1"/>
    <col min="3" max="3" width="6.42578125" customWidth="1"/>
    <col min="4" max="4" width="25.7109375" customWidth="1"/>
  </cols>
  <sheetData>
    <row r="2" spans="2:4" ht="28.5" x14ac:dyDescent="0.45">
      <c r="B2" s="640" t="str">
        <f>Language!$E$91</f>
        <v>Gruppen</v>
      </c>
      <c r="C2" s="640"/>
      <c r="D2" s="640"/>
    </row>
    <row r="3" spans="2:4" ht="15.75" thickBot="1" x14ac:dyDescent="0.3"/>
    <row r="4" spans="2:4" ht="15.75" thickTop="1" x14ac:dyDescent="0.25">
      <c r="B4" s="646" t="s">
        <v>407</v>
      </c>
      <c r="C4" s="663" t="s">
        <v>406</v>
      </c>
      <c r="D4" s="665" t="s">
        <v>405</v>
      </c>
    </row>
    <row r="5" spans="2:4" x14ac:dyDescent="0.25">
      <c r="B5" s="662"/>
      <c r="C5" s="664"/>
      <c r="D5" s="666"/>
    </row>
    <row r="6" spans="2:4" ht="15.75" x14ac:dyDescent="0.25">
      <c r="B6" s="179"/>
      <c r="C6" s="269"/>
      <c r="D6" s="270" t="s">
        <v>30</v>
      </c>
    </row>
    <row r="7" spans="2:4" x14ac:dyDescent="0.25">
      <c r="B7" s="180" t="s">
        <v>197</v>
      </c>
      <c r="C7" s="442">
        <v>14</v>
      </c>
      <c r="D7" s="265" t="str">
        <f>VLOOKUP($C7,Language!$D$5:$E$63,2,0)</f>
        <v>Türkei</v>
      </c>
    </row>
    <row r="8" spans="2:4" x14ac:dyDescent="0.25">
      <c r="B8" s="180" t="s">
        <v>198</v>
      </c>
      <c r="C8" s="443">
        <v>2</v>
      </c>
      <c r="D8" s="265" t="str">
        <f>VLOOKUP($C8,Language!$D$5:$E$63,2,0)</f>
        <v>Italien</v>
      </c>
    </row>
    <row r="9" spans="2:4" x14ac:dyDescent="0.25">
      <c r="B9" s="180" t="s">
        <v>199</v>
      </c>
      <c r="C9" s="443">
        <v>19</v>
      </c>
      <c r="D9" s="265" t="str">
        <f>VLOOKUP($C9,Language!$D$5:$E$63,2,0)</f>
        <v>Wales</v>
      </c>
    </row>
    <row r="10" spans="2:4" x14ac:dyDescent="0.25">
      <c r="B10" s="181" t="s">
        <v>200</v>
      </c>
      <c r="C10" s="442">
        <v>9</v>
      </c>
      <c r="D10" s="265" t="str">
        <f>VLOOKUP($C10,Language!$D$5:$E$63,2,0)</f>
        <v>Schweiz</v>
      </c>
    </row>
    <row r="11" spans="2:4" ht="15.75" x14ac:dyDescent="0.25">
      <c r="B11" s="182"/>
      <c r="C11" s="269"/>
      <c r="D11" s="270" t="s">
        <v>26</v>
      </c>
    </row>
    <row r="12" spans="2:4" x14ac:dyDescent="0.25">
      <c r="B12" s="180" t="s">
        <v>201</v>
      </c>
      <c r="C12" s="443">
        <v>15</v>
      </c>
      <c r="D12" s="265" t="str">
        <f>VLOOKUP($C12,Language!$D$5:$E$63,2,0)</f>
        <v>Dänemark</v>
      </c>
    </row>
    <row r="13" spans="2:4" x14ac:dyDescent="0.25">
      <c r="B13" s="180" t="s">
        <v>202</v>
      </c>
      <c r="C13" s="442">
        <v>20</v>
      </c>
      <c r="D13" s="265" t="str">
        <f>VLOOKUP($C13,Language!$D$5:$E$63,2,0)</f>
        <v>Finnland</v>
      </c>
    </row>
    <row r="14" spans="2:4" x14ac:dyDescent="0.25">
      <c r="B14" s="180" t="s">
        <v>203</v>
      </c>
      <c r="C14" s="443">
        <v>1</v>
      </c>
      <c r="D14" s="265" t="str">
        <f>VLOOKUP($C14,Language!$D$5:$E$63,2,0)</f>
        <v>Belgien</v>
      </c>
    </row>
    <row r="15" spans="2:4" x14ac:dyDescent="0.25">
      <c r="B15" s="181" t="s">
        <v>204</v>
      </c>
      <c r="C15" s="443">
        <v>12</v>
      </c>
      <c r="D15" s="265" t="str">
        <f>VLOOKUP($C15,Language!$D$5:$E$63,2,0)</f>
        <v>Russland</v>
      </c>
    </row>
    <row r="16" spans="2:4" ht="15.75" x14ac:dyDescent="0.25">
      <c r="B16" s="182"/>
      <c r="C16" s="269"/>
      <c r="D16" s="270" t="s">
        <v>27</v>
      </c>
    </row>
    <row r="17" spans="2:4" x14ac:dyDescent="0.25">
      <c r="B17" s="180" t="s">
        <v>205</v>
      </c>
      <c r="C17" s="443">
        <v>11</v>
      </c>
      <c r="D17" s="265" t="str">
        <f>VLOOKUP($C17,Language!$D$5:$E$63,2,0)</f>
        <v>Niederlande</v>
      </c>
    </row>
    <row r="18" spans="2:4" x14ac:dyDescent="0.25">
      <c r="B18" s="180" t="s">
        <v>206</v>
      </c>
      <c r="C18" s="443">
        <v>6</v>
      </c>
      <c r="D18" s="265" t="str">
        <f>VLOOKUP($C18,Language!$D$5:$E$63,2,0)</f>
        <v>Ukraine</v>
      </c>
    </row>
    <row r="19" spans="2:4" x14ac:dyDescent="0.25">
      <c r="B19" s="180" t="s">
        <v>207</v>
      </c>
      <c r="C19" s="443">
        <v>16</v>
      </c>
      <c r="D19" s="265" t="str">
        <f>VLOOKUP($C19,Language!$D$5:$E$63,2,0)</f>
        <v>Österreich</v>
      </c>
    </row>
    <row r="20" spans="2:4" x14ac:dyDescent="0.25">
      <c r="B20" s="181" t="s">
        <v>208</v>
      </c>
      <c r="C20" s="443">
        <v>30</v>
      </c>
      <c r="D20" s="265" t="str">
        <f>VLOOKUP($C20,Language!$D$5:$E$63,2,0)</f>
        <v>Nordmazedonien</v>
      </c>
    </row>
    <row r="21" spans="2:4" ht="15.75" x14ac:dyDescent="0.25">
      <c r="B21" s="182"/>
      <c r="C21" s="269"/>
      <c r="D21" s="270" t="s">
        <v>31</v>
      </c>
    </row>
    <row r="22" spans="2:4" x14ac:dyDescent="0.25">
      <c r="B22" s="180" t="s">
        <v>209</v>
      </c>
      <c r="C22" s="443">
        <v>3</v>
      </c>
      <c r="D22" s="265" t="str">
        <f>VLOOKUP($C22,Language!$D$5:$E$63,2,0)</f>
        <v>England</v>
      </c>
    </row>
    <row r="23" spans="2:4" x14ac:dyDescent="0.25">
      <c r="B23" s="180" t="s">
        <v>210</v>
      </c>
      <c r="C23" s="443">
        <v>10</v>
      </c>
      <c r="D23" s="265" t="str">
        <f>VLOOKUP($C23,Language!$D$5:$E$63,2,0)</f>
        <v>Kroatien</v>
      </c>
    </row>
    <row r="24" spans="2:4" x14ac:dyDescent="0.25">
      <c r="B24" s="180" t="s">
        <v>211</v>
      </c>
      <c r="C24" s="443">
        <v>29</v>
      </c>
      <c r="D24" s="265" t="str">
        <f>VLOOKUP($C24,Language!$D$5:$E$63,2,0)</f>
        <v>Schottland</v>
      </c>
    </row>
    <row r="25" spans="2:4" x14ac:dyDescent="0.25">
      <c r="B25" s="181" t="s">
        <v>212</v>
      </c>
      <c r="C25" s="442">
        <v>18</v>
      </c>
      <c r="D25" s="265" t="str">
        <f>VLOOKUP($C25,Language!$D$5:$E$63,2,0)</f>
        <v>Tschechien</v>
      </c>
    </row>
    <row r="26" spans="2:4" ht="15.75" x14ac:dyDescent="0.25">
      <c r="B26" s="182"/>
      <c r="C26" s="269"/>
      <c r="D26" s="270" t="s">
        <v>28</v>
      </c>
    </row>
    <row r="27" spans="2:4" x14ac:dyDescent="0.25">
      <c r="B27" s="180" t="s">
        <v>213</v>
      </c>
      <c r="C27" s="443">
        <v>5</v>
      </c>
      <c r="D27" s="265" t="str">
        <f>VLOOKUP($C27,Language!$D$5:$E$63,2,0)</f>
        <v>Spanien</v>
      </c>
    </row>
    <row r="28" spans="2:4" x14ac:dyDescent="0.25">
      <c r="B28" s="180" t="s">
        <v>214</v>
      </c>
      <c r="C28" s="442">
        <v>17</v>
      </c>
      <c r="D28" s="265" t="str">
        <f>VLOOKUP($C28,Language!$D$5:$E$63,2,0)</f>
        <v>Schweden</v>
      </c>
    </row>
    <row r="29" spans="2:4" x14ac:dyDescent="0.25">
      <c r="B29" s="180" t="s">
        <v>215</v>
      </c>
      <c r="C29" s="443">
        <v>8</v>
      </c>
      <c r="D29" s="265" t="str">
        <f>VLOOKUP($C29,Language!$D$5:$E$63,2,0)</f>
        <v>Polen</v>
      </c>
    </row>
    <row r="30" spans="2:4" x14ac:dyDescent="0.25">
      <c r="B30" s="181" t="s">
        <v>216</v>
      </c>
      <c r="C30" s="442">
        <v>22</v>
      </c>
      <c r="D30" s="265" t="str">
        <f>VLOOKUP($C30,Language!$D$5:$E$63,2,0)</f>
        <v>Slowakei</v>
      </c>
    </row>
    <row r="31" spans="2:4" ht="15.75" x14ac:dyDescent="0.25">
      <c r="B31" s="182"/>
      <c r="C31" s="269"/>
      <c r="D31" s="270" t="s">
        <v>29</v>
      </c>
    </row>
    <row r="32" spans="2:4" x14ac:dyDescent="0.25">
      <c r="B32" s="180" t="s">
        <v>290</v>
      </c>
      <c r="C32" s="442">
        <v>31</v>
      </c>
      <c r="D32" s="265" t="str">
        <f>VLOOKUP($C32,Language!$D$5:$E$63,2,0)</f>
        <v>Ungarn</v>
      </c>
    </row>
    <row r="33" spans="2:4" x14ac:dyDescent="0.25">
      <c r="B33" s="180" t="s">
        <v>291</v>
      </c>
      <c r="C33" s="443">
        <v>13</v>
      </c>
      <c r="D33" s="265" t="str">
        <f>VLOOKUP($C33,Language!$D$5:$E$63,2,0)</f>
        <v>Portugal</v>
      </c>
    </row>
    <row r="34" spans="2:4" x14ac:dyDescent="0.25">
      <c r="B34" s="180" t="s">
        <v>292</v>
      </c>
      <c r="C34" s="442">
        <v>7</v>
      </c>
      <c r="D34" s="265" t="str">
        <f>VLOOKUP($C34,Language!$D$5:$E$63,2,0)</f>
        <v>Frankreich</v>
      </c>
    </row>
    <row r="35" spans="2:4" ht="15.75" thickBot="1" x14ac:dyDescent="0.3">
      <c r="B35" s="183" t="s">
        <v>293</v>
      </c>
      <c r="C35" s="444">
        <v>4</v>
      </c>
      <c r="D35" s="326" t="str">
        <f>VLOOKUP($C35,Language!$D$5:$E$63,2,0)</f>
        <v>Deutschland</v>
      </c>
    </row>
    <row r="36" spans="2:4" ht="15.75" thickTop="1" x14ac:dyDescent="0.25"/>
  </sheetData>
  <sheetProtection sheet="1" selectLockedCells="1"/>
  <mergeCells count="4">
    <mergeCell ref="B4:B5"/>
    <mergeCell ref="C4:C5"/>
    <mergeCell ref="D4:D5"/>
    <mergeCell ref="B2:D2"/>
  </mergeCells>
  <conditionalFormatting sqref="B4:B5">
    <cfRule type="expression" dxfId="2" priority="3">
      <formula>XEY8</formula>
    </cfRule>
  </conditionalFormatting>
  <conditionalFormatting sqref="C4:C5">
    <cfRule type="expression" dxfId="1" priority="2">
      <formula>XEZ8</formula>
    </cfRule>
  </conditionalFormatting>
  <conditionalFormatting sqref="D4:D5">
    <cfRule type="expression" dxfId="0" priority="1">
      <formula>XFA8</formula>
    </cfRule>
  </conditionalFormatting>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17</vt:i4>
      </vt:variant>
    </vt:vector>
  </HeadingPairs>
  <TitlesOfParts>
    <vt:vector size="36" baseType="lpstr">
      <vt:lpstr>Euro</vt:lpstr>
      <vt:lpstr>FairPlay</vt:lpstr>
      <vt:lpstr>Direct comparisons</vt:lpstr>
      <vt:lpstr>AssignThird</vt:lpstr>
      <vt:lpstr>Language</vt:lpstr>
      <vt:lpstr>TimeZone</vt:lpstr>
      <vt:lpstr>Help</vt:lpstr>
      <vt:lpstr>ThirdOfGroup</vt:lpstr>
      <vt:lpstr>Groups</vt:lpstr>
      <vt:lpstr>Matches</vt:lpstr>
      <vt:lpstr>Factors</vt:lpstr>
      <vt:lpstr>Distinctness</vt:lpstr>
      <vt:lpstr>References</vt:lpstr>
      <vt:lpstr>GrpA</vt:lpstr>
      <vt:lpstr>GrpB</vt:lpstr>
      <vt:lpstr>GrpC</vt:lpstr>
      <vt:lpstr>GrpD</vt:lpstr>
      <vt:lpstr>GrpE</vt:lpstr>
      <vt:lpstr>GrpF</vt:lpstr>
      <vt:lpstr>FactorDirC2</vt:lpstr>
      <vt:lpstr>FactorDirC3</vt:lpstr>
      <vt:lpstr>FactorDirC42</vt:lpstr>
      <vt:lpstr>FactorDirC43</vt:lpstr>
      <vt:lpstr>FactorFairPlay</vt:lpstr>
      <vt:lpstr>FactorFor</vt:lpstr>
      <vt:lpstr>FactorGD</vt:lpstr>
      <vt:lpstr>FactorPenalty</vt:lpstr>
      <vt:lpstr>FactorPts</vt:lpstr>
      <vt:lpstr>FactorRank</vt:lpstr>
      <vt:lpstr>FactorRow</vt:lpstr>
      <vt:lpstr>FactorWins</vt:lpstr>
      <vt:lpstr>FairPlayPoints1</vt:lpstr>
      <vt:lpstr>FairPlayPoints2</vt:lpstr>
      <vt:lpstr>FairPlayTeams1</vt:lpstr>
      <vt:lpstr>FairPlayTeams2</vt:lpstr>
      <vt:lpstr>GDzero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dc:creator>
  <cp:lastModifiedBy>Hermann Baum</cp:lastModifiedBy>
  <dcterms:created xsi:type="dcterms:W3CDTF">2018-06-13T10:24:55Z</dcterms:created>
  <dcterms:modified xsi:type="dcterms:W3CDTF">2023-03-03T17:16:45Z</dcterms:modified>
</cp:coreProperties>
</file>